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fileSharing readOnlyRecommended="1"/>
  <workbookPr filterPrivacy="1" codeName="ThisWorkbook" defaultThemeVersion="124226"/>
  <bookViews>
    <workbookView xWindow="0" yWindow="0" windowWidth="19005" windowHeight="12240" tabRatio="905"/>
  </bookViews>
  <sheets>
    <sheet name="Title Page" sheetId="28" r:id="rId1"/>
    <sheet name="List of Worksheets" sheetId="27" r:id="rId2"/>
    <sheet name="Schedule 7, 8 and 9 Rates" sheetId="26" r:id="rId3"/>
    <sheet name="Calc of PTP" sheetId="33" r:id="rId4"/>
    <sheet name="Calc of NT Rev Req" sheetId="32" r:id="rId5"/>
    <sheet name="Revenue Credits" sheetId="31" r:id="rId6"/>
    <sheet name="Rate Calculation" sheetId="1" r:id="rId7"/>
    <sheet name="Schedule 1" sheetId="2" r:id="rId8"/>
    <sheet name="Schedule 2" sheetId="3" r:id="rId9"/>
    <sheet name="Schedule 3" sheetId="4" r:id="rId10"/>
    <sheet name="Schedule 4" sheetId="5" r:id="rId11"/>
    <sheet name="Schedule 5" sheetId="7" r:id="rId12"/>
    <sheet name="Schedule 6" sheetId="9" r:id="rId13"/>
    <sheet name="Schedule 7" sheetId="14" r:id="rId14"/>
    <sheet name="Schedule 8" sheetId="16" r:id="rId15"/>
    <sheet name="Schedule 9" sheetId="43" r:id="rId16"/>
    <sheet name="Schedule 10" sheetId="38" r:id="rId17"/>
    <sheet name="Schedule 11" sheetId="37" r:id="rId18"/>
    <sheet name="Schedule 12" sheetId="40" r:id="rId19"/>
    <sheet name="Schedule 13" sheetId="41" r:id="rId20"/>
    <sheet name="Workpapers Title Page" sheetId="39" r:id="rId21"/>
    <sheet name="Schedule 1 Workpaper" sheetId="15" r:id="rId22"/>
    <sheet name="Schedule 2 Workpaper page 1" sheetId="17" r:id="rId23"/>
    <sheet name="Schedule 2 Workpaper page 2" sheetId="18" r:id="rId24"/>
    <sheet name="Schedule 2 Workpaper page 3" sheetId="29" r:id="rId25"/>
    <sheet name="Schedule 2 Workpaper page 4" sheetId="35" r:id="rId26"/>
    <sheet name="Schedule 4 Workpaper page 1" sheetId="19" r:id="rId27"/>
    <sheet name="Schedule 4 Workpaper page 2" sheetId="47" r:id="rId28"/>
    <sheet name="Schedule 4 Workpaper page 3" sheetId="21" r:id="rId29"/>
    <sheet name="Schedule 4 Workpaper page 4" sheetId="23" r:id="rId30"/>
    <sheet name="Schedule 4 Workpaper page 5" sheetId="20" r:id="rId31"/>
    <sheet name="Schedule 4 Workpaper page 6" sheetId="6" r:id="rId32"/>
    <sheet name="Schedule 4 Workpaper page 7" sheetId="30" r:id="rId33"/>
    <sheet name="Schedule 5 Workpaper " sheetId="8" r:id="rId34"/>
    <sheet name="Schedule 6 Workpaper page 1" sheetId="10" r:id="rId35"/>
    <sheet name="Schedule 6 Workpaper page 2" sheetId="11" r:id="rId36"/>
    <sheet name="Schedule 6 Workpaper page 3" sheetId="12" r:id="rId37"/>
    <sheet name="Schedule 7 Workpaper" sheetId="42" r:id="rId38"/>
    <sheet name="Schedule 8 Workpaper" sheetId="45" r:id="rId39"/>
  </sheets>
  <externalReferences>
    <externalReference r:id="rId40"/>
  </externalReferences>
  <definedNames>
    <definedName name="_xlnm._FilterDatabase" localSheetId="27" hidden="1">[1]Sheet1!$C$2:$J$195</definedName>
    <definedName name="LKUP_Func">#REF!</definedName>
    <definedName name="_xlnm.Print_Area" localSheetId="7">'Schedule 1'!$A$1:$F$85</definedName>
    <definedName name="_xlnm.Print_Area" localSheetId="21">'Schedule 1 Workpaper'!$A$1:$F$15</definedName>
    <definedName name="_xlnm.Print_Area" localSheetId="16">'Schedule 10'!$A$1:$F$56</definedName>
    <definedName name="_xlnm.Print_Area" localSheetId="18">'Schedule 12'!$A$1:$F$60</definedName>
    <definedName name="_xlnm.Print_Area" localSheetId="19">'Schedule 13'!$A$1:$B$39</definedName>
    <definedName name="_xlnm.Print_Area" localSheetId="8">'Schedule 2'!$A$1:$F$77</definedName>
    <definedName name="_xlnm.Print_Area" localSheetId="22">'Schedule 2 Workpaper page 1'!$A$1:$E$65</definedName>
    <definedName name="_xlnm.Print_Area" localSheetId="25">'Schedule 2 Workpaper page 4'!$A$1:$H$159</definedName>
    <definedName name="_xlnm.Print_Area" localSheetId="9">'Schedule 3'!$A$1:$F$55</definedName>
    <definedName name="_xlnm.Print_Area" localSheetId="10">'Schedule 4'!$A$1:$E$31</definedName>
    <definedName name="_xlnm.Print_Area" localSheetId="26">'Schedule 4 Workpaper page 1'!$A$1:$H$37</definedName>
    <definedName name="_xlnm.Print_Area" localSheetId="27">'Schedule 4 Workpaper page 2'!$A$1:$I$904</definedName>
    <definedName name="_xlnm.Print_Area" localSheetId="28">'Schedule 4 Workpaper page 3'!$A$1:$L$94</definedName>
    <definedName name="_xlnm.Print_Area" localSheetId="29">'Schedule 4 Workpaper page 4'!$A$1:$E$20</definedName>
    <definedName name="_xlnm.Print_Area" localSheetId="32">'Schedule 4 Workpaper page 7'!$A$1:$F$15</definedName>
    <definedName name="_xlnm.Print_Area" localSheetId="11">'Schedule 5'!$A$1:$J$71</definedName>
    <definedName name="_xlnm.Print_Area" localSheetId="33">'Schedule 5 Workpaper '!$A$1:$H$60</definedName>
    <definedName name="_xlnm.Print_Area" localSheetId="36">'Schedule 6 Workpaper page 3'!$A$1:$G$19</definedName>
    <definedName name="_xlnm.Print_Area" localSheetId="13">'Schedule 7'!$A$1:$G$82</definedName>
    <definedName name="_xlnm.Print_Area" localSheetId="37">'Schedule 7 Workpaper'!$A$1:$Q$83</definedName>
    <definedName name="_xlnm.Print_Area" localSheetId="2">'Schedule 7, 8 and 9 Rates'!$A$1:$K$25</definedName>
    <definedName name="_xlnm.Print_Area" localSheetId="14">'Schedule 8'!$A$1:$G$25</definedName>
    <definedName name="_xlnm.Print_Area" localSheetId="38">'Schedule 8 Workpaper'!$A$1:$P$19</definedName>
    <definedName name="_xlnm.Print_Area" localSheetId="15">'Schedule 9'!$A$1:$O$71</definedName>
    <definedName name="_xlnm.Print_Area" localSheetId="0">'Title Page'!$A$1:$I$43</definedName>
    <definedName name="_xlnm.Print_Titles" localSheetId="25">'Schedule 2 Workpaper page 4'!$1:$2</definedName>
    <definedName name="_xlnm.Print_Titles" localSheetId="27">'Schedule 4 Workpaper page 2'!$1:$5</definedName>
    <definedName name="_xlnm.Print_Titles" localSheetId="13">'Schedule 7'!$1:$7</definedName>
    <definedName name="_xlnm.Print_Titles" localSheetId="37">'Schedule 7 Workpaper'!$A:$B,'Schedule 7 Workpaper'!$1:$8</definedName>
  </definedNames>
  <calcPr calcId="125725"/>
</workbook>
</file>

<file path=xl/calcChain.xml><?xml version="1.0" encoding="utf-8"?>
<calcChain xmlns="http://schemas.openxmlformats.org/spreadsheetml/2006/main">
  <c r="E68" i="42"/>
  <c r="A55" i="43"/>
  <c r="A56"/>
  <c r="A57" s="1"/>
  <c r="A58" s="1"/>
  <c r="A59" s="1"/>
  <c r="G41"/>
  <c r="I11" l="1"/>
  <c r="I12"/>
  <c r="I13"/>
  <c r="I14"/>
  <c r="I15"/>
  <c r="I16"/>
  <c r="I17"/>
  <c r="I18"/>
  <c r="I19"/>
  <c r="I20"/>
  <c r="I21"/>
  <c r="I22"/>
  <c r="I23"/>
  <c r="I24"/>
  <c r="I25"/>
  <c r="I26"/>
  <c r="I27"/>
  <c r="I28"/>
  <c r="I29"/>
  <c r="I30"/>
  <c r="I31"/>
  <c r="I32"/>
  <c r="I33"/>
  <c r="I34"/>
  <c r="I10"/>
  <c r="F17"/>
  <c r="F16"/>
  <c r="F13"/>
  <c r="F12"/>
  <c r="F11"/>
  <c r="F10"/>
  <c r="H28"/>
  <c r="H29"/>
  <c r="H30"/>
  <c r="H31"/>
  <c r="H33"/>
  <c r="H34"/>
  <c r="E73" i="21" l="1"/>
  <c r="F53" i="3"/>
  <c r="G12" i="8" l="1"/>
  <c r="H12" s="1"/>
  <c r="E12" i="7" s="1"/>
  <c r="H12" s="1"/>
  <c r="G13" i="8"/>
  <c r="H13" s="1"/>
  <c r="E13" i="7" s="1"/>
  <c r="H13" s="1"/>
  <c r="G14" i="8"/>
  <c r="H14" s="1"/>
  <c r="E14" i="7" s="1"/>
  <c r="H14" s="1"/>
  <c r="G15" i="8"/>
  <c r="H15" s="1"/>
  <c r="E15" i="7" s="1"/>
  <c r="H15" s="1"/>
  <c r="G16" i="8"/>
  <c r="H16" s="1"/>
  <c r="E16" i="7" s="1"/>
  <c r="H16" s="1"/>
  <c r="G17" i="8"/>
  <c r="H17" s="1"/>
  <c r="E17" i="7" s="1"/>
  <c r="H17" s="1"/>
  <c r="G18" i="8"/>
  <c r="H18" s="1"/>
  <c r="E18" i="7" s="1"/>
  <c r="H18" s="1"/>
  <c r="G19" i="8"/>
  <c r="H19" s="1"/>
  <c r="E19" i="7" s="1"/>
  <c r="H19" s="1"/>
  <c r="G20" i="8"/>
  <c r="H20" s="1"/>
  <c r="E20" i="7" s="1"/>
  <c r="H20" s="1"/>
  <c r="G21" i="8"/>
  <c r="H21" s="1"/>
  <c r="E21" i="7" s="1"/>
  <c r="H21" s="1"/>
  <c r="G22" i="8"/>
  <c r="H22" s="1"/>
  <c r="E22" i="7" s="1"/>
  <c r="H22" s="1"/>
  <c r="G11" i="8"/>
  <c r="H11" s="1"/>
  <c r="D22"/>
  <c r="D21"/>
  <c r="D20"/>
  <c r="D19"/>
  <c r="D18"/>
  <c r="D17"/>
  <c r="D16"/>
  <c r="D15"/>
  <c r="D14"/>
  <c r="D13"/>
  <c r="D12"/>
  <c r="D11"/>
  <c r="H24" l="1"/>
  <c r="E11" i="7"/>
  <c r="H11" s="1"/>
  <c r="G24" i="8"/>
  <c r="A11" i="30" l="1"/>
  <c r="A12"/>
  <c r="A13" s="1"/>
  <c r="A14" s="1"/>
  <c r="A15" s="1"/>
  <c r="A10"/>
  <c r="J55" i="7" l="1"/>
  <c r="J56"/>
  <c r="J57"/>
  <c r="J58"/>
  <c r="J59"/>
  <c r="J60"/>
  <c r="J61"/>
  <c r="J62"/>
  <c r="J63"/>
  <c r="J64"/>
  <c r="J65"/>
  <c r="I67"/>
  <c r="J54"/>
  <c r="F24"/>
  <c r="G67"/>
  <c r="H67"/>
  <c r="H26" i="43" l="1"/>
  <c r="H25"/>
  <c r="H24"/>
  <c r="H23"/>
  <c r="H22"/>
  <c r="H21"/>
  <c r="H20"/>
  <c r="H19"/>
  <c r="H18"/>
  <c r="H16"/>
  <c r="H17"/>
  <c r="H13"/>
  <c r="H12"/>
  <c r="H11"/>
  <c r="H10"/>
  <c r="H32"/>
  <c r="H27"/>
  <c r="H35" l="1"/>
  <c r="G26"/>
  <c r="R11" i="45" l="1"/>
  <c r="R12"/>
  <c r="R13"/>
  <c r="R14"/>
  <c r="R15"/>
  <c r="R16"/>
  <c r="R17"/>
  <c r="R10"/>
  <c r="L11" l="1"/>
  <c r="L12"/>
  <c r="L13"/>
  <c r="L14"/>
  <c r="L15"/>
  <c r="L16"/>
  <c r="L17"/>
  <c r="L10"/>
  <c r="F38" i="4"/>
  <c r="E17" i="5" l="1"/>
  <c r="F74" i="3"/>
  <c r="F46" l="1"/>
  <c r="F20" l="1"/>
  <c r="F9"/>
  <c r="F73" i="2"/>
  <c r="F27"/>
  <c r="F20"/>
  <c r="F39" i="10" l="1"/>
  <c r="E40" i="1" l="1"/>
  <c r="E15"/>
  <c r="E13"/>
  <c r="E7"/>
  <c r="A885" i="47"/>
  <c r="A886"/>
  <c r="A887" s="1"/>
  <c r="A888" s="1"/>
  <c r="A889" s="1"/>
  <c r="A890" s="1"/>
  <c r="A891" s="1"/>
  <c r="A892" s="1"/>
  <c r="A893" s="1"/>
  <c r="A894" s="1"/>
  <c r="A895" s="1"/>
  <c r="A896" s="1"/>
  <c r="A897" s="1"/>
  <c r="G891"/>
  <c r="G890"/>
  <c r="G896" s="1"/>
  <c r="G889"/>
  <c r="G888"/>
  <c r="G886"/>
  <c r="G39" i="6"/>
  <c r="E39"/>
  <c r="G893" i="47" l="1"/>
  <c r="D71" i="21" l="1"/>
  <c r="A14" i="6"/>
  <c r="A15"/>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13"/>
  <c r="K37"/>
  <c r="K31"/>
  <c r="K13"/>
  <c r="K33"/>
  <c r="K29"/>
  <c r="K19"/>
  <c r="K21"/>
  <c r="K22"/>
  <c r="K24"/>
  <c r="A47" i="17" l="1"/>
  <c r="A48"/>
  <c r="G52" l="1"/>
  <c r="E79" i="42"/>
  <c r="E67" i="14" l="1"/>
  <c r="C67"/>
  <c r="B67"/>
  <c r="A67"/>
  <c r="E73" i="42"/>
  <c r="E71"/>
  <c r="S10"/>
  <c r="S11"/>
  <c r="S12"/>
  <c r="S13"/>
  <c r="S14"/>
  <c r="S15"/>
  <c r="S16"/>
  <c r="S17"/>
  <c r="S18"/>
  <c r="S19"/>
  <c r="S20"/>
  <c r="S21"/>
  <c r="S22"/>
  <c r="S23"/>
  <c r="S24"/>
  <c r="S25"/>
  <c r="S26"/>
  <c r="S27"/>
  <c r="S28"/>
  <c r="S29"/>
  <c r="S30"/>
  <c r="S31"/>
  <c r="S32"/>
  <c r="S33"/>
  <c r="S34"/>
  <c r="S35"/>
  <c r="S36"/>
  <c r="S37"/>
  <c r="S38"/>
  <c r="S39"/>
  <c r="S40"/>
  <c r="S41"/>
  <c r="S42"/>
  <c r="S43"/>
  <c r="S44"/>
  <c r="S45"/>
  <c r="S46"/>
  <c r="S47"/>
  <c r="S48"/>
  <c r="S49"/>
  <c r="S50"/>
  <c r="S51"/>
  <c r="S52"/>
  <c r="S53"/>
  <c r="S54"/>
  <c r="S55"/>
  <c r="S56"/>
  <c r="S57"/>
  <c r="S58"/>
  <c r="S59"/>
  <c r="S60"/>
  <c r="S61"/>
  <c r="S62"/>
  <c r="S63"/>
  <c r="S64"/>
  <c r="S65"/>
  <c r="S66"/>
  <c r="S67"/>
  <c r="S68"/>
  <c r="S69"/>
  <c r="S70"/>
  <c r="S71"/>
  <c r="S72"/>
  <c r="S73"/>
  <c r="S74"/>
  <c r="S75"/>
  <c r="S76"/>
  <c r="S77"/>
  <c r="S78"/>
  <c r="S79"/>
  <c r="S80"/>
  <c r="S81"/>
  <c r="S9"/>
  <c r="Q68" l="1"/>
  <c r="G67" i="14" s="1"/>
  <c r="K68" i="42"/>
  <c r="G68"/>
  <c r="H68" l="1"/>
  <c r="M68"/>
  <c r="N68" s="1"/>
  <c r="O68" s="1"/>
  <c r="D55" i="38"/>
  <c r="T68" i="42" l="1"/>
  <c r="U68" s="1"/>
  <c r="D67" i="14"/>
  <c r="P68" i="42"/>
  <c r="F67" i="14"/>
  <c r="F12" i="40"/>
  <c r="A18"/>
  <c r="A18" i="14"/>
  <c r="A18" i="9"/>
  <c r="A18" i="5"/>
  <c r="A18" i="4"/>
  <c r="A18" i="3"/>
  <c r="A18" i="2"/>
  <c r="A18" i="1"/>
  <c r="D12" i="19"/>
  <c r="G25" i="43" l="1"/>
  <c r="G24"/>
  <c r="G23"/>
  <c r="G22"/>
  <c r="G21"/>
  <c r="G11"/>
  <c r="G10"/>
  <c r="G18"/>
  <c r="G17"/>
  <c r="G19"/>
  <c r="G20"/>
  <c r="G13"/>
  <c r="G16"/>
  <c r="G12"/>
  <c r="F35"/>
  <c r="E66"/>
  <c r="F42"/>
  <c r="G35" l="1"/>
  <c r="E70" i="14"/>
  <c r="C70"/>
  <c r="B70"/>
  <c r="A70"/>
  <c r="Q71" i="42"/>
  <c r="G70" i="14" s="1"/>
  <c r="K71" i="42"/>
  <c r="G71"/>
  <c r="M71" s="1"/>
  <c r="N71" s="1"/>
  <c r="E59"/>
  <c r="E60"/>
  <c r="E49" i="17"/>
  <c r="D70" i="14" l="1"/>
  <c r="H71" i="42"/>
  <c r="T71"/>
  <c r="U71" s="1"/>
  <c r="O71"/>
  <c r="P71" s="1"/>
  <c r="F70" i="14" l="1"/>
  <c r="A65"/>
  <c r="B65"/>
  <c r="C65"/>
  <c r="E65"/>
  <c r="A66"/>
  <c r="B66"/>
  <c r="C66"/>
  <c r="E66"/>
  <c r="Q66" i="42"/>
  <c r="G65" i="14" s="1"/>
  <c r="Q67" i="42"/>
  <c r="G66" i="14" s="1"/>
  <c r="K66" i="42"/>
  <c r="K67"/>
  <c r="G67"/>
  <c r="G66"/>
  <c r="F32" i="7"/>
  <c r="F33"/>
  <c r="F34"/>
  <c r="F35"/>
  <c r="F36"/>
  <c r="F37"/>
  <c r="F38"/>
  <c r="F39"/>
  <c r="F40"/>
  <c r="F41"/>
  <c r="F42"/>
  <c r="F43"/>
  <c r="F48" i="2"/>
  <c r="F49"/>
  <c r="F50"/>
  <c r="F68"/>
  <c r="A80" i="14"/>
  <c r="B80"/>
  <c r="C80"/>
  <c r="E80"/>
  <c r="E10" i="42"/>
  <c r="E9"/>
  <c r="Q76"/>
  <c r="G80" i="14" s="1"/>
  <c r="G76" i="42"/>
  <c r="H76" s="1"/>
  <c r="E77"/>
  <c r="E64"/>
  <c r="M66" l="1"/>
  <c r="N66" s="1"/>
  <c r="M67"/>
  <c r="N67" s="1"/>
  <c r="H66"/>
  <c r="T66"/>
  <c r="U66" s="1"/>
  <c r="H67"/>
  <c r="D66" i="14"/>
  <c r="D65"/>
  <c r="J76" i="42"/>
  <c r="M76" s="1"/>
  <c r="A7" i="47"/>
  <c r="A8" s="1"/>
  <c r="A9" s="1"/>
  <c r="A10" s="1"/>
  <c r="A11" s="1"/>
  <c r="A12" s="1"/>
  <c r="A13" s="1"/>
  <c r="A14" s="1"/>
  <c r="A15" s="1"/>
  <c r="A16" s="1"/>
  <c r="A17" s="1"/>
  <c r="E65" i="42"/>
  <c r="O67" l="1"/>
  <c r="T67"/>
  <c r="U67" s="1"/>
  <c r="O66"/>
  <c r="A18" i="47"/>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108" s="1"/>
  <c r="A109" s="1"/>
  <c r="A110" s="1"/>
  <c r="A111" s="1"/>
  <c r="A112" s="1"/>
  <c r="A113" s="1"/>
  <c r="A114" s="1"/>
  <c r="A115" s="1"/>
  <c r="A116" s="1"/>
  <c r="A117" s="1"/>
  <c r="A118" s="1"/>
  <c r="A119" s="1"/>
  <c r="A120" s="1"/>
  <c r="A121" s="1"/>
  <c r="A122" s="1"/>
  <c r="A123" s="1"/>
  <c r="A124" s="1"/>
  <c r="A125" s="1"/>
  <c r="A126" s="1"/>
  <c r="A127" s="1"/>
  <c r="A128" s="1"/>
  <c r="A129" s="1"/>
  <c r="A130" s="1"/>
  <c r="A131" s="1"/>
  <c r="A132" s="1"/>
  <c r="A133" s="1"/>
  <c r="A134" s="1"/>
  <c r="A135" s="1"/>
  <c r="A136" s="1"/>
  <c r="A137" s="1"/>
  <c r="A138" s="1"/>
  <c r="A139" s="1"/>
  <c r="A140" s="1"/>
  <c r="A141" s="1"/>
  <c r="A142" s="1"/>
  <c r="A143" s="1"/>
  <c r="A144" s="1"/>
  <c r="A145" s="1"/>
  <c r="A146" s="1"/>
  <c r="A147" s="1"/>
  <c r="A148" s="1"/>
  <c r="A149" s="1"/>
  <c r="A150" s="1"/>
  <c r="A151" s="1"/>
  <c r="A152" s="1"/>
  <c r="A153" s="1"/>
  <c r="A154" s="1"/>
  <c r="A155" s="1"/>
  <c r="A156" s="1"/>
  <c r="A157" s="1"/>
  <c r="A158" s="1"/>
  <c r="A159" s="1"/>
  <c r="A160" s="1"/>
  <c r="A161" s="1"/>
  <c r="A162" s="1"/>
  <c r="A163" s="1"/>
  <c r="A164" s="1"/>
  <c r="A165" s="1"/>
  <c r="A166" s="1"/>
  <c r="A167" s="1"/>
  <c r="A168" s="1"/>
  <c r="A169" s="1"/>
  <c r="A170" s="1"/>
  <c r="A171" s="1"/>
  <c r="A172" s="1"/>
  <c r="A173" s="1"/>
  <c r="A174" s="1"/>
  <c r="A175" s="1"/>
  <c r="A176" s="1"/>
  <c r="A177" s="1"/>
  <c r="A178" s="1"/>
  <c r="A179" s="1"/>
  <c r="A180" s="1"/>
  <c r="A181" s="1"/>
  <c r="A182" s="1"/>
  <c r="A183" s="1"/>
  <c r="A184" s="1"/>
  <c r="A185" s="1"/>
  <c r="A186" s="1"/>
  <c r="A187" s="1"/>
  <c r="A188" s="1"/>
  <c r="A189" s="1"/>
  <c r="A190" s="1"/>
  <c r="A191" s="1"/>
  <c r="A192" s="1"/>
  <c r="A193" s="1"/>
  <c r="A194" s="1"/>
  <c r="A195" s="1"/>
  <c r="A196" s="1"/>
  <c r="A197" s="1"/>
  <c r="A198" s="1"/>
  <c r="A199" s="1"/>
  <c r="A200" s="1"/>
  <c r="A201" s="1"/>
  <c r="A202" s="1"/>
  <c r="A203" s="1"/>
  <c r="A204" s="1"/>
  <c r="A205" s="1"/>
  <c r="A206" s="1"/>
  <c r="A207" s="1"/>
  <c r="A208" s="1"/>
  <c r="A209" s="1"/>
  <c r="A210" s="1"/>
  <c r="A211" s="1"/>
  <c r="A212" s="1"/>
  <c r="A213" s="1"/>
  <c r="A214" s="1"/>
  <c r="A215" s="1"/>
  <c r="A216" s="1"/>
  <c r="A217" s="1"/>
  <c r="P67" i="42"/>
  <c r="F66" i="14"/>
  <c r="P66" i="42"/>
  <c r="F65" i="14"/>
  <c r="N76" i="42"/>
  <c r="K76"/>
  <c r="T76"/>
  <c r="U76" s="1"/>
  <c r="O76" l="1"/>
  <c r="D80" i="14"/>
  <c r="A218" i="47"/>
  <c r="A219" s="1"/>
  <c r="A220" s="1"/>
  <c r="A221" s="1"/>
  <c r="A222" s="1"/>
  <c r="A223" s="1"/>
  <c r="A224" s="1"/>
  <c r="A225" s="1"/>
  <c r="A226" s="1"/>
  <c r="A227" s="1"/>
  <c r="A228" s="1"/>
  <c r="A229" s="1"/>
  <c r="A230" s="1"/>
  <c r="A231" s="1"/>
  <c r="A79" i="14"/>
  <c r="B79"/>
  <c r="C79"/>
  <c r="E79"/>
  <c r="P76" i="42" l="1"/>
  <c r="F80" i="14"/>
  <c r="A232" i="47"/>
  <c r="A233" s="1"/>
  <c r="A234" s="1"/>
  <c r="A235" s="1"/>
  <c r="A236" s="1"/>
  <c r="Q75" i="42"/>
  <c r="G79" i="14" s="1"/>
  <c r="G75" i="42"/>
  <c r="H75" s="1"/>
  <c r="A16" i="16"/>
  <c r="A17" s="1"/>
  <c r="E14"/>
  <c r="G14"/>
  <c r="E15"/>
  <c r="G15"/>
  <c r="P16" i="45"/>
  <c r="N17"/>
  <c r="F15" i="16" s="1"/>
  <c r="P17" i="45"/>
  <c r="M17"/>
  <c r="M16"/>
  <c r="N16" s="1"/>
  <c r="J17"/>
  <c r="J16"/>
  <c r="I17"/>
  <c r="I16"/>
  <c r="S17"/>
  <c r="S16"/>
  <c r="O17" l="1"/>
  <c r="O16"/>
  <c r="F14" i="16"/>
  <c r="J75" i="42"/>
  <c r="M75" s="1"/>
  <c r="A237" i="47"/>
  <c r="A238" s="1"/>
  <c r="A239" s="1"/>
  <c r="A240" s="1"/>
  <c r="A241" s="1"/>
  <c r="A242" s="1"/>
  <c r="A243" s="1"/>
  <c r="A244" s="1"/>
  <c r="A245" s="1"/>
  <c r="A246" s="1"/>
  <c r="A247" s="1"/>
  <c r="A248" s="1"/>
  <c r="A249" s="1"/>
  <c r="A250" s="1"/>
  <c r="A251" s="1"/>
  <c r="K75" i="42" l="1"/>
  <c r="T75"/>
  <c r="U75" s="1"/>
  <c r="D79" i="14"/>
  <c r="A252" i="47"/>
  <c r="A253" s="1"/>
  <c r="A254" s="1"/>
  <c r="A255" s="1"/>
  <c r="A256" s="1"/>
  <c r="A257" s="1"/>
  <c r="A258" s="1"/>
  <c r="A259" s="1"/>
  <c r="N75" i="42" l="1"/>
  <c r="O75" s="1"/>
  <c r="A260" i="47"/>
  <c r="A261" s="1"/>
  <c r="A262" s="1"/>
  <c r="A263" s="1"/>
  <c r="A264" s="1"/>
  <c r="A265" s="1"/>
  <c r="A266" s="1"/>
  <c r="A267" s="1"/>
  <c r="A268" s="1"/>
  <c r="I15" i="45"/>
  <c r="I14"/>
  <c r="I13"/>
  <c r="I12"/>
  <c r="I11"/>
  <c r="I10"/>
  <c r="P15"/>
  <c r="P14"/>
  <c r="P13"/>
  <c r="P12"/>
  <c r="P11"/>
  <c r="P10"/>
  <c r="S12"/>
  <c r="M15"/>
  <c r="M14"/>
  <c r="M13"/>
  <c r="M12"/>
  <c r="S11"/>
  <c r="A13" i="14"/>
  <c r="B13"/>
  <c r="C13"/>
  <c r="E13"/>
  <c r="Q53" i="42"/>
  <c r="Q54"/>
  <c r="Q55"/>
  <c r="Q56"/>
  <c r="Q60"/>
  <c r="Q61"/>
  <c r="Q62"/>
  <c r="Q63"/>
  <c r="Q64"/>
  <c r="Q65"/>
  <c r="Q70"/>
  <c r="Q72"/>
  <c r="Q79"/>
  <c r="Q80"/>
  <c r="Q81"/>
  <c r="Q77"/>
  <c r="Q78"/>
  <c r="Q73"/>
  <c r="Q74"/>
  <c r="Q15"/>
  <c r="Q16"/>
  <c r="Q17"/>
  <c r="Q18"/>
  <c r="Q19"/>
  <c r="Q20"/>
  <c r="Q21"/>
  <c r="Q22"/>
  <c r="Q23"/>
  <c r="Q24"/>
  <c r="Q25"/>
  <c r="Q26"/>
  <c r="Q27"/>
  <c r="Q28"/>
  <c r="Q29"/>
  <c r="Q30"/>
  <c r="Q31"/>
  <c r="Q32"/>
  <c r="Q33"/>
  <c r="Q34"/>
  <c r="Q35"/>
  <c r="Q36"/>
  <c r="Q37"/>
  <c r="Q38"/>
  <c r="Q39"/>
  <c r="Q40"/>
  <c r="Q41"/>
  <c r="Q42"/>
  <c r="Q43"/>
  <c r="Q44"/>
  <c r="Q45"/>
  <c r="Q46"/>
  <c r="Q47"/>
  <c r="Q48"/>
  <c r="Q49"/>
  <c r="Q50"/>
  <c r="Q51"/>
  <c r="Q52"/>
  <c r="Q14"/>
  <c r="G13" i="14" s="1"/>
  <c r="Q12" i="42"/>
  <c r="Q13"/>
  <c r="Q10"/>
  <c r="Q11"/>
  <c r="Q9"/>
  <c r="A8" i="38"/>
  <c r="A9" s="1"/>
  <c r="A10" s="1"/>
  <c r="A11" s="1"/>
  <c r="A12" s="1"/>
  <c r="A13" s="1"/>
  <c r="A14" s="1"/>
  <c r="A15" s="1"/>
  <c r="A16" s="1"/>
  <c r="A17" l="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P75" i="42"/>
  <c r="F79" i="14"/>
  <c r="A269" i="47"/>
  <c r="A270" s="1"/>
  <c r="A271" s="1"/>
  <c r="A272" s="1"/>
  <c r="A273" s="1"/>
  <c r="A274" s="1"/>
  <c r="A275" s="1"/>
  <c r="A276" s="1"/>
  <c r="A277" s="1"/>
  <c r="S15" i="45"/>
  <c r="S14"/>
  <c r="S13"/>
  <c r="M11"/>
  <c r="M10"/>
  <c r="M19" s="1"/>
  <c r="G14" i="42"/>
  <c r="A278" i="47" l="1"/>
  <c r="A279" s="1"/>
  <c r="A280" s="1"/>
  <c r="A281" s="1"/>
  <c r="A282" s="1"/>
  <c r="A283" s="1"/>
  <c r="A284" s="1"/>
  <c r="A285" s="1"/>
  <c r="A286" s="1"/>
  <c r="A287" s="1"/>
  <c r="A288" s="1"/>
  <c r="A289" s="1"/>
  <c r="A290" s="1"/>
  <c r="A291" s="1"/>
  <c r="A292" s="1"/>
  <c r="A293" s="1"/>
  <c r="A294" s="1"/>
  <c r="A295" s="1"/>
  <c r="A296" s="1"/>
  <c r="A297" s="1"/>
  <c r="A298" s="1"/>
  <c r="A299" s="1"/>
  <c r="A300" s="1"/>
  <c r="A301" s="1"/>
  <c r="A302" s="1"/>
  <c r="A303" s="1"/>
  <c r="A304" s="1"/>
  <c r="A305" s="1"/>
  <c r="A306" s="1"/>
  <c r="A307" s="1"/>
  <c r="A308" s="1"/>
  <c r="A309" s="1"/>
  <c r="A310" s="1"/>
  <c r="A311" s="1"/>
  <c r="A312" s="1"/>
  <c r="A313" s="1"/>
  <c r="A314" s="1"/>
  <c r="A315" s="1"/>
  <c r="A316" s="1"/>
  <c r="A317" s="1"/>
  <c r="A318" s="1"/>
  <c r="A319" s="1"/>
  <c r="A320" s="1"/>
  <c r="A321" s="1"/>
  <c r="A322" s="1"/>
  <c r="A323" s="1"/>
  <c r="A324" s="1"/>
  <c r="A325" s="1"/>
  <c r="A326" s="1"/>
  <c r="A327" s="1"/>
  <c r="A328" s="1"/>
  <c r="A329" s="1"/>
  <c r="A330" s="1"/>
  <c r="A331" s="1"/>
  <c r="A332" s="1"/>
  <c r="A333" s="1"/>
  <c r="A334" s="1"/>
  <c r="A335" s="1"/>
  <c r="A336" s="1"/>
  <c r="A337" s="1"/>
  <c r="A338" s="1"/>
  <c r="A339" s="1"/>
  <c r="A340" s="1"/>
  <c r="A341" s="1"/>
  <c r="A342" s="1"/>
  <c r="A343" s="1"/>
  <c r="A344" s="1"/>
  <c r="A345" s="1"/>
  <c r="A346" s="1"/>
  <c r="A347" s="1"/>
  <c r="A348" s="1"/>
  <c r="A349" s="1"/>
  <c r="A350" s="1"/>
  <c r="A351" s="1"/>
  <c r="A352" s="1"/>
  <c r="A353" s="1"/>
  <c r="A354" s="1"/>
  <c r="A355" s="1"/>
  <c r="A356" s="1"/>
  <c r="A357" s="1"/>
  <c r="A358" s="1"/>
  <c r="A359" s="1"/>
  <c r="A360" s="1"/>
  <c r="A361" s="1"/>
  <c r="A362" s="1"/>
  <c r="A363" s="1"/>
  <c r="A364" s="1"/>
  <c r="A365" s="1"/>
  <c r="A366" s="1"/>
  <c r="A367" s="1"/>
  <c r="A368" s="1"/>
  <c r="A369" s="1"/>
  <c r="A370" s="1"/>
  <c r="A371" s="1"/>
  <c r="A372" s="1"/>
  <c r="A373" s="1"/>
  <c r="A374" s="1"/>
  <c r="A375" s="1"/>
  <c r="A376" s="1"/>
  <c r="A377" s="1"/>
  <c r="A378" s="1"/>
  <c r="A379" s="1"/>
  <c r="A380" s="1"/>
  <c r="A381" s="1"/>
  <c r="A382" s="1"/>
  <c r="A383" s="1"/>
  <c r="A384" s="1"/>
  <c r="A385" s="1"/>
  <c r="A386" s="1"/>
  <c r="A387" s="1"/>
  <c r="A388" s="1"/>
  <c r="A389" s="1"/>
  <c r="A390" s="1"/>
  <c r="A391" s="1"/>
  <c r="A392" s="1"/>
  <c r="A393" s="1"/>
  <c r="A394" s="1"/>
  <c r="A395" s="1"/>
  <c r="A396" s="1"/>
  <c r="A397" s="1"/>
  <c r="A398" s="1"/>
  <c r="A399" s="1"/>
  <c r="A400" s="1"/>
  <c r="A401" s="1"/>
  <c r="A402" s="1"/>
  <c r="A403" s="1"/>
  <c r="A404" s="1"/>
  <c r="A405" s="1"/>
  <c r="A406" s="1"/>
  <c r="A407" s="1"/>
  <c r="A408" s="1"/>
  <c r="A409" s="1"/>
  <c r="A410" s="1"/>
  <c r="A411" s="1"/>
  <c r="A412" s="1"/>
  <c r="A413" s="1"/>
  <c r="A414" s="1"/>
  <c r="A415" s="1"/>
  <c r="A416" s="1"/>
  <c r="A417" s="1"/>
  <c r="A418" s="1"/>
  <c r="A419" s="1"/>
  <c r="A420" s="1"/>
  <c r="A421" s="1"/>
  <c r="A422" s="1"/>
  <c r="A423" s="1"/>
  <c r="A424" s="1"/>
  <c r="A425" s="1"/>
  <c r="A426" s="1"/>
  <c r="A427" s="1"/>
  <c r="A428" s="1"/>
  <c r="A429" s="1"/>
  <c r="A430" s="1"/>
  <c r="A431" s="1"/>
  <c r="A432" s="1"/>
  <c r="A433" s="1"/>
  <c r="A434" s="1"/>
  <c r="A435" s="1"/>
  <c r="A436" s="1"/>
  <c r="A437" s="1"/>
  <c r="A438" s="1"/>
  <c r="A439" s="1"/>
  <c r="A440" s="1"/>
  <c r="A441" s="1"/>
  <c r="A442" s="1"/>
  <c r="A443" s="1"/>
  <c r="A444" s="1"/>
  <c r="A445" s="1"/>
  <c r="A446" s="1"/>
  <c r="A447" s="1"/>
  <c r="A448" s="1"/>
  <c r="A449" s="1"/>
  <c r="A450" s="1"/>
  <c r="A451" s="1"/>
  <c r="A452" s="1"/>
  <c r="A453" s="1"/>
  <c r="A454" s="1"/>
  <c r="A455" s="1"/>
  <c r="A456" s="1"/>
  <c r="A457" s="1"/>
  <c r="A458" s="1"/>
  <c r="A459" s="1"/>
  <c r="A460" s="1"/>
  <c r="A461" s="1"/>
  <c r="A462" s="1"/>
  <c r="A463" s="1"/>
  <c r="A464" s="1"/>
  <c r="A465" s="1"/>
  <c r="A466" s="1"/>
  <c r="A467" s="1"/>
  <c r="A468" s="1"/>
  <c r="A469" s="1"/>
  <c r="A470" s="1"/>
  <c r="A471" s="1"/>
  <c r="A472" s="1"/>
  <c r="A473" s="1"/>
  <c r="A474" s="1"/>
  <c r="A475" s="1"/>
  <c r="A476" s="1"/>
  <c r="A477" s="1"/>
  <c r="A478" s="1"/>
  <c r="A479" s="1"/>
  <c r="A480" s="1"/>
  <c r="A481" s="1"/>
  <c r="A482" s="1"/>
  <c r="A483" s="1"/>
  <c r="A484" s="1"/>
  <c r="A485" s="1"/>
  <c r="A486" s="1"/>
  <c r="A487" s="1"/>
  <c r="A488" s="1"/>
  <c r="A489" s="1"/>
  <c r="A490" s="1"/>
  <c r="A491" s="1"/>
  <c r="A492" s="1"/>
  <c r="A493" s="1"/>
  <c r="A494" s="1"/>
  <c r="A495" s="1"/>
  <c r="A496" s="1"/>
  <c r="A497" s="1"/>
  <c r="A498" s="1"/>
  <c r="A499" s="1"/>
  <c r="A500" s="1"/>
  <c r="A501" s="1"/>
  <c r="A502" s="1"/>
  <c r="A503" s="1"/>
  <c r="A504" s="1"/>
  <c r="A505" s="1"/>
  <c r="A506" s="1"/>
  <c r="A507" s="1"/>
  <c r="A508" s="1"/>
  <c r="A509" s="1"/>
  <c r="A510" s="1"/>
  <c r="A511" s="1"/>
  <c r="A512" s="1"/>
  <c r="A513" s="1"/>
  <c r="A514" s="1"/>
  <c r="A515" s="1"/>
  <c r="A516" s="1"/>
  <c r="A517" s="1"/>
  <c r="A518" s="1"/>
  <c r="A519" s="1"/>
  <c r="A520" s="1"/>
  <c r="A521" s="1"/>
  <c r="A522" s="1"/>
  <c r="A523" s="1"/>
  <c r="A524" s="1"/>
  <c r="A525" s="1"/>
  <c r="A526" s="1"/>
  <c r="A527" s="1"/>
  <c r="A528" s="1"/>
  <c r="A529" s="1"/>
  <c r="A530" s="1"/>
  <c r="A531" s="1"/>
  <c r="A532" s="1"/>
  <c r="A533" s="1"/>
  <c r="A534" s="1"/>
  <c r="A535" s="1"/>
  <c r="A536" s="1"/>
  <c r="A537" s="1"/>
  <c r="A538" s="1"/>
  <c r="A539" s="1"/>
  <c r="A540" s="1"/>
  <c r="A541" s="1"/>
  <c r="A542" s="1"/>
  <c r="A543" s="1"/>
  <c r="A544" s="1"/>
  <c r="A545" s="1"/>
  <c r="A546" s="1"/>
  <c r="A547" s="1"/>
  <c r="A548" s="1"/>
  <c r="A549" s="1"/>
  <c r="A550" s="1"/>
  <c r="A551" s="1"/>
  <c r="A552" s="1"/>
  <c r="A553" s="1"/>
  <c r="A554" s="1"/>
  <c r="A555" s="1"/>
  <c r="A556" s="1"/>
  <c r="A557" s="1"/>
  <c r="A558" s="1"/>
  <c r="A559" s="1"/>
  <c r="A560" s="1"/>
  <c r="A561" s="1"/>
  <c r="A562" s="1"/>
  <c r="A563" s="1"/>
  <c r="A564" s="1"/>
  <c r="A565" s="1"/>
  <c r="A566" s="1"/>
  <c r="A567" s="1"/>
  <c r="A568" s="1"/>
  <c r="A569" s="1"/>
  <c r="A570" s="1"/>
  <c r="A571" s="1"/>
  <c r="A572" s="1"/>
  <c r="A573" s="1"/>
  <c r="A574" s="1"/>
  <c r="A575" s="1"/>
  <c r="A576" s="1"/>
  <c r="A577" s="1"/>
  <c r="A578" s="1"/>
  <c r="A579" s="1"/>
  <c r="A580" s="1"/>
  <c r="A581" s="1"/>
  <c r="A582" s="1"/>
  <c r="A583" s="1"/>
  <c r="A584" s="1"/>
  <c r="A585" s="1"/>
  <c r="A586" s="1"/>
  <c r="A587" s="1"/>
  <c r="A588" s="1"/>
  <c r="A589" s="1"/>
  <c r="A590" s="1"/>
  <c r="A591" s="1"/>
  <c r="A592" s="1"/>
  <c r="A593" s="1"/>
  <c r="A594" s="1"/>
  <c r="A595" s="1"/>
  <c r="A596" s="1"/>
  <c r="A597" s="1"/>
  <c r="A598" s="1"/>
  <c r="A599" s="1"/>
  <c r="A600" s="1"/>
  <c r="A601" s="1"/>
  <c r="A602" s="1"/>
  <c r="A603" s="1"/>
  <c r="A604" s="1"/>
  <c r="A605" s="1"/>
  <c r="A606" s="1"/>
  <c r="A607" s="1"/>
  <c r="A608" s="1"/>
  <c r="A609" s="1"/>
  <c r="A610" s="1"/>
  <c r="A611" s="1"/>
  <c r="A612" s="1"/>
  <c r="A613" s="1"/>
  <c r="A614" s="1"/>
  <c r="A615" s="1"/>
  <c r="A616" s="1"/>
  <c r="A617" s="1"/>
  <c r="A618" s="1"/>
  <c r="A619" s="1"/>
  <c r="A620" s="1"/>
  <c r="A621" s="1"/>
  <c r="A622" s="1"/>
  <c r="A623" s="1"/>
  <c r="A624" s="1"/>
  <c r="A625" s="1"/>
  <c r="A626" s="1"/>
  <c r="A627" s="1"/>
  <c r="A628" s="1"/>
  <c r="A629" s="1"/>
  <c r="A630" s="1"/>
  <c r="A631" s="1"/>
  <c r="A632" s="1"/>
  <c r="A633" s="1"/>
  <c r="A634" s="1"/>
  <c r="A635" s="1"/>
  <c r="A636" s="1"/>
  <c r="A637" s="1"/>
  <c r="A638" s="1"/>
  <c r="A639" s="1"/>
  <c r="A640" s="1"/>
  <c r="A641" s="1"/>
  <c r="A642" s="1"/>
  <c r="A643" s="1"/>
  <c r="A644" s="1"/>
  <c r="A645" s="1"/>
  <c r="A646" s="1"/>
  <c r="A647" s="1"/>
  <c r="A648" s="1"/>
  <c r="A649" s="1"/>
  <c r="A650" s="1"/>
  <c r="A651" s="1"/>
  <c r="A652" s="1"/>
  <c r="A653" s="1"/>
  <c r="A654" s="1"/>
  <c r="A655" s="1"/>
  <c r="A656" s="1"/>
  <c r="A657" s="1"/>
  <c r="A658" s="1"/>
  <c r="A659" s="1"/>
  <c r="A660" s="1"/>
  <c r="A661" s="1"/>
  <c r="A662" s="1"/>
  <c r="A663" s="1"/>
  <c r="A664" s="1"/>
  <c r="A665" s="1"/>
  <c r="A666" s="1"/>
  <c r="A667" s="1"/>
  <c r="A668" s="1"/>
  <c r="A669" s="1"/>
  <c r="A670" s="1"/>
  <c r="A671" s="1"/>
  <c r="A672" s="1"/>
  <c r="A673" s="1"/>
  <c r="A674" s="1"/>
  <c r="A675" s="1"/>
  <c r="A676" s="1"/>
  <c r="A677" s="1"/>
  <c r="A678" s="1"/>
  <c r="A679" s="1"/>
  <c r="A680" s="1"/>
  <c r="A681" s="1"/>
  <c r="A682" s="1"/>
  <c r="A683" s="1"/>
  <c r="A684" s="1"/>
  <c r="A685" s="1"/>
  <c r="A686" s="1"/>
  <c r="A687" s="1"/>
  <c r="A688" s="1"/>
  <c r="A689" s="1"/>
  <c r="A690" s="1"/>
  <c r="A691" s="1"/>
  <c r="A692" s="1"/>
  <c r="A693" s="1"/>
  <c r="A694" s="1"/>
  <c r="A695" s="1"/>
  <c r="A696" s="1"/>
  <c r="A697" s="1"/>
  <c r="A698" s="1"/>
  <c r="A699" s="1"/>
  <c r="A700" s="1"/>
  <c r="A701" s="1"/>
  <c r="A702" s="1"/>
  <c r="A703" s="1"/>
  <c r="A704" s="1"/>
  <c r="A705" s="1"/>
  <c r="A706" s="1"/>
  <c r="A707" s="1"/>
  <c r="A708" s="1"/>
  <c r="A709" s="1"/>
  <c r="A710" s="1"/>
  <c r="A711" s="1"/>
  <c r="A712" s="1"/>
  <c r="A713" s="1"/>
  <c r="A714" s="1"/>
  <c r="A715" s="1"/>
  <c r="A716" s="1"/>
  <c r="A717" s="1"/>
  <c r="A718" s="1"/>
  <c r="A719" s="1"/>
  <c r="A720" s="1"/>
  <c r="A721" s="1"/>
  <c r="A722" s="1"/>
  <c r="A723" s="1"/>
  <c r="A724" s="1"/>
  <c r="A725" s="1"/>
  <c r="A726" s="1"/>
  <c r="A727" s="1"/>
  <c r="A728" s="1"/>
  <c r="A729" s="1"/>
  <c r="A730" s="1"/>
  <c r="A731" s="1"/>
  <c r="A732" s="1"/>
  <c r="A733" s="1"/>
  <c r="A734" s="1"/>
  <c r="A735" s="1"/>
  <c r="A736" s="1"/>
  <c r="A737" s="1"/>
  <c r="A738" s="1"/>
  <c r="A739" s="1"/>
  <c r="A740" s="1"/>
  <c r="A741" s="1"/>
  <c r="A742" s="1"/>
  <c r="A743" s="1"/>
  <c r="A744" s="1"/>
  <c r="A745" s="1"/>
  <c r="A746" s="1"/>
  <c r="A747" s="1"/>
  <c r="A748" s="1"/>
  <c r="A749" s="1"/>
  <c r="A750" s="1"/>
  <c r="A751" s="1"/>
  <c r="A752" s="1"/>
  <c r="A753" s="1"/>
  <c r="A754" s="1"/>
  <c r="A755" s="1"/>
  <c r="A756" s="1"/>
  <c r="A757" s="1"/>
  <c r="A758" s="1"/>
  <c r="A759" s="1"/>
  <c r="A760" s="1"/>
  <c r="A761" s="1"/>
  <c r="A762" s="1"/>
  <c r="A763" s="1"/>
  <c r="A764" s="1"/>
  <c r="A765" s="1"/>
  <c r="A766" s="1"/>
  <c r="A767" s="1"/>
  <c r="A768" s="1"/>
  <c r="A769" s="1"/>
  <c r="A770" s="1"/>
  <c r="A771" s="1"/>
  <c r="H14" i="42"/>
  <c r="J14"/>
  <c r="M14" s="1"/>
  <c r="S10" i="45"/>
  <c r="E9" i="14"/>
  <c r="G9"/>
  <c r="E10"/>
  <c r="G10"/>
  <c r="E11"/>
  <c r="G11"/>
  <c r="E12"/>
  <c r="G12"/>
  <c r="E14"/>
  <c r="G14"/>
  <c r="E15"/>
  <c r="G15"/>
  <c r="E16"/>
  <c r="G16"/>
  <c r="E17"/>
  <c r="G17"/>
  <c r="E18"/>
  <c r="G18"/>
  <c r="E19"/>
  <c r="G19"/>
  <c r="E20"/>
  <c r="G20"/>
  <c r="E21"/>
  <c r="G21"/>
  <c r="E22"/>
  <c r="G22"/>
  <c r="E23"/>
  <c r="G23"/>
  <c r="E24"/>
  <c r="G24"/>
  <c r="E25"/>
  <c r="G25"/>
  <c r="E26"/>
  <c r="G26"/>
  <c r="E27"/>
  <c r="G27"/>
  <c r="E28"/>
  <c r="G28"/>
  <c r="E29"/>
  <c r="G29"/>
  <c r="E30"/>
  <c r="G30"/>
  <c r="E31"/>
  <c r="G31"/>
  <c r="E32"/>
  <c r="G32"/>
  <c r="E33"/>
  <c r="G33"/>
  <c r="E34"/>
  <c r="G34"/>
  <c r="E35"/>
  <c r="G35"/>
  <c r="E36"/>
  <c r="G36"/>
  <c r="E37"/>
  <c r="G37"/>
  <c r="E38"/>
  <c r="G38"/>
  <c r="E39"/>
  <c r="G39"/>
  <c r="E40"/>
  <c r="G40"/>
  <c r="E41"/>
  <c r="G41"/>
  <c r="E42"/>
  <c r="G42"/>
  <c r="E43"/>
  <c r="G43"/>
  <c r="E44"/>
  <c r="G44"/>
  <c r="E45"/>
  <c r="G45"/>
  <c r="E46"/>
  <c r="G46"/>
  <c r="E47"/>
  <c r="G47"/>
  <c r="E48"/>
  <c r="G48"/>
  <c r="E49"/>
  <c r="G49"/>
  <c r="E50"/>
  <c r="G50"/>
  <c r="E51"/>
  <c r="G51"/>
  <c r="E52"/>
  <c r="E53"/>
  <c r="E54"/>
  <c r="E55"/>
  <c r="E59"/>
  <c r="E60"/>
  <c r="E61"/>
  <c r="E62"/>
  <c r="E63"/>
  <c r="E64"/>
  <c r="G64"/>
  <c r="E69"/>
  <c r="G69"/>
  <c r="E71"/>
  <c r="G71"/>
  <c r="E72"/>
  <c r="G72"/>
  <c r="E73"/>
  <c r="G73"/>
  <c r="E74"/>
  <c r="G74"/>
  <c r="E75"/>
  <c r="G75"/>
  <c r="E76"/>
  <c r="G76"/>
  <c r="E77"/>
  <c r="G77"/>
  <c r="E78"/>
  <c r="G78"/>
  <c r="B9"/>
  <c r="C9"/>
  <c r="B10"/>
  <c r="C10"/>
  <c r="B11"/>
  <c r="C11"/>
  <c r="B12"/>
  <c r="C12"/>
  <c r="B14"/>
  <c r="C14"/>
  <c r="B15"/>
  <c r="C15"/>
  <c r="B16"/>
  <c r="C16"/>
  <c r="B17"/>
  <c r="C17"/>
  <c r="B18"/>
  <c r="C18"/>
  <c r="B19"/>
  <c r="C19"/>
  <c r="B20"/>
  <c r="C20"/>
  <c r="B21"/>
  <c r="C21"/>
  <c r="B22"/>
  <c r="C22"/>
  <c r="B23"/>
  <c r="C23"/>
  <c r="B24"/>
  <c r="C24"/>
  <c r="B25"/>
  <c r="C25"/>
  <c r="B26"/>
  <c r="C26"/>
  <c r="B27"/>
  <c r="C27"/>
  <c r="B28"/>
  <c r="C28"/>
  <c r="B29"/>
  <c r="C29"/>
  <c r="B30"/>
  <c r="C30"/>
  <c r="B31"/>
  <c r="C31"/>
  <c r="B32"/>
  <c r="C32"/>
  <c r="B33"/>
  <c r="C33"/>
  <c r="B34"/>
  <c r="C34"/>
  <c r="B35"/>
  <c r="C35"/>
  <c r="B36"/>
  <c r="C36"/>
  <c r="B37"/>
  <c r="C37"/>
  <c r="B38"/>
  <c r="C38"/>
  <c r="B39"/>
  <c r="C39"/>
  <c r="B40"/>
  <c r="C40"/>
  <c r="B41"/>
  <c r="C41"/>
  <c r="B42"/>
  <c r="C42"/>
  <c r="B43"/>
  <c r="C43"/>
  <c r="B44"/>
  <c r="C44"/>
  <c r="B45"/>
  <c r="C45"/>
  <c r="B46"/>
  <c r="C46"/>
  <c r="B47"/>
  <c r="C47"/>
  <c r="B48"/>
  <c r="C48"/>
  <c r="B49"/>
  <c r="C49"/>
  <c r="B50"/>
  <c r="C50"/>
  <c r="B51"/>
  <c r="C51"/>
  <c r="B52"/>
  <c r="C52"/>
  <c r="B53"/>
  <c r="C53"/>
  <c r="B54"/>
  <c r="C54"/>
  <c r="B55"/>
  <c r="C55"/>
  <c r="B56"/>
  <c r="C56"/>
  <c r="B57"/>
  <c r="C57"/>
  <c r="C58"/>
  <c r="C59"/>
  <c r="C60"/>
  <c r="C61"/>
  <c r="C62"/>
  <c r="B63"/>
  <c r="C63"/>
  <c r="B64"/>
  <c r="C64"/>
  <c r="B68"/>
  <c r="C68"/>
  <c r="B69"/>
  <c r="C69"/>
  <c r="B71"/>
  <c r="C71"/>
  <c r="B72"/>
  <c r="C72"/>
  <c r="B73"/>
  <c r="C73"/>
  <c r="B74"/>
  <c r="C74"/>
  <c r="B75"/>
  <c r="C75"/>
  <c r="B76"/>
  <c r="C76"/>
  <c r="B77"/>
  <c r="C77"/>
  <c r="B78"/>
  <c r="C78"/>
  <c r="A9"/>
  <c r="A10"/>
  <c r="A11"/>
  <c r="A12"/>
  <c r="A14"/>
  <c r="A15"/>
  <c r="A16"/>
  <c r="A17"/>
  <c r="A19"/>
  <c r="A20"/>
  <c r="A21"/>
  <c r="A22"/>
  <c r="A23"/>
  <c r="A24"/>
  <c r="A25"/>
  <c r="A26"/>
  <c r="A27"/>
  <c r="A28"/>
  <c r="A29"/>
  <c r="A30"/>
  <c r="A31"/>
  <c r="A32"/>
  <c r="A33"/>
  <c r="A34"/>
  <c r="A35"/>
  <c r="A36"/>
  <c r="A37"/>
  <c r="A38"/>
  <c r="A39"/>
  <c r="A40"/>
  <c r="A41"/>
  <c r="A42"/>
  <c r="A43"/>
  <c r="A44"/>
  <c r="A45"/>
  <c r="A46"/>
  <c r="A47"/>
  <c r="A48"/>
  <c r="A49"/>
  <c r="A50"/>
  <c r="A51"/>
  <c r="A52"/>
  <c r="A53"/>
  <c r="A54"/>
  <c r="A55"/>
  <c r="A56"/>
  <c r="A57"/>
  <c r="A58"/>
  <c r="A59"/>
  <c r="A60"/>
  <c r="A61"/>
  <c r="A62"/>
  <c r="A63"/>
  <c r="A64"/>
  <c r="A68"/>
  <c r="A69"/>
  <c r="A71"/>
  <c r="A72"/>
  <c r="A73"/>
  <c r="A74"/>
  <c r="A75"/>
  <c r="A76"/>
  <c r="A77"/>
  <c r="A78"/>
  <c r="Q59" i="42"/>
  <c r="G81"/>
  <c r="G70"/>
  <c r="E69"/>
  <c r="A772" i="47" l="1"/>
  <c r="A773" s="1"/>
  <c r="A774" s="1"/>
  <c r="A775" s="1"/>
  <c r="A776" s="1"/>
  <c r="A777" s="1"/>
  <c r="A778" s="1"/>
  <c r="A779" s="1"/>
  <c r="A780" s="1"/>
  <c r="A781" s="1"/>
  <c r="A782" s="1"/>
  <c r="A783" s="1"/>
  <c r="A784" s="1"/>
  <c r="A785" s="1"/>
  <c r="A786" s="1"/>
  <c r="A787" s="1"/>
  <c r="A788" s="1"/>
  <c r="A789" s="1"/>
  <c r="A790" s="1"/>
  <c r="A791" s="1"/>
  <c r="A792" s="1"/>
  <c r="A793" s="1"/>
  <c r="A794" s="1"/>
  <c r="A795" s="1"/>
  <c r="A796" s="1"/>
  <c r="A797" s="1"/>
  <c r="A798" s="1"/>
  <c r="A799" s="1"/>
  <c r="A800" s="1"/>
  <c r="A801" s="1"/>
  <c r="A802" s="1"/>
  <c r="A803" s="1"/>
  <c r="A804" s="1"/>
  <c r="A805" s="1"/>
  <c r="A806" s="1"/>
  <c r="A807" s="1"/>
  <c r="A808" s="1"/>
  <c r="A809" s="1"/>
  <c r="A810" s="1"/>
  <c r="A811" s="1"/>
  <c r="A812" s="1"/>
  <c r="A813" s="1"/>
  <c r="A814" s="1"/>
  <c r="A815" s="1"/>
  <c r="A816" s="1"/>
  <c r="A817" s="1"/>
  <c r="A818" s="1"/>
  <c r="A819" s="1"/>
  <c r="A820" s="1"/>
  <c r="A821" s="1"/>
  <c r="A822" s="1"/>
  <c r="A823" s="1"/>
  <c r="A824" s="1"/>
  <c r="A825" s="1"/>
  <c r="A826" s="1"/>
  <c r="A827" s="1"/>
  <c r="A828" s="1"/>
  <c r="A829" s="1"/>
  <c r="A830" s="1"/>
  <c r="A831" s="1"/>
  <c r="A832" s="1"/>
  <c r="A833" s="1"/>
  <c r="A834" s="1"/>
  <c r="A835" s="1"/>
  <c r="A836" s="1"/>
  <c r="A837" s="1"/>
  <c r="A838" s="1"/>
  <c r="A839" s="1"/>
  <c r="A840" s="1"/>
  <c r="A841" s="1"/>
  <c r="A842" s="1"/>
  <c r="A843" s="1"/>
  <c r="A844" s="1"/>
  <c r="A845" s="1"/>
  <c r="A846" s="1"/>
  <c r="A847" s="1"/>
  <c r="A848" s="1"/>
  <c r="A849" s="1"/>
  <c r="A850" s="1"/>
  <c r="A851" s="1"/>
  <c r="A852" s="1"/>
  <c r="A853" s="1"/>
  <c r="A854" s="1"/>
  <c r="A855" s="1"/>
  <c r="A856" s="1"/>
  <c r="A857" s="1"/>
  <c r="A858" s="1"/>
  <c r="A859" s="1"/>
  <c r="A860" s="1"/>
  <c r="A861" s="1"/>
  <c r="A862" s="1"/>
  <c r="A863" s="1"/>
  <c r="A864" s="1"/>
  <c r="A865" s="1"/>
  <c r="A866" s="1"/>
  <c r="A867" s="1"/>
  <c r="A868" s="1"/>
  <c r="A869" s="1"/>
  <c r="A870" s="1"/>
  <c r="A871" s="1"/>
  <c r="A872" s="1"/>
  <c r="A873" s="1"/>
  <c r="A874" s="1"/>
  <c r="A875" s="1"/>
  <c r="A876" s="1"/>
  <c r="A877" s="1"/>
  <c r="A878" s="1"/>
  <c r="A879" s="1"/>
  <c r="A880" s="1"/>
  <c r="A881" s="1"/>
  <c r="A882" s="1"/>
  <c r="A883" s="1"/>
  <c r="A884" s="1"/>
  <c r="A898" s="1"/>
  <c r="A899" s="1"/>
  <c r="A900" s="1"/>
  <c r="A901" s="1"/>
  <c r="A902" s="1"/>
  <c r="A903" s="1"/>
  <c r="A904" s="1"/>
  <c r="Q69" i="42"/>
  <c r="G68" i="14" s="1"/>
  <c r="J81" i="42"/>
  <c r="M81" s="1"/>
  <c r="J70"/>
  <c r="M70" s="1"/>
  <c r="K14"/>
  <c r="N14"/>
  <c r="H81"/>
  <c r="E68" i="14"/>
  <c r="E58"/>
  <c r="H70" i="42"/>
  <c r="N81" l="1"/>
  <c r="N70"/>
  <c r="K81"/>
  <c r="K70"/>
  <c r="D13" i="14"/>
  <c r="O14" i="42"/>
  <c r="T81"/>
  <c r="U81" s="1"/>
  <c r="T14"/>
  <c r="U14" s="1"/>
  <c r="D69" i="14" l="1"/>
  <c r="O81" i="42"/>
  <c r="P81" s="1"/>
  <c r="T70"/>
  <c r="U70" s="1"/>
  <c r="D74" i="14"/>
  <c r="O70" i="42"/>
  <c r="P70" s="1"/>
  <c r="P14"/>
  <c r="F13" i="14"/>
  <c r="F69" l="1"/>
  <c r="F74"/>
  <c r="G20" i="42"/>
  <c r="J20" l="1"/>
  <c r="M20" s="1"/>
  <c r="H20"/>
  <c r="N20" l="1"/>
  <c r="K20"/>
  <c r="T20"/>
  <c r="U20" s="1"/>
  <c r="D19" i="14"/>
  <c r="O20" i="42" l="1"/>
  <c r="P20" s="1"/>
  <c r="E9" i="16"/>
  <c r="E10"/>
  <c r="E11"/>
  <c r="E12"/>
  <c r="E13"/>
  <c r="E8"/>
  <c r="F19" i="14" l="1"/>
  <c r="E51" i="43"/>
  <c r="G65" i="42" l="1"/>
  <c r="J65" l="1"/>
  <c r="M65" s="1"/>
  <c r="H65"/>
  <c r="N65" l="1"/>
  <c r="K65"/>
  <c r="T65"/>
  <c r="U65" s="1"/>
  <c r="D64" i="14"/>
  <c r="E12" i="35"/>
  <c r="E25"/>
  <c r="E23"/>
  <c r="E21"/>
  <c r="E19"/>
  <c r="E14"/>
  <c r="E10"/>
  <c r="F41"/>
  <c r="E55" i="17"/>
  <c r="E56"/>
  <c r="E57"/>
  <c r="E58"/>
  <c r="E54"/>
  <c r="E53"/>
  <c r="E52"/>
  <c r="O65" i="42" l="1"/>
  <c r="P65" s="1"/>
  <c r="A6" i="45"/>
  <c r="F64" i="14" l="1"/>
  <c r="A5" i="42"/>
  <c r="A5" i="12" l="1"/>
  <c r="A3" i="11"/>
  <c r="A3" i="10"/>
  <c r="A3" i="8" l="1"/>
  <c r="A3" i="23" l="1"/>
  <c r="A3" i="21"/>
  <c r="A3" i="47"/>
  <c r="A3" i="19"/>
  <c r="A7" i="35" l="1"/>
  <c r="A3" i="29"/>
  <c r="A3" i="18"/>
  <c r="A3" i="17"/>
  <c r="A12" i="5" l="1"/>
  <c r="A13" s="1"/>
  <c r="A14" s="1"/>
  <c r="A15" s="1"/>
  <c r="A16" s="1"/>
  <c r="A17" s="1"/>
  <c r="A19" s="1"/>
  <c r="A20" s="1"/>
  <c r="A21" s="1"/>
  <c r="A22" s="1"/>
  <c r="A23" s="1"/>
  <c r="F31" i="19" l="1"/>
  <c r="K17" i="6" l="1"/>
  <c r="K14"/>
  <c r="K15"/>
  <c r="K16"/>
  <c r="K18"/>
  <c r="K20"/>
  <c r="K23"/>
  <c r="K25"/>
  <c r="K26"/>
  <c r="K27"/>
  <c r="K30"/>
  <c r="K32"/>
  <c r="K34"/>
  <c r="K35"/>
  <c r="K36"/>
  <c r="K38"/>
  <c r="K12"/>
  <c r="G41"/>
  <c r="E41"/>
  <c r="I41"/>
  <c r="K39"/>
  <c r="K28" l="1"/>
  <c r="K43" s="1"/>
  <c r="B18" i="23"/>
  <c r="E71" i="21"/>
  <c r="F71"/>
  <c r="G71"/>
  <c r="H71"/>
  <c r="I71"/>
  <c r="J71"/>
  <c r="K71"/>
  <c r="C71"/>
  <c r="F32" i="19"/>
  <c r="E12" i="5" s="1"/>
  <c r="D32" i="19"/>
  <c r="E11" i="12"/>
  <c r="G35" i="10"/>
  <c r="F35"/>
  <c r="K35"/>
  <c r="I35"/>
  <c r="G28"/>
  <c r="F28"/>
  <c r="J28"/>
  <c r="N28"/>
  <c r="K28"/>
  <c r="I28"/>
  <c r="I39" s="1"/>
  <c r="K39" l="1"/>
  <c r="E91" i="21"/>
  <c r="E93" s="1"/>
  <c r="E78" s="1"/>
  <c r="E10" i="20" s="1"/>
  <c r="G39" i="10"/>
  <c r="E11" i="9" s="1"/>
  <c r="G10" i="20"/>
  <c r="J35" i="10"/>
  <c r="J39" s="1"/>
  <c r="N35"/>
  <c r="N39" s="1"/>
  <c r="L35" l="1"/>
  <c r="L28"/>
  <c r="O35"/>
  <c r="L39" l="1"/>
  <c r="O39" s="1"/>
  <c r="H11" i="9" s="1"/>
  <c r="O28" i="10"/>
  <c r="G9" i="42" l="1"/>
  <c r="G10"/>
  <c r="G11"/>
  <c r="G12"/>
  <c r="G13"/>
  <c r="G15"/>
  <c r="G16"/>
  <c r="G17"/>
  <c r="G18"/>
  <c r="G19"/>
  <c r="G21"/>
  <c r="G22"/>
  <c r="G23"/>
  <c r="G24"/>
  <c r="G25"/>
  <c r="G26"/>
  <c r="G27"/>
  <c r="G28"/>
  <c r="G29"/>
  <c r="G30"/>
  <c r="G31"/>
  <c r="G32"/>
  <c r="G33"/>
  <c r="G34"/>
  <c r="G35"/>
  <c r="G36"/>
  <c r="G37"/>
  <c r="G38"/>
  <c r="G39"/>
  <c r="G40"/>
  <c r="G41"/>
  <c r="G42"/>
  <c r="G43"/>
  <c r="G44"/>
  <c r="G45"/>
  <c r="G46"/>
  <c r="G47"/>
  <c r="G48"/>
  <c r="G49"/>
  <c r="G50"/>
  <c r="G51"/>
  <c r="G52"/>
  <c r="G53"/>
  <c r="G54"/>
  <c r="G55"/>
  <c r="G56"/>
  <c r="G57"/>
  <c r="G58"/>
  <c r="G59"/>
  <c r="G60"/>
  <c r="G61"/>
  <c r="G62"/>
  <c r="G63"/>
  <c r="G64"/>
  <c r="G69"/>
  <c r="G72"/>
  <c r="G79"/>
  <c r="G77"/>
  <c r="G80"/>
  <c r="G78"/>
  <c r="G73"/>
  <c r="G74"/>
  <c r="J80" l="1"/>
  <c r="M80" s="1"/>
  <c r="J79"/>
  <c r="M79" s="1"/>
  <c r="J64"/>
  <c r="M64" s="1"/>
  <c r="J58"/>
  <c r="M58" s="1"/>
  <c r="J55"/>
  <c r="M55" s="1"/>
  <c r="J52"/>
  <c r="M52" s="1"/>
  <c r="J50"/>
  <c r="M50" s="1"/>
  <c r="J46"/>
  <c r="M46" s="1"/>
  <c r="J42"/>
  <c r="M42" s="1"/>
  <c r="J38"/>
  <c r="M38" s="1"/>
  <c r="J74"/>
  <c r="M74" s="1"/>
  <c r="J78"/>
  <c r="M78" s="1"/>
  <c r="J77"/>
  <c r="M77" s="1"/>
  <c r="J72"/>
  <c r="M72" s="1"/>
  <c r="J63"/>
  <c r="M63" s="1"/>
  <c r="J61"/>
  <c r="M61" s="1"/>
  <c r="J60"/>
  <c r="M60" s="1"/>
  <c r="J57"/>
  <c r="M57" s="1"/>
  <c r="J56"/>
  <c r="M56" s="1"/>
  <c r="J53"/>
  <c r="M53" s="1"/>
  <c r="J51"/>
  <c r="M51" s="1"/>
  <c r="J49"/>
  <c r="M49" s="1"/>
  <c r="J47"/>
  <c r="M47" s="1"/>
  <c r="J45"/>
  <c r="M45" s="1"/>
  <c r="J43"/>
  <c r="M43" s="1"/>
  <c r="J41"/>
  <c r="M41" s="1"/>
  <c r="J39"/>
  <c r="M39" s="1"/>
  <c r="J37"/>
  <c r="M37" s="1"/>
  <c r="J35"/>
  <c r="M35" s="1"/>
  <c r="J33"/>
  <c r="M33" s="1"/>
  <c r="J31"/>
  <c r="M31" s="1"/>
  <c r="J29"/>
  <c r="M29" s="1"/>
  <c r="J27"/>
  <c r="M27" s="1"/>
  <c r="J25"/>
  <c r="M25" s="1"/>
  <c r="J22"/>
  <c r="M22" s="1"/>
  <c r="J19"/>
  <c r="M19" s="1"/>
  <c r="J17"/>
  <c r="M17" s="1"/>
  <c r="J15"/>
  <c r="M15" s="1"/>
  <c r="J12"/>
  <c r="M12" s="1"/>
  <c r="J11"/>
  <c r="M11" s="1"/>
  <c r="J10"/>
  <c r="M10" s="1"/>
  <c r="J9"/>
  <c r="M9" s="1"/>
  <c r="J73"/>
  <c r="M73" s="1"/>
  <c r="J69"/>
  <c r="M69" s="1"/>
  <c r="J62"/>
  <c r="M62" s="1"/>
  <c r="J59"/>
  <c r="M59" s="1"/>
  <c r="J54"/>
  <c r="M54" s="1"/>
  <c r="J48"/>
  <c r="M48" s="1"/>
  <c r="J44"/>
  <c r="M44" s="1"/>
  <c r="J40"/>
  <c r="M40" s="1"/>
  <c r="J36"/>
  <c r="M36" s="1"/>
  <c r="J34"/>
  <c r="M34" s="1"/>
  <c r="J32"/>
  <c r="M32" s="1"/>
  <c r="J30"/>
  <c r="M30" s="1"/>
  <c r="J28"/>
  <c r="M28" s="1"/>
  <c r="J26"/>
  <c r="M26" s="1"/>
  <c r="J24"/>
  <c r="M24" s="1"/>
  <c r="J23"/>
  <c r="M23" s="1"/>
  <c r="J21"/>
  <c r="M21" s="1"/>
  <c r="J18"/>
  <c r="M18" s="1"/>
  <c r="J16"/>
  <c r="M16" s="1"/>
  <c r="J13"/>
  <c r="M13" s="1"/>
  <c r="H21"/>
  <c r="K69"/>
  <c r="K47"/>
  <c r="K77"/>
  <c r="K52"/>
  <c r="K50"/>
  <c r="K46"/>
  <c r="K43"/>
  <c r="K35"/>
  <c r="K27"/>
  <c r="K25"/>
  <c r="K22"/>
  <c r="K12"/>
  <c r="K79"/>
  <c r="K34"/>
  <c r="K21"/>
  <c r="H51"/>
  <c r="H47"/>
  <c r="H42"/>
  <c r="H38"/>
  <c r="H34"/>
  <c r="H28"/>
  <c r="H52"/>
  <c r="H50"/>
  <c r="H48"/>
  <c r="H46"/>
  <c r="H45"/>
  <c r="H43"/>
  <c r="H41"/>
  <c r="H39"/>
  <c r="H37"/>
  <c r="H35"/>
  <c r="H33"/>
  <c r="H31"/>
  <c r="H29"/>
  <c r="H27"/>
  <c r="H25"/>
  <c r="H22"/>
  <c r="H19"/>
  <c r="H17"/>
  <c r="H15"/>
  <c r="H12"/>
  <c r="H11"/>
  <c r="H10"/>
  <c r="H9"/>
  <c r="H49"/>
  <c r="H44"/>
  <c r="H40"/>
  <c r="H36"/>
  <c r="H32"/>
  <c r="H30"/>
  <c r="H26"/>
  <c r="H24"/>
  <c r="H23"/>
  <c r="H18"/>
  <c r="H16"/>
  <c r="H13"/>
  <c r="K28" l="1"/>
  <c r="K42"/>
  <c r="K10"/>
  <c r="K17"/>
  <c r="K31"/>
  <c r="K39"/>
  <c r="K74"/>
  <c r="N16"/>
  <c r="N21"/>
  <c r="O21" s="1"/>
  <c r="N24"/>
  <c r="N28"/>
  <c r="O28" s="1"/>
  <c r="P28" s="1"/>
  <c r="N32"/>
  <c r="N36"/>
  <c r="N44"/>
  <c r="N54"/>
  <c r="N62"/>
  <c r="N73"/>
  <c r="N12"/>
  <c r="O12" s="1"/>
  <c r="P12" s="1"/>
  <c r="N17"/>
  <c r="O17" s="1"/>
  <c r="P17" s="1"/>
  <c r="N22"/>
  <c r="O22" s="1"/>
  <c r="N27"/>
  <c r="O27" s="1"/>
  <c r="P27" s="1"/>
  <c r="N31"/>
  <c r="O31" s="1"/>
  <c r="P31" s="1"/>
  <c r="N35"/>
  <c r="O35" s="1"/>
  <c r="P35" s="1"/>
  <c r="N39"/>
  <c r="O39" s="1"/>
  <c r="N43"/>
  <c r="O43" s="1"/>
  <c r="N47"/>
  <c r="O47" s="1"/>
  <c r="N51"/>
  <c r="N56"/>
  <c r="N61"/>
  <c r="N72"/>
  <c r="N78"/>
  <c r="N38"/>
  <c r="N46"/>
  <c r="O46" s="1"/>
  <c r="P46" s="1"/>
  <c r="N52"/>
  <c r="O52" s="1"/>
  <c r="P52" s="1"/>
  <c r="N64"/>
  <c r="N80"/>
  <c r="N13"/>
  <c r="N18"/>
  <c r="N23"/>
  <c r="N26"/>
  <c r="N30"/>
  <c r="N34"/>
  <c r="O34" s="1"/>
  <c r="P34" s="1"/>
  <c r="N40"/>
  <c r="N48"/>
  <c r="N59"/>
  <c r="N69"/>
  <c r="K9"/>
  <c r="K11"/>
  <c r="N15"/>
  <c r="N19"/>
  <c r="N25"/>
  <c r="O25" s="1"/>
  <c r="P25" s="1"/>
  <c r="N29"/>
  <c r="N33"/>
  <c r="N37"/>
  <c r="N41"/>
  <c r="N45"/>
  <c r="N49"/>
  <c r="N53"/>
  <c r="N60"/>
  <c r="N63"/>
  <c r="N77"/>
  <c r="N74"/>
  <c r="N42"/>
  <c r="O42" s="1"/>
  <c r="P42" s="1"/>
  <c r="N50"/>
  <c r="O50" s="1"/>
  <c r="P50" s="1"/>
  <c r="N55"/>
  <c r="N79"/>
  <c r="K16"/>
  <c r="K24"/>
  <c r="K33"/>
  <c r="K37"/>
  <c r="K41"/>
  <c r="K45"/>
  <c r="K72"/>
  <c r="K78"/>
  <c r="K32"/>
  <c r="K49"/>
  <c r="K80"/>
  <c r="T41"/>
  <c r="U41" s="1"/>
  <c r="T50"/>
  <c r="U50" s="1"/>
  <c r="K26"/>
  <c r="K73"/>
  <c r="T22"/>
  <c r="U22" s="1"/>
  <c r="T25"/>
  <c r="U25" s="1"/>
  <c r="T33"/>
  <c r="U33" s="1"/>
  <c r="D40" i="14"/>
  <c r="T43" i="42"/>
  <c r="U43" s="1"/>
  <c r="T45"/>
  <c r="U45" s="1"/>
  <c r="T53"/>
  <c r="U53" s="1"/>
  <c r="D49" i="14"/>
  <c r="T52" i="42"/>
  <c r="U52" s="1"/>
  <c r="D73" i="14"/>
  <c r="T80" i="42"/>
  <c r="U80" s="1"/>
  <c r="K13"/>
  <c r="K38"/>
  <c r="K51"/>
  <c r="K15"/>
  <c r="K19"/>
  <c r="K29"/>
  <c r="K48"/>
  <c r="T26"/>
  <c r="U26" s="1"/>
  <c r="T48"/>
  <c r="U48" s="1"/>
  <c r="T29"/>
  <c r="U29" s="1"/>
  <c r="D47" i="14"/>
  <c r="T62" i="42"/>
  <c r="U62" s="1"/>
  <c r="K18"/>
  <c r="T18"/>
  <c r="U18" s="1"/>
  <c r="T34"/>
  <c r="U34" s="1"/>
  <c r="D61" i="14"/>
  <c r="D68"/>
  <c r="T69" i="42"/>
  <c r="U69" s="1"/>
  <c r="T12"/>
  <c r="U12" s="1"/>
  <c r="D28" i="14"/>
  <c r="D32"/>
  <c r="T37" i="42"/>
  <c r="U37" s="1"/>
  <c r="T42"/>
  <c r="U42" s="1"/>
  <c r="T64"/>
  <c r="U64" s="1"/>
  <c r="K23"/>
  <c r="K30"/>
  <c r="K40"/>
  <c r="T13"/>
  <c r="U13" s="1"/>
  <c r="T23"/>
  <c r="U23" s="1"/>
  <c r="T30"/>
  <c r="U30" s="1"/>
  <c r="T40"/>
  <c r="U40" s="1"/>
  <c r="T59"/>
  <c r="U59" s="1"/>
  <c r="D77" i="14"/>
  <c r="T73" i="42"/>
  <c r="U73" s="1"/>
  <c r="D9" i="14"/>
  <c r="T17" i="42"/>
  <c r="U17" s="1"/>
  <c r="T27"/>
  <c r="U27" s="1"/>
  <c r="T39"/>
  <c r="U39" s="1"/>
  <c r="D44" i="14"/>
  <c r="T49" i="42"/>
  <c r="U49" s="1"/>
  <c r="T56"/>
  <c r="U56" s="1"/>
  <c r="T61"/>
  <c r="U61" s="1"/>
  <c r="D71" i="14"/>
  <c r="T72" i="42"/>
  <c r="U72" s="1"/>
  <c r="T74"/>
  <c r="U74" s="1"/>
  <c r="T46"/>
  <c r="U46" s="1"/>
  <c r="T55"/>
  <c r="U55" s="1"/>
  <c r="T79"/>
  <c r="U79" s="1"/>
  <c r="N9"/>
  <c r="O9" s="1"/>
  <c r="N11"/>
  <c r="O11" s="1"/>
  <c r="P11" s="1"/>
  <c r="K36"/>
  <c r="K44"/>
  <c r="D12" i="14"/>
  <c r="T16" i="42"/>
  <c r="U16" s="1"/>
  <c r="D17" i="14"/>
  <c r="T21" i="42"/>
  <c r="U21" s="1"/>
  <c r="D22" i="14"/>
  <c r="T24" i="42"/>
  <c r="U24" s="1"/>
  <c r="D25" i="14"/>
  <c r="T28" i="42"/>
  <c r="U28" s="1"/>
  <c r="D29" i="14"/>
  <c r="T32" i="42"/>
  <c r="U32" s="1"/>
  <c r="D33" i="14"/>
  <c r="T36" i="42"/>
  <c r="U36" s="1"/>
  <c r="D39" i="14"/>
  <c r="T44" i="42"/>
  <c r="U44" s="1"/>
  <c r="T54"/>
  <c r="U54" s="1"/>
  <c r="D58" i="14"/>
  <c r="D11"/>
  <c r="T15" i="42"/>
  <c r="U15" s="1"/>
  <c r="D16" i="14"/>
  <c r="T19" i="42"/>
  <c r="U19" s="1"/>
  <c r="D21" i="14"/>
  <c r="D24"/>
  <c r="D26"/>
  <c r="T31" i="42"/>
  <c r="U31" s="1"/>
  <c r="T35"/>
  <c r="U35" s="1"/>
  <c r="D36" i="14"/>
  <c r="D38"/>
  <c r="D42"/>
  <c r="T47" i="42"/>
  <c r="U47" s="1"/>
  <c r="D48" i="14"/>
  <c r="T51" i="42"/>
  <c r="U51" s="1"/>
  <c r="D52" i="14"/>
  <c r="D55"/>
  <c r="T57" i="42"/>
  <c r="U57" s="1"/>
  <c r="T60"/>
  <c r="U60" s="1"/>
  <c r="D60" i="14"/>
  <c r="T63" i="42"/>
  <c r="U63" s="1"/>
  <c r="D75" i="14"/>
  <c r="T77" i="42"/>
  <c r="U77" s="1"/>
  <c r="T78"/>
  <c r="U78" s="1"/>
  <c r="D78" i="14"/>
  <c r="T38" i="42"/>
  <c r="U38" s="1"/>
  <c r="D41" i="14"/>
  <c r="D45"/>
  <c r="D51"/>
  <c r="D54"/>
  <c r="T58" i="42"/>
  <c r="U58" s="1"/>
  <c r="D63" i="14"/>
  <c r="D72"/>
  <c r="D15"/>
  <c r="D20"/>
  <c r="D23"/>
  <c r="D27"/>
  <c r="D31"/>
  <c r="D35"/>
  <c r="D43"/>
  <c r="D53"/>
  <c r="D14"/>
  <c r="D18"/>
  <c r="D30"/>
  <c r="D34"/>
  <c r="D46"/>
  <c r="D50"/>
  <c r="D56"/>
  <c r="D59"/>
  <c r="D62"/>
  <c r="D76"/>
  <c r="D37"/>
  <c r="D57"/>
  <c r="H69" i="42"/>
  <c r="H62"/>
  <c r="Q58"/>
  <c r="H74"/>
  <c r="H73"/>
  <c r="H78"/>
  <c r="H61"/>
  <c r="H80"/>
  <c r="H77"/>
  <c r="H79"/>
  <c r="H72"/>
  <c r="H64"/>
  <c r="H63"/>
  <c r="H60"/>
  <c r="H59"/>
  <c r="G52" i="14"/>
  <c r="H53" i="42"/>
  <c r="O49" l="1"/>
  <c r="F48" i="14" s="1"/>
  <c r="O33" i="42"/>
  <c r="P33" s="1"/>
  <c r="O40"/>
  <c r="P40" s="1"/>
  <c r="O30"/>
  <c r="P30" s="1"/>
  <c r="O13"/>
  <c r="P13" s="1"/>
  <c r="O32"/>
  <c r="P32" s="1"/>
  <c r="O24"/>
  <c r="P24" s="1"/>
  <c r="O16"/>
  <c r="P16" s="1"/>
  <c r="O37"/>
  <c r="P37" s="1"/>
  <c r="O29"/>
  <c r="P29" s="1"/>
  <c r="O19"/>
  <c r="P19" s="1"/>
  <c r="O26"/>
  <c r="P26" s="1"/>
  <c r="O18"/>
  <c r="F17" i="14" s="1"/>
  <c r="O51" i="42"/>
  <c r="P51" s="1"/>
  <c r="P49"/>
  <c r="P47"/>
  <c r="F46" i="14"/>
  <c r="P39" i="42"/>
  <c r="F38" i="14"/>
  <c r="P22" i="42"/>
  <c r="F21" i="14"/>
  <c r="P43" i="42"/>
  <c r="F42" i="14"/>
  <c r="P21" i="42"/>
  <c r="F20" i="14"/>
  <c r="O78" i="42"/>
  <c r="P78" s="1"/>
  <c r="O69"/>
  <c r="O36"/>
  <c r="P36" s="1"/>
  <c r="O48"/>
  <c r="P48" s="1"/>
  <c r="O45"/>
  <c r="P45" s="1"/>
  <c r="O44"/>
  <c r="P44" s="1"/>
  <c r="O23"/>
  <c r="P23" s="1"/>
  <c r="O15"/>
  <c r="P15" s="1"/>
  <c r="O38"/>
  <c r="P38" s="1"/>
  <c r="O41"/>
  <c r="P41" s="1"/>
  <c r="D10" i="14"/>
  <c r="T9" i="42"/>
  <c r="U9" s="1"/>
  <c r="F31" i="14"/>
  <c r="N10" i="42"/>
  <c r="O10" s="1"/>
  <c r="P10" s="1"/>
  <c r="T10"/>
  <c r="U10" s="1"/>
  <c r="D8" i="14"/>
  <c r="N58" i="42"/>
  <c r="T11"/>
  <c r="U11" s="1"/>
  <c r="Q57"/>
  <c r="N57"/>
  <c r="O77"/>
  <c r="P77" s="1"/>
  <c r="O80"/>
  <c r="P80" s="1"/>
  <c r="O79"/>
  <c r="P79" s="1"/>
  <c r="O72"/>
  <c r="P72" s="1"/>
  <c r="O74"/>
  <c r="P74" s="1"/>
  <c r="O73"/>
  <c r="P73" s="1"/>
  <c r="E56" i="14"/>
  <c r="P69" i="42"/>
  <c r="E57" i="14"/>
  <c r="K53" i="42"/>
  <c r="O53" s="1"/>
  <c r="E83"/>
  <c r="E84" i="14" s="1"/>
  <c r="B58"/>
  <c r="F28"/>
  <c r="F39"/>
  <c r="F41"/>
  <c r="F22"/>
  <c r="F47"/>
  <c r="F49"/>
  <c r="F51"/>
  <c r="F32"/>
  <c r="F11"/>
  <c r="F24"/>
  <c r="F15"/>
  <c r="F16"/>
  <c r="F36"/>
  <c r="F44"/>
  <c r="F35"/>
  <c r="F26"/>
  <c r="F45"/>
  <c r="F33"/>
  <c r="F34"/>
  <c r="F25"/>
  <c r="F14"/>
  <c r="F73"/>
  <c r="F12"/>
  <c r="F43"/>
  <c r="F30"/>
  <c r="F10"/>
  <c r="F27"/>
  <c r="F29"/>
  <c r="P18" i="42" l="1"/>
  <c r="F50" i="14"/>
  <c r="F40"/>
  <c r="F23"/>
  <c r="F76"/>
  <c r="F18"/>
  <c r="F37"/>
  <c r="F71"/>
  <c r="F72"/>
  <c r="F77"/>
  <c r="F9"/>
  <c r="F75"/>
  <c r="N83" i="42"/>
  <c r="F78" i="14"/>
  <c r="P53" i="42"/>
  <c r="F52" i="14"/>
  <c r="G53"/>
  <c r="K54" i="42"/>
  <c r="F68" i="14"/>
  <c r="B59"/>
  <c r="H54" i="42"/>
  <c r="P9"/>
  <c r="J41" i="6"/>
  <c r="O54" i="42" l="1"/>
  <c r="P54" s="1"/>
  <c r="G54" i="14" l="1"/>
  <c r="K55" i="42"/>
  <c r="F53" i="14"/>
  <c r="B60"/>
  <c r="H55" i="42"/>
  <c r="O55" l="1"/>
  <c r="P55" s="1"/>
  <c r="G55" i="14"/>
  <c r="K56" i="42"/>
  <c r="B61" i="14"/>
  <c r="H56" i="42"/>
  <c r="E11" i="20"/>
  <c r="G11" s="1"/>
  <c r="F54" i="14" l="1"/>
  <c r="O56" i="42"/>
  <c r="P56" s="1"/>
  <c r="C63"/>
  <c r="B62" i="14" s="1"/>
  <c r="F55" l="1"/>
  <c r="G56"/>
  <c r="K57" i="42"/>
  <c r="H58"/>
  <c r="H57"/>
  <c r="C12" i="7"/>
  <c r="C13"/>
  <c r="C14"/>
  <c r="C15"/>
  <c r="C16"/>
  <c r="C17"/>
  <c r="C18"/>
  <c r="C19"/>
  <c r="C20"/>
  <c r="C21"/>
  <c r="C22"/>
  <c r="C11"/>
  <c r="O57" i="42" l="1"/>
  <c r="P57" s="1"/>
  <c r="G57" i="14"/>
  <c r="K58" i="42"/>
  <c r="O58" s="1"/>
  <c r="H83"/>
  <c r="E67" i="7"/>
  <c r="F67"/>
  <c r="B67"/>
  <c r="C67"/>
  <c r="D67"/>
  <c r="P58" i="42" l="1"/>
  <c r="F57" i="14"/>
  <c r="G58"/>
  <c r="K59" i="42"/>
  <c r="F56" i="14"/>
  <c r="D11" i="7"/>
  <c r="J67"/>
  <c r="O59" i="42" l="1"/>
  <c r="P59" s="1"/>
  <c r="G59" i="14"/>
  <c r="K60" i="42"/>
  <c r="D24" i="7"/>
  <c r="E35" i="32"/>
  <c r="O60" i="42" l="1"/>
  <c r="P60" s="1"/>
  <c r="F58" i="14"/>
  <c r="F59" l="1"/>
  <c r="G60"/>
  <c r="K61" i="42"/>
  <c r="O61" l="1"/>
  <c r="P61" s="1"/>
  <c r="G61" i="14"/>
  <c r="K62" i="42"/>
  <c r="F60" i="14"/>
  <c r="O62" i="42" l="1"/>
  <c r="P62" s="1"/>
  <c r="G62" i="14"/>
  <c r="K63" i="42"/>
  <c r="O63" l="1"/>
  <c r="F62" i="14" s="1"/>
  <c r="F61"/>
  <c r="G63"/>
  <c r="K64" i="42"/>
  <c r="K83" s="1"/>
  <c r="Q83"/>
  <c r="G84" i="14" s="1"/>
  <c r="O64" i="42" l="1"/>
  <c r="P64" s="1"/>
  <c r="P63"/>
  <c r="F63" i="14"/>
  <c r="D11" i="19"/>
  <c r="O83" i="42"/>
  <c r="F84" i="14" s="1"/>
  <c r="J10" i="45"/>
  <c r="N10" s="1"/>
  <c r="G9" i="16"/>
  <c r="G10"/>
  <c r="G11"/>
  <c r="G12"/>
  <c r="G13"/>
  <c r="G8"/>
  <c r="D19" i="45"/>
  <c r="F15"/>
  <c r="G15" s="1"/>
  <c r="F14"/>
  <c r="G14" s="1"/>
  <c r="F13"/>
  <c r="G13" s="1"/>
  <c r="F12"/>
  <c r="G12" s="1"/>
  <c r="J11"/>
  <c r="N11" s="1"/>
  <c r="F11"/>
  <c r="G11" s="1"/>
  <c r="F10"/>
  <c r="G10" s="1"/>
  <c r="E12" i="20"/>
  <c r="E17" i="16"/>
  <c r="A8" i="43"/>
  <c r="A9" s="1"/>
  <c r="A10" s="1"/>
  <c r="D12" i="7"/>
  <c r="D13"/>
  <c r="D14"/>
  <c r="D15"/>
  <c r="D40" i="8" s="1"/>
  <c r="D16" i="7"/>
  <c r="D17"/>
  <c r="D18"/>
  <c r="D43" i="8" s="1"/>
  <c r="D19" i="7"/>
  <c r="D44" i="8" s="1"/>
  <c r="D20" i="7"/>
  <c r="D21"/>
  <c r="D22"/>
  <c r="D47" i="8" s="1"/>
  <c r="E17" i="9"/>
  <c r="E8" i="14"/>
  <c r="C8"/>
  <c r="B8"/>
  <c r="A8"/>
  <c r="G8"/>
  <c r="G82" s="1"/>
  <c r="F11" i="8"/>
  <c r="F12"/>
  <c r="P19" i="45"/>
  <c r="F54" i="3"/>
  <c r="A7" i="5"/>
  <c r="A8" s="1"/>
  <c r="A9" s="1"/>
  <c r="A10" s="1"/>
  <c r="A11" s="1"/>
  <c r="F37" i="8"/>
  <c r="F38"/>
  <c r="F39"/>
  <c r="F40"/>
  <c r="F41"/>
  <c r="F42"/>
  <c r="F43"/>
  <c r="F44"/>
  <c r="F45"/>
  <c r="F46"/>
  <c r="F47"/>
  <c r="C37"/>
  <c r="C42"/>
  <c r="C45"/>
  <c r="C46"/>
  <c r="G36"/>
  <c r="G37"/>
  <c r="G38"/>
  <c r="G39"/>
  <c r="G40"/>
  <c r="G41"/>
  <c r="G42"/>
  <c r="G43"/>
  <c r="G44"/>
  <c r="G45"/>
  <c r="G46"/>
  <c r="G47"/>
  <c r="F36"/>
  <c r="E18" i="12"/>
  <c r="E6" i="23"/>
  <c r="E7"/>
  <c r="E8"/>
  <c r="E9"/>
  <c r="E10"/>
  <c r="E11"/>
  <c r="E12"/>
  <c r="E13"/>
  <c r="E14"/>
  <c r="E15"/>
  <c r="E16"/>
  <c r="E17"/>
  <c r="A6" i="17"/>
  <c r="A7" s="1"/>
  <c r="A8" s="1"/>
  <c r="A9" s="1"/>
  <c r="A10" s="1"/>
  <c r="A11" s="1"/>
  <c r="A12" s="1"/>
  <c r="A13" s="1"/>
  <c r="A14" s="1"/>
  <c r="A15" s="1"/>
  <c r="A16" s="1"/>
  <c r="A17" s="1"/>
  <c r="F8" i="4"/>
  <c r="A8" i="1"/>
  <c r="A9" s="1"/>
  <c r="A10" s="1"/>
  <c r="A11" s="1"/>
  <c r="A12" s="1"/>
  <c r="A13" s="1"/>
  <c r="A14" s="1"/>
  <c r="A15" s="1"/>
  <c r="A16" s="1"/>
  <c r="A17"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F11" i="15"/>
  <c r="F12" i="2" s="1"/>
  <c r="F33" i="4"/>
  <c r="F45"/>
  <c r="F54"/>
  <c r="E59" i="17"/>
  <c r="F8" i="18"/>
  <c r="F16" i="3"/>
  <c r="C18" i="12"/>
  <c r="G18" s="1"/>
  <c r="E38" i="9" s="1"/>
  <c r="F10" i="11"/>
  <c r="E25" i="9" s="1"/>
  <c r="C18" i="23"/>
  <c r="G12" i="20"/>
  <c r="E16" i="5" s="1"/>
  <c r="G24" i="7"/>
  <c r="E45"/>
  <c r="D45"/>
  <c r="C45"/>
  <c r="B45"/>
  <c r="A10" i="40"/>
  <c r="A11" s="1"/>
  <c r="A12" s="1"/>
  <c r="A13" s="1"/>
  <c r="A14" s="1"/>
  <c r="A15" s="1"/>
  <c r="A16" s="1"/>
  <c r="A17"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F13"/>
  <c r="F41" i="32"/>
  <c r="A9" i="16"/>
  <c r="A10" s="1"/>
  <c r="A11" s="1"/>
  <c r="A12" s="1"/>
  <c r="A13" s="1"/>
  <c r="A14" s="1"/>
  <c r="A15" s="1"/>
  <c r="A7" i="15"/>
  <c r="A8" s="1"/>
  <c r="A9" s="1"/>
  <c r="A10" s="1"/>
  <c r="A11" s="1"/>
  <c r="A10" i="20"/>
  <c r="A11" s="1"/>
  <c r="A12" s="1"/>
  <c r="D15" i="30"/>
  <c r="D18" i="23"/>
  <c r="D19" i="19"/>
  <c r="D23"/>
  <c r="F146" i="35"/>
  <c r="F157"/>
  <c r="A139"/>
  <c r="F118"/>
  <c r="A111"/>
  <c r="F93"/>
  <c r="F104"/>
  <c r="A86"/>
  <c r="F67"/>
  <c r="F79"/>
  <c r="A61"/>
  <c r="F53"/>
  <c r="A34"/>
  <c r="F16"/>
  <c r="A8" i="3"/>
  <c r="A9" s="1"/>
  <c r="A10" s="1"/>
  <c r="A11" s="1"/>
  <c r="A12" s="1"/>
  <c r="A13" s="1"/>
  <c r="A14" s="1"/>
  <c r="A15" s="1"/>
  <c r="A16" s="1"/>
  <c r="A17"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F23" i="19"/>
  <c r="F19"/>
  <c r="B9" i="18"/>
  <c r="B10" s="1"/>
  <c r="A6" i="4"/>
  <c r="A7" s="1"/>
  <c r="A8" s="1"/>
  <c r="A9" s="1"/>
  <c r="A10" s="1"/>
  <c r="A11" s="1"/>
  <c r="A12" s="1"/>
  <c r="A13" s="1"/>
  <c r="A14" s="1"/>
  <c r="A15" s="1"/>
  <c r="A16" s="1"/>
  <c r="A17"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8" i="2"/>
  <c r="A9" s="1"/>
  <c r="A10" s="1"/>
  <c r="A11" s="1"/>
  <c r="A12" s="1"/>
  <c r="A13" s="1"/>
  <c r="A14" s="1"/>
  <c r="A15" s="1"/>
  <c r="A16" s="1"/>
  <c r="A17"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7" i="9"/>
  <c r="A8" s="1"/>
  <c r="A9" s="1"/>
  <c r="A10" s="1"/>
  <c r="A11" s="1"/>
  <c r="A12" s="1"/>
  <c r="A13" s="1"/>
  <c r="A14" s="1"/>
  <c r="A15" s="1"/>
  <c r="A16" s="1"/>
  <c r="A17" s="1"/>
  <c r="A19" s="1"/>
  <c r="A20" s="1"/>
  <c r="A21" s="1"/>
  <c r="A22" s="1"/>
  <c r="A23" s="1"/>
  <c r="A24" s="1"/>
  <c r="A25" s="1"/>
  <c r="A26" s="1"/>
  <c r="A27" s="1"/>
  <c r="A28" s="1"/>
  <c r="A29" s="1"/>
  <c r="A30" s="1"/>
  <c r="A31" s="1"/>
  <c r="A32" s="1"/>
  <c r="A33" s="1"/>
  <c r="A34" s="1"/>
  <c r="A35" s="1"/>
  <c r="A36" s="1"/>
  <c r="A37" s="1"/>
  <c r="A38" s="1"/>
  <c r="A39" s="1"/>
  <c r="F13" i="8"/>
  <c r="F14"/>
  <c r="F15"/>
  <c r="F16"/>
  <c r="F17"/>
  <c r="F18"/>
  <c r="F19"/>
  <c r="F20"/>
  <c r="F21"/>
  <c r="F22"/>
  <c r="B24"/>
  <c r="C24"/>
  <c r="D24"/>
  <c r="E24"/>
  <c r="C36"/>
  <c r="C44"/>
  <c r="F15" i="4"/>
  <c r="E18" i="5"/>
  <c r="C41" i="8"/>
  <c r="C38"/>
  <c r="C39"/>
  <c r="C14" i="29"/>
  <c r="F50" i="3" s="1"/>
  <c r="F130" i="35"/>
  <c r="C12" i="29"/>
  <c r="F47" i="3" s="1"/>
  <c r="F27" i="35"/>
  <c r="E9" i="1" l="1"/>
  <c r="A18" i="17"/>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9" s="1"/>
  <c r="A50" s="1"/>
  <c r="A51" s="1"/>
  <c r="A52" s="1"/>
  <c r="A53" s="1"/>
  <c r="A54" s="1"/>
  <c r="A55" s="1"/>
  <c r="A56" s="1"/>
  <c r="A57" s="1"/>
  <c r="A58" s="1"/>
  <c r="A59" s="1"/>
  <c r="A60" s="1"/>
  <c r="A61" s="1"/>
  <c r="A62" s="1"/>
  <c r="A63" s="1"/>
  <c r="A64" s="1"/>
  <c r="A65" s="1"/>
  <c r="F17" i="35"/>
  <c r="G16" s="1"/>
  <c r="F13" i="2"/>
  <c r="F51"/>
  <c r="F52" s="1"/>
  <c r="F35" i="4"/>
  <c r="P83" i="42"/>
  <c r="E82" i="14"/>
  <c r="G85"/>
  <c r="G86" s="1"/>
  <c r="F14" i="4"/>
  <c r="F16" s="1"/>
  <c r="F23" s="1"/>
  <c r="F45" i="7"/>
  <c r="C24" s="1"/>
  <c r="E18" i="23"/>
  <c r="D13" i="19" s="1"/>
  <c r="F55" i="35"/>
  <c r="F28"/>
  <c r="G27" s="1"/>
  <c r="F29"/>
  <c r="F49" i="8"/>
  <c r="E68" i="43"/>
  <c r="E45" i="1" s="1"/>
  <c r="O11" i="45"/>
  <c r="F8" i="14"/>
  <c r="F13" i="19"/>
  <c r="E11" i="5" s="1"/>
  <c r="J12" i="45"/>
  <c r="N12" s="1"/>
  <c r="F24" i="8"/>
  <c r="G49"/>
  <c r="D46"/>
  <c r="D42"/>
  <c r="D38"/>
  <c r="D45"/>
  <c r="D41"/>
  <c r="D39"/>
  <c r="D37"/>
  <c r="F11" i="9"/>
  <c r="F15"/>
  <c r="I15" s="1"/>
  <c r="F13"/>
  <c r="I13" s="1"/>
  <c r="F159" i="35"/>
  <c r="F106"/>
  <c r="F132"/>
  <c r="E19" i="5"/>
  <c r="D16" i="31" s="1"/>
  <c r="C43" i="8"/>
  <c r="C47"/>
  <c r="C40"/>
  <c r="F81" i="35"/>
  <c r="E61" i="17"/>
  <c r="F75" i="3" s="1"/>
  <c r="G17" i="16"/>
  <c r="F70" i="3" s="1"/>
  <c r="G19" i="45"/>
  <c r="F9" i="16"/>
  <c r="E85" i="14" l="1"/>
  <c r="E86" s="1"/>
  <c r="C49" i="8"/>
  <c r="A11" i="43"/>
  <c r="A12" s="1"/>
  <c r="A13" s="1"/>
  <c r="A14" s="1"/>
  <c r="A15" s="1"/>
  <c r="E8" i="1"/>
  <c r="F82" i="14"/>
  <c r="F9" i="18"/>
  <c r="F10" s="1"/>
  <c r="F76" i="3" s="1"/>
  <c r="F77" s="1"/>
  <c r="F30" i="35"/>
  <c r="G29" s="1"/>
  <c r="F49" i="3"/>
  <c r="F12" i="19"/>
  <c r="E9" i="5" s="1"/>
  <c r="F34" i="4"/>
  <c r="F36" s="1"/>
  <c r="F44" s="1"/>
  <c r="F46" s="1"/>
  <c r="F17" i="9"/>
  <c r="D36" i="8"/>
  <c r="D49" s="1"/>
  <c r="C41" i="32"/>
  <c r="E42"/>
  <c r="F8" i="16"/>
  <c r="O10" i="45"/>
  <c r="J13"/>
  <c r="N13" s="1"/>
  <c r="I11" i="9"/>
  <c r="I17" s="1"/>
  <c r="I20" s="1"/>
  <c r="O12" i="45"/>
  <c r="F10" i="16"/>
  <c r="A17" i="43" l="1"/>
  <c r="A16" s="1"/>
  <c r="A18" s="1"/>
  <c r="A19" s="1"/>
  <c r="A20" s="1"/>
  <c r="A21" s="1"/>
  <c r="A22" s="1"/>
  <c r="A23" s="1"/>
  <c r="A24" s="1"/>
  <c r="F85" i="14"/>
  <c r="F86" s="1"/>
  <c r="F7" i="4"/>
  <c r="F9" s="1"/>
  <c r="E39" i="1"/>
  <c r="F59" i="2"/>
  <c r="F14"/>
  <c r="F15" s="1"/>
  <c r="J14" i="45"/>
  <c r="N14" s="1"/>
  <c r="J15"/>
  <c r="N15" s="1"/>
  <c r="E29" i="1"/>
  <c r="F24" i="40"/>
  <c r="A25" i="43" l="1"/>
  <c r="A26" s="1"/>
  <c r="A27" s="1"/>
  <c r="E20" i="1"/>
  <c r="F22" i="4"/>
  <c r="F24" s="1"/>
  <c r="F27" s="1"/>
  <c r="F16" i="40" s="1"/>
  <c r="F17" s="1"/>
  <c r="F21" s="1"/>
  <c r="F48" i="3"/>
  <c r="J19" i="45"/>
  <c r="O14"/>
  <c r="F12" i="16"/>
  <c r="O13" i="45"/>
  <c r="F11" i="16"/>
  <c r="N19" i="45"/>
  <c r="F13" i="16"/>
  <c r="O15" i="45"/>
  <c r="A28" i="43" l="1"/>
  <c r="A29" s="1"/>
  <c r="A30" s="1"/>
  <c r="A31" s="1"/>
  <c r="A32" s="1"/>
  <c r="A33" s="1"/>
  <c r="A34" s="1"/>
  <c r="A35" s="1"/>
  <c r="A36" s="1"/>
  <c r="A37" s="1"/>
  <c r="A38" s="1"/>
  <c r="A39" s="1"/>
  <c r="A40" s="1"/>
  <c r="A41" s="1"/>
  <c r="A42" s="1"/>
  <c r="A43" s="1"/>
  <c r="A44" s="1"/>
  <c r="A45" s="1"/>
  <c r="A46" s="1"/>
  <c r="A47" s="1"/>
  <c r="A48" s="1"/>
  <c r="A49" s="1"/>
  <c r="A50" s="1"/>
  <c r="A51" s="1"/>
  <c r="A52" s="1"/>
  <c r="A53" s="1"/>
  <c r="A54" s="1"/>
  <c r="A60" s="1"/>
  <c r="A61" s="1"/>
  <c r="A62" s="1"/>
  <c r="A63" s="1"/>
  <c r="A64" s="1"/>
  <c r="A65" s="1"/>
  <c r="A66" s="1"/>
  <c r="A67" s="1"/>
  <c r="A68" s="1"/>
  <c r="A69" s="1"/>
  <c r="A70" s="1"/>
  <c r="A71" s="1"/>
  <c r="F21" i="2"/>
  <c r="F22" s="1"/>
  <c r="F897" i="47"/>
  <c r="G897" s="1"/>
  <c r="G898" s="1"/>
  <c r="F11" i="19" s="1"/>
  <c r="F15" s="1"/>
  <c r="F36" s="1"/>
  <c r="F69" i="2"/>
  <c r="F70" s="1"/>
  <c r="F64" i="3"/>
  <c r="F65" s="1"/>
  <c r="F51"/>
  <c r="F52" s="1"/>
  <c r="F35" i="2"/>
  <c r="F36" s="1"/>
  <c r="F28"/>
  <c r="F29" s="1"/>
  <c r="E10" i="5"/>
  <c r="E13" s="1"/>
  <c r="E23" s="1"/>
  <c r="F55" i="3"/>
  <c r="F56" s="1"/>
  <c r="F58" s="1"/>
  <c r="F13"/>
  <c r="F14" s="1"/>
  <c r="F33"/>
  <c r="F34" s="1"/>
  <c r="F74" i="2"/>
  <c r="F75" s="1"/>
  <c r="F80"/>
  <c r="F81" s="1"/>
  <c r="F42"/>
  <c r="F43" s="1"/>
  <c r="F51" i="4"/>
  <c r="F17" i="16"/>
  <c r="O19" i="45"/>
  <c r="E17" i="1" l="1"/>
  <c r="E36"/>
  <c r="E18"/>
  <c r="E22"/>
  <c r="E19"/>
  <c r="E14"/>
  <c r="C15" i="33"/>
  <c r="F52" i="4"/>
  <c r="F53" s="1"/>
  <c r="E37" i="1"/>
  <c r="E11"/>
  <c r="E43"/>
  <c r="E12"/>
  <c r="F34" i="19"/>
  <c r="F16" i="31"/>
  <c r="E49" i="1"/>
  <c r="I12" i="32" s="1"/>
  <c r="B16" i="31"/>
  <c r="E24" i="26" l="1"/>
  <c r="E9"/>
  <c r="F55" i="4"/>
  <c r="F37"/>
  <c r="F39" s="1"/>
  <c r="F83" i="2" s="1"/>
  <c r="F84" s="1"/>
  <c r="F85" s="1"/>
  <c r="F53" l="1"/>
  <c r="F54" s="1"/>
  <c r="F17" i="3"/>
  <c r="F18" s="1"/>
  <c r="F39"/>
  <c r="F40" s="1"/>
  <c r="F41" s="1"/>
  <c r="F21"/>
  <c r="F22" s="1"/>
  <c r="E23" i="1"/>
  <c r="E38" l="1"/>
  <c r="E39" i="9" s="1"/>
  <c r="E21" i="1"/>
  <c r="F28" i="3"/>
  <c r="F69"/>
  <c r="F71" s="1"/>
  <c r="E35" i="1" l="1"/>
  <c r="F60" i="2"/>
  <c r="F61" s="1"/>
  <c r="E24" i="1" s="1"/>
  <c r="E42"/>
  <c r="E16"/>
  <c r="E46" l="1"/>
  <c r="L71" i="21" l="1"/>
  <c r="E75" s="1"/>
  <c r="E79" s="1"/>
  <c r="E81" s="1"/>
  <c r="E88" s="1"/>
  <c r="F73" l="1"/>
  <c r="D15" i="19"/>
  <c r="D34" s="1"/>
  <c r="B12" i="7"/>
  <c r="H37" i="8"/>
  <c r="B13" i="7"/>
  <c r="B38" i="8" s="1"/>
  <c r="H38"/>
  <c r="B14" i="7"/>
  <c r="B39" i="8" s="1"/>
  <c r="H39"/>
  <c r="B15" i="7"/>
  <c r="B40" i="8" s="1"/>
  <c r="H40"/>
  <c r="B16" i="7"/>
  <c r="B41" i="8" s="1"/>
  <c r="H41"/>
  <c r="B17" i="7"/>
  <c r="B42" i="8" s="1"/>
  <c r="H42"/>
  <c r="B18" i="7"/>
  <c r="B43" i="8" s="1"/>
  <c r="B19" i="7"/>
  <c r="B44" i="8" s="1"/>
  <c r="B20" i="7"/>
  <c r="B45" i="8" s="1"/>
  <c r="H45"/>
  <c r="B21" i="7"/>
  <c r="B46" i="8" s="1"/>
  <c r="H46"/>
  <c r="B22" i="7"/>
  <c r="B47" i="8" s="1"/>
  <c r="H47"/>
  <c r="B37"/>
  <c r="E37"/>
  <c r="E38"/>
  <c r="E39"/>
  <c r="E40"/>
  <c r="E41"/>
  <c r="E42"/>
  <c r="E43"/>
  <c r="H43"/>
  <c r="E44"/>
  <c r="H44"/>
  <c r="E45"/>
  <c r="E46"/>
  <c r="E47"/>
  <c r="B11" i="7"/>
  <c r="H36" i="8"/>
  <c r="B24" i="7"/>
  <c r="E24"/>
  <c r="B36" i="8"/>
  <c r="E36"/>
  <c r="E36" i="32" l="1"/>
  <c r="D42" s="1"/>
  <c r="H24" i="7"/>
  <c r="E49" i="8"/>
  <c r="B49"/>
  <c r="D41" i="32" l="1"/>
  <c r="F51" i="40"/>
  <c r="E53" i="1"/>
  <c r="F42" i="40"/>
  <c r="H49" i="8"/>
  <c r="G15" i="33" l="1"/>
  <c r="H9" i="26"/>
  <c r="I35" i="43" l="1"/>
  <c r="H41"/>
  <c r="H42" s="1"/>
  <c r="E57" l="1"/>
  <c r="E10" i="1" s="1"/>
  <c r="E26" s="1"/>
  <c r="I28" i="9" s="1"/>
  <c r="G42" i="43"/>
  <c r="I31" i="9" l="1"/>
  <c r="I34" s="1"/>
  <c r="F25" i="40" l="1"/>
  <c r="F26" s="1"/>
  <c r="F28" s="1"/>
  <c r="F30" s="1"/>
  <c r="E30" i="1"/>
  <c r="E31" s="1"/>
  <c r="E47" s="1"/>
  <c r="A15" i="33" l="1"/>
  <c r="E15" s="1"/>
  <c r="H15" s="1"/>
  <c r="E51" i="1"/>
  <c r="I10" i="32"/>
  <c r="C9" i="26"/>
  <c r="C24"/>
  <c r="I14" i="32" l="1"/>
  <c r="F40" i="40"/>
  <c r="E37" i="32"/>
  <c r="E55" i="1"/>
  <c r="H22" i="33"/>
  <c r="H26"/>
  <c r="H21"/>
  <c r="H25"/>
  <c r="E38" i="32" l="1"/>
  <c r="G41" s="1"/>
  <c r="E56" i="1"/>
  <c r="C10" i="26" s="1"/>
  <c r="C16" s="1"/>
  <c r="E60" i="1"/>
  <c r="C20" i="26" s="1"/>
  <c r="J9"/>
  <c r="E57" i="1"/>
  <c r="E61"/>
  <c r="C21" i="26" s="1"/>
  <c r="F44" i="40"/>
  <c r="F45" s="1"/>
  <c r="F49"/>
  <c r="F53" s="1"/>
  <c r="F54" s="1"/>
  <c r="H24" i="33"/>
  <c r="H23"/>
  <c r="E41" i="32"/>
  <c r="C44" l="1"/>
  <c r="I16" s="1"/>
  <c r="H24" i="26" s="1"/>
  <c r="E58" i="1"/>
  <c r="C12" i="26" s="1"/>
  <c r="C18" s="1"/>
  <c r="C11"/>
  <c r="C17" s="1"/>
  <c r="E59" i="1"/>
  <c r="C13" i="26" s="1"/>
  <c r="C19" s="1"/>
  <c r="F57" i="40"/>
  <c r="F58" s="1"/>
  <c r="I18" i="32" l="1"/>
  <c r="J24" i="26" s="1"/>
  <c r="C25" s="1"/>
</calcChain>
</file>

<file path=xl/sharedStrings.xml><?xml version="1.0" encoding="utf-8"?>
<sst xmlns="http://schemas.openxmlformats.org/spreadsheetml/2006/main" count="6369" uniqueCount="1398">
  <si>
    <t>Century Tel-Bruneau,ID</t>
  </si>
  <si>
    <t>Century Tel-Richfield,ID</t>
  </si>
  <si>
    <t>JR. Simplot</t>
  </si>
  <si>
    <t>Schedule 4 Workpaper page 5</t>
  </si>
  <si>
    <t xml:space="preserve"> - FF1 p 323 185 b</t>
  </si>
  <si>
    <t xml:space="preserve"> - FF1 p 323 189 b</t>
  </si>
  <si>
    <t xml:space="preserve"> - FF1 p 323 191 b</t>
  </si>
  <si>
    <t>OASIS</t>
  </si>
  <si>
    <t>SCHEDULE 8 WORKPAPER</t>
  </si>
  <si>
    <t>Investment</t>
  </si>
  <si>
    <t xml:space="preserve">Accumulated Depreciation </t>
  </si>
  <si>
    <t>SCHEDULE 7 WORKPAPER</t>
  </si>
  <si>
    <t>Schedule 8 Workpaper</t>
  </si>
  <si>
    <t>030157</t>
  </si>
  <si>
    <t>070157</t>
  </si>
  <si>
    <t>Schedule 5 (C)</t>
  </si>
  <si>
    <t>(20)*((23)+(24))</t>
  </si>
  <si>
    <t>Sum (29) Thru (39)</t>
  </si>
  <si>
    <t>(45)/((47)*1000)</t>
  </si>
  <si>
    <t>(49) / 12</t>
  </si>
  <si>
    <t>(49) / 52</t>
  </si>
  <si>
    <t>(51) / 6</t>
  </si>
  <si>
    <t>(51) / 7</t>
  </si>
  <si>
    <t>(49)*1000 / 4896</t>
  </si>
  <si>
    <t>(49)*1000 / 8760</t>
  </si>
  <si>
    <t xml:space="preserve">(25) + (40)) </t>
  </si>
  <si>
    <t>Refer to Schedule 8, Workpaper for the calculation of Accumulated Depreciation and Annual Depreciation Accrual.</t>
  </si>
  <si>
    <t>To Rate Calculation</t>
  </si>
  <si>
    <t xml:space="preserve"> To Rate Calculaton</t>
  </si>
  <si>
    <t>Source = the Form 1, page 300</t>
  </si>
  <si>
    <t>SCHEDULE 5 WORKPAPER</t>
  </si>
  <si>
    <t>Service for Self 1/</t>
  </si>
  <si>
    <t>1/ Does not Include Short Term Firm PTP Reservations reported on Column (i), page 400 of the Form 1.</t>
  </si>
  <si>
    <t>To Schedule 4, line 11</t>
  </si>
  <si>
    <t>Interest Expense (Network Upgrade Prepayments)</t>
  </si>
  <si>
    <t>Total Short Term Firm, Non Firm and Out of Period Adjustments:</t>
  </si>
  <si>
    <t xml:space="preserve">General Plant Depreciation </t>
  </si>
  <si>
    <t>Unamortized RTO Development Costs</t>
  </si>
  <si>
    <t>Amortization of RTO Development Costs</t>
  </si>
  <si>
    <t>SCHEDULE 9</t>
  </si>
  <si>
    <t>Location</t>
  </si>
  <si>
    <t>Plant Account</t>
  </si>
  <si>
    <t xml:space="preserve"> Year</t>
  </si>
  <si>
    <t>Year</t>
  </si>
  <si>
    <t>Schedule 9</t>
  </si>
  <si>
    <t>See Schedule 4 Workpaper, page 2</t>
  </si>
  <si>
    <t>Title Page</t>
  </si>
  <si>
    <t>List of Worksheets</t>
  </si>
  <si>
    <t>Tariff Sch 7, 8 and 9 Rates</t>
  </si>
  <si>
    <t>Property Taxes Directly Assigned to Transmission and General Plant</t>
  </si>
  <si>
    <t>Schedule 5 Workpaper</t>
  </si>
  <si>
    <t>Rate of Return and Income Tax Expense</t>
  </si>
  <si>
    <t>Schedule 6 Workpaper, Page 1</t>
  </si>
  <si>
    <t>Effective Embedded Cost of Long Term Debt</t>
  </si>
  <si>
    <t xml:space="preserve">GSU Investment and  Accumulated Depreciation Reserve </t>
  </si>
  <si>
    <t>For Firm Point-To-Point Transmission Service provided under Schedule 7:</t>
  </si>
  <si>
    <t xml:space="preserve">The Formula Rate shall be </t>
  </si>
  <si>
    <t>(</t>
  </si>
  <si>
    <t>-</t>
  </si>
  <si>
    <t>)</t>
  </si>
  <si>
    <t>/</t>
  </si>
  <si>
    <t>per kW-year</t>
  </si>
  <si>
    <t xml:space="preserve">For Monthly Service the rate shall be: </t>
  </si>
  <si>
    <t>per kW-month</t>
  </si>
  <si>
    <t xml:space="preserve">For Weekly Service the rate shall be: </t>
  </si>
  <si>
    <t>per kW-week</t>
  </si>
  <si>
    <t xml:space="preserve">For Daily Service on Monday through Saturday, the rate shall be: </t>
  </si>
  <si>
    <t>per kW-day</t>
  </si>
  <si>
    <t>For Daily Service on Sunday and WECC defined holidays, the rate shall be:</t>
  </si>
  <si>
    <t>For Non-Firm Point-To-Point Transmission Service provided under Schedule 8:</t>
  </si>
  <si>
    <t>For Monthly Service the rate shall be:</t>
  </si>
  <si>
    <t>For Weekly Service the rate shall be:</t>
  </si>
  <si>
    <t>For Daily Service on Monday through Saturday, the rate shall be:</t>
  </si>
  <si>
    <t>For Hourly Service from 0700 to 2300 Prevailing Mountain Time Monday through Saturday (excluding WECC defined holidays) the rate shall be:</t>
  </si>
  <si>
    <t>per MW-hour</t>
  </si>
  <si>
    <t>For Hourly Service provided other hours the rate shall be:</t>
  </si>
  <si>
    <t>For Network Transmission Service provided under Schedule 9:</t>
  </si>
  <si>
    <t>The Annual Formula Revenue Requirements shall be:</t>
  </si>
  <si>
    <t>Schedule 2 Workpaper, page 1</t>
  </si>
  <si>
    <t>Schedule 2 Workpaper, page 2</t>
  </si>
  <si>
    <t>Schedule 2 Workpaper, page 3</t>
  </si>
  <si>
    <t>Schedule 4 Workpaper, page 1</t>
  </si>
  <si>
    <t>Schedule 4 Workpaper, page 2</t>
  </si>
  <si>
    <t>Schedule 4 Workpaper, page 3</t>
  </si>
  <si>
    <t>Schedule 4 Workpaper, page 4</t>
  </si>
  <si>
    <t>Schedule 4 Workpaper, page 5</t>
  </si>
  <si>
    <t>Schedule 4 Workpaper, page 6</t>
  </si>
  <si>
    <t>Account 454 Rents From Electric Property By Category and Subaccount</t>
  </si>
  <si>
    <t>Functionalization of Real Estate Rents Recorded in Account 454</t>
  </si>
  <si>
    <t>Cogeneration O&amp;M Charges Recorded in Account 454</t>
  </si>
  <si>
    <t>Idaho Power Company</t>
  </si>
  <si>
    <t>Ad Valorem Tax Allocation</t>
  </si>
  <si>
    <t>Total System</t>
  </si>
  <si>
    <t>Treatment:</t>
  </si>
  <si>
    <t>Fiber Rents - Non-transmission as per settlement</t>
  </si>
  <si>
    <t>Schedule 4 Workpaper, page 7</t>
  </si>
  <si>
    <t>Transmission Related Revenues Reported in Account 456 For Which Transactions are Included in the Rate Divisor</t>
  </si>
  <si>
    <t>Non-firm and Short-term Firm Transmission Wheeling Revenues Reported in Account 456 Included as Revenue Credits</t>
  </si>
  <si>
    <t>Sched 6 Workpaper, p 1</t>
  </si>
  <si>
    <t>Idaho</t>
  </si>
  <si>
    <t>Oregon</t>
  </si>
  <si>
    <t>Other</t>
  </si>
  <si>
    <t>Composite</t>
  </si>
  <si>
    <t>State Composite Rate (Accrued)</t>
  </si>
  <si>
    <t>Composite State Income Tax Rate</t>
  </si>
  <si>
    <t>Schedule 6 Workpaper, Page 2</t>
  </si>
  <si>
    <t>Schedule 6 Workpaper, page 2</t>
  </si>
  <si>
    <t>Schedule 6 Workpaper, page 3</t>
  </si>
  <si>
    <t>Schedule 6 Workpaper, Page 3</t>
  </si>
  <si>
    <t>Equity Portion of AFUDC in Depreciation Expense</t>
  </si>
  <si>
    <t>Account</t>
  </si>
  <si>
    <t xml:space="preserve"> Amount</t>
  </si>
  <si>
    <t>x</t>
  </si>
  <si>
    <t>=</t>
  </si>
  <si>
    <t>Rate Calculation</t>
  </si>
  <si>
    <t>12 CP</t>
  </si>
  <si>
    <t>TOTAL SYSTEM</t>
  </si>
  <si>
    <t>STEAM ELECTRIC PLANTS:</t>
  </si>
  <si>
    <t xml:space="preserve">     Jim Bridger</t>
  </si>
  <si>
    <t xml:space="preserve">     Valmy</t>
  </si>
  <si>
    <t xml:space="preserve">     Boardman</t>
  </si>
  <si>
    <t>Total Steam</t>
  </si>
  <si>
    <t>OTHER:</t>
  </si>
  <si>
    <t xml:space="preserve">     Production</t>
  </si>
  <si>
    <t xml:space="preserve">     Transmission</t>
  </si>
  <si>
    <t xml:space="preserve">     Distribution</t>
  </si>
  <si>
    <t xml:space="preserve">     General Plant</t>
  </si>
  <si>
    <t>Total Other</t>
  </si>
  <si>
    <t>TOTAL SYSTEM AD VALOREM TAXES</t>
  </si>
  <si>
    <t>Steam Electric Plants In Idaho:</t>
  </si>
  <si>
    <t xml:space="preserve">     None</t>
  </si>
  <si>
    <t xml:space="preserve">Total Steam </t>
  </si>
  <si>
    <t>Other:</t>
  </si>
  <si>
    <t>TOTAL IDAHO AD VALOREM TAXES</t>
  </si>
  <si>
    <t>Montana</t>
  </si>
  <si>
    <t>Steam Electric Plants in Montana:</t>
  </si>
  <si>
    <t>Total Steam Electric Plants</t>
  </si>
  <si>
    <t>Total Montana Ad Valorem Taxes</t>
  </si>
  <si>
    <t>Nevada</t>
  </si>
  <si>
    <t>Steam Electric Plants in Nevada:</t>
  </si>
  <si>
    <t xml:space="preserve">      Production</t>
  </si>
  <si>
    <t>TOTAL NEVADA AD VALOREM TAXES</t>
  </si>
  <si>
    <t>Steam Electric Plants in Oregon:</t>
  </si>
  <si>
    <t>TOTAL OREGON AD VALOREM TAXES</t>
  </si>
  <si>
    <t>Wyoming</t>
  </si>
  <si>
    <t>Steam Electric Plants in Wyoming:</t>
  </si>
  <si>
    <t>TOTAL WYOMING AD VALOREM TAXES</t>
  </si>
  <si>
    <t>OATT Attach H, 3.7</t>
  </si>
  <si>
    <t>120157</t>
  </si>
  <si>
    <t xml:space="preserve">Net PTP Transmission </t>
  </si>
  <si>
    <t xml:space="preserve"> PTP * E * (Formula Rate pre 890 - Formula Rate)</t>
  </si>
  <si>
    <t>Transmission Revenue Requirement:</t>
  </si>
  <si>
    <t>Transmission Revenue Credits:</t>
  </si>
  <si>
    <t>Net PTP Transmission Revenue Requirement:</t>
  </si>
  <si>
    <t>Network Transmission Revenue Requirement:</t>
  </si>
  <si>
    <t>((32) + (33)) / (34)</t>
  </si>
  <si>
    <t>(40) / (41)</t>
  </si>
  <si>
    <t>(49) / (50)</t>
  </si>
  <si>
    <t xml:space="preserve"> TRANSMISSION COST OF SERVICE RATE DEVELOPMENT</t>
  </si>
  <si>
    <t>Reimbursement for losses on grounded shield wire</t>
  </si>
  <si>
    <t>Vintage Year</t>
  </si>
  <si>
    <t>Years in Service</t>
  </si>
  <si>
    <t>Accumulated Depreciation</t>
  </si>
  <si>
    <t>American Falls Power Plant</t>
  </si>
  <si>
    <t>Brownlee Power Plant Adams</t>
  </si>
  <si>
    <t>Bliss Power Plant Gooding</t>
  </si>
  <si>
    <t>Cascade Power Plant</t>
  </si>
  <si>
    <t>Total Transmission O&amp;M less RTO Development Costs Amortized to Account 566</t>
  </si>
  <si>
    <t>Clear Lake Power Plant</t>
  </si>
  <si>
    <t>Danskin Power Plant</t>
  </si>
  <si>
    <t>Hells Canyon Power Plant Wallo</t>
  </si>
  <si>
    <t>Lower Malad Power Plant</t>
  </si>
  <si>
    <t>Lower Salmon Power Plant Goodi</t>
  </si>
  <si>
    <t>Milner Power Plant</t>
  </si>
  <si>
    <t>Oxbow Power Plant Baker</t>
  </si>
  <si>
    <t>Shoshone Falls Power Plant Jer</t>
  </si>
  <si>
    <t>Strike C J Power Plant Owyhee</t>
  </si>
  <si>
    <t>Swan Falls Power Plant Ada</t>
  </si>
  <si>
    <t>Twin Falls Power Plant Twin Fa</t>
  </si>
  <si>
    <t>Twin Falls Power Plant (New)</t>
  </si>
  <si>
    <t>Thousand Springs Power Plant</t>
  </si>
  <si>
    <t>Upper Malad Power Plant</t>
  </si>
  <si>
    <t>Upper Salmon A Power Plant</t>
  </si>
  <si>
    <t>Upper Salmon B Power Plant</t>
  </si>
  <si>
    <t>Schedule 7</t>
  </si>
  <si>
    <t>GSU Allocator</t>
  </si>
  <si>
    <t>Transmission Pole Attachments</t>
  </si>
  <si>
    <t>Non-Firm</t>
  </si>
  <si>
    <t>Short Term Firm</t>
  </si>
  <si>
    <t>SCHEDULE 7</t>
  </si>
  <si>
    <t>LOCATION</t>
  </si>
  <si>
    <t>Boardman</t>
  </si>
  <si>
    <t>Jim Bridger</t>
  </si>
  <si>
    <t>Schedule 1 Workpaper</t>
  </si>
  <si>
    <t>Total ADIT (Account 190)</t>
  </si>
  <si>
    <t xml:space="preserve">   Total</t>
  </si>
  <si>
    <t>SCHEDULE 5</t>
  </si>
  <si>
    <t>Less GSU O&amp;M</t>
  </si>
  <si>
    <t>Less LGI O&amp;M</t>
  </si>
  <si>
    <t xml:space="preserve">   Transmission Plant Less GSU's &amp; LGI's </t>
  </si>
  <si>
    <t xml:space="preserve">Transmission Plant Less GSU's &amp; LGI's </t>
  </si>
  <si>
    <t xml:space="preserve">Transmission Depreciation Reserve Generator Step-Ups </t>
  </si>
  <si>
    <t>Account 252-Transmission (Net)</t>
  </si>
  <si>
    <t xml:space="preserve">   Less pre-paid Pension Expense</t>
  </si>
  <si>
    <t xml:space="preserve">   Net Prepayments</t>
  </si>
  <si>
    <t xml:space="preserve">   GSU Plant</t>
  </si>
  <si>
    <t>GSU Plant</t>
  </si>
  <si>
    <t>(8)+(12)+(16)+(18)+(20)</t>
  </si>
  <si>
    <t>Annual Depreciation Accrual</t>
  </si>
  <si>
    <t>By Plant and By Vintage Year</t>
  </si>
  <si>
    <t>Transmission Depreciation Expense</t>
  </si>
  <si>
    <t xml:space="preserve">FF1 p 336 7f </t>
  </si>
  <si>
    <t>Total Transmission Depreciation Expense</t>
  </si>
  <si>
    <t>Less GSU Depreciation Expense</t>
  </si>
  <si>
    <t>Less LGI Depreciation Expense</t>
  </si>
  <si>
    <t>Transmission Operation and Maintenance Expense</t>
  </si>
  <si>
    <t>Transmission O&amp;M Expense</t>
  </si>
  <si>
    <t>Accumulated Deferred Income Tax Adjustments</t>
  </si>
  <si>
    <t>LGI's</t>
  </si>
  <si>
    <t xml:space="preserve">Transmission Depreciation Reserve LGI's </t>
  </si>
  <si>
    <t>Real Estate Rents</t>
  </si>
  <si>
    <t>Accumulated Deferred Income Tax Allocated to Transmission</t>
  </si>
  <si>
    <t>LGI Allocator</t>
  </si>
  <si>
    <t>LGI Plant</t>
  </si>
  <si>
    <t>Less Wage Expense Allocated to GSU's</t>
  </si>
  <si>
    <t>Less Wage Expense Allocated to LGI's</t>
  </si>
  <si>
    <t xml:space="preserve">  Transmission Wage Expense </t>
  </si>
  <si>
    <t xml:space="preserve">   LGI Plant</t>
  </si>
  <si>
    <t>Line 32</t>
  </si>
  <si>
    <t xml:space="preserve">Amount Direct Assigned to Transmission </t>
  </si>
  <si>
    <t xml:space="preserve">Amount Direct Assigned to General </t>
  </si>
  <si>
    <t>Cogeneration</t>
  </si>
  <si>
    <t>Source</t>
  </si>
  <si>
    <t>Amount</t>
  </si>
  <si>
    <t>TRANSMISSION RATE BASE</t>
  </si>
  <si>
    <t>ADIT Allocated to Trans</t>
  </si>
  <si>
    <t>Schedule 1</t>
  </si>
  <si>
    <t xml:space="preserve">Intangible Plant </t>
  </si>
  <si>
    <t>Transmission Rate Base</t>
  </si>
  <si>
    <t>Overall Return</t>
  </si>
  <si>
    <t>The annual composite depreciation rate for</t>
  </si>
  <si>
    <t>transmission plant accounts (350 - 359) is</t>
  </si>
  <si>
    <t>Schedule 6</t>
  </si>
  <si>
    <t>EXPENSES</t>
  </si>
  <si>
    <t>O&amp;M Expense:  Transmission</t>
  </si>
  <si>
    <t xml:space="preserve">O&amp;M Expense:  A&amp;G </t>
  </si>
  <si>
    <t>Schedule 2</t>
  </si>
  <si>
    <t>Schedule 12</t>
  </si>
  <si>
    <t>Post Retirement Benefits Other than Pensions</t>
  </si>
  <si>
    <t>Methodology:</t>
  </si>
  <si>
    <t>-Compute the rate impact</t>
  </si>
  <si>
    <t>Total Increase (Decrease) of PBOPs</t>
  </si>
  <si>
    <t>Impact on Expenses:</t>
  </si>
  <si>
    <t>Change in O&amp;M Expense: Transmission A&amp;G</t>
  </si>
  <si>
    <t>(5) * (8)</t>
  </si>
  <si>
    <t>Impact on Rate Base:</t>
  </si>
  <si>
    <t>Change in Transmission Rate Base</t>
  </si>
  <si>
    <t>(9) * (12)</t>
  </si>
  <si>
    <t>Impact on Return and Income Taxes:</t>
  </si>
  <si>
    <t>Total Return and Income Tax</t>
  </si>
  <si>
    <t>(16) + (17)</t>
  </si>
  <si>
    <t>Change in Transmission Return and Income Taxes</t>
  </si>
  <si>
    <t>(13) * (18)</t>
  </si>
  <si>
    <t>Total Impact on Transmission Revenue Requirement</t>
  </si>
  <si>
    <t>(9) + (20)</t>
  </si>
  <si>
    <t>Rate Impact</t>
  </si>
  <si>
    <t>(32)/((34)*1000)</t>
  </si>
  <si>
    <t>(36) / 12</t>
  </si>
  <si>
    <t>Rate Calculation - (22)</t>
  </si>
  <si>
    <t>(41)/((43)*1000)</t>
  </si>
  <si>
    <t>(45) / 12</t>
  </si>
  <si>
    <t>Section 205 filing required?</t>
  </si>
  <si>
    <t>2.2.1</t>
  </si>
  <si>
    <t>Transmission Wages and Salaries</t>
  </si>
  <si>
    <t>Net PTP Transmission Revenue Requirement</t>
  </si>
  <si>
    <t>Sum (42) Thru (45)</t>
  </si>
  <si>
    <t>(60) - (61)</t>
  </si>
  <si>
    <t>(72) + (75) + (78)</t>
  </si>
  <si>
    <t>(10) * (11)</t>
  </si>
  <si>
    <t>(7) * (8)</t>
  </si>
  <si>
    <t>(14) * (15)</t>
  </si>
  <si>
    <t>(21) * (22)</t>
  </si>
  <si>
    <t>(28) * (29)</t>
  </si>
  <si>
    <t>(35) * (36)</t>
  </si>
  <si>
    <t>(46) * (47)</t>
  </si>
  <si>
    <t>((53) + (54)) * 0.125</t>
  </si>
  <si>
    <t>(62) * (63)</t>
  </si>
  <si>
    <t>(67) * (68)</t>
  </si>
  <si>
    <t>(73) * (74)</t>
  </si>
  <si>
    <t>(76) * (77)</t>
  </si>
  <si>
    <t>(26) * (27)</t>
  </si>
  <si>
    <t>((47) + (48)) * (49)</t>
  </si>
  <si>
    <t>(41)+(42)+(43)+(46)+(50)</t>
  </si>
  <si>
    <t>(57) * (58)</t>
  </si>
  <si>
    <t>Sum (62) Thru (64)</t>
  </si>
  <si>
    <t>(Sum (3) Thru (6)) * (7)</t>
  </si>
  <si>
    <t>(5) * (17)</t>
  </si>
  <si>
    <t>(12) * (17)</t>
  </si>
  <si>
    <t>Sum (17) Thru (19)</t>
  </si>
  <si>
    <t>Sum (29) Thru (31)</t>
  </si>
  <si>
    <t>(47) + (48)</t>
  </si>
  <si>
    <t>Deprec Expense:  Transmission</t>
  </si>
  <si>
    <t>Deprec Expense:  General Plant</t>
  </si>
  <si>
    <t>Transmission Expense</t>
  </si>
  <si>
    <t>Gross Transmission Revenue Requirement</t>
  </si>
  <si>
    <t>Transmission Revenue Credits</t>
  </si>
  <si>
    <t>Schedule 4</t>
  </si>
  <si>
    <t>Schedule 5</t>
  </si>
  <si>
    <t>Annual Rate $/kW per year</t>
  </si>
  <si>
    <t>Monthly Rate $/kW per month</t>
  </si>
  <si>
    <t>Weekly Rate $/kW per week</t>
  </si>
  <si>
    <t>Daily Rate $/kW per day (Mon-Sat)</t>
  </si>
  <si>
    <t>Daily Rate $/kW per day (Sunday)</t>
  </si>
  <si>
    <t>Hourly Rate $/MW per hour  (Peak)</t>
  </si>
  <si>
    <t>Hourly Rate $/MW per hour  (Off-Peak)</t>
  </si>
  <si>
    <t>Allocated Investment</t>
  </si>
  <si>
    <t>ADIT Allocated to Transmission</t>
  </si>
  <si>
    <t>Transmission Plant Allocator</t>
  </si>
  <si>
    <t>Schedule 3</t>
  </si>
  <si>
    <t>General Plant</t>
  </si>
  <si>
    <t>Trans Related General Plant</t>
  </si>
  <si>
    <t>Intangible Plant</t>
  </si>
  <si>
    <t>Intangible Plant Investment</t>
  </si>
  <si>
    <t>Trans Related Intangible Plant</t>
  </si>
  <si>
    <t>ATTACHMENT H</t>
  </si>
  <si>
    <t xml:space="preserve">Rate Calculation </t>
  </si>
  <si>
    <t>Schedule 2 Workpaper, page 4</t>
  </si>
  <si>
    <t>Ad Valorum Tax Allocation</t>
  </si>
  <si>
    <t>Transmission Plant (excluding Asset Retirement Costs)</t>
  </si>
  <si>
    <t>Notes:</t>
  </si>
  <si>
    <t>The tax rate for Idaho and Oregon is the statutory corporate tax rate for those jurisdictions</t>
  </si>
  <si>
    <t xml:space="preserve">multiplied by Idaho Power's state apportionment factor for each.  Idaho's statutory rate is 7.6% </t>
  </si>
  <si>
    <t>multiplied by Idaho Power's apportionment factor of 78% yields 5.9%.  Oregon is 6.6%</t>
  </si>
  <si>
    <t xml:space="preserve">multiplied by a 5% apportionment factor.  Due to the immaterial amount of tax normally due the </t>
  </si>
  <si>
    <t>other states, the rate is simply an estimate based on history.</t>
  </si>
  <si>
    <t>Other is comprised of Arizona, Montana, California and Utah.</t>
  </si>
  <si>
    <t>POR/POD</t>
  </si>
  <si>
    <t>JEFF/IPCO</t>
  </si>
  <si>
    <t xml:space="preserve">Firm Network Service For Others </t>
  </si>
  <si>
    <t>The Monthly formula revenue requriement shall be:</t>
  </si>
  <si>
    <t>RATE CALCULATION</t>
  </si>
  <si>
    <t>FF1 p 321  96b</t>
  </si>
  <si>
    <t>General Plant Depreciation Reserve (excluding Asset Retirement Costs)</t>
  </si>
  <si>
    <t>CBM</t>
  </si>
  <si>
    <t>CBM Network Rate Adjustment 1/:</t>
  </si>
  <si>
    <t>Source:</t>
  </si>
  <si>
    <t>OATT Schedule 9, Appendix A</t>
  </si>
  <si>
    <t xml:space="preserve">                           (E - PTP)</t>
  </si>
  <si>
    <t>Where:</t>
  </si>
  <si>
    <t xml:space="preserve">PTP = </t>
  </si>
  <si>
    <t>Spreadsheet, Schedule 5</t>
  </si>
  <si>
    <t>E =</t>
  </si>
  <si>
    <t xml:space="preserve">Formula Rate pre 890 = </t>
  </si>
  <si>
    <t xml:space="preserve">Formula Rate = </t>
  </si>
  <si>
    <t>+</t>
  </si>
  <si>
    <t>Cash Working Capital</t>
  </si>
  <si>
    <t>Transmission Depreciation Reserve (Acct 108) (excluding Asset Retirement Costs)</t>
  </si>
  <si>
    <t xml:space="preserve">FF1 p207 99g - 98g </t>
  </si>
  <si>
    <t>Milner Irrigation District</t>
  </si>
  <si>
    <t>Frontier</t>
  </si>
  <si>
    <t>City of Nampa</t>
  </si>
  <si>
    <t>State of Idaho Public TV</t>
  </si>
  <si>
    <t>Elk River</t>
  </si>
  <si>
    <t>Integra</t>
  </si>
  <si>
    <t>Level III</t>
  </si>
  <si>
    <t>T-Mobile</t>
  </si>
  <si>
    <t>Transmission Poles</t>
  </si>
  <si>
    <t>Distribution Poles</t>
  </si>
  <si>
    <t>Conduit</t>
  </si>
  <si>
    <t>SCHEDULE 1 WORKPAPER</t>
  </si>
  <si>
    <t>Account 454 Rents From Electric Property by Category and Subaccount</t>
  </si>
  <si>
    <t>SCHEDULE 6 WORKPAPER, Page 2</t>
  </si>
  <si>
    <t>SCHEDULE 6 WORKPAPER, Page 3</t>
  </si>
  <si>
    <t>SCHEDULE 1</t>
  </si>
  <si>
    <t>SCHEDULE 2</t>
  </si>
  <si>
    <t>SCHEDULE 3</t>
  </si>
  <si>
    <t>SCHEDULE 4</t>
  </si>
  <si>
    <t>Reimbursable Payments For Network Upgrades</t>
  </si>
  <si>
    <t>SCHEDULE 12</t>
  </si>
  <si>
    <t>SCHEDULE 2 WORKPAPER, PAGE 3</t>
  </si>
  <si>
    <t>SCHEDULE 2 WORKPAPER, PAGE 4</t>
  </si>
  <si>
    <t>SCHEDULE 4 WORKPAPER, PAGE 1</t>
  </si>
  <si>
    <t>SCHEDULE 4 WORKPAPER, PAGE 2</t>
  </si>
  <si>
    <t>SCHEDULE 4 WORKPAPER, PAGE 6</t>
  </si>
  <si>
    <t>OATT Non-Firm and Short Term Firm Transmission Wheeling Revenues</t>
  </si>
  <si>
    <t>Transmission-Related Revenues Reported in Account 456 for which</t>
  </si>
  <si>
    <t>Reconciliation of Form 1 with Data Used in the Rate Calculation</t>
  </si>
  <si>
    <t>SCHEDULE 4 WORKPAPER, PAGE 7</t>
  </si>
  <si>
    <t>General Plant (excluding Asset Retirement Costs)</t>
  </si>
  <si>
    <t>FF1 p275 2k</t>
  </si>
  <si>
    <t xml:space="preserve">Sched 1 Workpaper </t>
  </si>
  <si>
    <t>General Plant Investment (excluding Asset Retirement Costs)</t>
  </si>
  <si>
    <t>Prepayments (Account 165)</t>
  </si>
  <si>
    <t>FF1 p 227 11c</t>
  </si>
  <si>
    <t>FF1 p 227 16c</t>
  </si>
  <si>
    <t>Distribution</t>
  </si>
  <si>
    <t>A&amp;G O&amp;M Expense</t>
  </si>
  <si>
    <t>Working Capital Allowance</t>
  </si>
  <si>
    <t>Allocated Expenses</t>
  </si>
  <si>
    <t>A&amp;G Expense</t>
  </si>
  <si>
    <t>Investment Tax Credit</t>
  </si>
  <si>
    <t>Allocated ITC</t>
  </si>
  <si>
    <t>Total ITC Credit</t>
  </si>
  <si>
    <t>Taxes Other Than Income Taxes</t>
  </si>
  <si>
    <t xml:space="preserve">   Allocated Amount</t>
  </si>
  <si>
    <t>Changes to the Draft Informational Filing Based on Customer Comments</t>
  </si>
  <si>
    <t xml:space="preserve">Changes to the Draft Informational Filing Based on Customer Comments </t>
  </si>
  <si>
    <t>Allocators</t>
  </si>
  <si>
    <t>Transmission Wage Expense</t>
  </si>
  <si>
    <t>A&amp;G Wage Expense</t>
  </si>
  <si>
    <t>Total Wage Expense</t>
  </si>
  <si>
    <t>General and Intangible Plant Allocator</t>
  </si>
  <si>
    <t xml:space="preserve"> </t>
  </si>
  <si>
    <t xml:space="preserve">The transmission related amount of Rent From Electric Property included in Account 454 </t>
  </si>
  <si>
    <t>is :</t>
  </si>
  <si>
    <t>Revenues From Transmission For Others (Account 456):</t>
  </si>
  <si>
    <t>Total Transmission Revenue Credit</t>
  </si>
  <si>
    <t>Rate of Return</t>
  </si>
  <si>
    <t>Capitalization Structure</t>
  </si>
  <si>
    <t>Percent</t>
  </si>
  <si>
    <t>Embedded</t>
  </si>
  <si>
    <t>Weighted</t>
  </si>
  <si>
    <t>Preferred Stock</t>
  </si>
  <si>
    <t>Common Equity</t>
  </si>
  <si>
    <t xml:space="preserve">     Total Capitalization</t>
  </si>
  <si>
    <t>Prepayments</t>
  </si>
  <si>
    <t>Transmission Related Prepayments</t>
  </si>
  <si>
    <t>Total Property Insurance</t>
  </si>
  <si>
    <t>Property Insurance to Transmission</t>
  </si>
  <si>
    <t>Regulatory Commission Expenses - FERC</t>
  </si>
  <si>
    <t>Regulatory Commission Expenses to Transmission</t>
  </si>
  <si>
    <t>Regulatory Commission Expenses - Other Transmission Related</t>
  </si>
  <si>
    <t>Total A&amp;G to Transmission</t>
  </si>
  <si>
    <t>A&amp;G to Transmission, excl Prop ins; Reg Comm Exp; Adv.</t>
  </si>
  <si>
    <t xml:space="preserve">   Less Account 561 (Load Dispatching)</t>
  </si>
  <si>
    <t xml:space="preserve">   Less:  Account 565 (Transmission of Electricity By Others)</t>
  </si>
  <si>
    <t>General &amp; Intangible Plant Allocator</t>
  </si>
  <si>
    <t>ADIT to General &amp; Intangible</t>
  </si>
  <si>
    <t>General Plant Depreciation Reserve</t>
  </si>
  <si>
    <t>RETURN AND ASSOCIATED INCOME TAXES</t>
  </si>
  <si>
    <t>Allocated General  &amp; Intangible Plant</t>
  </si>
  <si>
    <t>Transmission Related General Plant</t>
  </si>
  <si>
    <t>Transmission Related Intangible Plant</t>
  </si>
  <si>
    <t>Sum</t>
  </si>
  <si>
    <t xml:space="preserve">   Acct 924 (Property Insurance)</t>
  </si>
  <si>
    <t xml:space="preserve">   Acct 928 (Regulatory Commission Expense)</t>
  </si>
  <si>
    <t xml:space="preserve">   Account 930.1 (General Advertising Expense)</t>
  </si>
  <si>
    <t xml:space="preserve">    Allocated Amount</t>
  </si>
  <si>
    <t>Total Taxes Other Than Income Taxes</t>
  </si>
  <si>
    <t>Sum (1) Thru (19)</t>
  </si>
  <si>
    <t>FF1 p111 57c</t>
  </si>
  <si>
    <t xml:space="preserve">Long Term Debt  </t>
  </si>
  <si>
    <t xml:space="preserve">Effective Cost </t>
  </si>
  <si>
    <t>Amortized ITC - Electric (Account 411.4)</t>
  </si>
  <si>
    <t>TOTAL</t>
  </si>
  <si>
    <t>January</t>
  </si>
  <si>
    <t>February</t>
  </si>
  <si>
    <t>March</t>
  </si>
  <si>
    <t>April</t>
  </si>
  <si>
    <t>May</t>
  </si>
  <si>
    <t>June</t>
  </si>
  <si>
    <t>July</t>
  </si>
  <si>
    <t>August</t>
  </si>
  <si>
    <t>September</t>
  </si>
  <si>
    <t>October</t>
  </si>
  <si>
    <t>November</t>
  </si>
  <si>
    <t>December</t>
  </si>
  <si>
    <t>Firm Network</t>
  </si>
  <si>
    <t>Service for</t>
  </si>
  <si>
    <t>Others</t>
  </si>
  <si>
    <t>A</t>
  </si>
  <si>
    <t>B</t>
  </si>
  <si>
    <t>ADIT (Account 190)</t>
  </si>
  <si>
    <t>ADIT (Account 281)</t>
  </si>
  <si>
    <t>ADIT (Account 282)</t>
  </si>
  <si>
    <t>ADIT (Account 283)</t>
  </si>
  <si>
    <t>FF1 p 277 9k</t>
  </si>
  <si>
    <t>FF1 p 275 2k</t>
  </si>
  <si>
    <t>FF1 p234 8c</t>
  </si>
  <si>
    <t>Sum of ADIT</t>
  </si>
  <si>
    <t xml:space="preserve">Return and Income Taxes </t>
  </si>
  <si>
    <t>Amort of ITC (Acct 411.4)</t>
  </si>
  <si>
    <t>Rent From Electric Property (Account 454)</t>
  </si>
  <si>
    <t>ADIT Allocated to Gen &amp; Intang</t>
  </si>
  <si>
    <t>ADIT Allocated to General &amp; Intangible</t>
  </si>
  <si>
    <t>Composite Income Tax (Federal and State)</t>
  </si>
  <si>
    <t>Amortization of Utility Plant</t>
  </si>
  <si>
    <t>Schedule 2 Workpaper page 1</t>
  </si>
  <si>
    <t>Schedule 2 Workpaper page 2</t>
  </si>
  <si>
    <t>DESCRIPTION</t>
  </si>
  <si>
    <t>AMOUNT</t>
  </si>
  <si>
    <t>WORK ORDER NUMBER</t>
  </si>
  <si>
    <t>Workpapers Title Page</t>
  </si>
  <si>
    <t>Workpapers</t>
  </si>
  <si>
    <t>WORKPAPERS</t>
  </si>
  <si>
    <t>Recalculated Rate Using "E"</t>
  </si>
  <si>
    <t>Trans Related Amortization of Utility Plant</t>
  </si>
  <si>
    <t xml:space="preserve">Transmission Related Amortization of Intangible Plant </t>
  </si>
  <si>
    <t>SCHEDULE 6</t>
  </si>
  <si>
    <t xml:space="preserve"> INCOME TAX EXPENSE</t>
  </si>
  <si>
    <t>Federal Tax Rate</t>
  </si>
  <si>
    <t>Composite State Tax Rate</t>
  </si>
  <si>
    <t>OVERALL RATE OF RETURN</t>
  </si>
  <si>
    <t>Federal Tax Factor:</t>
  </si>
  <si>
    <t>State Tax Factor:</t>
  </si>
  <si>
    <t>(((ROR-Wtd.LTD) + [(EqAFUDC + ITC) / RateBase]) * (FT)) / (1-FT)</t>
  </si>
  <si>
    <t>(((ROR-Wtd.LTD) + [(EqAFUDC + ITC) / RateBase] + Federal Income Tax Rate) * (ST)) / (1-ST)</t>
  </si>
  <si>
    <t>Sum of Federal and State Tax Factors</t>
  </si>
  <si>
    <t>EQAFUDC =</t>
  </si>
  <si>
    <t>ITC=</t>
  </si>
  <si>
    <t xml:space="preserve">Transmission Plant Held For Future Use  </t>
  </si>
  <si>
    <t xml:space="preserve">General Plant Held For Future Use  </t>
  </si>
  <si>
    <t>General Plant Held For Future Use</t>
  </si>
  <si>
    <t>Transmission Related General Plant Held For Future Use</t>
  </si>
  <si>
    <t xml:space="preserve">Transmission Materials &amp; Supplies </t>
  </si>
  <si>
    <t>Transmission Materials and Supplies</t>
  </si>
  <si>
    <t>Transmission Related Account 163</t>
  </si>
  <si>
    <t>Total Transmission Materials and Supplies</t>
  </si>
  <si>
    <t xml:space="preserve"> Schedule 1</t>
  </si>
  <si>
    <t>Account 154 - Transmission</t>
  </si>
  <si>
    <t>Account 154 - General</t>
  </si>
  <si>
    <t>Transmission Related Account 154 - General</t>
  </si>
  <si>
    <t>Account 930.1</t>
  </si>
  <si>
    <t>General Plant Depreciation</t>
  </si>
  <si>
    <t>Transmission Related Amortization of Intangible Plant (Account 404)</t>
  </si>
  <si>
    <t>III.  Interest Expense Accrued</t>
  </si>
  <si>
    <t>Line 37 - Line 46</t>
  </si>
  <si>
    <t xml:space="preserve">Taxes Other than Income:  </t>
  </si>
  <si>
    <t>Payroll Adjustment</t>
  </si>
  <si>
    <t>Plant Allocator</t>
  </si>
  <si>
    <t>Transmission Wages &amp; Salaries Allocator</t>
  </si>
  <si>
    <t>System Peak Demand - MW</t>
  </si>
  <si>
    <t>(32) * (33)</t>
  </si>
  <si>
    <t>Short-Term Firm</t>
  </si>
  <si>
    <t>Transmission</t>
  </si>
  <si>
    <t>12 CP (Rounded)</t>
  </si>
  <si>
    <t xml:space="preserve">Generator Step Up Facilities </t>
  </si>
  <si>
    <t>Transmission Cash Working Capital</t>
  </si>
  <si>
    <t>FOAB &amp; Unempl Tax</t>
  </si>
  <si>
    <t xml:space="preserve">Line 44 x Line 45 </t>
  </si>
  <si>
    <t>Form 1</t>
  </si>
  <si>
    <t>IDAHO POWER COMPANY</t>
  </si>
  <si>
    <t>Class and Series</t>
  </si>
  <si>
    <t>Issued</t>
  </si>
  <si>
    <t>Outstanding</t>
  </si>
  <si>
    <t>Discount</t>
  </si>
  <si>
    <t>Reservations</t>
  </si>
  <si>
    <t>Imnaha</t>
  </si>
  <si>
    <t>USBR</t>
  </si>
  <si>
    <t>Raft River</t>
  </si>
  <si>
    <t>BPA - PF</t>
  </si>
  <si>
    <t>BPA-OTECC</t>
  </si>
  <si>
    <t>Total</t>
  </si>
  <si>
    <t xml:space="preserve"> Long-Term Firm Transmission -  OASIS Reservations</t>
  </si>
  <si>
    <t>IPCM</t>
  </si>
  <si>
    <t>OASIS Ref:</t>
  </si>
  <si>
    <t>Annual</t>
  </si>
  <si>
    <t>[Formula]</t>
  </si>
  <si>
    <t>Net</t>
  </si>
  <si>
    <t>Line</t>
  </si>
  <si>
    <t xml:space="preserve">   Principal Amount</t>
  </si>
  <si>
    <t>Expense</t>
  </si>
  <si>
    <t>Proceeds</t>
  </si>
  <si>
    <t>Interest</t>
  </si>
  <si>
    <t>Effective</t>
  </si>
  <si>
    <t>No</t>
  </si>
  <si>
    <t>Price</t>
  </si>
  <si>
    <t>of Issue</t>
  </si>
  <si>
    <t>Received</t>
  </si>
  <si>
    <t>Rate</t>
  </si>
  <si>
    <t>Requirements</t>
  </si>
  <si>
    <t>Cost</t>
  </si>
  <si>
    <t>First Mortgage Bonds:</t>
  </si>
  <si>
    <t xml:space="preserve">  5.5% Series, due 2033 .…             </t>
  </si>
  <si>
    <t xml:space="preserve">  5.5% Series, due 2034 .…             </t>
  </si>
  <si>
    <t xml:space="preserve">  5.875% Series, due 2034….</t>
  </si>
  <si>
    <t xml:space="preserve">  5.30% Series, due 2035….</t>
  </si>
  <si>
    <t xml:space="preserve">     Total First Mortgage Bonds</t>
  </si>
  <si>
    <t>Pollution Control Revenue Bonds:</t>
  </si>
  <si>
    <t>Total Pollution Control Revenue Bonds</t>
  </si>
  <si>
    <t>TOTAL DEBT CAPITAL ...........</t>
  </si>
  <si>
    <t xml:space="preserve">  Less  Amount Allocated to GSU's</t>
  </si>
  <si>
    <t xml:space="preserve">  Less Amount Allocated to LGI's</t>
  </si>
  <si>
    <t>1/</t>
  </si>
  <si>
    <t>Schedule 8</t>
  </si>
  <si>
    <t>SCHEDULE 8</t>
  </si>
  <si>
    <t>Large Generator Interconnections</t>
  </si>
  <si>
    <t xml:space="preserve"> Investment, Accumulated Depreciation Reserve and Annual Accrual</t>
  </si>
  <si>
    <t>Bennett Mountain Power Plant</t>
  </si>
  <si>
    <t>SCHEDULE 11</t>
  </si>
  <si>
    <t>Substantive Changes to Accounting Policies, Practices and Procedures That Could Affect</t>
  </si>
  <si>
    <t>Charges Under the Formula Rate</t>
  </si>
  <si>
    <t>SCHEDULE 10</t>
  </si>
  <si>
    <t>New Transmission Plant Installed With A Cost in Excess of $250,000</t>
  </si>
  <si>
    <t>SCHEDULE 4 WORKPAPER, PAGE 4</t>
  </si>
  <si>
    <t>Telemetry</t>
  </si>
  <si>
    <t>Fiber Optic Attachment</t>
  </si>
  <si>
    <t>SCHEDULE 2 WORKPAPER, PAGE 1</t>
  </si>
  <si>
    <t>GSU Operation and Maintenance Expense</t>
  </si>
  <si>
    <t xml:space="preserve"> Solely Owned Plants</t>
  </si>
  <si>
    <t>27132459 - DNPR - PREVENTIVE MAINTENANCE</t>
  </si>
  <si>
    <t>27134450 - LMPR PREVENTIVE MAINTENANCE</t>
  </si>
  <si>
    <t>27136696 - BLPR PREVENTIVE MAINTENANCE</t>
  </si>
  <si>
    <t>27136835 - SKPR-PREVENTIVE MAINTENANCE</t>
  </si>
  <si>
    <t>Joint Use Rental Fees</t>
  </si>
  <si>
    <t>(3) / (4)</t>
  </si>
  <si>
    <t>(10) / (11)</t>
  </si>
  <si>
    <t>27136838 - SWPO-PREVENTIVE MAINTENANCE</t>
  </si>
  <si>
    <t>27137842 - AFPR PREVENTIVE MAINTENANCE</t>
  </si>
  <si>
    <t>27137896 - HCPR PREVENTIVE MAINTENANCE</t>
  </si>
  <si>
    <t>27137905 - OBPR PREVENTIVE MAINTENANCE</t>
  </si>
  <si>
    <t>27137974 - CDPO PREVENTIVE MAINTENANCE</t>
  </si>
  <si>
    <t>27141465 - SFPR PREVENTIVE MAINTENANCE</t>
  </si>
  <si>
    <t>27141484 - LSPR PREVENTIVE MAINTENANCE</t>
  </si>
  <si>
    <t>27141523 - BSPO PREVENTIVE MAINTENANCE</t>
  </si>
  <si>
    <t>27141529 - US34 PREVENTIVE MAINTENANCE</t>
  </si>
  <si>
    <t>27141614 - UMPR PREVENTIVE MAINTENANCE</t>
  </si>
  <si>
    <t>27141617 - TSPO PREVENTIVE MAINTENANCE</t>
  </si>
  <si>
    <t>27141624 - TFPR PREVENTIVE MAINTENANCE</t>
  </si>
  <si>
    <t>27141637 - MLPR PREVENTIVE MAINTENANCE</t>
  </si>
  <si>
    <t>27143846 - CLPR PREVENTIVE MAINTENANCE</t>
  </si>
  <si>
    <t>27160282 - US12 PREVENTIVE MAINTENANCE</t>
  </si>
  <si>
    <t>27132460 - DNPR - CORRECTIVE MAINTENANCE</t>
  </si>
  <si>
    <t>27134451 - LMPR CORRECTIVE MAINTENANCE</t>
  </si>
  <si>
    <t>27136700 - BLPR CORRECTIVE MAINTENANCE</t>
  </si>
  <si>
    <t>27136837 - SKPR-CORRECTIVE MAINTENANCE</t>
  </si>
  <si>
    <t>27136839 - SWPO-CORRECTIVE MAINTENANCE</t>
  </si>
  <si>
    <t>27137850 - AFPR CORRECTIVE MAINTENANCE</t>
  </si>
  <si>
    <t>27137900 - HCPR CORRECTIVE MAINTENANCE</t>
  </si>
  <si>
    <t>27137910 - OBPR CORRECTIVE MAINTENANCE</t>
  </si>
  <si>
    <t>27137975 - CDPO CORRECTIVE MAINTENANCE</t>
  </si>
  <si>
    <t>27141469 - SFPR CORRECTIVE MAINTENANCE</t>
  </si>
  <si>
    <t>27141485 - LSPR CORRECTIVE MAINTENANCE</t>
  </si>
  <si>
    <t>27141524 - BSPO CORRECTIVE MAINTENANCE</t>
  </si>
  <si>
    <t>27141530 - US34 CORRENTIVE MAINTENANCE</t>
  </si>
  <si>
    <t>27141615 - UMPR CORRECTIVE MAINTENANCE</t>
  </si>
  <si>
    <t>27141618 - TSPO CORRECTIVE MAINTENANCE</t>
  </si>
  <si>
    <t>27141626 - TFPR CORRECTIVE MAINTENANCE</t>
  </si>
  <si>
    <t>27141638 - MLPR CORRECTIVE MAINTENANCE</t>
  </si>
  <si>
    <t>27143849 - CLPR CORRECTIVE MAINTENANCE</t>
  </si>
  <si>
    <t>27160285 - US12 CORRECTIVE MAINTENANCE</t>
  </si>
  <si>
    <t>Subtotal</t>
  </si>
  <si>
    <t>SCHEDULE 2 WORKPAPER, PAGE 2</t>
  </si>
  <si>
    <t>LGI Operation and Maintenance Expense</t>
  </si>
  <si>
    <t xml:space="preserve">Total Transmission O&amp;M </t>
  </si>
  <si>
    <t>LGI Allocation Factor</t>
  </si>
  <si>
    <t>Transmission O&amp;M Allocated to LGI</t>
  </si>
  <si>
    <t>Line 1 x Line 2</t>
  </si>
  <si>
    <t>Schedule 4 Workpaper page 1</t>
  </si>
  <si>
    <t xml:space="preserve">Amount </t>
  </si>
  <si>
    <t>Subaccount and Category</t>
  </si>
  <si>
    <t>Revenue Credited</t>
  </si>
  <si>
    <t>Comments</t>
  </si>
  <si>
    <t>C</t>
  </si>
  <si>
    <t>D</t>
  </si>
  <si>
    <t>454101, 454102</t>
  </si>
  <si>
    <t>Bureau of Indian Affairs</t>
  </si>
  <si>
    <t>Distribution-related faciliites charges</t>
  </si>
  <si>
    <t>See Schedule 4 Workpaper, page 4</t>
  </si>
  <si>
    <t>Joint Pole Rents</t>
  </si>
  <si>
    <t>See Schedule 4 Workpaper, page 3</t>
  </si>
  <si>
    <t>General Business Facilities Charges</t>
  </si>
  <si>
    <t xml:space="preserve">Distribution-related faciliites charges under Sch 66-(optional distribution services) such as devices for off-site meter reading; Schedules 9, 19, St. Ltg., Dusk to Dawn, etc  </t>
  </si>
  <si>
    <t>454001, 454003, 454004, 454702</t>
  </si>
  <si>
    <t>Overnight Park Rents</t>
  </si>
  <si>
    <t>Power Supply-related. These fees are for the usage of recreational parks located at hydroelectric power plants owned by the Company</t>
  </si>
  <si>
    <t>454181, 454281</t>
  </si>
  <si>
    <t>Fiber Rents</t>
  </si>
  <si>
    <t>454251, 454271</t>
  </si>
  <si>
    <t>Legacy Agreement-Transmission facilites charges</t>
  </si>
  <si>
    <t>Communication service</t>
  </si>
  <si>
    <t>TOTAL ACCOUNT 454</t>
  </si>
  <si>
    <t>TOTAL AMOUNT REVENUE CREDITED</t>
  </si>
  <si>
    <t>Customer</t>
  </si>
  <si>
    <t>Type</t>
  </si>
  <si>
    <t>Tele</t>
  </si>
  <si>
    <t>Century Tel-Or</t>
  </si>
  <si>
    <t>Century Tel-Grandview,ID</t>
  </si>
  <si>
    <t>Century Tel-Salmon,ID</t>
  </si>
  <si>
    <t>Farmer's</t>
  </si>
  <si>
    <t>Filer</t>
  </si>
  <si>
    <t xml:space="preserve">Midvale </t>
  </si>
  <si>
    <t>Oregon Idaho</t>
  </si>
  <si>
    <t>Project Mutual</t>
  </si>
  <si>
    <t>Amalgamated Sugar</t>
  </si>
  <si>
    <t>Misc.</t>
  </si>
  <si>
    <t>American Red Cross</t>
  </si>
  <si>
    <t>Barger Mattson</t>
  </si>
  <si>
    <t>Boise State</t>
  </si>
  <si>
    <t>City of Weiser</t>
  </si>
  <si>
    <t>Computer land</t>
  </si>
  <si>
    <t>Kelly's Orchards</t>
  </si>
  <si>
    <t>Kinross Delamar</t>
  </si>
  <si>
    <t>Oregon Trail Electirc</t>
  </si>
  <si>
    <t>St. Lukes</t>
  </si>
  <si>
    <t>CATV</t>
  </si>
  <si>
    <t>Cable One</t>
  </si>
  <si>
    <t>Cambridge</t>
  </si>
  <si>
    <t>Cox</t>
  </si>
  <si>
    <t>CLEC</t>
  </si>
  <si>
    <t>Cricket</t>
  </si>
  <si>
    <t>PCS</t>
  </si>
  <si>
    <t>Totals</t>
  </si>
  <si>
    <t>Garden Valley Cable</t>
  </si>
  <si>
    <t>Clearwire</t>
  </si>
  <si>
    <t>SCHEDULE 4 WORKPAPER, PAGE 3</t>
  </si>
  <si>
    <t>DB2DATE</t>
  </si>
  <si>
    <t>Voucher</t>
  </si>
  <si>
    <t>DISTDESC</t>
  </si>
  <si>
    <t>Sum TOTAMT</t>
  </si>
  <si>
    <t>CC</t>
  </si>
  <si>
    <t>Descr</t>
  </si>
  <si>
    <t>454101</t>
  </si>
  <si>
    <t>010034</t>
  </si>
  <si>
    <t>G</t>
  </si>
  <si>
    <t>Schedule 10</t>
  </si>
  <si>
    <t>New Transmission Plant Installed with a Cost in Excess of $250,000</t>
  </si>
  <si>
    <t>1.1.2 n</t>
  </si>
  <si>
    <t>Schedule 11</t>
  </si>
  <si>
    <t>1.1.2 m</t>
  </si>
  <si>
    <t>PP = Power Production</t>
  </si>
  <si>
    <t>D = Distribution</t>
  </si>
  <si>
    <t>G = General</t>
  </si>
  <si>
    <t>GSU</t>
  </si>
  <si>
    <t>Transmission Work Order Types</t>
  </si>
  <si>
    <t>Equity AFUDC charged to CWIP</t>
  </si>
  <si>
    <t>By Vintage Year</t>
  </si>
  <si>
    <t>SCHEDULE 13</t>
  </si>
  <si>
    <t>Schedule 13</t>
  </si>
  <si>
    <t>1.1.4</t>
  </si>
  <si>
    <t xml:space="preserve">Transformer Investment and Accumulated Depreciation </t>
  </si>
  <si>
    <t>Calculation of Point to Point Transmission Tariff Rate</t>
  </si>
  <si>
    <t xml:space="preserve">Annual </t>
  </si>
  <si>
    <t>Demand</t>
  </si>
  <si>
    <t>PTP Rate</t>
  </si>
  <si>
    <t>Transmission Revenue Requirement</t>
  </si>
  <si>
    <t xml:space="preserve"> Revenue Credits</t>
  </si>
  <si>
    <t>Revenue Requirement</t>
  </si>
  <si>
    <t>$/kW-yr</t>
  </si>
  <si>
    <t>Calculation of Annual Network Transmission Revenue Requirement</t>
  </si>
  <si>
    <t>Revenue Credits</t>
  </si>
  <si>
    <t xml:space="preserve">Revenues From </t>
  </si>
  <si>
    <t>Rent From Electric Property</t>
  </si>
  <si>
    <t>Transmission For Others - Account 456</t>
  </si>
  <si>
    <t xml:space="preserve">Total </t>
  </si>
  <si>
    <t>Account 454</t>
  </si>
  <si>
    <t>MW</t>
  </si>
  <si>
    <t>and Non-Firm and Short Term Firm Service For Self</t>
  </si>
  <si>
    <t>Calc of PTP</t>
  </si>
  <si>
    <t>Calc of NT Rev Req</t>
  </si>
  <si>
    <t xml:space="preserve">Rates For OATT Schedules 7, 8 and 9 </t>
  </si>
  <si>
    <t>Calculation of Annual Network Transmission Revenue Requirements</t>
  </si>
  <si>
    <t xml:space="preserve"> Transmission Revenue Credits</t>
  </si>
  <si>
    <t>; 1.1.2 b</t>
  </si>
  <si>
    <t>WORKSHEET</t>
  </si>
  <si>
    <t>TITLE</t>
  </si>
  <si>
    <t>OATT REFERENCE</t>
  </si>
  <si>
    <t>FUNCTIONAL  ASSIGNMENT</t>
  </si>
  <si>
    <t>G Subtotal</t>
  </si>
  <si>
    <t>Direct Communications</t>
  </si>
  <si>
    <t>Verizon</t>
  </si>
  <si>
    <t>Custer Telephone</t>
  </si>
  <si>
    <t>PP Subtotal</t>
  </si>
  <si>
    <t>T Subtotal</t>
  </si>
  <si>
    <t>D Subtotal</t>
  </si>
  <si>
    <t>SCHEDULE 4 WORKPAPER, PAGE 5</t>
  </si>
  <si>
    <t>Application Fees - Joint Use Rentals</t>
  </si>
  <si>
    <t>1.1.2 a</t>
  </si>
  <si>
    <t>1.1.2 c</t>
  </si>
  <si>
    <t>1.1.2 d</t>
  </si>
  <si>
    <t>1.1.2 e</t>
  </si>
  <si>
    <t>1.1.2 f</t>
  </si>
  <si>
    <t>1.1.2 g</t>
  </si>
  <si>
    <t>1.1.2 h</t>
  </si>
  <si>
    <t>1.1.2 i</t>
  </si>
  <si>
    <t>1.1.2 j</t>
  </si>
  <si>
    <t xml:space="preserve">Large Generator Interconnection Investment, Accumulated Depreciation Reserve and Annual Accrual </t>
  </si>
  <si>
    <t>1.1.2 l</t>
  </si>
  <si>
    <t>1.1.2 k</t>
  </si>
  <si>
    <t>Reimbursable Prepayments For Network Upgrades and Interest Expense Reimbursed</t>
  </si>
  <si>
    <t>Total Transmission Plant (excl. Asset Retirement Costs)</t>
  </si>
  <si>
    <t>(20) /  ((22) - (21))</t>
  </si>
  <si>
    <t>Total Electric Plant (excl. Asset Retirement Costs)</t>
  </si>
  <si>
    <t>Sum (68) Thru (70)</t>
  </si>
  <si>
    <t>Subaccount and Category (Source of Rent)</t>
  </si>
  <si>
    <t>Nature of Each Source of Rent</t>
  </si>
  <si>
    <t>To Schedule 4, lines 4, 5 and 6</t>
  </si>
  <si>
    <t>To Schedule 4 Workpaper, page 1</t>
  </si>
  <si>
    <t>To Sch 4 Workpaper, p 1:</t>
  </si>
  <si>
    <t xml:space="preserve"> FF1 p 323 185 b</t>
  </si>
  <si>
    <t>856</t>
  </si>
  <si>
    <t>010157</t>
  </si>
  <si>
    <t>623</t>
  </si>
  <si>
    <t>020157</t>
  </si>
  <si>
    <t>040157</t>
  </si>
  <si>
    <t>050157</t>
  </si>
  <si>
    <t>060157</t>
  </si>
  <si>
    <t>080157</t>
  </si>
  <si>
    <t>090157</t>
  </si>
  <si>
    <t>100157</t>
  </si>
  <si>
    <t>110157</t>
  </si>
  <si>
    <t>E</t>
  </si>
  <si>
    <t>F</t>
  </si>
  <si>
    <t>(D) - (B) -(C)</t>
  </si>
  <si>
    <t>Form 1,p400(f)</t>
  </si>
  <si>
    <t>Long-Term Firm PTP</t>
  </si>
  <si>
    <t>FORM 1,p400(e)</t>
  </si>
  <si>
    <t>FORM 1,p400(f)</t>
  </si>
  <si>
    <t>FORM 1,p400(g)</t>
  </si>
  <si>
    <t>FORM 1,p400(i)</t>
  </si>
  <si>
    <t>FORM 1,p400(b)</t>
  </si>
  <si>
    <t>Schedule 5 (A)</t>
  </si>
  <si>
    <t>Schedule 5 (B)</t>
  </si>
  <si>
    <t>Schedule 5 (F)</t>
  </si>
  <si>
    <t>Schedule 5 (E)</t>
  </si>
  <si>
    <t>Schedule 5 (D)</t>
  </si>
  <si>
    <t>Monthly Peak</t>
  </si>
  <si>
    <t>MW Total</t>
  </si>
  <si>
    <t xml:space="preserve"> = Ratio of Transmission to Total </t>
  </si>
  <si>
    <t xml:space="preserve">Service for Self </t>
  </si>
  <si>
    <t>Schedule 4 Workpaper page 6</t>
  </si>
  <si>
    <t>Agreements</t>
  </si>
  <si>
    <t>Schedule 5 (G)</t>
  </si>
  <si>
    <t xml:space="preserve">Legacy </t>
  </si>
  <si>
    <t>Agreements 2/</t>
  </si>
  <si>
    <t xml:space="preserve">included in the OATT Short Term Firm and Non Firm revenues shown on this Schedule 4 </t>
  </si>
  <si>
    <t>27237388 - BMPR- PREVENTIVE</t>
  </si>
  <si>
    <t>27237390 - BMPR - CORRECTIVE</t>
  </si>
  <si>
    <t>Category</t>
  </si>
  <si>
    <t>Vin Year</t>
  </si>
  <si>
    <t>Sum Cost</t>
  </si>
  <si>
    <t>Depreciation Rate</t>
  </si>
  <si>
    <t>Total Accumulated Depreciation</t>
  </si>
  <si>
    <t>Net Plant</t>
  </si>
  <si>
    <t>Annual Accrual</t>
  </si>
  <si>
    <t>GPBLPR01</t>
  </si>
  <si>
    <t>GPDNPR</t>
  </si>
  <si>
    <t>GPHCPR03</t>
  </si>
  <si>
    <t>GPOBPR02</t>
  </si>
  <si>
    <t>GPSWPO01</t>
  </si>
  <si>
    <t>GPTFPR03</t>
  </si>
  <si>
    <t>GPMLPR01</t>
  </si>
  <si>
    <t>GPSFPR01</t>
  </si>
  <si>
    <t>GPUMPR01</t>
  </si>
  <si>
    <t>GPCDPO01</t>
  </si>
  <si>
    <t>GPSKPR02</t>
  </si>
  <si>
    <t>GPAFPR01</t>
  </si>
  <si>
    <t>GPCLPR01</t>
  </si>
  <si>
    <t>GPBSPO01</t>
  </si>
  <si>
    <t>GPLMPR01</t>
  </si>
  <si>
    <t>GPTSPO01</t>
  </si>
  <si>
    <t>GPUS1201</t>
  </si>
  <si>
    <t>GPLSPR01</t>
  </si>
  <si>
    <t>GPTFPR01</t>
  </si>
  <si>
    <t>GPUS3401</t>
  </si>
  <si>
    <t>Schedule 7 Workpaper</t>
  </si>
  <si>
    <t>SCL</t>
  </si>
  <si>
    <t>PAC</t>
  </si>
  <si>
    <t>contract term</t>
  </si>
  <si>
    <t>LYPK/LGBP</t>
  </si>
  <si>
    <t>Morgan Stanley Capital Group</t>
  </si>
  <si>
    <t>Portland General Electric</t>
  </si>
  <si>
    <t>Puget Sound Energy</t>
  </si>
  <si>
    <t>Account 163 - Stores Expense Undistributed</t>
  </si>
  <si>
    <t xml:space="preserve">  6.30% Series, due 2037…</t>
  </si>
  <si>
    <t xml:space="preserve">  6.25% Series, due 2037…</t>
  </si>
  <si>
    <t xml:space="preserve">  6.025% Series due 2018…</t>
  </si>
  <si>
    <t xml:space="preserve">(a) - </t>
  </si>
  <si>
    <t>V.  Interest Expense Reimbursed</t>
  </si>
  <si>
    <t>IV. Total Unreimbursed Portion of Network Upgrade Prepayments (Account 252) Net of Accumulated Depreciation and Interest Expense Accrued:</t>
  </si>
  <si>
    <t xml:space="preserve"> Net of Accumulated Depreciaion</t>
  </si>
  <si>
    <t>Unreimbursed Prepayments</t>
  </si>
  <si>
    <t>II.  Unreimbursed Portion of Network Upgrade Prepayments (Account 252) Net of Accumulated Depreciation</t>
  </si>
  <si>
    <t>Plant Balance</t>
  </si>
  <si>
    <t>I.  Plant Balance and Depreciation</t>
  </si>
  <si>
    <t xml:space="preserve">  6.00% Series, due 2032 .…             </t>
  </si>
  <si>
    <t xml:space="preserve">  6.15% Series due 2019…</t>
  </si>
  <si>
    <t xml:space="preserve">  4.50% Series due 2020…</t>
  </si>
  <si>
    <t>(1)</t>
  </si>
  <si>
    <t>(2)</t>
  </si>
  <si>
    <t>(3)</t>
  </si>
  <si>
    <t>(4)</t>
  </si>
  <si>
    <t>(5)</t>
  </si>
  <si>
    <t>(6)</t>
  </si>
  <si>
    <t>(7)</t>
  </si>
  <si>
    <t>(8)</t>
  </si>
  <si>
    <t>(9)</t>
  </si>
  <si>
    <t>(10)</t>
  </si>
  <si>
    <t>(11)</t>
  </si>
  <si>
    <t>(12)</t>
  </si>
  <si>
    <t>(13)</t>
  </si>
  <si>
    <t>(14)</t>
  </si>
  <si>
    <t>[(6)-(8)-(9)-(10)]</t>
  </si>
  <si>
    <t>[(2) * (6)]</t>
  </si>
  <si>
    <t>[(13)/(11)]</t>
  </si>
  <si>
    <t>Coupon</t>
  </si>
  <si>
    <t xml:space="preserve">Settlement </t>
  </si>
  <si>
    <t>Maturity</t>
  </si>
  <si>
    <t>(Premium)/</t>
  </si>
  <si>
    <t>Underwriter</t>
  </si>
  <si>
    <t>Date</t>
  </si>
  <si>
    <t>Commission</t>
  </si>
  <si>
    <t>Yield</t>
  </si>
  <si>
    <t xml:space="preserve">  Sweetwater Series 2006, due 2026 …</t>
  </si>
  <si>
    <t xml:space="preserve">  Port of Morrow Series 2000, due 2027…     (a)</t>
  </si>
  <si>
    <t xml:space="preserve">  Humboldt Series 2003, due 2024 …          </t>
  </si>
  <si>
    <t>NOTE: American Falls Dam Bond and Milner Dam Note are guarantees. These instruments are excluded in rate making calculations and therefore are omitted from this schedule.</t>
  </si>
  <si>
    <t>Transmission ROW</t>
  </si>
  <si>
    <t>Transmission App. Fees</t>
  </si>
  <si>
    <t>Distribution App. Fees</t>
  </si>
  <si>
    <t>City of American Falls</t>
  </si>
  <si>
    <t>Rural Telephone-Snake River</t>
  </si>
  <si>
    <t>Less:  non-454 revenue</t>
  </si>
  <si>
    <t>Loss on grounding shield wire in account 456101</t>
  </si>
  <si>
    <t>Application fees booked into accounts 415101 &amp; 415102</t>
  </si>
  <si>
    <t>FF1 p205 5g</t>
  </si>
  <si>
    <t>FF1 p 227 8c</t>
  </si>
  <si>
    <t>FF1 p 336 10b</t>
  </si>
  <si>
    <t>FF1 p336 1d</t>
  </si>
  <si>
    <t>120034</t>
  </si>
  <si>
    <t>638</t>
  </si>
  <si>
    <t>OBBLPR/LGBP</t>
  </si>
  <si>
    <t>71839762 &amp; 71839764 (71331211)</t>
  </si>
  <si>
    <t>1/1/2009-1/1/2014 (1/1/2008-1/1/2009)</t>
  </si>
  <si>
    <t>JBWT/M500</t>
  </si>
  <si>
    <t>Form 1p400(b) less Legacy Agreements 1/ 2/</t>
  </si>
  <si>
    <t>Jointly Owned Plants (Idaho Power's Share 1/)</t>
  </si>
  <si>
    <t>06/01/2009-07/01/2014</t>
  </si>
  <si>
    <t xml:space="preserve">1/ The revenue credits associated with Idaho Power Company are not included in the Account 456 balance but are </t>
  </si>
  <si>
    <t>OATT Short Term Firm and Non Firm 1/</t>
  </si>
  <si>
    <t>Total Account 454</t>
  </si>
  <si>
    <t>Transactions are Included in the Rate Divisor (Demand-Only Revenue)</t>
  </si>
  <si>
    <t>2/ The Monthly Peak reported in the Form 1, page 400(b) includes the Legacy Agreements in the amounts shown in Column E of Schedule 5 of this spreadsheet.  Since they are shown separately in Column E of Schedule 5, they have been subtracted from Schedule 5 Column D.</t>
  </si>
  <si>
    <t>TOTAL 2/</t>
  </si>
  <si>
    <t>Substantive Charges to Accounting Policies, Practices and Procedures that could Affect Changes Under the Formula Rate</t>
  </si>
  <si>
    <t>Total A&amp;G Related O&amp;M (Less EPRI dues recorded in Account 930.2)</t>
  </si>
  <si>
    <t>000's</t>
  </si>
  <si>
    <t xml:space="preserve">  3.40% Series due 2020…</t>
  </si>
  <si>
    <t xml:space="preserve">  4.85% Series due 2040…</t>
  </si>
  <si>
    <t>107000 Total</t>
  </si>
  <si>
    <t xml:space="preserve">Restated Transmission Services Agreement Between PacifiCorp and Idaho Power Company dated February 6, 1992 </t>
  </si>
  <si>
    <t xml:space="preserve">Transmission Facilities Agreement between Idaho Power Company, Pacific Power &amp; Light Company, and Utah Power &amp; Light Company dated June 1, 1974 </t>
  </si>
  <si>
    <t xml:space="preserve">Agreement for Interconnection and Transmission Services between Idaho Power Company and Utah Power &amp; Light Company dated March 19, 1982 </t>
  </si>
  <si>
    <t>Section 3 of the Microwave Cooperative Use Agreement dated August 2, 1974, between PacifiCorp and Idaho Power Company.</t>
  </si>
  <si>
    <t>Section 3.1 of the Communications Agreement between Idaho Power Company and PacifiCorp dated February 20, 1996.</t>
  </si>
  <si>
    <t>Joint Ownership and Operating Agreement with PacifiCorp for the Hemingway substation dated May 3, 2010</t>
  </si>
  <si>
    <t>Antenna Building Attachment</t>
  </si>
  <si>
    <t>Syringa</t>
  </si>
  <si>
    <t>Recon Dynamics</t>
  </si>
  <si>
    <t>Snake River</t>
  </si>
  <si>
    <t>Transalta Energy Marketing</t>
  </si>
  <si>
    <t>73147208 &amp; 73147229</t>
  </si>
  <si>
    <t>JBWT/BORA or BRDY</t>
  </si>
  <si>
    <t>020034</t>
  </si>
  <si>
    <t>030034</t>
  </si>
  <si>
    <t>040034</t>
  </si>
  <si>
    <t>620</t>
  </si>
  <si>
    <t>Out-of-Period Adjustments</t>
  </si>
  <si>
    <t>T</t>
  </si>
  <si>
    <t>PP</t>
  </si>
  <si>
    <t>Hemmingway JOOA</t>
  </si>
  <si>
    <t>Rate Calculation, ln 49</t>
  </si>
  <si>
    <t>FF1 p200 21c</t>
  </si>
  <si>
    <t>General Advertising Expense - Transmission Related</t>
  </si>
  <si>
    <t>Account 928</t>
  </si>
  <si>
    <t>Line 41 x GSU Allocator (Sch 3)</t>
  </si>
  <si>
    <t>Line 41 x LGI Allocator (Sch 3)</t>
  </si>
  <si>
    <t>Property Taxes (ID,OR,MT,NV,WY)</t>
  </si>
  <si>
    <t>BPA-USBR NITSA</t>
  </si>
  <si>
    <t>BPA-OTEC NITSA</t>
  </si>
  <si>
    <t xml:space="preserve">SIERRA-Valmy </t>
  </si>
  <si>
    <t xml:space="preserve">PGE-Boardman </t>
  </si>
  <si>
    <t xml:space="preserve">PAC-Bridger-Unit 1 </t>
  </si>
  <si>
    <t xml:space="preserve">PAC-Bridger-Unit 2 </t>
  </si>
  <si>
    <t xml:space="preserve">PAC-Bridger-Unit 3 </t>
  </si>
  <si>
    <t xml:space="preserve">PAC-Bridger-Unit 4 </t>
  </si>
  <si>
    <t xml:space="preserve">PAC-Bridger-Spare </t>
  </si>
  <si>
    <t xml:space="preserve">Rates For OATT Schedule 7, 8 and 9 </t>
  </si>
  <si>
    <t>Functionalization Of Real Estate Rents Recorded In Account 454</t>
  </si>
  <si>
    <t>Cogeneration O&amp;M Charges Under IPC Retail Schedule 72 Recorded in Account 454</t>
  </si>
  <si>
    <t>Reimbursement for O&amp;M  under joint operating agreement with Pacificorp. To Schedule 4, line 7</t>
  </si>
  <si>
    <t>To Schedule 4, line 8</t>
  </si>
  <si>
    <t>Joint Use Pole Attachment Application Fees</t>
  </si>
  <si>
    <t>Recorded in Account 456 that are Included as Revenue Credits</t>
  </si>
  <si>
    <t>Idaho Power Company 1/</t>
  </si>
  <si>
    <t>1/ The revenue credits associated with Idaho Power Company short term firm and non firm are not included in the Account 456 balance but are</t>
  </si>
  <si>
    <t>Pacificorp - Imnaha NITSA</t>
  </si>
  <si>
    <t>Form 1 (Page 400)</t>
  </si>
  <si>
    <t>SCHEDULE 6 WORKPAPER PAGE 1</t>
  </si>
  <si>
    <t>Cost of Long-Term Debt</t>
  </si>
  <si>
    <t>Amortization Expense: Intangible Plant</t>
  </si>
  <si>
    <t>INFORMATIONAL FILING</t>
  </si>
  <si>
    <t xml:space="preserve">1/   </t>
  </si>
  <si>
    <t>Idaho Power Share of Bridger 33.33%</t>
  </si>
  <si>
    <t>Idaho Power Share of Valmy 50%</t>
  </si>
  <si>
    <t>Idaho Power Share of Boardman 10%</t>
  </si>
  <si>
    <t>1/1/2011-1/1/2016</t>
  </si>
  <si>
    <t>Bonneville Power Administration</t>
  </si>
  <si>
    <t>Cargill-Alliant</t>
  </si>
  <si>
    <t>Iberdrola Energy</t>
  </si>
  <si>
    <t>PPL Energy Plus</t>
  </si>
  <si>
    <t>Rainbow Energy Marketing</t>
  </si>
  <si>
    <t>Tenaska</t>
  </si>
  <si>
    <t>The Energy Authority</t>
  </si>
  <si>
    <t>Utah Associated Municipal Power</t>
  </si>
  <si>
    <t>Sorance Bean</t>
  </si>
  <si>
    <t>LS Networks</t>
  </si>
  <si>
    <t>Windwave</t>
  </si>
  <si>
    <t>FF1 p214 4d + 5d + 10d + 23d</t>
  </si>
  <si>
    <t>OATT Attach H, 3.1.1.11(f)</t>
  </si>
  <si>
    <t>FF1 p234 450.1 line 7 note 2</t>
  </si>
  <si>
    <t>FF1 p 207 104g, less p 205 15g, 24g ,34g, 44g, less p 207 57g, 74g, 83g, 98g</t>
  </si>
  <si>
    <t xml:space="preserve">     There were no substantive changes to accounting policies, practices, and procedures that could affect charges under the formula rate.</t>
  </si>
  <si>
    <t>050132</t>
  </si>
  <si>
    <t>070132</t>
  </si>
  <si>
    <t>080132</t>
  </si>
  <si>
    <t>090132</t>
  </si>
  <si>
    <t>100132</t>
  </si>
  <si>
    <t>110132</t>
  </si>
  <si>
    <t>120132</t>
  </si>
  <si>
    <t>854</t>
  </si>
  <si>
    <t>618</t>
  </si>
  <si>
    <t>Sawtooth Wind</t>
  </si>
  <si>
    <t>FF1  p207 58(g) less 57(g)</t>
  </si>
  <si>
    <t>FF1 p 219 25(b) less 108.100 = 0</t>
  </si>
  <si>
    <t>FF1 p266 8f</t>
  </si>
  <si>
    <t>FF1 p354 21b</t>
  </si>
  <si>
    <t>FF1 p354 27b</t>
  </si>
  <si>
    <t>FF1 p354 28b</t>
  </si>
  <si>
    <t>Account 415 Joint Use Revenues that are Included as Revenue Credits</t>
  </si>
  <si>
    <t>415101 &amp; 415102:</t>
  </si>
  <si>
    <t>Joint Use Application Fees are recorded in accounts 415101 and 415102</t>
  </si>
  <si>
    <t>1/  Non-Depreciable Land</t>
  </si>
  <si>
    <t>Valmy #1 &amp; Common Non-Steam</t>
  </si>
  <si>
    <t>Valmy #2 Substation</t>
  </si>
  <si>
    <t>Valmy Unit #1 and Common</t>
  </si>
  <si>
    <t>FF1 p 219 28c less 108.100 =0</t>
  </si>
  <si>
    <t>Less Regulatory Liability for Income Taxes</t>
  </si>
  <si>
    <t>Account 415 Joint Use Revenues That are Included as Revenue Credits</t>
  </si>
  <si>
    <t>Allocation Demand and Capacity Data</t>
  </si>
  <si>
    <t>Allocation Demand and Capacity Data - Reconciliation with Form 1</t>
  </si>
  <si>
    <t>T = Transmission</t>
  </si>
  <si>
    <t>General, Allocated to Transmission</t>
  </si>
  <si>
    <t>Total Transmission Related</t>
  </si>
  <si>
    <t xml:space="preserve"> Functionalization of Joint Use Rental Fees Recorded in Account 454</t>
  </si>
  <si>
    <t>IPCL</t>
  </si>
  <si>
    <t>76866224 (Full Transfer from IPCM 74110957)</t>
  </si>
  <si>
    <t>Century Link-Idaho(Capital)</t>
  </si>
  <si>
    <t>Century Link-Oregon(Malhuer)</t>
  </si>
  <si>
    <t>United Private Networks</t>
  </si>
  <si>
    <t>BPA-PF NITSA</t>
  </si>
  <si>
    <t>Pre August 1, 2008 Rates</t>
  </si>
  <si>
    <t>August 1, 2008 - May 31, 2012 Rates</t>
  </si>
  <si>
    <t>Post May 31, 2012 Rates</t>
  </si>
  <si>
    <t xml:space="preserve">  2.95% Series due 2022…</t>
  </si>
  <si>
    <t xml:space="preserve">  4.30% Series due 2042…</t>
  </si>
  <si>
    <t>Langley Gulch Power Plant</t>
  </si>
  <si>
    <t>010132</t>
  </si>
  <si>
    <t>020132</t>
  </si>
  <si>
    <t>030133</t>
  </si>
  <si>
    <t>030132</t>
  </si>
  <si>
    <t>040133</t>
  </si>
  <si>
    <t>040132</t>
  </si>
  <si>
    <t>050034</t>
  </si>
  <si>
    <t>050133</t>
  </si>
  <si>
    <t>060034</t>
  </si>
  <si>
    <t>060133</t>
  </si>
  <si>
    <t>060132</t>
  </si>
  <si>
    <t>070034</t>
  </si>
  <si>
    <t>070133</t>
  </si>
  <si>
    <t>080133</t>
  </si>
  <si>
    <t>090133</t>
  </si>
  <si>
    <t>100133</t>
  </si>
  <si>
    <t>110133</t>
  </si>
  <si>
    <t>120133</t>
  </si>
  <si>
    <t>Schedule 2 less (Accounts 561 and 565 from Rate Calculation tab)</t>
  </si>
  <si>
    <t>Total 2012</t>
  </si>
  <si>
    <t>FF1 p350-351  2h + 4h</t>
  </si>
  <si>
    <t>TW Telecom</t>
  </si>
  <si>
    <t>Zayo</t>
  </si>
  <si>
    <t>Optix Media</t>
  </si>
  <si>
    <t>Wtechlink</t>
  </si>
  <si>
    <t>Brian Patterson</t>
  </si>
  <si>
    <t>JAN AMORTIZATION</t>
  </si>
  <si>
    <t>Carl Bond</t>
  </si>
  <si>
    <t>Dana Rasmussen</t>
  </si>
  <si>
    <t>John Vanderwalker</t>
  </si>
  <si>
    <t>Meadow Outdoor Advertising</t>
  </si>
  <si>
    <t>Motive Power</t>
  </si>
  <si>
    <t>Oxbow Christian Fellowship</t>
  </si>
  <si>
    <t>Rudy &amp; Colleen Gingerich</t>
  </si>
  <si>
    <t>Sam Rosti</t>
  </si>
  <si>
    <t>Snake River PCS</t>
  </si>
  <si>
    <t>T&amp;K Farms</t>
  </si>
  <si>
    <t>Tara Farms</t>
  </si>
  <si>
    <t>Thomas McKim</t>
  </si>
  <si>
    <t>US Air Force</t>
  </si>
  <si>
    <t>Verizon Wireless</t>
  </si>
  <si>
    <t>JAN REV INVOICED IN DEC</t>
  </si>
  <si>
    <t>010133</t>
  </si>
  <si>
    <t>FEB AMORTIZATION</t>
  </si>
  <si>
    <t>FEB REV INVOICED IN JAN</t>
  </si>
  <si>
    <t>MAR AMORTIZATION</t>
  </si>
  <si>
    <t>Byrl &amp; Tiz Landers</t>
  </si>
  <si>
    <t>Diamond Livestock</t>
  </si>
  <si>
    <t>Gary Holmstead</t>
  </si>
  <si>
    <t>Jentzsch-Kearl Farms</t>
  </si>
  <si>
    <t>Will Rowe</t>
  </si>
  <si>
    <t>MAR REV INVOICED IN FEB</t>
  </si>
  <si>
    <t>APR AMORTIZATION</t>
  </si>
  <si>
    <t>Dead Horse Ranch LLC</t>
  </si>
  <si>
    <t>Kenneth &amp; Julie Tew</t>
  </si>
  <si>
    <t>WilTell Comm (Level 3)</t>
  </si>
  <si>
    <t>APR REV INVOICED IN MAR</t>
  </si>
  <si>
    <t>TCP Income</t>
  </si>
  <si>
    <t>MAY AMORTIZATION</t>
  </si>
  <si>
    <t>Charley Kindall</t>
  </si>
  <si>
    <t>Dale Meeks</t>
  </si>
  <si>
    <t>Dan Forsea</t>
  </si>
  <si>
    <t>Marlin Mussmann</t>
  </si>
  <si>
    <t>MAY REV INVOICED IN APR</t>
  </si>
  <si>
    <t>JUN REV INVOICED IN MAY</t>
  </si>
  <si>
    <t>Joe &amp; Cindy Knight</t>
  </si>
  <si>
    <t>Mike &amp; Sarita Raney</t>
  </si>
  <si>
    <t>Williams Pipeline</t>
  </si>
  <si>
    <t>JUL REV INVOICED IN JUN</t>
  </si>
  <si>
    <t>State of Idaho</t>
  </si>
  <si>
    <t>AUG AMORTIZATION</t>
  </si>
  <si>
    <t>Bart 4 LLC</t>
  </si>
  <si>
    <t>Dwight Hill</t>
  </si>
  <si>
    <t>AUG REV INVOICED IN JUL</t>
  </si>
  <si>
    <t>SEP AMORTIZATION</t>
  </si>
  <si>
    <t>King Hill Irrigation</t>
  </si>
  <si>
    <t>SEP REV INVOICED IN AUG</t>
  </si>
  <si>
    <t>OCT AMORTIZATION</t>
  </si>
  <si>
    <t>Eastwind Community Church</t>
  </si>
  <si>
    <t>OCT REV INVOICED IN SEP</t>
  </si>
  <si>
    <t>NOV AMORTIZATION</t>
  </si>
  <si>
    <t>NOV REV INVOICED IN OCT</t>
  </si>
  <si>
    <t>DEC AMORTIZATION</t>
  </si>
  <si>
    <t>DEC REV INVOICED IN NOV</t>
  </si>
  <si>
    <t>CLP Income</t>
  </si>
  <si>
    <t>LSP Income</t>
  </si>
  <si>
    <t>MDP Income</t>
  </si>
  <si>
    <t>27345164</t>
  </si>
  <si>
    <t>27365497</t>
  </si>
  <si>
    <t>27337899</t>
  </si>
  <si>
    <t xml:space="preserve">  2.50% Series due 2023...</t>
  </si>
  <si>
    <t xml:space="preserve">  4.00% Series due 2043...</t>
  </si>
  <si>
    <t>5/1/2012-1/1/2021</t>
  </si>
  <si>
    <t>27351266 - LGSY PREVENTATIVE MAINTENANCE</t>
  </si>
  <si>
    <t>27351267 - LGSY CORRECTIVE MAINTENANCE</t>
  </si>
  <si>
    <t>Valmy Substation</t>
  </si>
  <si>
    <t>Depreciation Jan 1 - Dec 31</t>
  </si>
  <si>
    <t>Twin Falls Cluster Group</t>
  </si>
  <si>
    <t>Twin Falls cluster - Phase 2</t>
  </si>
  <si>
    <t>Twin Falls cluster - Phase 3</t>
  </si>
  <si>
    <t>Twin Falls cluster - Phase 5</t>
  </si>
  <si>
    <t>Twin Falls cluster - Phase 5 1/</t>
  </si>
  <si>
    <t>Using 2013 PBOP</t>
  </si>
  <si>
    <t>Difference</t>
  </si>
  <si>
    <t>Misc. difference</t>
  </si>
  <si>
    <t>Application fees:</t>
  </si>
  <si>
    <t>Total invoiced:</t>
  </si>
  <si>
    <t>Recorded to 454 revenue in error:</t>
  </si>
  <si>
    <t>FOR RATES EFFECTIVE OCTOBER 1, 2015 - SEPTEMBER 30, 2016</t>
  </si>
  <si>
    <t>FOR THE TWELVE MONTHS ENDED DECEMBER 31, 2014</t>
  </si>
  <si>
    <t>-Use 2014 formula rate as the base</t>
  </si>
  <si>
    <t>-Substitute 2013 PBOPs for 2014 PBOPs in the 2014 formula rate</t>
  </si>
  <si>
    <t>2014 Amount in Account 926</t>
  </si>
  <si>
    <t>Less 2013 Amount in Account 926</t>
  </si>
  <si>
    <t>2014 Monthly Rate minus 2014 Monthly Rate using 2013 PBOP</t>
  </si>
  <si>
    <t>12 Months Ended 12/31/2014</t>
  </si>
  <si>
    <t>27363963</t>
  </si>
  <si>
    <t>27351713</t>
  </si>
  <si>
    <t>27351714</t>
  </si>
  <si>
    <t>27351715</t>
  </si>
  <si>
    <t>27351719</t>
  </si>
  <si>
    <t>27351720</t>
  </si>
  <si>
    <t>27351721</t>
  </si>
  <si>
    <t>27358334</t>
  </si>
  <si>
    <t>27358345</t>
  </si>
  <si>
    <t>27363542</t>
  </si>
  <si>
    <t>27368422</t>
  </si>
  <si>
    <t>27369315</t>
  </si>
  <si>
    <t>27381108</t>
  </si>
  <si>
    <t>27381321</t>
  </si>
  <si>
    <t>27385312</t>
  </si>
  <si>
    <t>27389924</t>
  </si>
  <si>
    <t>27395409</t>
  </si>
  <si>
    <t>27396322</t>
  </si>
  <si>
    <t>27408870</t>
  </si>
  <si>
    <t>27408999</t>
  </si>
  <si>
    <t>27119467</t>
  </si>
  <si>
    <t>27119487</t>
  </si>
  <si>
    <t>27337935</t>
  </si>
  <si>
    <t>27344577</t>
  </si>
  <si>
    <t>27344944</t>
  </si>
  <si>
    <t>27346448</t>
  </si>
  <si>
    <t>27363249</t>
  </si>
  <si>
    <t>27373156</t>
  </si>
  <si>
    <t>27374341</t>
  </si>
  <si>
    <t>27378332</t>
  </si>
  <si>
    <t>27378334</t>
  </si>
  <si>
    <t>27378377</t>
  </si>
  <si>
    <t>27388120</t>
  </si>
  <si>
    <t>27394804</t>
  </si>
  <si>
    <t>27395603</t>
  </si>
  <si>
    <t>27395956</t>
  </si>
  <si>
    <t>27396270</t>
  </si>
  <si>
    <t>27396693</t>
  </si>
  <si>
    <t>27396789</t>
  </si>
  <si>
    <t>27400078</t>
  </si>
  <si>
    <t>27403134</t>
  </si>
  <si>
    <t>27403838</t>
  </si>
  <si>
    <t>27350388</t>
  </si>
  <si>
    <t>27361247</t>
  </si>
  <si>
    <t>27365538</t>
  </si>
  <si>
    <t>27351266 - LGSY PREVENTIVE MAINTENANCE</t>
  </si>
  <si>
    <t>Pacificorp Inc.</t>
  </si>
  <si>
    <t>Sierra Pacific Power Co.</t>
  </si>
  <si>
    <t>Seattle City Light</t>
  </si>
  <si>
    <t>Southern California Edison</t>
  </si>
  <si>
    <t>Powerex Corporation</t>
  </si>
  <si>
    <t>Nevada Power Company</t>
  </si>
  <si>
    <t>Northwestern Energy</t>
  </si>
  <si>
    <t>MacQuarie Cook</t>
  </si>
  <si>
    <t>Endure Energy</t>
  </si>
  <si>
    <t>Constellation Energy</t>
  </si>
  <si>
    <t>Sempra Energy</t>
  </si>
  <si>
    <t>Avista Corporation</t>
  </si>
  <si>
    <t>Black Hills Power Inc.</t>
  </si>
  <si>
    <t>Shell Energy North America (US), LP</t>
  </si>
  <si>
    <t>United Materials of Great Falls</t>
  </si>
  <si>
    <t xml:space="preserve">included on this Schedule 4 Workpaper, page 6, on line 28 and in the totals on lines 30 and 32.  </t>
  </si>
  <si>
    <t>Total Fees for 2014</t>
  </si>
  <si>
    <t>454101 &amp; 454102 - G/L balance 12/31/14</t>
  </si>
  <si>
    <t>Albion Telephone</t>
  </si>
  <si>
    <t>Distribution Power Boxes</t>
  </si>
  <si>
    <t>St. Alphonsus Nampa</t>
  </si>
  <si>
    <t>Vale School District</t>
  </si>
  <si>
    <t>Zito Media</t>
  </si>
  <si>
    <t>Involta</t>
  </si>
  <si>
    <t>Pacificorp, Inc.</t>
  </si>
  <si>
    <t>454151</t>
  </si>
  <si>
    <t>Allied Wireless Comm</t>
  </si>
  <si>
    <t>2013 RENT ADJ</t>
  </si>
  <si>
    <t>A Hilldale - Salmon Sub</t>
  </si>
  <si>
    <t>AT&amp;T Mobility (IDI-06356) Hagerman</t>
  </si>
  <si>
    <t>Bob Watkins Homedale House</t>
  </si>
  <si>
    <t>454152</t>
  </si>
  <si>
    <t>IPTV Picabo Communication Site</t>
  </si>
  <si>
    <t>Lamar Outdoor Advertising</t>
  </si>
  <si>
    <t>O. Scott &amp; Rebecca Guthrie</t>
  </si>
  <si>
    <t>Philip Bradley - Dry Crk Sub Prj</t>
  </si>
  <si>
    <t>Steve Kittleson</t>
  </si>
  <si>
    <t>T-Mobile CHQ Pent (SL02106A)</t>
  </si>
  <si>
    <t>Wallowa-Whitman Natl Forest</t>
  </si>
  <si>
    <t>Dawson Drilling</t>
  </si>
  <si>
    <t>Divotz</t>
  </si>
  <si>
    <t>McFarland Cascade</t>
  </si>
  <si>
    <t>Sprint</t>
  </si>
  <si>
    <t>State of Idaho Grove</t>
  </si>
  <si>
    <t>USPS Oxbow</t>
  </si>
  <si>
    <t>624</t>
  </si>
  <si>
    <t>Misc Cash Acctg ID 0000294722</t>
  </si>
  <si>
    <t>Cascade House Rental 841</t>
  </si>
  <si>
    <t>MONTHLY LAND LEASE</t>
  </si>
  <si>
    <t>Cascade House Rental 842</t>
  </si>
  <si>
    <t>The Nielsen Group</t>
  </si>
  <si>
    <t>Divotz Q4 2013</t>
  </si>
  <si>
    <t>QTR LAND LEASE REVENUE</t>
  </si>
  <si>
    <t>Jami Turner</t>
  </si>
  <si>
    <t>Salmon Falls</t>
  </si>
  <si>
    <t>Misc Cash Acctg ID 0000296453</t>
  </si>
  <si>
    <t>Brownlee Trailer Parking Lot</t>
  </si>
  <si>
    <t>Misc Cash Acctg ID 0000296895</t>
  </si>
  <si>
    <t>020133</t>
  </si>
  <si>
    <t>Amy Rebholtz</t>
  </si>
  <si>
    <t>2014 RENT ADJ</t>
  </si>
  <si>
    <t>CPI INCREASE</t>
  </si>
  <si>
    <t>Misc Cash Acctg ID 0000298230</t>
  </si>
  <si>
    <t>Dwight HIll</t>
  </si>
  <si>
    <t>Deven Thompson</t>
  </si>
  <si>
    <t>ANNUAL LAND LEASE</t>
  </si>
  <si>
    <t>Diamond Livestock-Jay Faulkner</t>
  </si>
  <si>
    <t>Misc Cash Acctg ID 0000300476</t>
  </si>
  <si>
    <t>Divotz Q1 2014</t>
  </si>
  <si>
    <t>Misc Cash Acctg ID 0000302296</t>
  </si>
  <si>
    <t>JUN AMORIZATION</t>
  </si>
  <si>
    <t>Misc Cash Acctg ID 0000303180</t>
  </si>
  <si>
    <t>Ralph Wadsworth</t>
  </si>
  <si>
    <t>JUL AMORTIZATION</t>
  </si>
  <si>
    <t>Misc Cash Acctg ID 0000305091</t>
  </si>
  <si>
    <t>Divotz Q2 2014</t>
  </si>
  <si>
    <t>Rasmussen</t>
  </si>
  <si>
    <t>Colyer Catter</t>
  </si>
  <si>
    <t>US AIR FORCE</t>
  </si>
  <si>
    <t>Divotz Q3 2014</t>
  </si>
  <si>
    <t xml:space="preserve">Brian Patterson </t>
  </si>
  <si>
    <t xml:space="preserve">Tara Farms </t>
  </si>
  <si>
    <t>Misc Cash Acctg ID 0000312775</t>
  </si>
  <si>
    <t>CLP Income 07/14</t>
  </si>
  <si>
    <t>CLP Income 08/14</t>
  </si>
  <si>
    <t>CLP Income 09/14</t>
  </si>
  <si>
    <t>LSP Income 07/14</t>
  </si>
  <si>
    <t>LSP Income 08/14</t>
  </si>
  <si>
    <t>LSP Income 09/14</t>
  </si>
  <si>
    <t>MDP Income 07/14</t>
  </si>
  <si>
    <t>MDP Income 08/14</t>
  </si>
  <si>
    <t>MDP Income 09/14</t>
  </si>
  <si>
    <t>TCP Income 07/14</t>
  </si>
  <si>
    <t>TCP Income 08/14</t>
  </si>
  <si>
    <t>TCP Income 09/14</t>
  </si>
  <si>
    <t>FF1 p 321  85b to 92b</t>
  </si>
  <si>
    <t>This is the average rate for 2014.</t>
  </si>
  <si>
    <t>FF1 p 112 3c</t>
  </si>
  <si>
    <t>FF1  p 112 16c</t>
  </si>
  <si>
    <t>General Plant Accum Depr (excluding Asset Retirement Costs)</t>
  </si>
  <si>
    <t>Trans Related General Plant Depr</t>
  </si>
  <si>
    <t>FF1 p214 2d + 9d + 22d</t>
  </si>
  <si>
    <t>FOAB (Soc Sec) and Unemp Tax</t>
  </si>
  <si>
    <t>FF1 pp262-263 8i, 18i, 27i, 31i, 36i</t>
  </si>
  <si>
    <t>FF1 pp262-263 3i, 4i, 12i, 22i</t>
  </si>
  <si>
    <t>FF1 p 321 112b - (0+14190.72)</t>
  </si>
  <si>
    <t>BRIDGER TZRS2011C001 RAS PHASE II, Upgrades to Jim Bridger RAS settings.</t>
  </si>
  <si>
    <t>BOBN REPLACE C233 AND C234 SERIES CAPACITOR BANKS, Replaced two 230 kV series capacitor in the Boise Bench - Brownlee 230 kV lines.</t>
  </si>
  <si>
    <t>A01100001 BORAH - CIP PHYSICAL SECURITY, Added required CIP physical security to the substation.</t>
  </si>
  <si>
    <t>A01100001 BRADY - CIP PHYSICAL SECURITY, Added required CIP physical security to the substation.</t>
  </si>
  <si>
    <t>A01100001 KINPORT - CIP PHYSICAL SECURITY, Added required CIP physical security to the substation.</t>
  </si>
  <si>
    <t>A01100001 MIDPOINT 345/500 - CIP PHYSICAL SECURITY, Added required CIP physical security to the substation.</t>
  </si>
  <si>
    <t>A01100001 BROWNLEE SWITCHYARD - CIP PHYSICAL SECURITY, Added required CIP physical security to the substation.</t>
  </si>
  <si>
    <t>A01100001 BOISE BENCH - CIP (CRITICAL INFRASTRUCTURE PROTECTION) PHYSICAL SECURITY, Added required CIP physical security to the substation.</t>
  </si>
  <si>
    <t>BOMT120001 - ADD NEW 138KV TERMINAL FOR HPVY/CHUT LINE, Added 138kV line terminal for the new Bowmont to Happy Valley 138kV line.</t>
  </si>
  <si>
    <t>HPVY120001 - ADD NEW 138KV TERMINAL FOR BOMT/CHUT LINE, Added 138kV line terminal for the new Bowmont to Happy Valley 138kV line.</t>
  </si>
  <si>
    <t>BOBN REPLACE 110A, 111A, 112A, AND 117Z 138 KV BREAKERS, Replaced Boise Bench 110A, 111A, 112A, and 117Z 138kV power circuit breakers.</t>
  </si>
  <si>
    <t>BRADY REPLACE 230KV &amp; 138KV AIRBREAK SWITCHES, Replacement of 230kV and 138kV airbreaks at Brady Substation.</t>
  </si>
  <si>
    <t>DONN120001 - REPLACE 101A, 104A AND 105A, Replaced Don 101A, 104A, and 105A 138kV power circuit breakers.</t>
  </si>
  <si>
    <t>SAMN ADD PTSN &amp; TNDY 69 KV LINE TERMINALS, Added 69kV line terminals and power circuit breakers for the Salmon - Tendoy and Salmon - Peterson 69kV lines.</t>
  </si>
  <si>
    <t>LIME120001 REPL 061A, Replaced Lime 061A 69kV power circuit breaker.</t>
  </si>
  <si>
    <t>BLPR130014 FAULT IND RELAY, Added relays at Brownlee Power Plant to report fault locations between the generator step up transformers and the switchyard.</t>
  </si>
  <si>
    <t>PTSN EQUIPMENT FOR CONNECTION TO NW ENERGY, Equipment for connection to new Northwest Energy 230kV ring bus at Peterson.</t>
  </si>
  <si>
    <t>HMWY140001 - RECONSTRUCT STORM WATER DRAINAGE SYSTEM, Replaced drainage system damaged by a flood.</t>
  </si>
  <si>
    <t>REPLACE FAILED TRANSFORMER T131, Replaced failed transformer at Fremont substation.</t>
  </si>
  <si>
    <t>KPRT150001 REPLACE 302Z CIRCUIT SWITCHER, INSTALL AIRBREAK, Replaced Kinport 302Z 345kV circuit switcher.</t>
  </si>
  <si>
    <t>KPRT150001 PURCHASE NEW SPARE 345KV CIRCUIT BREAKER, Purchase of spare 345kV circuit breaker for Kinport.</t>
  </si>
  <si>
    <t>IPC'S SHARE OF BRIDGER-KINPORT TAP INTO POPULUS, IPCs share of the costs to bring the Kinport - Jim Bridger 345kV line into Populus.</t>
  </si>
  <si>
    <t>IPC*SHARE OF BRIDGER-BORAH TAP INTO POPULUS, IPCs share of the costs to bring the Kinport - Jim Bridger 345kV line into Populus.</t>
  </si>
  <si>
    <t>LINE 470 REBUILD 203-213, Capitalized maintenance associated with the Horseflat - Starky 138kV line.</t>
  </si>
  <si>
    <t>SAMN-BKBD 69KV REPLACE FACILITIES, Capitalized maintenance associated with the Salmon - Blackbird Mine 69kV line.</t>
  </si>
  <si>
    <t>IDOT0909 - SH16 FROM HWY 44 TO HWY 20/26, Relocate Eagle - Star 138kV line due to Idaho Transportation Dept project.</t>
  </si>
  <si>
    <t xml:space="preserve">LINE 241 VALE- UNITY 69KV PIN &amp; CROSSARM REPL., Capitalized maintenance associated with the Vale - Unity 69kV line. </t>
  </si>
  <si>
    <t xml:space="preserve">T2341014-ID GEMM-JNVY P&amp;C PROGRAM, Capitalized maintenanced associated with the Gem - Jordan Valley 69kV line. </t>
  </si>
  <si>
    <t>T9070901 RECONDUCTOR LINE 907, Reconductor of the Oxbow - Pallette 230kV line.</t>
  </si>
  <si>
    <t xml:space="preserve">T950130001-MPSN-BORA#1 345KV LIDAR, Capitalized maintenance associated with the Midpoint - Borah 345kV line. </t>
  </si>
  <si>
    <t>ACHD1209 - USTICK, CLOVERDALE TO FIVE MILE, Reclocation of transmission facilities due to Ada County Highway District project.</t>
  </si>
  <si>
    <t xml:space="preserve">T163130001 CORRECT PRIORITY 2-3 ITEMS IDENT BY PATROLMAN, Capitalized maintenance associated with the Blackfoot - Rockford - Lava 46kV line. </t>
  </si>
  <si>
    <t xml:space="preserve">T220130001 REPAIR PRIORITY 2 ITEMS IDEN BY PATROLMAN, Capitalized maintenance associated with the Thousand Springs - Jarbidge 69kV line. </t>
  </si>
  <si>
    <t xml:space="preserve">LINE 426, KING-AMERICAN FALLS TS 138,  CORRECT PRIORITY 2 IT, Capitalized maintenance associated with the King - American Falls 138kV line. </t>
  </si>
  <si>
    <t>T409130001 BRADY-FRMNT-TERRY-SIPHON-KINPORT 10 YR MAINT, Capitalized maintenance associated with the Brady - Don - Fremont and Kinport - Siphon 138kV lines.</t>
  </si>
  <si>
    <t>T410140001-LIDAR KING-L MALAD-BL MESA-MT HOME-MICRON-BOBN, Capitalized maintenance associated with the King - Boise Bench 138kV line.</t>
  </si>
  <si>
    <t>T4791101 CONSTRUCT BOWMONT - HAPPY VALLEY 138KV LINE, Construction of new 138kV line from Bowmont to Happy Valley.  Reinforce the Nampa/Caldwell transmission system.</t>
  </si>
  <si>
    <t xml:space="preserve">T602140001 LIDAR BLACKFOOT-GOSHEN 161KV, Capitalized maintenance associated with the Blackfoot - Goshen 161kV line. </t>
  </si>
  <si>
    <t xml:space="preserve">T711140001 LIDAR BOBN-CALDWELL 230KV, Capitalized maintenance associated with the Boise Bench - Caldwell 230kV line. </t>
  </si>
  <si>
    <t xml:space="preserve">T407140002 LIDAR UPPER SALMON A-CLIFF 138KV, Capitalized maintenance associated with the Upper Salmon - Cliff 138kV line. </t>
  </si>
  <si>
    <t>US34140001 - LINE 431 INSTALL OPGW KING-US34, Installation of optical ground wire on Upper Salmon - King 138kV line.</t>
  </si>
  <si>
    <t xml:space="preserve">T431140001 LIDAR UPPER SALMON A-UPPPER SALMON B-KING 138KV, Capitalized maintenanced associated with the Upper Salmon - King 138kV line. </t>
  </si>
  <si>
    <t xml:space="preserve">T3281001 EMET-WMLK 2014 MAINTENANCE, Capitalized maintenance associated with the Emmett - Cascade Power - Warm Lake 69kV line. </t>
  </si>
  <si>
    <t>T216 REBUILD 69KV LINE FROM BROWNLEE TO HALFWAY 10 MI., Rebuild of Brownlee - Halfway 69kV line.</t>
  </si>
  <si>
    <t>CHUT1001 - ADD (2) 138KV BREAKERS, Add two 138kV power circuit breakers to accommodate new Bowmont to Happy Valley 138kV line.</t>
  </si>
  <si>
    <t>MLNR REPLACE 051A &amp; 052A BREAKERS, Replaced Milner 051A and 052A power circuit breakers.</t>
  </si>
  <si>
    <t>BOBN REPLACE BLPR EAST OMS PC &amp; UPGRADE OMS PLC, Replaced the Brownlee East remedial action scheme controllers.</t>
  </si>
  <si>
    <t>MNJ1060100 NEW COMM BUILDING, Added control building at Mountain Home Junction #1 substation for new communication equipment.</t>
  </si>
  <si>
    <t>Elk River reserve</t>
  </si>
  <si>
    <t>Garden Valley Cable reserve</t>
  </si>
  <si>
    <t>Zito Idaho reserve</t>
  </si>
  <si>
    <t>CenturyLink settlement</t>
  </si>
  <si>
    <t>Westel Fiber settlement</t>
  </si>
  <si>
    <t>2014 pole attachment fees not invoiced/recorded until 2015</t>
  </si>
  <si>
    <t>FF1 p 323 197 b - ($0 for 2014)</t>
  </si>
  <si>
    <t>Twin Falls cluster - Phase 4</t>
  </si>
  <si>
    <t>3/ PacifiCorp has entered into three new LT Firm PTP reservations that are effective upon elimination of the Legacy Agreements.</t>
  </si>
  <si>
    <t>Legacy Agreement elimination -7/1/2020</t>
  </si>
  <si>
    <t>BORA/LGBP</t>
  </si>
  <si>
    <t>BORA/ENPR</t>
  </si>
  <si>
    <t xml:space="preserve">1/ Firm Network Service For Self reported in the Form 1, page 400, column (e) is computed as column (b) minus (f) minus (g) minus (i).  In the Form 1, column (b) excludes Short Term Firm Point to Point Reservations (column I in the Form 1).  For purposes of computing the load divisor for the OATT, Firm Network Service For Self is the Total Schedule 5 (D) minus Firm Network Service For Others minus Long Term Firm PTP Reservations.  </t>
  </si>
  <si>
    <t>BPA-Raft River</t>
  </si>
  <si>
    <t xml:space="preserve">  </t>
  </si>
  <si>
    <t>FF1 p 330 8n x 35%</t>
  </si>
  <si>
    <t>Reservations 1/</t>
  </si>
  <si>
    <t>1/ On October 24, 2014, PacifiCorp and Idaho Power entered into a Joint Purchase and Sale Agreement and a Termination Agreement that will, when closing occurs, result in the elimination of the Legacy Agreements included in Monthly Peak MW Totals on FORM 1, p400(b).  Upon elimination of the Legacy Agreements, three new LT Firm PTP reservations of PacifiCorp's will become effective.</t>
  </si>
  <si>
    <t>Idaho Power Company Informational Filing For Rates Effective October 1, 2015 through September 30, 2016</t>
  </si>
  <si>
    <t>Using 2014 PBOP</t>
  </si>
  <si>
    <t>2013 - 2014</t>
  </si>
  <si>
    <t>Transmission Power Boxes</t>
  </si>
  <si>
    <t>73147240 &amp; 78385690</t>
  </si>
  <si>
    <t>06/01/2009-07/01/2019</t>
  </si>
  <si>
    <t xml:space="preserve">2/ On October 24, 2014, PacifiCorp and Idaho Power entered into a Joint Purchase and Sale Agreement and a Termination Agreement that will, when closing occurs, result in the elimination of the Legacy Agreements.  </t>
  </si>
</sst>
</file>

<file path=xl/styles.xml><?xml version="1.0" encoding="utf-8"?>
<styleSheet xmlns="http://schemas.openxmlformats.org/spreadsheetml/2006/main">
  <numFmts count="4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0000_);_(* \(#,##0.00000\);_(* &quot;-&quot;??_);_(@_)"/>
    <numFmt numFmtId="166" formatCode="_(&quot;$&quot;* #,##0_);_(&quot;$&quot;* \(#,##0\);_(&quot;$&quot;* &quot;-&quot;??_);_(@_)"/>
    <numFmt numFmtId="167" formatCode="_(* #,##0.00_);_(* \(#,##0.00\);_(* &quot;-&quot;_);_(@_)"/>
    <numFmt numFmtId="168" formatCode="#,##0.0000_);\(#,##0.0000\)"/>
    <numFmt numFmtId="169" formatCode="0.00000"/>
    <numFmt numFmtId="170" formatCode="_(* #,##0.000000000_);_(* \(#,##0.000000000\);_(* &quot;-&quot;??_);_(@_)"/>
    <numFmt numFmtId="171" formatCode="_(* #,##0.000000_);_(* \(#,##0.000000\);_(* &quot;-&quot;??_);_(@_)"/>
    <numFmt numFmtId="172" formatCode="#,##0.0"/>
    <numFmt numFmtId="173" formatCode="#,##0.000000000"/>
    <numFmt numFmtId="174" formatCode="_(* #,##0.0000_);_(* \(#,##0.0000\);_(* &quot;-&quot;_);_(@_)"/>
    <numFmt numFmtId="175" formatCode="_(* #,##0.0000000000_);_(* \(#,##0.0000000000\);_(* &quot;-&quot;??_);_(@_)"/>
    <numFmt numFmtId="176" formatCode="&quot;$&quot;#,##0"/>
    <numFmt numFmtId="177" formatCode="0.000"/>
    <numFmt numFmtId="178" formatCode="&quot;$&quot;#,##0.0"/>
    <numFmt numFmtId="179" formatCode="&quot;$&quot;#,##0.0_);\(&quot;$&quot;#,##0.0\)"/>
    <numFmt numFmtId="180" formatCode="0.000%"/>
    <numFmt numFmtId="181" formatCode="General_)"/>
    <numFmt numFmtId="182" formatCode="#,##0.0_);\(#,##0.0\)"/>
    <numFmt numFmtId="183" formatCode="0.000_)"/>
    <numFmt numFmtId="184" formatCode="_(* #,##0.0000_);_(* \(#,##0.0000\);_(* &quot;-&quot;??_);_(@_)"/>
    <numFmt numFmtId="185" formatCode="0.0000"/>
    <numFmt numFmtId="186" formatCode="&quot;$&quot;#,##0.00"/>
    <numFmt numFmtId="187" formatCode="m/d/yy"/>
    <numFmt numFmtId="188" formatCode="[$-409]mmmm\ d\,\ yyyy;@"/>
    <numFmt numFmtId="189" formatCode="&quot;$&quot;#,##0.0000"/>
    <numFmt numFmtId="190" formatCode="mm/dd/yy;@"/>
    <numFmt numFmtId="191" formatCode="dd\-mmm\-yy_)"/>
    <numFmt numFmtId="192" formatCode="0_);\(0\)"/>
    <numFmt numFmtId="193" formatCode="_(* #,##0.000_);_(* \(#,##0.000\);_(* &quot;-&quot;??_);_(@_)"/>
    <numFmt numFmtId="194" formatCode="0.0"/>
    <numFmt numFmtId="195" formatCode="_([$€-2]* #,##0.00_);_([$€-2]* \(#,##0.00\);_([$€-2]* &quot;-&quot;??_)"/>
    <numFmt numFmtId="196" formatCode="_(* #,##0.000000000000_);_(* \(#,##0.000000000000\);_(* &quot;-&quot;??_);_(@_)"/>
    <numFmt numFmtId="197" formatCode="_(* #,##0.00000_);_(* \(#,##0.00000\);_(* &quot;-&quot;_);_(@_)"/>
    <numFmt numFmtId="198" formatCode="mmmm\ d\,\ yyyy"/>
    <numFmt numFmtId="199" formatCode="&quot;$&quot;#,##0\ ;\(&quot;$&quot;#,##0\)"/>
    <numFmt numFmtId="200" formatCode="0.00_);\(0.00\)"/>
  </numFmts>
  <fonts count="138">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sz val="10"/>
      <name val="Arial"/>
      <family val="2"/>
    </font>
    <font>
      <b/>
      <sz val="12"/>
      <name val="Arial"/>
      <family val="2"/>
    </font>
    <font>
      <u/>
      <sz val="10"/>
      <name val="Arial"/>
      <family val="2"/>
    </font>
    <font>
      <b/>
      <u/>
      <sz val="10"/>
      <name val="Arial"/>
      <family val="2"/>
    </font>
    <font>
      <u val="singleAccounting"/>
      <sz val="10"/>
      <name val="Arial"/>
      <family val="2"/>
    </font>
    <font>
      <sz val="8"/>
      <name val="Arial"/>
      <family val="2"/>
    </font>
    <font>
      <sz val="10"/>
      <name val="Courier"/>
      <family val="3"/>
    </font>
    <font>
      <b/>
      <sz val="10"/>
      <name val="MS Sans Serif"/>
      <family val="2"/>
    </font>
    <font>
      <sz val="10"/>
      <name val="MS Sans Serif"/>
      <family val="2"/>
    </font>
    <font>
      <sz val="8"/>
      <name val="MS Sans Serif"/>
      <family val="2"/>
    </font>
    <font>
      <sz val="10"/>
      <color indexed="10"/>
      <name val="Arial"/>
      <family val="2"/>
    </font>
    <font>
      <sz val="10"/>
      <name val="Arial Unicode MS"/>
      <family val="2"/>
    </font>
    <font>
      <b/>
      <i/>
      <sz val="12"/>
      <name val="Arial"/>
      <family val="2"/>
    </font>
    <font>
      <b/>
      <sz val="12"/>
      <color indexed="10"/>
      <name val="Arial"/>
      <family val="2"/>
    </font>
    <font>
      <b/>
      <i/>
      <sz val="10"/>
      <name val="Arial"/>
      <family val="2"/>
    </font>
    <font>
      <sz val="11"/>
      <color indexed="8"/>
      <name val="Calibri"/>
      <family val="2"/>
    </font>
    <font>
      <sz val="10"/>
      <name val="Arial Unicode MS"/>
      <family val="2"/>
    </font>
    <font>
      <b/>
      <sz val="10"/>
      <name val="Arial Unicode MS"/>
      <family val="2"/>
    </font>
    <font>
      <sz val="11"/>
      <color theme="1"/>
      <name val="Calibri"/>
      <family val="2"/>
      <scheme val="minor"/>
    </font>
    <font>
      <i/>
      <sz val="10"/>
      <name val="Arial"/>
      <family val="2"/>
    </font>
    <font>
      <sz val="10"/>
      <name val="Tahoma"/>
      <family val="2"/>
    </font>
    <font>
      <sz val="10"/>
      <color rgb="FFFF0000"/>
      <name val="Arial"/>
      <family val="2"/>
    </font>
    <font>
      <b/>
      <sz val="12"/>
      <color rgb="FFFF0000"/>
      <name val="Arial"/>
      <family val="2"/>
    </font>
    <font>
      <b/>
      <i/>
      <sz val="12"/>
      <color rgb="FFFF0000"/>
      <name val="Arial"/>
      <family val="2"/>
    </font>
    <font>
      <u/>
      <sz val="10"/>
      <name val="Arial Unicode MS"/>
      <family val="2"/>
    </font>
    <font>
      <sz val="9"/>
      <name val="Arial"/>
      <family val="2"/>
    </font>
    <font>
      <b/>
      <sz val="14"/>
      <color rgb="FFFF000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0"/>
      <name val="Arial"/>
      <family val="2"/>
    </font>
    <font>
      <sz val="10"/>
      <color indexed="8"/>
      <name val="Cambria"/>
      <family val="2"/>
    </font>
    <font>
      <sz val="10"/>
      <color indexed="9"/>
      <name val="Cambria"/>
      <family val="2"/>
    </font>
    <font>
      <sz val="10"/>
      <color indexed="20"/>
      <name val="Cambria"/>
      <family val="2"/>
    </font>
    <font>
      <b/>
      <sz val="10"/>
      <color indexed="52"/>
      <name val="Cambria"/>
      <family val="2"/>
    </font>
    <font>
      <b/>
      <sz val="10"/>
      <color indexed="9"/>
      <name val="Cambria"/>
      <family val="2"/>
    </font>
    <font>
      <i/>
      <sz val="10"/>
      <color indexed="23"/>
      <name val="Cambria"/>
      <family val="2"/>
    </font>
    <font>
      <sz val="10"/>
      <color indexed="17"/>
      <name val="Cambria"/>
      <family val="2"/>
    </font>
    <font>
      <b/>
      <sz val="15"/>
      <color indexed="56"/>
      <name val="Cambria"/>
      <family val="2"/>
    </font>
    <font>
      <b/>
      <sz val="13"/>
      <color indexed="56"/>
      <name val="Cambria"/>
      <family val="2"/>
    </font>
    <font>
      <b/>
      <sz val="11"/>
      <color indexed="56"/>
      <name val="Cambria"/>
      <family val="2"/>
    </font>
    <font>
      <sz val="10"/>
      <color indexed="62"/>
      <name val="Cambria"/>
      <family val="2"/>
    </font>
    <font>
      <sz val="10"/>
      <color indexed="52"/>
      <name val="Cambria"/>
      <family val="2"/>
    </font>
    <font>
      <sz val="10"/>
      <color indexed="60"/>
      <name val="Cambria"/>
      <family val="2"/>
    </font>
    <font>
      <b/>
      <sz val="10"/>
      <color indexed="63"/>
      <name val="Cambria"/>
      <family val="2"/>
    </font>
    <font>
      <b/>
      <sz val="18"/>
      <color indexed="56"/>
      <name val="Cambria"/>
      <family val="2"/>
    </font>
    <font>
      <b/>
      <sz val="10"/>
      <color indexed="8"/>
      <name val="Cambria"/>
      <family val="2"/>
    </font>
    <font>
      <sz val="10"/>
      <color indexed="10"/>
      <name val="Cambria"/>
      <family val="2"/>
    </font>
    <font>
      <sz val="12"/>
      <color theme="1"/>
      <name val="Arial"/>
      <family val="2"/>
    </font>
    <font>
      <u/>
      <sz val="10"/>
      <color indexed="12"/>
      <name val="Arial"/>
      <family val="2"/>
    </font>
    <font>
      <sz val="12"/>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2"/>
      <color indexed="8"/>
      <name val="Arial"/>
      <family val="2"/>
    </font>
    <font>
      <sz val="12"/>
      <color indexed="10"/>
      <name val="Arial"/>
      <family val="2"/>
    </font>
    <font>
      <b/>
      <sz val="15"/>
      <color theme="3"/>
      <name val="Arial"/>
      <family val="2"/>
    </font>
    <font>
      <b/>
      <sz val="13"/>
      <color theme="3"/>
      <name val="Arial"/>
      <family val="2"/>
    </font>
    <font>
      <b/>
      <sz val="11"/>
      <color theme="3"/>
      <name val="Arial"/>
      <family val="2"/>
    </font>
    <font>
      <sz val="12"/>
      <color rgb="FF006100"/>
      <name val="Arial"/>
      <family val="2"/>
    </font>
    <font>
      <sz val="12"/>
      <color rgb="FF9C0006"/>
      <name val="Arial"/>
      <family val="2"/>
    </font>
    <font>
      <sz val="12"/>
      <color rgb="FF9C6500"/>
      <name val="Arial"/>
      <family val="2"/>
    </font>
    <font>
      <sz val="12"/>
      <color rgb="FF3F3F76"/>
      <name val="Arial"/>
      <family val="2"/>
    </font>
    <font>
      <b/>
      <sz val="12"/>
      <color rgb="FF3F3F3F"/>
      <name val="Arial"/>
      <family val="2"/>
    </font>
    <font>
      <b/>
      <sz val="12"/>
      <color rgb="FFFA7D00"/>
      <name val="Arial"/>
      <family val="2"/>
    </font>
    <font>
      <sz val="12"/>
      <color rgb="FFFA7D00"/>
      <name val="Arial"/>
      <family val="2"/>
    </font>
    <font>
      <b/>
      <sz val="12"/>
      <color theme="0"/>
      <name val="Arial"/>
      <family val="2"/>
    </font>
    <font>
      <sz val="12"/>
      <color rgb="FFFF0000"/>
      <name val="Arial"/>
      <family val="2"/>
    </font>
    <font>
      <i/>
      <sz val="12"/>
      <color rgb="FF7F7F7F"/>
      <name val="Arial"/>
      <family val="2"/>
    </font>
    <font>
      <b/>
      <sz val="12"/>
      <color theme="1"/>
      <name val="Arial"/>
      <family val="2"/>
    </font>
    <font>
      <sz val="12"/>
      <color theme="0"/>
      <name val="Arial"/>
      <family val="2"/>
    </font>
    <font>
      <sz val="10"/>
      <name val="Arial Unicode MS"/>
      <family val="2"/>
    </font>
    <font>
      <b/>
      <sz val="10"/>
      <name val="Arial Unicode MS"/>
      <family val="2"/>
    </font>
    <font>
      <sz val="10"/>
      <name val="MS Sans Serif"/>
      <family val="2"/>
    </font>
    <font>
      <sz val="10"/>
      <color theme="1"/>
      <name val="Arial"/>
      <family val="2"/>
    </font>
    <font>
      <sz val="11"/>
      <color theme="1"/>
      <name val="Calibri"/>
      <family val="2"/>
    </font>
    <font>
      <sz val="12"/>
      <name val="Arial"/>
      <family val="2"/>
    </font>
    <font>
      <sz val="11"/>
      <color theme="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0"/>
      <name val="Helv"/>
    </font>
    <font>
      <sz val="10"/>
      <color indexed="8"/>
      <name val="Arial"/>
      <family val="2"/>
    </font>
    <font>
      <sz val="8"/>
      <color indexed="8"/>
      <name val="Arial"/>
      <family val="2"/>
    </font>
    <font>
      <sz val="18"/>
      <name val="Times New Roman"/>
      <family val="1"/>
    </font>
    <font>
      <sz val="8"/>
      <name val="Times New Roman"/>
      <family val="1"/>
    </font>
    <font>
      <i/>
      <sz val="12"/>
      <name val="Times New Roman"/>
      <family val="1"/>
    </font>
    <font>
      <sz val="18"/>
      <name val="Arial"/>
      <family val="2"/>
    </font>
    <font>
      <i/>
      <sz val="12"/>
      <name val="Arial"/>
      <family val="2"/>
    </font>
    <font>
      <sz val="10"/>
      <name val="Tahoma"/>
      <family val="2"/>
    </font>
    <font>
      <sz val="10"/>
      <color rgb="FF0070C0"/>
      <name val="Arial"/>
      <family val="2"/>
    </font>
    <font>
      <sz val="10"/>
      <name val="Arial Unicode MS"/>
      <family val="2"/>
    </font>
  </fonts>
  <fills count="56">
    <fill>
      <patternFill patternType="none"/>
    </fill>
    <fill>
      <patternFill patternType="gray125"/>
    </fill>
    <fill>
      <patternFill patternType="mediumGray">
        <fgColor indexed="22"/>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40">
    <border>
      <left/>
      <right/>
      <top/>
      <bottom/>
      <diagonal/>
    </border>
    <border>
      <left/>
      <right/>
      <top/>
      <bottom style="medium">
        <color indexed="64"/>
      </bottom>
      <diagonal/>
    </border>
    <border>
      <left style="double">
        <color indexed="64"/>
      </left>
      <right style="double">
        <color indexed="64"/>
      </right>
      <top style="double">
        <color indexed="64"/>
      </top>
      <bottom style="double">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8"/>
      </bottom>
      <diagonal/>
    </border>
    <border>
      <left/>
      <right/>
      <top/>
      <bottom style="double">
        <color indexed="64"/>
      </bottom>
      <diagonal/>
    </border>
    <border>
      <left/>
      <right/>
      <top/>
      <bottom style="double">
        <color indexed="8"/>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28699">
    <xf numFmtId="0" fontId="0" fillId="0" borderId="0"/>
    <xf numFmtId="43" fontId="11" fillId="0" borderId="0" applyFont="0" applyFill="0" applyBorder="0" applyAlignment="0" applyProtection="0"/>
    <xf numFmtId="40" fontId="19" fillId="0" borderId="0" applyFont="0" applyFill="0" applyBorder="0" applyAlignment="0" applyProtection="0"/>
    <xf numFmtId="43" fontId="26" fillId="0" borderId="0" applyFont="0" applyFill="0" applyBorder="0" applyAlignment="0" applyProtection="0"/>
    <xf numFmtId="43" fontId="28" fillId="0" borderId="0" applyFont="0" applyFill="0" applyBorder="0" applyAlignment="0" applyProtection="0"/>
    <xf numFmtId="44" fontId="11" fillId="0" borderId="0" applyFont="0" applyFill="0" applyBorder="0" applyAlignment="0" applyProtection="0"/>
    <xf numFmtId="44" fontId="26" fillId="0" borderId="0" applyFont="0" applyFill="0" applyBorder="0" applyAlignment="0" applyProtection="0"/>
    <xf numFmtId="0" fontId="19" fillId="0" borderId="0"/>
    <xf numFmtId="0" fontId="11" fillId="0" borderId="0"/>
    <xf numFmtId="0" fontId="29" fillId="0" borderId="0"/>
    <xf numFmtId="0" fontId="11" fillId="0" borderId="0"/>
    <xf numFmtId="0" fontId="11" fillId="0" borderId="0"/>
    <xf numFmtId="0" fontId="27" fillId="0" borderId="0"/>
    <xf numFmtId="181" fontId="17" fillId="0" borderId="0"/>
    <xf numFmtId="0" fontId="19" fillId="0" borderId="0"/>
    <xf numFmtId="0" fontId="22" fillId="0" borderId="0"/>
    <xf numFmtId="0" fontId="19" fillId="0" borderId="0"/>
    <xf numFmtId="9" fontId="11" fillId="0" borderId="0" applyFont="0" applyFill="0" applyBorder="0" applyAlignment="0" applyProtection="0"/>
    <xf numFmtId="0" fontId="19" fillId="0" borderId="0" applyNumberFormat="0" applyFont="0" applyFill="0" applyBorder="0" applyAlignment="0" applyProtection="0">
      <alignment horizontal="left"/>
    </xf>
    <xf numFmtId="0" fontId="19" fillId="0" borderId="0" applyNumberFormat="0" applyFont="0" applyFill="0" applyBorder="0" applyAlignment="0" applyProtection="0">
      <alignment horizontal="left"/>
    </xf>
    <xf numFmtId="15" fontId="19" fillId="0" borderId="0" applyFont="0" applyFill="0" applyBorder="0" applyAlignment="0" applyProtection="0"/>
    <xf numFmtId="15" fontId="19" fillId="0" borderId="0" applyFont="0" applyFill="0" applyBorder="0" applyAlignment="0" applyProtection="0"/>
    <xf numFmtId="4" fontId="19" fillId="0" borderId="0" applyFont="0" applyFill="0" applyBorder="0" applyAlignment="0" applyProtection="0"/>
    <xf numFmtId="4" fontId="19" fillId="0" borderId="0" applyFont="0" applyFill="0" applyBorder="0" applyAlignment="0" applyProtection="0"/>
    <xf numFmtId="0" fontId="18" fillId="0" borderId="1">
      <alignment horizontal="center"/>
    </xf>
    <xf numFmtId="0" fontId="18" fillId="0" borderId="1">
      <alignment horizontal="center"/>
    </xf>
    <xf numFmtId="3" fontId="19" fillId="0" borderId="0" applyFont="0" applyFill="0" applyBorder="0" applyAlignment="0" applyProtection="0"/>
    <xf numFmtId="3" fontId="19" fillId="0" borderId="0" applyFont="0" applyFill="0" applyBorder="0" applyAlignment="0" applyProtection="0"/>
    <xf numFmtId="0" fontId="19" fillId="2" borderId="0" applyNumberFormat="0" applyFont="0" applyBorder="0" applyAlignment="0" applyProtection="0"/>
    <xf numFmtId="0" fontId="19" fillId="2" borderId="0" applyNumberFormat="0" applyFont="0" applyBorder="0" applyAlignment="0" applyProtection="0"/>
    <xf numFmtId="0" fontId="11" fillId="0" borderId="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195" fontId="11" fillId="0" borderId="0" applyFont="0" applyFill="0" applyBorder="0" applyAlignment="0" applyProtection="0"/>
    <xf numFmtId="0" fontId="31" fillId="0" borderId="0"/>
    <xf numFmtId="0" fontId="31" fillId="0" borderId="0"/>
    <xf numFmtId="0" fontId="31" fillId="0" borderId="0"/>
    <xf numFmtId="0" fontId="31" fillId="0" borderId="0"/>
    <xf numFmtId="0" fontId="11" fillId="0" borderId="0"/>
    <xf numFmtId="0" fontId="11" fillId="0" borderId="0"/>
    <xf numFmtId="0" fontId="11" fillId="0" borderId="0"/>
    <xf numFmtId="0" fontId="31" fillId="0" borderId="0"/>
    <xf numFmtId="0" fontId="9" fillId="0" borderId="0"/>
    <xf numFmtId="43" fontId="9" fillId="0" borderId="0" applyFont="0" applyFill="0" applyBorder="0" applyAlignment="0" applyProtection="0"/>
    <xf numFmtId="0" fontId="8" fillId="0" borderId="0"/>
    <xf numFmtId="0" fontId="22" fillId="0" borderId="0"/>
    <xf numFmtId="0" fontId="55" fillId="34" borderId="0" applyNumberFormat="0" applyBorder="0" applyAlignment="0" applyProtection="0"/>
    <xf numFmtId="0" fontId="55" fillId="35"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38" borderId="0" applyNumberFormat="0" applyBorder="0" applyAlignment="0" applyProtection="0"/>
    <xf numFmtId="0" fontId="55" fillId="39" borderId="0" applyNumberFormat="0" applyBorder="0" applyAlignment="0" applyProtection="0"/>
    <xf numFmtId="0" fontId="55" fillId="40" borderId="0" applyNumberFormat="0" applyBorder="0" applyAlignment="0" applyProtection="0"/>
    <xf numFmtId="0" fontId="55" fillId="41" borderId="0" applyNumberFormat="0" applyBorder="0" applyAlignment="0" applyProtection="0"/>
    <xf numFmtId="0" fontId="55" fillId="42" borderId="0" applyNumberFormat="0" applyBorder="0" applyAlignment="0" applyProtection="0"/>
    <xf numFmtId="0" fontId="55" fillId="37" borderId="0" applyNumberFormat="0" applyBorder="0" applyAlignment="0" applyProtection="0"/>
    <xf numFmtId="0" fontId="55" fillId="40" borderId="0" applyNumberFormat="0" applyBorder="0" applyAlignment="0" applyProtection="0"/>
    <xf numFmtId="0" fontId="55" fillId="43" borderId="0" applyNumberFormat="0" applyBorder="0" applyAlignment="0" applyProtection="0"/>
    <xf numFmtId="0" fontId="56" fillId="44" borderId="0" applyNumberFormat="0" applyBorder="0" applyAlignment="0" applyProtection="0"/>
    <xf numFmtId="0" fontId="56" fillId="41" borderId="0" applyNumberFormat="0" applyBorder="0" applyAlignment="0" applyProtection="0"/>
    <xf numFmtId="0" fontId="56" fillId="42" borderId="0" applyNumberFormat="0" applyBorder="0" applyAlignment="0" applyProtection="0"/>
    <xf numFmtId="0" fontId="56" fillId="45" borderId="0" applyNumberFormat="0" applyBorder="0" applyAlignment="0" applyProtection="0"/>
    <xf numFmtId="0" fontId="56" fillId="46" borderId="0" applyNumberFormat="0" applyBorder="0" applyAlignment="0" applyProtection="0"/>
    <xf numFmtId="0" fontId="56" fillId="47" borderId="0" applyNumberFormat="0" applyBorder="0" applyAlignment="0" applyProtection="0"/>
    <xf numFmtId="0" fontId="56" fillId="48" borderId="0" applyNumberFormat="0" applyBorder="0" applyAlignment="0" applyProtection="0"/>
    <xf numFmtId="0" fontId="56" fillId="49" borderId="0" applyNumberFormat="0" applyBorder="0" applyAlignment="0" applyProtection="0"/>
    <xf numFmtId="0" fontId="56" fillId="50" borderId="0" applyNumberFormat="0" applyBorder="0" applyAlignment="0" applyProtection="0"/>
    <xf numFmtId="0" fontId="56" fillId="45" borderId="0" applyNumberFormat="0" applyBorder="0" applyAlignment="0" applyProtection="0"/>
    <xf numFmtId="0" fontId="56" fillId="46" borderId="0" applyNumberFormat="0" applyBorder="0" applyAlignment="0" applyProtection="0"/>
    <xf numFmtId="0" fontId="56" fillId="51" borderId="0" applyNumberFormat="0" applyBorder="0" applyAlignment="0" applyProtection="0"/>
    <xf numFmtId="0" fontId="57" fillId="35" borderId="0" applyNumberFormat="0" applyBorder="0" applyAlignment="0" applyProtection="0"/>
    <xf numFmtId="0" fontId="58" fillId="52" borderId="31" applyNumberFormat="0" applyAlignment="0" applyProtection="0"/>
    <xf numFmtId="0" fontId="59" fillId="53" borderId="32" applyNumberFormat="0" applyAlignment="0" applyProtection="0"/>
    <xf numFmtId="43" fontId="11" fillId="0" borderId="0" applyFont="0" applyFill="0" applyBorder="0" applyAlignment="0" applyProtection="0"/>
    <xf numFmtId="0" fontId="60" fillId="0" borderId="0" applyNumberFormat="0" applyFill="0" applyBorder="0" applyAlignment="0" applyProtection="0"/>
    <xf numFmtId="0" fontId="61" fillId="36" borderId="0" applyNumberFormat="0" applyBorder="0" applyAlignment="0" applyProtection="0"/>
    <xf numFmtId="0" fontId="62" fillId="0" borderId="33" applyNumberFormat="0" applyFill="0" applyAlignment="0" applyProtection="0"/>
    <xf numFmtId="0" fontId="63" fillId="0" borderId="34" applyNumberFormat="0" applyFill="0" applyAlignment="0" applyProtection="0"/>
    <xf numFmtId="0" fontId="64" fillId="0" borderId="35" applyNumberFormat="0" applyFill="0" applyAlignment="0" applyProtection="0"/>
    <xf numFmtId="0" fontId="64" fillId="0" borderId="0" applyNumberFormat="0" applyFill="0" applyBorder="0" applyAlignment="0" applyProtection="0"/>
    <xf numFmtId="0" fontId="65" fillId="39" borderId="31" applyNumberFormat="0" applyAlignment="0" applyProtection="0"/>
    <xf numFmtId="0" fontId="66" fillId="0" borderId="36" applyNumberFormat="0" applyFill="0" applyAlignment="0" applyProtection="0"/>
    <xf numFmtId="0" fontId="67" fillId="54" borderId="0" applyNumberFormat="0" applyBorder="0" applyAlignment="0" applyProtection="0"/>
    <xf numFmtId="0" fontId="11" fillId="55" borderId="37" applyNumberFormat="0" applyFont="0" applyAlignment="0" applyProtection="0"/>
    <xf numFmtId="0" fontId="68" fillId="52" borderId="38" applyNumberFormat="0" applyAlignment="0" applyProtection="0"/>
    <xf numFmtId="0" fontId="69" fillId="0" borderId="0" applyNumberFormat="0" applyFill="0" applyBorder="0" applyAlignment="0" applyProtection="0"/>
    <xf numFmtId="0" fontId="70" fillId="0" borderId="39" applyNumberFormat="0" applyFill="0" applyAlignment="0" applyProtection="0"/>
    <xf numFmtId="0" fontId="71" fillId="0" borderId="0" applyNumberForma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74" fillId="34" borderId="0" applyNumberFormat="0" applyBorder="0" applyAlignment="0" applyProtection="0"/>
    <xf numFmtId="0" fontId="74" fillId="35" borderId="0" applyNumberFormat="0" applyBorder="0" applyAlignment="0" applyProtection="0"/>
    <xf numFmtId="0" fontId="74" fillId="36" borderId="0" applyNumberFormat="0" applyBorder="0" applyAlignment="0" applyProtection="0"/>
    <xf numFmtId="0" fontId="74" fillId="37" borderId="0" applyNumberFormat="0" applyBorder="0" applyAlignment="0" applyProtection="0"/>
    <xf numFmtId="0" fontId="74" fillId="38" borderId="0" applyNumberFormat="0" applyBorder="0" applyAlignment="0" applyProtection="0"/>
    <xf numFmtId="0" fontId="74" fillId="39" borderId="0" applyNumberFormat="0" applyBorder="0" applyAlignment="0" applyProtection="0"/>
    <xf numFmtId="0" fontId="74" fillId="40" borderId="0" applyNumberFormat="0" applyBorder="0" applyAlignment="0" applyProtection="0"/>
    <xf numFmtId="0" fontId="74" fillId="41" borderId="0" applyNumberFormat="0" applyBorder="0" applyAlignment="0" applyProtection="0"/>
    <xf numFmtId="0" fontId="74" fillId="42" borderId="0" applyNumberFormat="0" applyBorder="0" applyAlignment="0" applyProtection="0"/>
    <xf numFmtId="0" fontId="74" fillId="37" borderId="0" applyNumberFormat="0" applyBorder="0" applyAlignment="0" applyProtection="0"/>
    <xf numFmtId="0" fontId="74" fillId="40" borderId="0" applyNumberFormat="0" applyBorder="0" applyAlignment="0" applyProtection="0"/>
    <xf numFmtId="0" fontId="74" fillId="43" borderId="0" applyNumberFormat="0" applyBorder="0" applyAlignment="0" applyProtection="0"/>
    <xf numFmtId="0" fontId="75" fillId="44" borderId="0" applyNumberFormat="0" applyBorder="0" applyAlignment="0" applyProtection="0"/>
    <xf numFmtId="0" fontId="75" fillId="41" borderId="0" applyNumberFormat="0" applyBorder="0" applyAlignment="0" applyProtection="0"/>
    <xf numFmtId="0" fontId="75" fillId="42" borderId="0" applyNumberFormat="0" applyBorder="0" applyAlignment="0" applyProtection="0"/>
    <xf numFmtId="0" fontId="75" fillId="45" borderId="0" applyNumberFormat="0" applyBorder="0" applyAlignment="0" applyProtection="0"/>
    <xf numFmtId="0" fontId="75" fillId="46" borderId="0" applyNumberFormat="0" applyBorder="0" applyAlignment="0" applyProtection="0"/>
    <xf numFmtId="0" fontId="75" fillId="47" borderId="0" applyNumberFormat="0" applyBorder="0" applyAlignment="0" applyProtection="0"/>
    <xf numFmtId="0" fontId="75" fillId="48" borderId="0" applyNumberFormat="0" applyBorder="0" applyAlignment="0" applyProtection="0"/>
    <xf numFmtId="0" fontId="75" fillId="49" borderId="0" applyNumberFormat="0" applyBorder="0" applyAlignment="0" applyProtection="0"/>
    <xf numFmtId="0" fontId="75" fillId="50" borderId="0" applyNumberFormat="0" applyBorder="0" applyAlignment="0" applyProtection="0"/>
    <xf numFmtId="0" fontId="75" fillId="45" borderId="0" applyNumberFormat="0" applyBorder="0" applyAlignment="0" applyProtection="0"/>
    <xf numFmtId="0" fontId="75" fillId="46" borderId="0" applyNumberFormat="0" applyBorder="0" applyAlignment="0" applyProtection="0"/>
    <xf numFmtId="0" fontId="75" fillId="51" borderId="0" applyNumberFormat="0" applyBorder="0" applyAlignment="0" applyProtection="0"/>
    <xf numFmtId="0" fontId="76" fillId="35" borderId="0" applyNumberFormat="0" applyBorder="0" applyAlignment="0" applyProtection="0"/>
    <xf numFmtId="0" fontId="77" fillId="52" borderId="31" applyNumberFormat="0" applyAlignment="0" applyProtection="0"/>
    <xf numFmtId="0" fontId="78" fillId="53" borderId="32" applyNumberFormat="0" applyAlignment="0" applyProtection="0"/>
    <xf numFmtId="44" fontId="11" fillId="0" borderId="0" applyFont="0" applyFill="0" applyBorder="0" applyAlignment="0" applyProtection="0"/>
    <xf numFmtId="0" fontId="79" fillId="0" borderId="0" applyNumberFormat="0" applyFill="0" applyBorder="0" applyAlignment="0" applyProtection="0"/>
    <xf numFmtId="0" fontId="80" fillId="36" borderId="0" applyNumberFormat="0" applyBorder="0" applyAlignment="0" applyProtection="0"/>
    <xf numFmtId="0" fontId="81" fillId="0" borderId="33" applyNumberFormat="0" applyFill="0" applyAlignment="0" applyProtection="0"/>
    <xf numFmtId="0" fontId="82" fillId="0" borderId="34" applyNumberFormat="0" applyFill="0" applyAlignment="0" applyProtection="0"/>
    <xf numFmtId="0" fontId="83" fillId="0" borderId="35" applyNumberFormat="0" applyFill="0" applyAlignment="0" applyProtection="0"/>
    <xf numFmtId="0" fontId="83" fillId="0" borderId="0" applyNumberFormat="0" applyFill="0" applyBorder="0" applyAlignment="0" applyProtection="0"/>
    <xf numFmtId="0" fontId="73" fillId="0" borderId="0" applyNumberFormat="0" applyFill="0" applyBorder="0" applyAlignment="0" applyProtection="0">
      <alignment vertical="top"/>
      <protection locked="0"/>
    </xf>
    <xf numFmtId="0" fontId="84" fillId="39" borderId="31" applyNumberFormat="0" applyAlignment="0" applyProtection="0"/>
    <xf numFmtId="0" fontId="85" fillId="0" borderId="36" applyNumberFormat="0" applyFill="0" applyAlignment="0" applyProtection="0"/>
    <xf numFmtId="0" fontId="86" fillId="54" borderId="0" applyNumberFormat="0" applyBorder="0" applyAlignment="0" applyProtection="0"/>
    <xf numFmtId="0" fontId="87" fillId="52" borderId="38" applyNumberFormat="0" applyAlignment="0" applyProtection="0"/>
    <xf numFmtId="0" fontId="88" fillId="0" borderId="39" applyNumberFormat="0" applyFill="0" applyAlignment="0" applyProtection="0"/>
    <xf numFmtId="0" fontId="89" fillId="0" borderId="0" applyNumberFormat="0" applyFill="0" applyBorder="0" applyAlignment="0" applyProtection="0"/>
    <xf numFmtId="0" fontId="38" fillId="0" borderId="0" applyNumberFormat="0" applyFill="0" applyBorder="0" applyAlignment="0" applyProtection="0"/>
    <xf numFmtId="0" fontId="90" fillId="0" borderId="22" applyNumberFormat="0" applyFill="0" applyAlignment="0" applyProtection="0"/>
    <xf numFmtId="0" fontId="91" fillId="0" borderId="23" applyNumberFormat="0" applyFill="0" applyAlignment="0" applyProtection="0"/>
    <xf numFmtId="0" fontId="92" fillId="0" borderId="24" applyNumberFormat="0" applyFill="0" applyAlignment="0" applyProtection="0"/>
    <xf numFmtId="0" fontId="92" fillId="0" borderId="0" applyNumberFormat="0" applyFill="0" applyBorder="0" applyAlignment="0" applyProtection="0"/>
    <xf numFmtId="0" fontId="93" fillId="3" borderId="0" applyNumberFormat="0" applyBorder="0" applyAlignment="0" applyProtection="0"/>
    <xf numFmtId="0" fontId="94" fillId="4" borderId="0" applyNumberFormat="0" applyBorder="0" applyAlignment="0" applyProtection="0"/>
    <xf numFmtId="0" fontId="95" fillId="5" borderId="0" applyNumberFormat="0" applyBorder="0" applyAlignment="0" applyProtection="0"/>
    <xf numFmtId="0" fontId="96" fillId="6" borderId="25" applyNumberFormat="0" applyAlignment="0" applyProtection="0"/>
    <xf numFmtId="0" fontId="97" fillId="7" borderId="26" applyNumberFormat="0" applyAlignment="0" applyProtection="0"/>
    <xf numFmtId="0" fontId="98" fillId="7" borderId="25" applyNumberFormat="0" applyAlignment="0" applyProtection="0"/>
    <xf numFmtId="0" fontId="99" fillId="0" borderId="27" applyNumberFormat="0" applyFill="0" applyAlignment="0" applyProtection="0"/>
    <xf numFmtId="0" fontId="100" fillId="8" borderId="28" applyNumberFormat="0" applyAlignment="0" applyProtection="0"/>
    <xf numFmtId="0" fontId="101" fillId="0" borderId="0" applyNumberFormat="0" applyFill="0" applyBorder="0" applyAlignment="0" applyProtection="0"/>
    <xf numFmtId="0" fontId="72" fillId="9" borderId="29" applyNumberFormat="0" applyFont="0" applyAlignment="0" applyProtection="0"/>
    <xf numFmtId="0" fontId="102" fillId="0" borderId="0" applyNumberFormat="0" applyFill="0" applyBorder="0" applyAlignment="0" applyProtection="0"/>
    <xf numFmtId="0" fontId="103" fillId="0" borderId="30" applyNumberFormat="0" applyFill="0" applyAlignment="0" applyProtection="0"/>
    <xf numFmtId="0" fontId="104"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104" fillId="13" borderId="0" applyNumberFormat="0" applyBorder="0" applyAlignment="0" applyProtection="0"/>
    <xf numFmtId="0" fontId="104"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104" fillId="17" borderId="0" applyNumberFormat="0" applyBorder="0" applyAlignment="0" applyProtection="0"/>
    <xf numFmtId="0" fontId="104"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104" fillId="21" borderId="0" applyNumberFormat="0" applyBorder="0" applyAlignment="0" applyProtection="0"/>
    <xf numFmtId="0" fontId="104"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104" fillId="25" borderId="0" applyNumberFormat="0" applyBorder="0" applyAlignment="0" applyProtection="0"/>
    <xf numFmtId="0" fontId="104" fillId="26"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104" fillId="29" borderId="0" applyNumberFormat="0" applyBorder="0" applyAlignment="0" applyProtection="0"/>
    <xf numFmtId="0" fontId="104" fillId="30" borderId="0" applyNumberFormat="0" applyBorder="0" applyAlignment="0" applyProtection="0"/>
    <xf numFmtId="0" fontId="72" fillId="31" borderId="0" applyNumberFormat="0" applyBorder="0" applyAlignment="0" applyProtection="0"/>
    <xf numFmtId="0" fontId="72" fillId="32" borderId="0" applyNumberFormat="0" applyBorder="0" applyAlignment="0" applyProtection="0"/>
    <xf numFmtId="0" fontId="104" fillId="33" borderId="0" applyNumberFormat="0" applyBorder="0" applyAlignment="0" applyProtection="0"/>
    <xf numFmtId="0" fontId="38" fillId="0" borderId="0" applyNumberFormat="0" applyFill="0" applyBorder="0" applyAlignment="0" applyProtection="0"/>
    <xf numFmtId="0" fontId="90" fillId="0" borderId="22" applyNumberFormat="0" applyFill="0" applyAlignment="0" applyProtection="0"/>
    <xf numFmtId="0" fontId="91" fillId="0" borderId="23" applyNumberFormat="0" applyFill="0" applyAlignment="0" applyProtection="0"/>
    <xf numFmtId="0" fontId="92" fillId="0" borderId="24" applyNumberFormat="0" applyFill="0" applyAlignment="0" applyProtection="0"/>
    <xf numFmtId="0" fontId="92" fillId="0" borderId="0" applyNumberFormat="0" applyFill="0" applyBorder="0" applyAlignment="0" applyProtection="0"/>
    <xf numFmtId="0" fontId="93" fillId="3" borderId="0" applyNumberFormat="0" applyBorder="0" applyAlignment="0" applyProtection="0"/>
    <xf numFmtId="0" fontId="94" fillId="4" borderId="0" applyNumberFormat="0" applyBorder="0" applyAlignment="0" applyProtection="0"/>
    <xf numFmtId="0" fontId="95" fillId="5" borderId="0" applyNumberFormat="0" applyBorder="0" applyAlignment="0" applyProtection="0"/>
    <xf numFmtId="0" fontId="96" fillId="6" borderId="25" applyNumberFormat="0" applyAlignment="0" applyProtection="0"/>
    <xf numFmtId="0" fontId="97" fillId="7" borderId="26" applyNumberFormat="0" applyAlignment="0" applyProtection="0"/>
    <xf numFmtId="0" fontId="98" fillId="7" borderId="25" applyNumberFormat="0" applyAlignment="0" applyProtection="0"/>
    <xf numFmtId="0" fontId="99" fillId="0" borderId="27" applyNumberFormat="0" applyFill="0" applyAlignment="0" applyProtection="0"/>
    <xf numFmtId="0" fontId="100" fillId="8" borderId="28" applyNumberFormat="0" applyAlignment="0" applyProtection="0"/>
    <xf numFmtId="0" fontId="101" fillId="0" borderId="0" applyNumberFormat="0" applyFill="0" applyBorder="0" applyAlignment="0" applyProtection="0"/>
    <xf numFmtId="0" fontId="72" fillId="9" borderId="29" applyNumberFormat="0" applyFont="0" applyAlignment="0" applyProtection="0"/>
    <xf numFmtId="0" fontId="102" fillId="0" borderId="0" applyNumberFormat="0" applyFill="0" applyBorder="0" applyAlignment="0" applyProtection="0"/>
    <xf numFmtId="0" fontId="103" fillId="0" borderId="30" applyNumberFormat="0" applyFill="0" applyAlignment="0" applyProtection="0"/>
    <xf numFmtId="0" fontId="104"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104" fillId="13" borderId="0" applyNumberFormat="0" applyBorder="0" applyAlignment="0" applyProtection="0"/>
    <xf numFmtId="0" fontId="104"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104" fillId="17" borderId="0" applyNumberFormat="0" applyBorder="0" applyAlignment="0" applyProtection="0"/>
    <xf numFmtId="0" fontId="104"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104" fillId="21" borderId="0" applyNumberFormat="0" applyBorder="0" applyAlignment="0" applyProtection="0"/>
    <xf numFmtId="0" fontId="104"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104" fillId="25" borderId="0" applyNumberFormat="0" applyBorder="0" applyAlignment="0" applyProtection="0"/>
    <xf numFmtId="0" fontId="104" fillId="26"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104" fillId="29" borderId="0" applyNumberFormat="0" applyBorder="0" applyAlignment="0" applyProtection="0"/>
    <xf numFmtId="0" fontId="104" fillId="30" borderId="0" applyNumberFormat="0" applyBorder="0" applyAlignment="0" applyProtection="0"/>
    <xf numFmtId="0" fontId="72" fillId="31" borderId="0" applyNumberFormat="0" applyBorder="0" applyAlignment="0" applyProtection="0"/>
    <xf numFmtId="0" fontId="72" fillId="32" borderId="0" applyNumberFormat="0" applyBorder="0" applyAlignment="0" applyProtection="0"/>
    <xf numFmtId="0" fontId="104" fillId="33" borderId="0" applyNumberFormat="0" applyBorder="0" applyAlignment="0" applyProtection="0"/>
    <xf numFmtId="0" fontId="55" fillId="34" borderId="0" applyNumberFormat="0" applyBorder="0" applyAlignment="0" applyProtection="0"/>
    <xf numFmtId="0" fontId="55" fillId="35"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38" borderId="0" applyNumberFormat="0" applyBorder="0" applyAlignment="0" applyProtection="0"/>
    <xf numFmtId="0" fontId="55" fillId="39" borderId="0" applyNumberFormat="0" applyBorder="0" applyAlignment="0" applyProtection="0"/>
    <xf numFmtId="0" fontId="55" fillId="40" borderId="0" applyNumberFormat="0" applyBorder="0" applyAlignment="0" applyProtection="0"/>
    <xf numFmtId="0" fontId="55" fillId="41" borderId="0" applyNumberFormat="0" applyBorder="0" applyAlignment="0" applyProtection="0"/>
    <xf numFmtId="0" fontId="55" fillId="42" borderId="0" applyNumberFormat="0" applyBorder="0" applyAlignment="0" applyProtection="0"/>
    <xf numFmtId="0" fontId="55" fillId="37" borderId="0" applyNumberFormat="0" applyBorder="0" applyAlignment="0" applyProtection="0"/>
    <xf numFmtId="0" fontId="55" fillId="40" borderId="0" applyNumberFormat="0" applyBorder="0" applyAlignment="0" applyProtection="0"/>
    <xf numFmtId="0" fontId="55" fillId="43" borderId="0" applyNumberFormat="0" applyBorder="0" applyAlignment="0" applyProtection="0"/>
    <xf numFmtId="0" fontId="56" fillId="44" borderId="0" applyNumberFormat="0" applyBorder="0" applyAlignment="0" applyProtection="0"/>
    <xf numFmtId="0" fontId="56" fillId="41" borderId="0" applyNumberFormat="0" applyBorder="0" applyAlignment="0" applyProtection="0"/>
    <xf numFmtId="0" fontId="56" fillId="42" borderId="0" applyNumberFormat="0" applyBorder="0" applyAlignment="0" applyProtection="0"/>
    <xf numFmtId="0" fontId="56" fillId="45" borderId="0" applyNumberFormat="0" applyBorder="0" applyAlignment="0" applyProtection="0"/>
    <xf numFmtId="0" fontId="56" fillId="46" borderId="0" applyNumberFormat="0" applyBorder="0" applyAlignment="0" applyProtection="0"/>
    <xf numFmtId="0" fontId="56" fillId="47" borderId="0" applyNumberFormat="0" applyBorder="0" applyAlignment="0" applyProtection="0"/>
    <xf numFmtId="0" fontId="56" fillId="48" borderId="0" applyNumberFormat="0" applyBorder="0" applyAlignment="0" applyProtection="0"/>
    <xf numFmtId="0" fontId="56" fillId="49" borderId="0" applyNumberFormat="0" applyBorder="0" applyAlignment="0" applyProtection="0"/>
    <xf numFmtId="0" fontId="56" fillId="50" borderId="0" applyNumberFormat="0" applyBorder="0" applyAlignment="0" applyProtection="0"/>
    <xf numFmtId="0" fontId="56" fillId="45" borderId="0" applyNumberFormat="0" applyBorder="0" applyAlignment="0" applyProtection="0"/>
    <xf numFmtId="0" fontId="56" fillId="46" borderId="0" applyNumberFormat="0" applyBorder="0" applyAlignment="0" applyProtection="0"/>
    <xf numFmtId="0" fontId="56" fillId="51" borderId="0" applyNumberFormat="0" applyBorder="0" applyAlignment="0" applyProtection="0"/>
    <xf numFmtId="0" fontId="57" fillId="35" borderId="0" applyNumberFormat="0" applyBorder="0" applyAlignment="0" applyProtection="0"/>
    <xf numFmtId="0" fontId="58" fillId="52" borderId="31" applyNumberFormat="0" applyAlignment="0" applyProtection="0"/>
    <xf numFmtId="0" fontId="59" fillId="53" borderId="32" applyNumberFormat="0" applyAlignment="0" applyProtection="0"/>
    <xf numFmtId="0" fontId="60" fillId="0" borderId="0" applyNumberFormat="0" applyFill="0" applyBorder="0" applyAlignment="0" applyProtection="0"/>
    <xf numFmtId="0" fontId="61" fillId="36" borderId="0" applyNumberFormat="0" applyBorder="0" applyAlignment="0" applyProtection="0"/>
    <xf numFmtId="0" fontId="62" fillId="0" borderId="33" applyNumberFormat="0" applyFill="0" applyAlignment="0" applyProtection="0"/>
    <xf numFmtId="0" fontId="63" fillId="0" borderId="34" applyNumberFormat="0" applyFill="0" applyAlignment="0" applyProtection="0"/>
    <xf numFmtId="0" fontId="64" fillId="0" borderId="35" applyNumberFormat="0" applyFill="0" applyAlignment="0" applyProtection="0"/>
    <xf numFmtId="0" fontId="64" fillId="0" borderId="0" applyNumberFormat="0" applyFill="0" applyBorder="0" applyAlignment="0" applyProtection="0"/>
    <xf numFmtId="0" fontId="65" fillId="39" borderId="31" applyNumberFormat="0" applyAlignment="0" applyProtection="0"/>
    <xf numFmtId="0" fontId="66" fillId="0" borderId="36" applyNumberFormat="0" applyFill="0" applyAlignment="0" applyProtection="0"/>
    <xf numFmtId="0" fontId="67" fillId="54" borderId="0" applyNumberFormat="0" applyBorder="0" applyAlignment="0" applyProtection="0"/>
    <xf numFmtId="0" fontId="11" fillId="55" borderId="37" applyNumberFormat="0" applyFont="0" applyAlignment="0" applyProtection="0"/>
    <xf numFmtId="0" fontId="68" fillId="52" borderId="38" applyNumberFormat="0" applyAlignment="0" applyProtection="0"/>
    <xf numFmtId="0" fontId="69" fillId="0" borderId="0" applyNumberFormat="0" applyFill="0" applyBorder="0" applyAlignment="0" applyProtection="0"/>
    <xf numFmtId="0" fontId="70" fillId="0" borderId="39" applyNumberFormat="0" applyFill="0" applyAlignment="0" applyProtection="0"/>
    <xf numFmtId="0" fontId="71" fillId="0" borderId="0" applyNumberFormat="0" applyFill="0" applyBorder="0" applyAlignment="0" applyProtection="0"/>
    <xf numFmtId="43" fontId="11" fillId="0" borderId="0" applyFont="0" applyFill="0" applyBorder="0" applyAlignment="0" applyProtection="0"/>
    <xf numFmtId="0" fontId="74" fillId="34" borderId="0" applyNumberFormat="0" applyBorder="0" applyAlignment="0" applyProtection="0"/>
    <xf numFmtId="0" fontId="74" fillId="35" borderId="0" applyNumberFormat="0" applyBorder="0" applyAlignment="0" applyProtection="0"/>
    <xf numFmtId="0" fontId="74" fillId="36" borderId="0" applyNumberFormat="0" applyBorder="0" applyAlignment="0" applyProtection="0"/>
    <xf numFmtId="0" fontId="74" fillId="37" borderId="0" applyNumberFormat="0" applyBorder="0" applyAlignment="0" applyProtection="0"/>
    <xf numFmtId="0" fontId="74" fillId="38" borderId="0" applyNumberFormat="0" applyBorder="0" applyAlignment="0" applyProtection="0"/>
    <xf numFmtId="0" fontId="74" fillId="39" borderId="0" applyNumberFormat="0" applyBorder="0" applyAlignment="0" applyProtection="0"/>
    <xf numFmtId="0" fontId="74" fillId="40" borderId="0" applyNumberFormat="0" applyBorder="0" applyAlignment="0" applyProtection="0"/>
    <xf numFmtId="0" fontId="74" fillId="41" borderId="0" applyNumberFormat="0" applyBorder="0" applyAlignment="0" applyProtection="0"/>
    <xf numFmtId="0" fontId="74" fillId="42" borderId="0" applyNumberFormat="0" applyBorder="0" applyAlignment="0" applyProtection="0"/>
    <xf numFmtId="0" fontId="74" fillId="37" borderId="0" applyNumberFormat="0" applyBorder="0" applyAlignment="0" applyProtection="0"/>
    <xf numFmtId="0" fontId="74" fillId="40" borderId="0" applyNumberFormat="0" applyBorder="0" applyAlignment="0" applyProtection="0"/>
    <xf numFmtId="0" fontId="74" fillId="43" borderId="0" applyNumberFormat="0" applyBorder="0" applyAlignment="0" applyProtection="0"/>
    <xf numFmtId="0" fontId="75" fillId="44" borderId="0" applyNumberFormat="0" applyBorder="0" applyAlignment="0" applyProtection="0"/>
    <xf numFmtId="0" fontId="75" fillId="41" borderId="0" applyNumberFormat="0" applyBorder="0" applyAlignment="0" applyProtection="0"/>
    <xf numFmtId="0" fontId="75" fillId="42" borderId="0" applyNumberFormat="0" applyBorder="0" applyAlignment="0" applyProtection="0"/>
    <xf numFmtId="0" fontId="75" fillId="45" borderId="0" applyNumberFormat="0" applyBorder="0" applyAlignment="0" applyProtection="0"/>
    <xf numFmtId="0" fontId="75" fillId="46" borderId="0" applyNumberFormat="0" applyBorder="0" applyAlignment="0" applyProtection="0"/>
    <xf numFmtId="0" fontId="75" fillId="47" borderId="0" applyNumberFormat="0" applyBorder="0" applyAlignment="0" applyProtection="0"/>
    <xf numFmtId="0" fontId="75" fillId="48" borderId="0" applyNumberFormat="0" applyBorder="0" applyAlignment="0" applyProtection="0"/>
    <xf numFmtId="0" fontId="75" fillId="49" borderId="0" applyNumberFormat="0" applyBorder="0" applyAlignment="0" applyProtection="0"/>
    <xf numFmtId="0" fontId="75" fillId="50" borderId="0" applyNumberFormat="0" applyBorder="0" applyAlignment="0" applyProtection="0"/>
    <xf numFmtId="0" fontId="75" fillId="45" borderId="0" applyNumberFormat="0" applyBorder="0" applyAlignment="0" applyProtection="0"/>
    <xf numFmtId="0" fontId="75" fillId="46" borderId="0" applyNumberFormat="0" applyBorder="0" applyAlignment="0" applyProtection="0"/>
    <xf numFmtId="0" fontId="75" fillId="51" borderId="0" applyNumberFormat="0" applyBorder="0" applyAlignment="0" applyProtection="0"/>
    <xf numFmtId="0" fontId="76" fillId="35" borderId="0" applyNumberFormat="0" applyBorder="0" applyAlignment="0" applyProtection="0"/>
    <xf numFmtId="0" fontId="77" fillId="52" borderId="31" applyNumberFormat="0" applyAlignment="0" applyProtection="0"/>
    <xf numFmtId="0" fontId="78" fillId="53" borderId="32" applyNumberFormat="0" applyAlignment="0" applyProtection="0"/>
    <xf numFmtId="44" fontId="11" fillId="0" borderId="0" applyFont="0" applyFill="0" applyBorder="0" applyAlignment="0" applyProtection="0"/>
    <xf numFmtId="0" fontId="79" fillId="0" borderId="0" applyNumberFormat="0" applyFill="0" applyBorder="0" applyAlignment="0" applyProtection="0"/>
    <xf numFmtId="0" fontId="80" fillId="36" borderId="0" applyNumberFormat="0" applyBorder="0" applyAlignment="0" applyProtection="0"/>
    <xf numFmtId="0" fontId="81" fillId="0" borderId="33" applyNumberFormat="0" applyFill="0" applyAlignment="0" applyProtection="0"/>
    <xf numFmtId="0" fontId="82" fillId="0" borderId="34" applyNumberFormat="0" applyFill="0" applyAlignment="0" applyProtection="0"/>
    <xf numFmtId="0" fontId="83" fillId="0" borderId="35" applyNumberFormat="0" applyFill="0" applyAlignment="0" applyProtection="0"/>
    <xf numFmtId="0" fontId="83" fillId="0" borderId="0" applyNumberFormat="0" applyFill="0" applyBorder="0" applyAlignment="0" applyProtection="0"/>
    <xf numFmtId="0" fontId="84" fillId="39" borderId="31" applyNumberFormat="0" applyAlignment="0" applyProtection="0"/>
    <xf numFmtId="0" fontId="85" fillId="0" borderId="36" applyNumberFormat="0" applyFill="0" applyAlignment="0" applyProtection="0"/>
    <xf numFmtId="0" fontId="86" fillId="54" borderId="0" applyNumberFormat="0" applyBorder="0" applyAlignment="0" applyProtection="0"/>
    <xf numFmtId="0" fontId="87" fillId="52" borderId="38" applyNumberFormat="0" applyAlignment="0" applyProtection="0"/>
    <xf numFmtId="0" fontId="88" fillId="0" borderId="39" applyNumberFormat="0" applyFill="0" applyAlignment="0" applyProtection="0"/>
    <xf numFmtId="0" fontId="89" fillId="0" borderId="0" applyNumberFormat="0" applyFill="0" applyBorder="0" applyAlignment="0" applyProtection="0"/>
    <xf numFmtId="0" fontId="38" fillId="0" borderId="0" applyNumberFormat="0" applyFill="0" applyBorder="0" applyAlignment="0" applyProtection="0"/>
    <xf numFmtId="0" fontId="90" fillId="0" borderId="22" applyNumberFormat="0" applyFill="0" applyAlignment="0" applyProtection="0"/>
    <xf numFmtId="0" fontId="91" fillId="0" borderId="23" applyNumberFormat="0" applyFill="0" applyAlignment="0" applyProtection="0"/>
    <xf numFmtId="0" fontId="92" fillId="0" borderId="24" applyNumberFormat="0" applyFill="0" applyAlignment="0" applyProtection="0"/>
    <xf numFmtId="0" fontId="92" fillId="0" borderId="0" applyNumberFormat="0" applyFill="0" applyBorder="0" applyAlignment="0" applyProtection="0"/>
    <xf numFmtId="0" fontId="93" fillId="3" borderId="0" applyNumberFormat="0" applyBorder="0" applyAlignment="0" applyProtection="0"/>
    <xf numFmtId="0" fontId="94" fillId="4" borderId="0" applyNumberFormat="0" applyBorder="0" applyAlignment="0" applyProtection="0"/>
    <xf numFmtId="0" fontId="95" fillId="5" borderId="0" applyNumberFormat="0" applyBorder="0" applyAlignment="0" applyProtection="0"/>
    <xf numFmtId="0" fontId="96" fillId="6" borderId="25" applyNumberFormat="0" applyAlignment="0" applyProtection="0"/>
    <xf numFmtId="0" fontId="97" fillId="7" borderId="26" applyNumberFormat="0" applyAlignment="0" applyProtection="0"/>
    <xf numFmtId="0" fontId="98" fillId="7" borderId="25" applyNumberFormat="0" applyAlignment="0" applyProtection="0"/>
    <xf numFmtId="0" fontId="99" fillId="0" borderId="27" applyNumberFormat="0" applyFill="0" applyAlignment="0" applyProtection="0"/>
    <xf numFmtId="0" fontId="100" fillId="8" borderId="28" applyNumberFormat="0" applyAlignment="0" applyProtection="0"/>
    <xf numFmtId="0" fontId="101" fillId="0" borderId="0" applyNumberFormat="0" applyFill="0" applyBorder="0" applyAlignment="0" applyProtection="0"/>
    <xf numFmtId="0" fontId="72" fillId="9" borderId="29" applyNumberFormat="0" applyFont="0" applyAlignment="0" applyProtection="0"/>
    <xf numFmtId="0" fontId="102" fillId="0" borderId="0" applyNumberFormat="0" applyFill="0" applyBorder="0" applyAlignment="0" applyProtection="0"/>
    <xf numFmtId="0" fontId="103" fillId="0" borderId="30" applyNumberFormat="0" applyFill="0" applyAlignment="0" applyProtection="0"/>
    <xf numFmtId="0" fontId="104"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104" fillId="13" borderId="0" applyNumberFormat="0" applyBorder="0" applyAlignment="0" applyProtection="0"/>
    <xf numFmtId="0" fontId="104"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104" fillId="17" borderId="0" applyNumberFormat="0" applyBorder="0" applyAlignment="0" applyProtection="0"/>
    <xf numFmtId="0" fontId="104"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104" fillId="21" borderId="0" applyNumberFormat="0" applyBorder="0" applyAlignment="0" applyProtection="0"/>
    <xf numFmtId="0" fontId="104"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104" fillId="25" borderId="0" applyNumberFormat="0" applyBorder="0" applyAlignment="0" applyProtection="0"/>
    <xf numFmtId="0" fontId="104" fillId="26"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104" fillId="29" borderId="0" applyNumberFormat="0" applyBorder="0" applyAlignment="0" applyProtection="0"/>
    <xf numFmtId="0" fontId="104" fillId="30" borderId="0" applyNumberFormat="0" applyBorder="0" applyAlignment="0" applyProtection="0"/>
    <xf numFmtId="0" fontId="72" fillId="31" borderId="0" applyNumberFormat="0" applyBorder="0" applyAlignment="0" applyProtection="0"/>
    <xf numFmtId="0" fontId="72" fillId="32" borderId="0" applyNumberFormat="0" applyBorder="0" applyAlignment="0" applyProtection="0"/>
    <xf numFmtId="0" fontId="104" fillId="33" borderId="0" applyNumberFormat="0" applyBorder="0" applyAlignment="0" applyProtection="0"/>
    <xf numFmtId="0" fontId="72" fillId="11" borderId="0" applyNumberFormat="0" applyBorder="0" applyAlignment="0" applyProtection="0"/>
    <xf numFmtId="0" fontId="74" fillId="34" borderId="0" applyNumberFormat="0" applyBorder="0" applyAlignment="0" applyProtection="0"/>
    <xf numFmtId="0" fontId="7" fillId="11" borderId="0" applyNumberFormat="0" applyBorder="0" applyAlignment="0" applyProtection="0"/>
    <xf numFmtId="0" fontId="74" fillId="34" borderId="0" applyNumberFormat="0" applyBorder="0" applyAlignment="0" applyProtection="0"/>
    <xf numFmtId="0" fontId="72" fillId="15" borderId="0" applyNumberFormat="0" applyBorder="0" applyAlignment="0" applyProtection="0"/>
    <xf numFmtId="0" fontId="74" fillId="35" borderId="0" applyNumberFormat="0" applyBorder="0" applyAlignment="0" applyProtection="0"/>
    <xf numFmtId="0" fontId="7" fillId="15" borderId="0" applyNumberFormat="0" applyBorder="0" applyAlignment="0" applyProtection="0"/>
    <xf numFmtId="0" fontId="74" fillId="35" borderId="0" applyNumberFormat="0" applyBorder="0" applyAlignment="0" applyProtection="0"/>
    <xf numFmtId="0" fontId="72" fillId="19" borderId="0" applyNumberFormat="0" applyBorder="0" applyAlignment="0" applyProtection="0"/>
    <xf numFmtId="0" fontId="74" fillId="36" borderId="0" applyNumberFormat="0" applyBorder="0" applyAlignment="0" applyProtection="0"/>
    <xf numFmtId="0" fontId="7" fillId="19" borderId="0" applyNumberFormat="0" applyBorder="0" applyAlignment="0" applyProtection="0"/>
    <xf numFmtId="0" fontId="74" fillId="36" borderId="0" applyNumberFormat="0" applyBorder="0" applyAlignment="0" applyProtection="0"/>
    <xf numFmtId="0" fontId="72" fillId="23" borderId="0" applyNumberFormat="0" applyBorder="0" applyAlignment="0" applyProtection="0"/>
    <xf numFmtId="0" fontId="74" fillId="37" borderId="0" applyNumberFormat="0" applyBorder="0" applyAlignment="0" applyProtection="0"/>
    <xf numFmtId="0" fontId="7" fillId="23" borderId="0" applyNumberFormat="0" applyBorder="0" applyAlignment="0" applyProtection="0"/>
    <xf numFmtId="0" fontId="74" fillId="37" borderId="0" applyNumberFormat="0" applyBorder="0" applyAlignment="0" applyProtection="0"/>
    <xf numFmtId="0" fontId="72" fillId="27" borderId="0" applyNumberFormat="0" applyBorder="0" applyAlignment="0" applyProtection="0"/>
    <xf numFmtId="0" fontId="74" fillId="38" borderId="0" applyNumberFormat="0" applyBorder="0" applyAlignment="0" applyProtection="0"/>
    <xf numFmtId="0" fontId="7" fillId="27" borderId="0" applyNumberFormat="0" applyBorder="0" applyAlignment="0" applyProtection="0"/>
    <xf numFmtId="0" fontId="74" fillId="38" borderId="0" applyNumberFormat="0" applyBorder="0" applyAlignment="0" applyProtection="0"/>
    <xf numFmtId="0" fontId="72" fillId="31" borderId="0" applyNumberFormat="0" applyBorder="0" applyAlignment="0" applyProtection="0"/>
    <xf numFmtId="0" fontId="74" fillId="39" borderId="0" applyNumberFormat="0" applyBorder="0" applyAlignment="0" applyProtection="0"/>
    <xf numFmtId="0" fontId="7" fillId="31" borderId="0" applyNumberFormat="0" applyBorder="0" applyAlignment="0" applyProtection="0"/>
    <xf numFmtId="0" fontId="74" fillId="39" borderId="0" applyNumberFormat="0" applyBorder="0" applyAlignment="0" applyProtection="0"/>
    <xf numFmtId="0" fontId="72" fillId="12" borderId="0" applyNumberFormat="0" applyBorder="0" applyAlignment="0" applyProtection="0"/>
    <xf numFmtId="0" fontId="74" fillId="40" borderId="0" applyNumberFormat="0" applyBorder="0" applyAlignment="0" applyProtection="0"/>
    <xf numFmtId="0" fontId="7" fillId="12" borderId="0" applyNumberFormat="0" applyBorder="0" applyAlignment="0" applyProtection="0"/>
    <xf numFmtId="0" fontId="74" fillId="40" borderId="0" applyNumberFormat="0" applyBorder="0" applyAlignment="0" applyProtection="0"/>
    <xf numFmtId="0" fontId="72" fillId="16" borderId="0" applyNumberFormat="0" applyBorder="0" applyAlignment="0" applyProtection="0"/>
    <xf numFmtId="0" fontId="74" fillId="41" borderId="0" applyNumberFormat="0" applyBorder="0" applyAlignment="0" applyProtection="0"/>
    <xf numFmtId="0" fontId="7" fillId="16" borderId="0" applyNumberFormat="0" applyBorder="0" applyAlignment="0" applyProtection="0"/>
    <xf numFmtId="0" fontId="74" fillId="41" borderId="0" applyNumberFormat="0" applyBorder="0" applyAlignment="0" applyProtection="0"/>
    <xf numFmtId="0" fontId="72" fillId="20" borderId="0" applyNumberFormat="0" applyBorder="0" applyAlignment="0" applyProtection="0"/>
    <xf numFmtId="0" fontId="74" fillId="42" borderId="0" applyNumberFormat="0" applyBorder="0" applyAlignment="0" applyProtection="0"/>
    <xf numFmtId="0" fontId="7" fillId="20" borderId="0" applyNumberFormat="0" applyBorder="0" applyAlignment="0" applyProtection="0"/>
    <xf numFmtId="0" fontId="74" fillId="42" borderId="0" applyNumberFormat="0" applyBorder="0" applyAlignment="0" applyProtection="0"/>
    <xf numFmtId="0" fontId="72" fillId="24" borderId="0" applyNumberFormat="0" applyBorder="0" applyAlignment="0" applyProtection="0"/>
    <xf numFmtId="0" fontId="74" fillId="37" borderId="0" applyNumberFormat="0" applyBorder="0" applyAlignment="0" applyProtection="0"/>
    <xf numFmtId="0" fontId="7" fillId="24" borderId="0" applyNumberFormat="0" applyBorder="0" applyAlignment="0" applyProtection="0"/>
    <xf numFmtId="0" fontId="74" fillId="37" borderId="0" applyNumberFormat="0" applyBorder="0" applyAlignment="0" applyProtection="0"/>
    <xf numFmtId="0" fontId="72" fillId="28" borderId="0" applyNumberFormat="0" applyBorder="0" applyAlignment="0" applyProtection="0"/>
    <xf numFmtId="0" fontId="74" fillId="40" borderId="0" applyNumberFormat="0" applyBorder="0" applyAlignment="0" applyProtection="0"/>
    <xf numFmtId="0" fontId="7" fillId="28" borderId="0" applyNumberFormat="0" applyBorder="0" applyAlignment="0" applyProtection="0"/>
    <xf numFmtId="0" fontId="74" fillId="40" borderId="0" applyNumberFormat="0" applyBorder="0" applyAlignment="0" applyProtection="0"/>
    <xf numFmtId="0" fontId="72" fillId="32" borderId="0" applyNumberFormat="0" applyBorder="0" applyAlignment="0" applyProtection="0"/>
    <xf numFmtId="0" fontId="74" fillId="43" borderId="0" applyNumberFormat="0" applyBorder="0" applyAlignment="0" applyProtection="0"/>
    <xf numFmtId="0" fontId="7" fillId="32" borderId="0" applyNumberFormat="0" applyBorder="0" applyAlignment="0" applyProtection="0"/>
    <xf numFmtId="0" fontId="74" fillId="43" borderId="0" applyNumberFormat="0" applyBorder="0" applyAlignment="0" applyProtection="0"/>
    <xf numFmtId="0" fontId="104" fillId="13" borderId="0" applyNumberFormat="0" applyBorder="0" applyAlignment="0" applyProtection="0"/>
    <xf numFmtId="0" fontId="75" fillId="44" borderId="0" applyNumberFormat="0" applyBorder="0" applyAlignment="0" applyProtection="0"/>
    <xf numFmtId="0" fontId="53" fillId="13" borderId="0" applyNumberFormat="0" applyBorder="0" applyAlignment="0" applyProtection="0"/>
    <xf numFmtId="0" fontId="75" fillId="44" borderId="0" applyNumberFormat="0" applyBorder="0" applyAlignment="0" applyProtection="0"/>
    <xf numFmtId="0" fontId="104" fillId="17" borderId="0" applyNumberFormat="0" applyBorder="0" applyAlignment="0" applyProtection="0"/>
    <xf numFmtId="0" fontId="75" fillId="41" borderId="0" applyNumberFormat="0" applyBorder="0" applyAlignment="0" applyProtection="0"/>
    <xf numFmtId="0" fontId="53" fillId="17" borderId="0" applyNumberFormat="0" applyBorder="0" applyAlignment="0" applyProtection="0"/>
    <xf numFmtId="0" fontId="75" fillId="41" borderId="0" applyNumberFormat="0" applyBorder="0" applyAlignment="0" applyProtection="0"/>
    <xf numFmtId="0" fontId="104" fillId="21" borderId="0" applyNumberFormat="0" applyBorder="0" applyAlignment="0" applyProtection="0"/>
    <xf numFmtId="0" fontId="75" fillId="42" borderId="0" applyNumberFormat="0" applyBorder="0" applyAlignment="0" applyProtection="0"/>
    <xf numFmtId="0" fontId="53" fillId="21" borderId="0" applyNumberFormat="0" applyBorder="0" applyAlignment="0" applyProtection="0"/>
    <xf numFmtId="0" fontId="75" fillId="42" borderId="0" applyNumberFormat="0" applyBorder="0" applyAlignment="0" applyProtection="0"/>
    <xf numFmtId="0" fontId="104" fillId="25" borderId="0" applyNumberFormat="0" applyBorder="0" applyAlignment="0" applyProtection="0"/>
    <xf numFmtId="0" fontId="75" fillId="45" borderId="0" applyNumberFormat="0" applyBorder="0" applyAlignment="0" applyProtection="0"/>
    <xf numFmtId="0" fontId="53" fillId="25" borderId="0" applyNumberFormat="0" applyBorder="0" applyAlignment="0" applyProtection="0"/>
    <xf numFmtId="0" fontId="75" fillId="45" borderId="0" applyNumberFormat="0" applyBorder="0" applyAlignment="0" applyProtection="0"/>
    <xf numFmtId="0" fontId="104" fillId="29" borderId="0" applyNumberFormat="0" applyBorder="0" applyAlignment="0" applyProtection="0"/>
    <xf numFmtId="0" fontId="75" fillId="46" borderId="0" applyNumberFormat="0" applyBorder="0" applyAlignment="0" applyProtection="0"/>
    <xf numFmtId="0" fontId="53" fillId="29" borderId="0" applyNumberFormat="0" applyBorder="0" applyAlignment="0" applyProtection="0"/>
    <xf numFmtId="0" fontId="75" fillId="46" borderId="0" applyNumberFormat="0" applyBorder="0" applyAlignment="0" applyProtection="0"/>
    <xf numFmtId="0" fontId="104" fillId="33" borderId="0" applyNumberFormat="0" applyBorder="0" applyAlignment="0" applyProtection="0"/>
    <xf numFmtId="0" fontId="75" fillId="47" borderId="0" applyNumberFormat="0" applyBorder="0" applyAlignment="0" applyProtection="0"/>
    <xf numFmtId="0" fontId="53" fillId="33" borderId="0" applyNumberFormat="0" applyBorder="0" applyAlignment="0" applyProtection="0"/>
    <xf numFmtId="0" fontId="75" fillId="47" borderId="0" applyNumberFormat="0" applyBorder="0" applyAlignment="0" applyProtection="0"/>
    <xf numFmtId="0" fontId="104" fillId="10" borderId="0" applyNumberFormat="0" applyBorder="0" applyAlignment="0" applyProtection="0"/>
    <xf numFmtId="0" fontId="75" fillId="48" borderId="0" applyNumberFormat="0" applyBorder="0" applyAlignment="0" applyProtection="0"/>
    <xf numFmtId="0" fontId="53" fillId="10" borderId="0" applyNumberFormat="0" applyBorder="0" applyAlignment="0" applyProtection="0"/>
    <xf numFmtId="0" fontId="75" fillId="48" borderId="0" applyNumberFormat="0" applyBorder="0" applyAlignment="0" applyProtection="0"/>
    <xf numFmtId="0" fontId="104" fillId="14" borderId="0" applyNumberFormat="0" applyBorder="0" applyAlignment="0" applyProtection="0"/>
    <xf numFmtId="0" fontId="75" fillId="49" borderId="0" applyNumberFormat="0" applyBorder="0" applyAlignment="0" applyProtection="0"/>
    <xf numFmtId="0" fontId="53" fillId="14" borderId="0" applyNumberFormat="0" applyBorder="0" applyAlignment="0" applyProtection="0"/>
    <xf numFmtId="0" fontId="75" fillId="49" borderId="0" applyNumberFormat="0" applyBorder="0" applyAlignment="0" applyProtection="0"/>
    <xf numFmtId="0" fontId="104" fillId="18" borderId="0" applyNumberFormat="0" applyBorder="0" applyAlignment="0" applyProtection="0"/>
    <xf numFmtId="0" fontId="75" fillId="50" borderId="0" applyNumberFormat="0" applyBorder="0" applyAlignment="0" applyProtection="0"/>
    <xf numFmtId="0" fontId="53" fillId="18" borderId="0" applyNumberFormat="0" applyBorder="0" applyAlignment="0" applyProtection="0"/>
    <xf numFmtId="0" fontId="75" fillId="50" borderId="0" applyNumberFormat="0" applyBorder="0" applyAlignment="0" applyProtection="0"/>
    <xf numFmtId="0" fontId="104" fillId="22" borderId="0" applyNumberFormat="0" applyBorder="0" applyAlignment="0" applyProtection="0"/>
    <xf numFmtId="0" fontId="75" fillId="45" borderId="0" applyNumberFormat="0" applyBorder="0" applyAlignment="0" applyProtection="0"/>
    <xf numFmtId="0" fontId="53" fillId="22" borderId="0" applyNumberFormat="0" applyBorder="0" applyAlignment="0" applyProtection="0"/>
    <xf numFmtId="0" fontId="75" fillId="45" borderId="0" applyNumberFormat="0" applyBorder="0" applyAlignment="0" applyProtection="0"/>
    <xf numFmtId="0" fontId="104" fillId="26" borderId="0" applyNumberFormat="0" applyBorder="0" applyAlignment="0" applyProtection="0"/>
    <xf numFmtId="0" fontId="75" fillId="46" borderId="0" applyNumberFormat="0" applyBorder="0" applyAlignment="0" applyProtection="0"/>
    <xf numFmtId="0" fontId="53" fillId="26" borderId="0" applyNumberFormat="0" applyBorder="0" applyAlignment="0" applyProtection="0"/>
    <xf numFmtId="0" fontId="75" fillId="46" borderId="0" applyNumberFormat="0" applyBorder="0" applyAlignment="0" applyProtection="0"/>
    <xf numFmtId="0" fontId="104" fillId="30" borderId="0" applyNumberFormat="0" applyBorder="0" applyAlignment="0" applyProtection="0"/>
    <xf numFmtId="0" fontId="75" fillId="51" borderId="0" applyNumberFormat="0" applyBorder="0" applyAlignment="0" applyProtection="0"/>
    <xf numFmtId="0" fontId="53" fillId="30" borderId="0" applyNumberFormat="0" applyBorder="0" applyAlignment="0" applyProtection="0"/>
    <xf numFmtId="0" fontId="75" fillId="51" borderId="0" applyNumberFormat="0" applyBorder="0" applyAlignment="0" applyProtection="0"/>
    <xf numFmtId="0" fontId="94" fillId="4" borderId="0" applyNumberFormat="0" applyBorder="0" applyAlignment="0" applyProtection="0"/>
    <xf numFmtId="0" fontId="76" fillId="35" borderId="0" applyNumberFormat="0" applyBorder="0" applyAlignment="0" applyProtection="0"/>
    <xf numFmtId="0" fontId="43" fillId="4" borderId="0" applyNumberFormat="0" applyBorder="0" applyAlignment="0" applyProtection="0"/>
    <xf numFmtId="0" fontId="76" fillId="35" borderId="0" applyNumberFormat="0" applyBorder="0" applyAlignment="0" applyProtection="0"/>
    <xf numFmtId="0" fontId="98" fillId="7" borderId="25" applyNumberFormat="0" applyAlignment="0" applyProtection="0"/>
    <xf numFmtId="0" fontId="77" fillId="52" borderId="31" applyNumberFormat="0" applyAlignment="0" applyProtection="0"/>
    <xf numFmtId="0" fontId="47" fillId="7" borderId="25" applyNumberFormat="0" applyAlignment="0" applyProtection="0"/>
    <xf numFmtId="0" fontId="77" fillId="52" borderId="31" applyNumberFormat="0" applyAlignment="0" applyProtection="0"/>
    <xf numFmtId="0" fontId="100" fillId="8" borderId="28" applyNumberFormat="0" applyAlignment="0" applyProtection="0"/>
    <xf numFmtId="0" fontId="78" fillId="53" borderId="32" applyNumberFormat="0" applyAlignment="0" applyProtection="0"/>
    <xf numFmtId="0" fontId="49" fillId="8" borderId="28" applyNumberFormat="0" applyAlignment="0" applyProtection="0"/>
    <xf numFmtId="0" fontId="78" fillId="53" borderId="32" applyNumberFormat="0" applyAlignment="0" applyProtection="0"/>
    <xf numFmtId="0" fontId="102" fillId="0" borderId="0" applyNumberFormat="0" applyFill="0" applyBorder="0" applyAlignment="0" applyProtection="0"/>
    <xf numFmtId="0" fontId="79" fillId="0" borderId="0" applyNumberFormat="0" applyFill="0" applyBorder="0" applyAlignment="0" applyProtection="0"/>
    <xf numFmtId="0" fontId="51" fillId="0" borderId="0" applyNumberFormat="0" applyFill="0" applyBorder="0" applyAlignment="0" applyProtection="0"/>
    <xf numFmtId="0" fontId="79" fillId="0" borderId="0" applyNumberFormat="0" applyFill="0" applyBorder="0" applyAlignment="0" applyProtection="0"/>
    <xf numFmtId="0" fontId="93" fillId="3" borderId="0" applyNumberFormat="0" applyBorder="0" applyAlignment="0" applyProtection="0"/>
    <xf numFmtId="0" fontId="80" fillId="36" borderId="0" applyNumberFormat="0" applyBorder="0" applyAlignment="0" applyProtection="0"/>
    <xf numFmtId="0" fontId="42" fillId="3" borderId="0" applyNumberFormat="0" applyBorder="0" applyAlignment="0" applyProtection="0"/>
    <xf numFmtId="0" fontId="80" fillId="36" borderId="0" applyNumberFormat="0" applyBorder="0" applyAlignment="0" applyProtection="0"/>
    <xf numFmtId="0" fontId="90" fillId="0" borderId="22" applyNumberFormat="0" applyFill="0" applyAlignment="0" applyProtection="0"/>
    <xf numFmtId="0" fontId="81" fillId="0" borderId="33" applyNumberFormat="0" applyFill="0" applyAlignment="0" applyProtection="0"/>
    <xf numFmtId="0" fontId="39" fillId="0" borderId="22" applyNumberFormat="0" applyFill="0" applyAlignment="0" applyProtection="0"/>
    <xf numFmtId="0" fontId="81" fillId="0" borderId="33" applyNumberFormat="0" applyFill="0" applyAlignment="0" applyProtection="0"/>
    <xf numFmtId="0" fontId="91" fillId="0" borderId="23" applyNumberFormat="0" applyFill="0" applyAlignment="0" applyProtection="0"/>
    <xf numFmtId="0" fontId="82" fillId="0" borderId="34" applyNumberFormat="0" applyFill="0" applyAlignment="0" applyProtection="0"/>
    <xf numFmtId="0" fontId="40" fillId="0" borderId="23" applyNumberFormat="0" applyFill="0" applyAlignment="0" applyProtection="0"/>
    <xf numFmtId="0" fontId="82" fillId="0" borderId="34" applyNumberFormat="0" applyFill="0" applyAlignment="0" applyProtection="0"/>
    <xf numFmtId="0" fontId="92" fillId="0" borderId="24" applyNumberFormat="0" applyFill="0" applyAlignment="0" applyProtection="0"/>
    <xf numFmtId="0" fontId="83" fillId="0" borderId="35" applyNumberFormat="0" applyFill="0" applyAlignment="0" applyProtection="0"/>
    <xf numFmtId="0" fontId="41" fillId="0" borderId="24" applyNumberFormat="0" applyFill="0" applyAlignment="0" applyProtection="0"/>
    <xf numFmtId="0" fontId="83" fillId="0" borderId="35" applyNumberFormat="0" applyFill="0" applyAlignment="0" applyProtection="0"/>
    <xf numFmtId="0" fontId="92" fillId="0" borderId="0" applyNumberFormat="0" applyFill="0" applyBorder="0" applyAlignment="0" applyProtection="0"/>
    <xf numFmtId="0" fontId="83" fillId="0" borderId="0" applyNumberFormat="0" applyFill="0" applyBorder="0" applyAlignment="0" applyProtection="0"/>
    <xf numFmtId="0" fontId="41" fillId="0" borderId="0" applyNumberFormat="0" applyFill="0" applyBorder="0" applyAlignment="0" applyProtection="0"/>
    <xf numFmtId="0" fontId="83" fillId="0" borderId="0" applyNumberFormat="0" applyFill="0" applyBorder="0" applyAlignment="0" applyProtection="0"/>
    <xf numFmtId="0" fontId="96" fillId="6" borderId="25" applyNumberFormat="0" applyAlignment="0" applyProtection="0"/>
    <xf numFmtId="0" fontId="84" fillId="39" borderId="31" applyNumberFormat="0" applyAlignment="0" applyProtection="0"/>
    <xf numFmtId="0" fontId="45" fillId="6" borderId="25" applyNumberFormat="0" applyAlignment="0" applyProtection="0"/>
    <xf numFmtId="0" fontId="84" fillId="39" borderId="31" applyNumberFormat="0" applyAlignment="0" applyProtection="0"/>
    <xf numFmtId="0" fontId="99" fillId="0" borderId="27" applyNumberFormat="0" applyFill="0" applyAlignment="0" applyProtection="0"/>
    <xf numFmtId="0" fontId="85" fillId="0" borderId="36" applyNumberFormat="0" applyFill="0" applyAlignment="0" applyProtection="0"/>
    <xf numFmtId="0" fontId="48" fillId="0" borderId="27" applyNumberFormat="0" applyFill="0" applyAlignment="0" applyProtection="0"/>
    <xf numFmtId="0" fontId="85" fillId="0" borderId="36" applyNumberFormat="0" applyFill="0" applyAlignment="0" applyProtection="0"/>
    <xf numFmtId="0" fontId="95" fillId="5" borderId="0" applyNumberFormat="0" applyBorder="0" applyAlignment="0" applyProtection="0"/>
    <xf numFmtId="0" fontId="86" fillId="54" borderId="0" applyNumberFormat="0" applyBorder="0" applyAlignment="0" applyProtection="0"/>
    <xf numFmtId="0" fontId="44" fillId="5" borderId="0" applyNumberFormat="0" applyBorder="0" applyAlignment="0" applyProtection="0"/>
    <xf numFmtId="0" fontId="86" fillId="54" borderId="0" applyNumberFormat="0" applyBorder="0" applyAlignment="0" applyProtection="0"/>
    <xf numFmtId="0" fontId="7" fillId="0" borderId="0"/>
    <xf numFmtId="0" fontId="11" fillId="55" borderId="37" applyNumberFormat="0" applyFont="0" applyAlignment="0" applyProtection="0"/>
    <xf numFmtId="0" fontId="7" fillId="9" borderId="29" applyNumberFormat="0" applyFont="0" applyAlignment="0" applyProtection="0"/>
    <xf numFmtId="0" fontId="11" fillId="55" borderId="37" applyNumberFormat="0" applyFont="0" applyAlignment="0" applyProtection="0"/>
    <xf numFmtId="0" fontId="97" fillId="7" borderId="26" applyNumberFormat="0" applyAlignment="0" applyProtection="0"/>
    <xf numFmtId="0" fontId="87" fillId="52" borderId="38" applyNumberFormat="0" applyAlignment="0" applyProtection="0"/>
    <xf numFmtId="0" fontId="46" fillId="7" borderId="26" applyNumberFormat="0" applyAlignment="0" applyProtection="0"/>
    <xf numFmtId="0" fontId="87" fillId="52" borderId="38" applyNumberFormat="0" applyAlignment="0" applyProtection="0"/>
    <xf numFmtId="0" fontId="38" fillId="0" borderId="0" applyNumberFormat="0" applyFill="0" applyBorder="0" applyAlignment="0" applyProtection="0"/>
    <xf numFmtId="0" fontId="103" fillId="0" borderId="30" applyNumberFormat="0" applyFill="0" applyAlignment="0" applyProtection="0"/>
    <xf numFmtId="0" fontId="88" fillId="0" borderId="39" applyNumberFormat="0" applyFill="0" applyAlignment="0" applyProtection="0"/>
    <xf numFmtId="0" fontId="52" fillId="0" borderId="30" applyNumberFormat="0" applyFill="0" applyAlignment="0" applyProtection="0"/>
    <xf numFmtId="0" fontId="88" fillId="0" borderId="39" applyNumberFormat="0" applyFill="0" applyAlignment="0" applyProtection="0"/>
    <xf numFmtId="0" fontId="101" fillId="0" borderId="0" applyNumberFormat="0" applyFill="0" applyBorder="0" applyAlignment="0" applyProtection="0"/>
    <xf numFmtId="0" fontId="89" fillId="0" borderId="0" applyNumberFormat="0" applyFill="0" applyBorder="0" applyAlignment="0" applyProtection="0"/>
    <xf numFmtId="0" fontId="50" fillId="0" borderId="0" applyNumberFormat="0" applyFill="0" applyBorder="0" applyAlignment="0" applyProtection="0"/>
    <xf numFmtId="0" fontId="89" fillId="0" borderId="0" applyNumberFormat="0" applyFill="0" applyBorder="0" applyAlignment="0" applyProtection="0"/>
    <xf numFmtId="0" fontId="72" fillId="11" borderId="0" applyNumberFormat="0" applyBorder="0" applyAlignment="0" applyProtection="0"/>
    <xf numFmtId="0" fontId="7" fillId="11" borderId="0" applyNumberFormat="0" applyBorder="0" applyAlignment="0" applyProtection="0"/>
    <xf numFmtId="0" fontId="74" fillId="34" borderId="0" applyNumberFormat="0" applyBorder="0" applyAlignment="0" applyProtection="0"/>
    <xf numFmtId="0" fontId="72" fillId="15" borderId="0" applyNumberFormat="0" applyBorder="0" applyAlignment="0" applyProtection="0"/>
    <xf numFmtId="0" fontId="7" fillId="15" borderId="0" applyNumberFormat="0" applyBorder="0" applyAlignment="0" applyProtection="0"/>
    <xf numFmtId="0" fontId="74" fillId="35" borderId="0" applyNumberFormat="0" applyBorder="0" applyAlignment="0" applyProtection="0"/>
    <xf numFmtId="0" fontId="72" fillId="19" borderId="0" applyNumberFormat="0" applyBorder="0" applyAlignment="0" applyProtection="0"/>
    <xf numFmtId="0" fontId="7" fillId="19" borderId="0" applyNumberFormat="0" applyBorder="0" applyAlignment="0" applyProtection="0"/>
    <xf numFmtId="0" fontId="74" fillId="36" borderId="0" applyNumberFormat="0" applyBorder="0" applyAlignment="0" applyProtection="0"/>
    <xf numFmtId="0" fontId="72" fillId="23" borderId="0" applyNumberFormat="0" applyBorder="0" applyAlignment="0" applyProtection="0"/>
    <xf numFmtId="0" fontId="7" fillId="23" borderId="0" applyNumberFormat="0" applyBorder="0" applyAlignment="0" applyProtection="0"/>
    <xf numFmtId="0" fontId="74" fillId="37" borderId="0" applyNumberFormat="0" applyBorder="0" applyAlignment="0" applyProtection="0"/>
    <xf numFmtId="0" fontId="72" fillId="27" borderId="0" applyNumberFormat="0" applyBorder="0" applyAlignment="0" applyProtection="0"/>
    <xf numFmtId="0" fontId="7" fillId="27" borderId="0" applyNumberFormat="0" applyBorder="0" applyAlignment="0" applyProtection="0"/>
    <xf numFmtId="0" fontId="74" fillId="38" borderId="0" applyNumberFormat="0" applyBorder="0" applyAlignment="0" applyProtection="0"/>
    <xf numFmtId="0" fontId="72" fillId="31" borderId="0" applyNumberFormat="0" applyBorder="0" applyAlignment="0" applyProtection="0"/>
    <xf numFmtId="0" fontId="7" fillId="31" borderId="0" applyNumberFormat="0" applyBorder="0" applyAlignment="0" applyProtection="0"/>
    <xf numFmtId="0" fontId="74" fillId="39" borderId="0" applyNumberFormat="0" applyBorder="0" applyAlignment="0" applyProtection="0"/>
    <xf numFmtId="0" fontId="72" fillId="12" borderId="0" applyNumberFormat="0" applyBorder="0" applyAlignment="0" applyProtection="0"/>
    <xf numFmtId="0" fontId="7" fillId="12" borderId="0" applyNumberFormat="0" applyBorder="0" applyAlignment="0" applyProtection="0"/>
    <xf numFmtId="0" fontId="74" fillId="40" borderId="0" applyNumberFormat="0" applyBorder="0" applyAlignment="0" applyProtection="0"/>
    <xf numFmtId="0" fontId="72" fillId="16" borderId="0" applyNumberFormat="0" applyBorder="0" applyAlignment="0" applyProtection="0"/>
    <xf numFmtId="0" fontId="7" fillId="16" borderId="0" applyNumberFormat="0" applyBorder="0" applyAlignment="0" applyProtection="0"/>
    <xf numFmtId="0" fontId="74" fillId="41" borderId="0" applyNumberFormat="0" applyBorder="0" applyAlignment="0" applyProtection="0"/>
    <xf numFmtId="0" fontId="72" fillId="20" borderId="0" applyNumberFormat="0" applyBorder="0" applyAlignment="0" applyProtection="0"/>
    <xf numFmtId="0" fontId="7" fillId="20" borderId="0" applyNumberFormat="0" applyBorder="0" applyAlignment="0" applyProtection="0"/>
    <xf numFmtId="0" fontId="74" fillId="42" borderId="0" applyNumberFormat="0" applyBorder="0" applyAlignment="0" applyProtection="0"/>
    <xf numFmtId="0" fontId="72" fillId="24" borderId="0" applyNumberFormat="0" applyBorder="0" applyAlignment="0" applyProtection="0"/>
    <xf numFmtId="0" fontId="7" fillId="24" borderId="0" applyNumberFormat="0" applyBorder="0" applyAlignment="0" applyProtection="0"/>
    <xf numFmtId="0" fontId="74" fillId="37" borderId="0" applyNumberFormat="0" applyBorder="0" applyAlignment="0" applyProtection="0"/>
    <xf numFmtId="0" fontId="72" fillId="28" borderId="0" applyNumberFormat="0" applyBorder="0" applyAlignment="0" applyProtection="0"/>
    <xf numFmtId="0" fontId="7" fillId="28" borderId="0" applyNumberFormat="0" applyBorder="0" applyAlignment="0" applyProtection="0"/>
    <xf numFmtId="0" fontId="74" fillId="40" borderId="0" applyNumberFormat="0" applyBorder="0" applyAlignment="0" applyProtection="0"/>
    <xf numFmtId="0" fontId="72" fillId="32" borderId="0" applyNumberFormat="0" applyBorder="0" applyAlignment="0" applyProtection="0"/>
    <xf numFmtId="0" fontId="7" fillId="32" borderId="0" applyNumberFormat="0" applyBorder="0" applyAlignment="0" applyProtection="0"/>
    <xf numFmtId="0" fontId="74" fillId="43" borderId="0" applyNumberFormat="0" applyBorder="0" applyAlignment="0" applyProtection="0"/>
    <xf numFmtId="0" fontId="104" fillId="13" borderId="0" applyNumberFormat="0" applyBorder="0" applyAlignment="0" applyProtection="0"/>
    <xf numFmtId="0" fontId="53" fillId="13" borderId="0" applyNumberFormat="0" applyBorder="0" applyAlignment="0" applyProtection="0"/>
    <xf numFmtId="0" fontId="75" fillId="44" borderId="0" applyNumberFormat="0" applyBorder="0" applyAlignment="0" applyProtection="0"/>
    <xf numFmtId="0" fontId="104" fillId="17" borderId="0" applyNumberFormat="0" applyBorder="0" applyAlignment="0" applyProtection="0"/>
    <xf numFmtId="0" fontId="53" fillId="17" borderId="0" applyNumberFormat="0" applyBorder="0" applyAlignment="0" applyProtection="0"/>
    <xf numFmtId="0" fontId="75" fillId="41" borderId="0" applyNumberFormat="0" applyBorder="0" applyAlignment="0" applyProtection="0"/>
    <xf numFmtId="0" fontId="104" fillId="21" borderId="0" applyNumberFormat="0" applyBorder="0" applyAlignment="0" applyProtection="0"/>
    <xf numFmtId="0" fontId="53" fillId="21" borderId="0" applyNumberFormat="0" applyBorder="0" applyAlignment="0" applyProtection="0"/>
    <xf numFmtId="0" fontId="75" fillId="42" borderId="0" applyNumberFormat="0" applyBorder="0" applyAlignment="0" applyProtection="0"/>
    <xf numFmtId="0" fontId="104" fillId="25" borderId="0" applyNumberFormat="0" applyBorder="0" applyAlignment="0" applyProtection="0"/>
    <xf numFmtId="0" fontId="53" fillId="25" borderId="0" applyNumberFormat="0" applyBorder="0" applyAlignment="0" applyProtection="0"/>
    <xf numFmtId="0" fontId="75" fillId="45" borderId="0" applyNumberFormat="0" applyBorder="0" applyAlignment="0" applyProtection="0"/>
    <xf numFmtId="0" fontId="104" fillId="29" borderId="0" applyNumberFormat="0" applyBorder="0" applyAlignment="0" applyProtection="0"/>
    <xf numFmtId="0" fontId="53" fillId="29" borderId="0" applyNumberFormat="0" applyBorder="0" applyAlignment="0" applyProtection="0"/>
    <xf numFmtId="0" fontId="75" fillId="46" borderId="0" applyNumberFormat="0" applyBorder="0" applyAlignment="0" applyProtection="0"/>
    <xf numFmtId="0" fontId="104" fillId="33" borderId="0" applyNumberFormat="0" applyBorder="0" applyAlignment="0" applyProtection="0"/>
    <xf numFmtId="0" fontId="53" fillId="33" borderId="0" applyNumberFormat="0" applyBorder="0" applyAlignment="0" applyProtection="0"/>
    <xf numFmtId="0" fontId="75" fillId="47" borderId="0" applyNumberFormat="0" applyBorder="0" applyAlignment="0" applyProtection="0"/>
    <xf numFmtId="0" fontId="104" fillId="10" borderId="0" applyNumberFormat="0" applyBorder="0" applyAlignment="0" applyProtection="0"/>
    <xf numFmtId="0" fontId="53" fillId="10" borderId="0" applyNumberFormat="0" applyBorder="0" applyAlignment="0" applyProtection="0"/>
    <xf numFmtId="0" fontId="75" fillId="48" borderId="0" applyNumberFormat="0" applyBorder="0" applyAlignment="0" applyProtection="0"/>
    <xf numFmtId="0" fontId="104" fillId="14" borderId="0" applyNumberFormat="0" applyBorder="0" applyAlignment="0" applyProtection="0"/>
    <xf numFmtId="0" fontId="53" fillId="14" borderId="0" applyNumberFormat="0" applyBorder="0" applyAlignment="0" applyProtection="0"/>
    <xf numFmtId="0" fontId="75" fillId="49" borderId="0" applyNumberFormat="0" applyBorder="0" applyAlignment="0" applyProtection="0"/>
    <xf numFmtId="0" fontId="104" fillId="18" borderId="0" applyNumberFormat="0" applyBorder="0" applyAlignment="0" applyProtection="0"/>
    <xf numFmtId="0" fontId="53" fillId="18" borderId="0" applyNumberFormat="0" applyBorder="0" applyAlignment="0" applyProtection="0"/>
    <xf numFmtId="0" fontId="75" fillId="50" borderId="0" applyNumberFormat="0" applyBorder="0" applyAlignment="0" applyProtection="0"/>
    <xf numFmtId="0" fontId="104" fillId="22" borderId="0" applyNumberFormat="0" applyBorder="0" applyAlignment="0" applyProtection="0"/>
    <xf numFmtId="0" fontId="53" fillId="22" borderId="0" applyNumberFormat="0" applyBorder="0" applyAlignment="0" applyProtection="0"/>
    <xf numFmtId="0" fontId="75" fillId="45" borderId="0" applyNumberFormat="0" applyBorder="0" applyAlignment="0" applyProtection="0"/>
    <xf numFmtId="0" fontId="104" fillId="26" borderId="0" applyNumberFormat="0" applyBorder="0" applyAlignment="0" applyProtection="0"/>
    <xf numFmtId="0" fontId="53" fillId="26" borderId="0" applyNumberFormat="0" applyBorder="0" applyAlignment="0" applyProtection="0"/>
    <xf numFmtId="0" fontId="75" fillId="46" borderId="0" applyNumberFormat="0" applyBorder="0" applyAlignment="0" applyProtection="0"/>
    <xf numFmtId="0" fontId="104" fillId="30" borderId="0" applyNumberFormat="0" applyBorder="0" applyAlignment="0" applyProtection="0"/>
    <xf numFmtId="0" fontId="53" fillId="30" borderId="0" applyNumberFormat="0" applyBorder="0" applyAlignment="0" applyProtection="0"/>
    <xf numFmtId="0" fontId="75" fillId="51" borderId="0" applyNumberFormat="0" applyBorder="0" applyAlignment="0" applyProtection="0"/>
    <xf numFmtId="0" fontId="94" fillId="4" borderId="0" applyNumberFormat="0" applyBorder="0" applyAlignment="0" applyProtection="0"/>
    <xf numFmtId="0" fontId="43" fillId="4" borderId="0" applyNumberFormat="0" applyBorder="0" applyAlignment="0" applyProtection="0"/>
    <xf numFmtId="0" fontId="76" fillId="35" borderId="0" applyNumberFormat="0" applyBorder="0" applyAlignment="0" applyProtection="0"/>
    <xf numFmtId="0" fontId="98" fillId="7" borderId="25" applyNumberFormat="0" applyAlignment="0" applyProtection="0"/>
    <xf numFmtId="0" fontId="47" fillId="7" borderId="25" applyNumberFormat="0" applyAlignment="0" applyProtection="0"/>
    <xf numFmtId="0" fontId="77" fillId="52" borderId="31" applyNumberFormat="0" applyAlignment="0" applyProtection="0"/>
    <xf numFmtId="0" fontId="100" fillId="8" borderId="28" applyNumberFormat="0" applyAlignment="0" applyProtection="0"/>
    <xf numFmtId="0" fontId="49" fillId="8" borderId="28" applyNumberFormat="0" applyAlignment="0" applyProtection="0"/>
    <xf numFmtId="0" fontId="78" fillId="53" borderId="32" applyNumberFormat="0" applyAlignment="0" applyProtection="0"/>
    <xf numFmtId="0" fontId="102" fillId="0" borderId="0" applyNumberFormat="0" applyFill="0" applyBorder="0" applyAlignment="0" applyProtection="0"/>
    <xf numFmtId="0" fontId="51" fillId="0" borderId="0" applyNumberFormat="0" applyFill="0" applyBorder="0" applyAlignment="0" applyProtection="0"/>
    <xf numFmtId="0" fontId="79" fillId="0" borderId="0" applyNumberFormat="0" applyFill="0" applyBorder="0" applyAlignment="0" applyProtection="0"/>
    <xf numFmtId="0" fontId="93" fillId="3" borderId="0" applyNumberFormat="0" applyBorder="0" applyAlignment="0" applyProtection="0"/>
    <xf numFmtId="0" fontId="42" fillId="3" borderId="0" applyNumberFormat="0" applyBorder="0" applyAlignment="0" applyProtection="0"/>
    <xf numFmtId="0" fontId="80" fillId="36" borderId="0" applyNumberFormat="0" applyBorder="0" applyAlignment="0" applyProtection="0"/>
    <xf numFmtId="0" fontId="90" fillId="0" borderId="22" applyNumberFormat="0" applyFill="0" applyAlignment="0" applyProtection="0"/>
    <xf numFmtId="0" fontId="39" fillId="0" borderId="22" applyNumberFormat="0" applyFill="0" applyAlignment="0" applyProtection="0"/>
    <xf numFmtId="0" fontId="81" fillId="0" borderId="33" applyNumberFormat="0" applyFill="0" applyAlignment="0" applyProtection="0"/>
    <xf numFmtId="0" fontId="91" fillId="0" borderId="23" applyNumberFormat="0" applyFill="0" applyAlignment="0" applyProtection="0"/>
    <xf numFmtId="0" fontId="40" fillId="0" borderId="23" applyNumberFormat="0" applyFill="0" applyAlignment="0" applyProtection="0"/>
    <xf numFmtId="0" fontId="82" fillId="0" borderId="34" applyNumberFormat="0" applyFill="0" applyAlignment="0" applyProtection="0"/>
    <xf numFmtId="0" fontId="92" fillId="0" borderId="24" applyNumberFormat="0" applyFill="0" applyAlignment="0" applyProtection="0"/>
    <xf numFmtId="0" fontId="41" fillId="0" borderId="24" applyNumberFormat="0" applyFill="0" applyAlignment="0" applyProtection="0"/>
    <xf numFmtId="0" fontId="83" fillId="0" borderId="35" applyNumberFormat="0" applyFill="0" applyAlignment="0" applyProtection="0"/>
    <xf numFmtId="0" fontId="92" fillId="0" borderId="0" applyNumberFormat="0" applyFill="0" applyBorder="0" applyAlignment="0" applyProtection="0"/>
    <xf numFmtId="0" fontId="41" fillId="0" borderId="0" applyNumberFormat="0" applyFill="0" applyBorder="0" applyAlignment="0" applyProtection="0"/>
    <xf numFmtId="0" fontId="83" fillId="0" borderId="0" applyNumberFormat="0" applyFill="0" applyBorder="0" applyAlignment="0" applyProtection="0"/>
    <xf numFmtId="0" fontId="96" fillId="6" borderId="25" applyNumberFormat="0" applyAlignment="0" applyProtection="0"/>
    <xf numFmtId="0" fontId="45" fillId="6" borderId="25" applyNumberFormat="0" applyAlignment="0" applyProtection="0"/>
    <xf numFmtId="0" fontId="84" fillId="39" borderId="31" applyNumberFormat="0" applyAlignment="0" applyProtection="0"/>
    <xf numFmtId="0" fontId="99" fillId="0" borderId="27" applyNumberFormat="0" applyFill="0" applyAlignment="0" applyProtection="0"/>
    <xf numFmtId="0" fontId="48" fillId="0" borderId="27" applyNumberFormat="0" applyFill="0" applyAlignment="0" applyProtection="0"/>
    <xf numFmtId="0" fontId="85" fillId="0" borderId="36" applyNumberFormat="0" applyFill="0" applyAlignment="0" applyProtection="0"/>
    <xf numFmtId="0" fontId="95" fillId="5" borderId="0" applyNumberFormat="0" applyBorder="0" applyAlignment="0" applyProtection="0"/>
    <xf numFmtId="0" fontId="44" fillId="5" borderId="0" applyNumberFormat="0" applyBorder="0" applyAlignment="0" applyProtection="0"/>
    <xf numFmtId="0" fontId="86" fillId="54" borderId="0" applyNumberFormat="0" applyBorder="0" applyAlignment="0" applyProtection="0"/>
    <xf numFmtId="0" fontId="7" fillId="0" borderId="0"/>
    <xf numFmtId="0" fontId="7" fillId="9" borderId="29" applyNumberFormat="0" applyFont="0" applyAlignment="0" applyProtection="0"/>
    <xf numFmtId="0" fontId="11" fillId="55" borderId="37" applyNumberFormat="0" applyFont="0" applyAlignment="0" applyProtection="0"/>
    <xf numFmtId="0" fontId="97" fillId="7" borderId="26" applyNumberFormat="0" applyAlignment="0" applyProtection="0"/>
    <xf numFmtId="0" fontId="46" fillId="7" borderId="26" applyNumberFormat="0" applyAlignment="0" applyProtection="0"/>
    <xf numFmtId="0" fontId="87" fillId="52" borderId="38" applyNumberFormat="0" applyAlignment="0" applyProtection="0"/>
    <xf numFmtId="0" fontId="38" fillId="0" borderId="0" applyNumberFormat="0" applyFill="0" applyBorder="0" applyAlignment="0" applyProtection="0"/>
    <xf numFmtId="0" fontId="103" fillId="0" borderId="30" applyNumberFormat="0" applyFill="0" applyAlignment="0" applyProtection="0"/>
    <xf numFmtId="0" fontId="52" fillId="0" borderId="30" applyNumberFormat="0" applyFill="0" applyAlignment="0" applyProtection="0"/>
    <xf numFmtId="0" fontId="88" fillId="0" borderId="39" applyNumberFormat="0" applyFill="0" applyAlignment="0" applyProtection="0"/>
    <xf numFmtId="0" fontId="101" fillId="0" borderId="0" applyNumberFormat="0" applyFill="0" applyBorder="0" applyAlignment="0" applyProtection="0"/>
    <xf numFmtId="0" fontId="50" fillId="0" borderId="0" applyNumberFormat="0" applyFill="0" applyBorder="0" applyAlignment="0" applyProtection="0"/>
    <xf numFmtId="0" fontId="89" fillId="0" borderId="0" applyNumberFormat="0" applyFill="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4" fillId="36" borderId="0" applyNumberFormat="0" applyBorder="0" applyAlignment="0" applyProtection="0"/>
    <xf numFmtId="0" fontId="74" fillId="36"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4" fillId="38" borderId="0" applyNumberFormat="0" applyBorder="0" applyAlignment="0" applyProtection="0"/>
    <xf numFmtId="0" fontId="74" fillId="38"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4" fillId="43" borderId="0" applyNumberFormat="0" applyBorder="0" applyAlignment="0" applyProtection="0"/>
    <xf numFmtId="0" fontId="74" fillId="43"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5" fillId="44" borderId="0" applyNumberFormat="0" applyBorder="0" applyAlignment="0" applyProtection="0"/>
    <xf numFmtId="0" fontId="75" fillId="44" borderId="0" applyNumberFormat="0" applyBorder="0" applyAlignment="0" applyProtection="0"/>
    <xf numFmtId="0" fontId="104" fillId="13" borderId="0" applyNumberFormat="0" applyBorder="0" applyAlignment="0" applyProtection="0"/>
    <xf numFmtId="0" fontId="104" fillId="13" borderId="0" applyNumberFormat="0" applyBorder="0" applyAlignment="0" applyProtection="0"/>
    <xf numFmtId="0" fontId="75" fillId="41" borderId="0" applyNumberFormat="0" applyBorder="0" applyAlignment="0" applyProtection="0"/>
    <xf numFmtId="0" fontId="75" fillId="41" borderId="0" applyNumberFormat="0" applyBorder="0" applyAlignment="0" applyProtection="0"/>
    <xf numFmtId="0" fontId="104" fillId="17" borderId="0" applyNumberFormat="0" applyBorder="0" applyAlignment="0" applyProtection="0"/>
    <xf numFmtId="0" fontId="104" fillId="17" borderId="0" applyNumberFormat="0" applyBorder="0" applyAlignment="0" applyProtection="0"/>
    <xf numFmtId="0" fontId="75" fillId="42" borderId="0" applyNumberFormat="0" applyBorder="0" applyAlignment="0" applyProtection="0"/>
    <xf numFmtId="0" fontId="75" fillId="42" borderId="0" applyNumberFormat="0" applyBorder="0" applyAlignment="0" applyProtection="0"/>
    <xf numFmtId="0" fontId="104" fillId="21" borderId="0" applyNumberFormat="0" applyBorder="0" applyAlignment="0" applyProtection="0"/>
    <xf numFmtId="0" fontId="104" fillId="21" borderId="0" applyNumberFormat="0" applyBorder="0" applyAlignment="0" applyProtection="0"/>
    <xf numFmtId="0" fontId="75" fillId="45" borderId="0" applyNumberFormat="0" applyBorder="0" applyAlignment="0" applyProtection="0"/>
    <xf numFmtId="0" fontId="75" fillId="45" borderId="0" applyNumberFormat="0" applyBorder="0" applyAlignment="0" applyProtection="0"/>
    <xf numFmtId="0" fontId="104" fillId="25" borderId="0" applyNumberFormat="0" applyBorder="0" applyAlignment="0" applyProtection="0"/>
    <xf numFmtId="0" fontId="104" fillId="25" borderId="0" applyNumberFormat="0" applyBorder="0" applyAlignment="0" applyProtection="0"/>
    <xf numFmtId="0" fontId="75" fillId="46" borderId="0" applyNumberFormat="0" applyBorder="0" applyAlignment="0" applyProtection="0"/>
    <xf numFmtId="0" fontId="75" fillId="46" borderId="0" applyNumberFormat="0" applyBorder="0" applyAlignment="0" applyProtection="0"/>
    <xf numFmtId="0" fontId="104" fillId="29" borderId="0" applyNumberFormat="0" applyBorder="0" applyAlignment="0" applyProtection="0"/>
    <xf numFmtId="0" fontId="104" fillId="29" borderId="0" applyNumberFormat="0" applyBorder="0" applyAlignment="0" applyProtection="0"/>
    <xf numFmtId="0" fontId="75" fillId="47" borderId="0" applyNumberFormat="0" applyBorder="0" applyAlignment="0" applyProtection="0"/>
    <xf numFmtId="0" fontId="75" fillId="47" borderId="0" applyNumberFormat="0" applyBorder="0" applyAlignment="0" applyProtection="0"/>
    <xf numFmtId="0" fontId="104" fillId="33" borderId="0" applyNumberFormat="0" applyBorder="0" applyAlignment="0" applyProtection="0"/>
    <xf numFmtId="0" fontId="104" fillId="33" borderId="0" applyNumberFormat="0" applyBorder="0" applyAlignment="0" applyProtection="0"/>
    <xf numFmtId="0" fontId="75" fillId="48" borderId="0" applyNumberFormat="0" applyBorder="0" applyAlignment="0" applyProtection="0"/>
    <xf numFmtId="0" fontId="75" fillId="48" borderId="0" applyNumberFormat="0" applyBorder="0" applyAlignment="0" applyProtection="0"/>
    <xf numFmtId="0" fontId="104" fillId="10" borderId="0" applyNumberFormat="0" applyBorder="0" applyAlignment="0" applyProtection="0"/>
    <xf numFmtId="0" fontId="104" fillId="10" borderId="0" applyNumberFormat="0" applyBorder="0" applyAlignment="0" applyProtection="0"/>
    <xf numFmtId="0" fontId="75" fillId="49" borderId="0" applyNumberFormat="0" applyBorder="0" applyAlignment="0" applyProtection="0"/>
    <xf numFmtId="0" fontId="75" fillId="49" borderId="0" applyNumberFormat="0" applyBorder="0" applyAlignment="0" applyProtection="0"/>
    <xf numFmtId="0" fontId="104" fillId="14" borderId="0" applyNumberFormat="0" applyBorder="0" applyAlignment="0" applyProtection="0"/>
    <xf numFmtId="0" fontId="104" fillId="14" borderId="0" applyNumberFormat="0" applyBorder="0" applyAlignment="0" applyProtection="0"/>
    <xf numFmtId="0" fontId="75" fillId="50" borderId="0" applyNumberFormat="0" applyBorder="0" applyAlignment="0" applyProtection="0"/>
    <xf numFmtId="0" fontId="75" fillId="50" borderId="0" applyNumberFormat="0" applyBorder="0" applyAlignment="0" applyProtection="0"/>
    <xf numFmtId="0" fontId="104" fillId="18" borderId="0" applyNumberFormat="0" applyBorder="0" applyAlignment="0" applyProtection="0"/>
    <xf numFmtId="0" fontId="104" fillId="18" borderId="0" applyNumberFormat="0" applyBorder="0" applyAlignment="0" applyProtection="0"/>
    <xf numFmtId="0" fontId="75" fillId="45" borderId="0" applyNumberFormat="0" applyBorder="0" applyAlignment="0" applyProtection="0"/>
    <xf numFmtId="0" fontId="75" fillId="45" borderId="0" applyNumberFormat="0" applyBorder="0" applyAlignment="0" applyProtection="0"/>
    <xf numFmtId="0" fontId="104" fillId="22" borderId="0" applyNumberFormat="0" applyBorder="0" applyAlignment="0" applyProtection="0"/>
    <xf numFmtId="0" fontId="104" fillId="22" borderId="0" applyNumberFormat="0" applyBorder="0" applyAlignment="0" applyProtection="0"/>
    <xf numFmtId="0" fontId="75" fillId="46" borderId="0" applyNumberFormat="0" applyBorder="0" applyAlignment="0" applyProtection="0"/>
    <xf numFmtId="0" fontId="75" fillId="46" borderId="0" applyNumberFormat="0" applyBorder="0" applyAlignment="0" applyProtection="0"/>
    <xf numFmtId="0" fontId="104" fillId="26" borderId="0" applyNumberFormat="0" applyBorder="0" applyAlignment="0" applyProtection="0"/>
    <xf numFmtId="0" fontId="104" fillId="26" borderId="0" applyNumberFormat="0" applyBorder="0" applyAlignment="0" applyProtection="0"/>
    <xf numFmtId="0" fontId="75" fillId="51" borderId="0" applyNumberFormat="0" applyBorder="0" applyAlignment="0" applyProtection="0"/>
    <xf numFmtId="0" fontId="75" fillId="51" borderId="0" applyNumberFormat="0" applyBorder="0" applyAlignment="0" applyProtection="0"/>
    <xf numFmtId="0" fontId="104" fillId="30" borderId="0" applyNumberFormat="0" applyBorder="0" applyAlignment="0" applyProtection="0"/>
    <xf numFmtId="0" fontId="104" fillId="30" borderId="0" applyNumberFormat="0" applyBorder="0" applyAlignment="0" applyProtection="0"/>
    <xf numFmtId="0" fontId="76" fillId="35" borderId="0" applyNumberFormat="0" applyBorder="0" applyAlignment="0" applyProtection="0"/>
    <xf numFmtId="0" fontId="76" fillId="35" borderId="0" applyNumberFormat="0" applyBorder="0" applyAlignment="0" applyProtection="0"/>
    <xf numFmtId="0" fontId="94" fillId="4" borderId="0" applyNumberFormat="0" applyBorder="0" applyAlignment="0" applyProtection="0"/>
    <xf numFmtId="0" fontId="94" fillId="4" borderId="0" applyNumberFormat="0" applyBorder="0" applyAlignment="0" applyProtection="0"/>
    <xf numFmtId="0" fontId="77" fillId="52" borderId="31" applyNumberFormat="0" applyAlignment="0" applyProtection="0"/>
    <xf numFmtId="0" fontId="77" fillId="52" borderId="31" applyNumberFormat="0" applyAlignment="0" applyProtection="0"/>
    <xf numFmtId="0" fontId="98" fillId="7" borderId="25" applyNumberFormat="0" applyAlignment="0" applyProtection="0"/>
    <xf numFmtId="0" fontId="98" fillId="7" borderId="25" applyNumberFormat="0" applyAlignment="0" applyProtection="0"/>
    <xf numFmtId="0" fontId="78" fillId="53" borderId="32" applyNumberFormat="0" applyAlignment="0" applyProtection="0"/>
    <xf numFmtId="0" fontId="78" fillId="53" borderId="32" applyNumberFormat="0" applyAlignment="0" applyProtection="0"/>
    <xf numFmtId="0" fontId="100" fillId="8" borderId="28" applyNumberFormat="0" applyAlignment="0" applyProtection="0"/>
    <xf numFmtId="0" fontId="100" fillId="8" borderId="28" applyNumberFormat="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80" fillId="36" borderId="0" applyNumberFormat="0" applyBorder="0" applyAlignment="0" applyProtection="0"/>
    <xf numFmtId="0" fontId="80" fillId="36"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81" fillId="0" borderId="33" applyNumberFormat="0" applyFill="0" applyAlignment="0" applyProtection="0"/>
    <xf numFmtId="0" fontId="81" fillId="0" borderId="33" applyNumberFormat="0" applyFill="0" applyAlignment="0" applyProtection="0"/>
    <xf numFmtId="0" fontId="90" fillId="0" borderId="22" applyNumberFormat="0" applyFill="0" applyAlignment="0" applyProtection="0"/>
    <xf numFmtId="0" fontId="90" fillId="0" borderId="22" applyNumberFormat="0" applyFill="0" applyAlignment="0" applyProtection="0"/>
    <xf numFmtId="0" fontId="82" fillId="0" borderId="34" applyNumberFormat="0" applyFill="0" applyAlignment="0" applyProtection="0"/>
    <xf numFmtId="0" fontId="82" fillId="0" borderId="34" applyNumberFormat="0" applyFill="0" applyAlignment="0" applyProtection="0"/>
    <xf numFmtId="0" fontId="91" fillId="0" borderId="23" applyNumberFormat="0" applyFill="0" applyAlignment="0" applyProtection="0"/>
    <xf numFmtId="0" fontId="91" fillId="0" borderId="23" applyNumberFormat="0" applyFill="0" applyAlignment="0" applyProtection="0"/>
    <xf numFmtId="0" fontId="83" fillId="0" borderId="35" applyNumberFormat="0" applyFill="0" applyAlignment="0" applyProtection="0"/>
    <xf numFmtId="0" fontId="83" fillId="0" borderId="35" applyNumberFormat="0" applyFill="0" applyAlignment="0" applyProtection="0"/>
    <xf numFmtId="0" fontId="92" fillId="0" borderId="24" applyNumberFormat="0" applyFill="0" applyAlignment="0" applyProtection="0"/>
    <xf numFmtId="0" fontId="92" fillId="0" borderId="24" applyNumberFormat="0" applyFill="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84" fillId="39" borderId="31" applyNumberFormat="0" applyAlignment="0" applyProtection="0"/>
    <xf numFmtId="0" fontId="84" fillId="39" borderId="31" applyNumberFormat="0" applyAlignment="0" applyProtection="0"/>
    <xf numFmtId="0" fontId="96" fillId="6" borderId="25" applyNumberFormat="0" applyAlignment="0" applyProtection="0"/>
    <xf numFmtId="0" fontId="96" fillId="6" borderId="25" applyNumberFormat="0" applyAlignment="0" applyProtection="0"/>
    <xf numFmtId="0" fontId="85" fillId="0" borderId="36" applyNumberFormat="0" applyFill="0" applyAlignment="0" applyProtection="0"/>
    <xf numFmtId="0" fontId="85" fillId="0" borderId="36" applyNumberFormat="0" applyFill="0" applyAlignment="0" applyProtection="0"/>
    <xf numFmtId="0" fontId="99" fillId="0" borderId="27" applyNumberFormat="0" applyFill="0" applyAlignment="0" applyProtection="0"/>
    <xf numFmtId="0" fontId="99" fillId="0" borderId="27" applyNumberFormat="0" applyFill="0" applyAlignment="0" applyProtection="0"/>
    <xf numFmtId="0" fontId="86" fillId="54" borderId="0" applyNumberFormat="0" applyBorder="0" applyAlignment="0" applyProtection="0"/>
    <xf numFmtId="0" fontId="86" fillId="54" borderId="0" applyNumberFormat="0" applyBorder="0" applyAlignment="0" applyProtection="0"/>
    <xf numFmtId="0" fontId="95" fillId="5" borderId="0" applyNumberFormat="0" applyBorder="0" applyAlignment="0" applyProtection="0"/>
    <xf numFmtId="0" fontId="95" fillId="5" borderId="0" applyNumberFormat="0" applyBorder="0" applyAlignment="0" applyProtection="0"/>
    <xf numFmtId="0" fontId="11" fillId="55" borderId="37" applyNumberFormat="0" applyFont="0" applyAlignment="0" applyProtection="0"/>
    <xf numFmtId="0" fontId="11" fillId="55" borderId="37" applyNumberFormat="0" applyFont="0" applyAlignment="0" applyProtection="0"/>
    <xf numFmtId="0" fontId="87" fillId="52" borderId="38" applyNumberFormat="0" applyAlignment="0" applyProtection="0"/>
    <xf numFmtId="0" fontId="87" fillId="52" borderId="38" applyNumberFormat="0" applyAlignment="0" applyProtection="0"/>
    <xf numFmtId="0" fontId="97" fillId="7" borderId="26" applyNumberFormat="0" applyAlignment="0" applyProtection="0"/>
    <xf numFmtId="0" fontId="97" fillId="7" borderId="26" applyNumberFormat="0" applyAlignment="0" applyProtection="0"/>
    <xf numFmtId="0" fontId="88" fillId="0" borderId="39" applyNumberFormat="0" applyFill="0" applyAlignment="0" applyProtection="0"/>
    <xf numFmtId="0" fontId="88" fillId="0" borderId="39" applyNumberFormat="0" applyFill="0" applyAlignment="0" applyProtection="0"/>
    <xf numFmtId="0" fontId="103" fillId="0" borderId="30" applyNumberFormat="0" applyFill="0" applyAlignment="0" applyProtection="0"/>
    <xf numFmtId="0" fontId="103" fillId="0" borderId="30" applyNumberFormat="0" applyFill="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74" fillId="34" borderId="0" applyNumberFormat="0" applyBorder="0" applyAlignment="0" applyProtection="0"/>
    <xf numFmtId="0" fontId="7" fillId="11" borderId="0" applyNumberFormat="0" applyBorder="0" applyAlignment="0" applyProtection="0"/>
    <xf numFmtId="0" fontId="72" fillId="11" borderId="0" applyNumberFormat="0" applyBorder="0" applyAlignment="0" applyProtection="0"/>
    <xf numFmtId="0" fontId="74" fillId="35" borderId="0" applyNumberFormat="0" applyBorder="0" applyAlignment="0" applyProtection="0"/>
    <xf numFmtId="0" fontId="7" fillId="15" borderId="0" applyNumberFormat="0" applyBorder="0" applyAlignment="0" applyProtection="0"/>
    <xf numFmtId="0" fontId="72" fillId="15" borderId="0" applyNumberFormat="0" applyBorder="0" applyAlignment="0" applyProtection="0"/>
    <xf numFmtId="0" fontId="74" fillId="36" borderId="0" applyNumberFormat="0" applyBorder="0" applyAlignment="0" applyProtection="0"/>
    <xf numFmtId="0" fontId="7" fillId="19" borderId="0" applyNumberFormat="0" applyBorder="0" applyAlignment="0" applyProtection="0"/>
    <xf numFmtId="0" fontId="72" fillId="19" borderId="0" applyNumberFormat="0" applyBorder="0" applyAlignment="0" applyProtection="0"/>
    <xf numFmtId="0" fontId="74" fillId="37" borderId="0" applyNumberFormat="0" applyBorder="0" applyAlignment="0" applyProtection="0"/>
    <xf numFmtId="0" fontId="7" fillId="23" borderId="0" applyNumberFormat="0" applyBorder="0" applyAlignment="0" applyProtection="0"/>
    <xf numFmtId="0" fontId="72" fillId="23" borderId="0" applyNumberFormat="0" applyBorder="0" applyAlignment="0" applyProtection="0"/>
    <xf numFmtId="0" fontId="74" fillId="38" borderId="0" applyNumberFormat="0" applyBorder="0" applyAlignment="0" applyProtection="0"/>
    <xf numFmtId="0" fontId="7" fillId="27" borderId="0" applyNumberFormat="0" applyBorder="0" applyAlignment="0" applyProtection="0"/>
    <xf numFmtId="0" fontId="72" fillId="27" borderId="0" applyNumberFormat="0" applyBorder="0" applyAlignment="0" applyProtection="0"/>
    <xf numFmtId="0" fontId="74" fillId="39" borderId="0" applyNumberFormat="0" applyBorder="0" applyAlignment="0" applyProtection="0"/>
    <xf numFmtId="0" fontId="7" fillId="31" borderId="0" applyNumberFormat="0" applyBorder="0" applyAlignment="0" applyProtection="0"/>
    <xf numFmtId="0" fontId="72" fillId="31" borderId="0" applyNumberFormat="0" applyBorder="0" applyAlignment="0" applyProtection="0"/>
    <xf numFmtId="0" fontId="74" fillId="40" borderId="0" applyNumberFormat="0" applyBorder="0" applyAlignment="0" applyProtection="0"/>
    <xf numFmtId="0" fontId="7" fillId="12" borderId="0" applyNumberFormat="0" applyBorder="0" applyAlignment="0" applyProtection="0"/>
    <xf numFmtId="0" fontId="72" fillId="12" borderId="0" applyNumberFormat="0" applyBorder="0" applyAlignment="0" applyProtection="0"/>
    <xf numFmtId="0" fontId="74" fillId="41" borderId="0" applyNumberFormat="0" applyBorder="0" applyAlignment="0" applyProtection="0"/>
    <xf numFmtId="0" fontId="7" fillId="16" borderId="0" applyNumberFormat="0" applyBorder="0" applyAlignment="0" applyProtection="0"/>
    <xf numFmtId="0" fontId="72" fillId="16" borderId="0" applyNumberFormat="0" applyBorder="0" applyAlignment="0" applyProtection="0"/>
    <xf numFmtId="0" fontId="74" fillId="42" borderId="0" applyNumberFormat="0" applyBorder="0" applyAlignment="0" applyProtection="0"/>
    <xf numFmtId="0" fontId="7" fillId="20" borderId="0" applyNumberFormat="0" applyBorder="0" applyAlignment="0" applyProtection="0"/>
    <xf numFmtId="0" fontId="72" fillId="20" borderId="0" applyNumberFormat="0" applyBorder="0" applyAlignment="0" applyProtection="0"/>
    <xf numFmtId="0" fontId="74" fillId="37" borderId="0" applyNumberFormat="0" applyBorder="0" applyAlignment="0" applyProtection="0"/>
    <xf numFmtId="0" fontId="7" fillId="24" borderId="0" applyNumberFormat="0" applyBorder="0" applyAlignment="0" applyProtection="0"/>
    <xf numFmtId="0" fontId="72" fillId="24" borderId="0" applyNumberFormat="0" applyBorder="0" applyAlignment="0" applyProtection="0"/>
    <xf numFmtId="0" fontId="74" fillId="40" borderId="0" applyNumberFormat="0" applyBorder="0" applyAlignment="0" applyProtection="0"/>
    <xf numFmtId="0" fontId="7" fillId="28" borderId="0" applyNumberFormat="0" applyBorder="0" applyAlignment="0" applyProtection="0"/>
    <xf numFmtId="0" fontId="72" fillId="28" borderId="0" applyNumberFormat="0" applyBorder="0" applyAlignment="0" applyProtection="0"/>
    <xf numFmtId="0" fontId="74" fillId="43" borderId="0" applyNumberFormat="0" applyBorder="0" applyAlignment="0" applyProtection="0"/>
    <xf numFmtId="0" fontId="7" fillId="32" borderId="0" applyNumberFormat="0" applyBorder="0" applyAlignment="0" applyProtection="0"/>
    <xf numFmtId="0" fontId="72" fillId="32" borderId="0" applyNumberFormat="0" applyBorder="0" applyAlignment="0" applyProtection="0"/>
    <xf numFmtId="0" fontId="75" fillId="44" borderId="0" applyNumberFormat="0" applyBorder="0" applyAlignment="0" applyProtection="0"/>
    <xf numFmtId="0" fontId="53" fillId="13" borderId="0" applyNumberFormat="0" applyBorder="0" applyAlignment="0" applyProtection="0"/>
    <xf numFmtId="0" fontId="104" fillId="13" borderId="0" applyNumberFormat="0" applyBorder="0" applyAlignment="0" applyProtection="0"/>
    <xf numFmtId="0" fontId="75" fillId="41" borderId="0" applyNumberFormat="0" applyBorder="0" applyAlignment="0" applyProtection="0"/>
    <xf numFmtId="0" fontId="53" fillId="17" borderId="0" applyNumberFormat="0" applyBorder="0" applyAlignment="0" applyProtection="0"/>
    <xf numFmtId="0" fontId="104" fillId="17" borderId="0" applyNumberFormat="0" applyBorder="0" applyAlignment="0" applyProtection="0"/>
    <xf numFmtId="0" fontId="75" fillId="42" borderId="0" applyNumberFormat="0" applyBorder="0" applyAlignment="0" applyProtection="0"/>
    <xf numFmtId="0" fontId="53" fillId="21" borderId="0" applyNumberFormat="0" applyBorder="0" applyAlignment="0" applyProtection="0"/>
    <xf numFmtId="0" fontId="104" fillId="21" borderId="0" applyNumberFormat="0" applyBorder="0" applyAlignment="0" applyProtection="0"/>
    <xf numFmtId="0" fontId="75" fillId="45" borderId="0" applyNumberFormat="0" applyBorder="0" applyAlignment="0" applyProtection="0"/>
    <xf numFmtId="0" fontId="53" fillId="25" borderId="0" applyNumberFormat="0" applyBorder="0" applyAlignment="0" applyProtection="0"/>
    <xf numFmtId="0" fontId="104" fillId="25" borderId="0" applyNumberFormat="0" applyBorder="0" applyAlignment="0" applyProtection="0"/>
    <xf numFmtId="0" fontId="75" fillId="46" borderId="0" applyNumberFormat="0" applyBorder="0" applyAlignment="0" applyProtection="0"/>
    <xf numFmtId="0" fontId="53" fillId="29" borderId="0" applyNumberFormat="0" applyBorder="0" applyAlignment="0" applyProtection="0"/>
    <xf numFmtId="0" fontId="104" fillId="29" borderId="0" applyNumberFormat="0" applyBorder="0" applyAlignment="0" applyProtection="0"/>
    <xf numFmtId="0" fontId="75" fillId="47" borderId="0" applyNumberFormat="0" applyBorder="0" applyAlignment="0" applyProtection="0"/>
    <xf numFmtId="0" fontId="53" fillId="33" borderId="0" applyNumberFormat="0" applyBorder="0" applyAlignment="0" applyProtection="0"/>
    <xf numFmtId="0" fontId="104" fillId="33" borderId="0" applyNumberFormat="0" applyBorder="0" applyAlignment="0" applyProtection="0"/>
    <xf numFmtId="0" fontId="75" fillId="48" borderId="0" applyNumberFormat="0" applyBorder="0" applyAlignment="0" applyProtection="0"/>
    <xf numFmtId="0" fontId="53" fillId="10" borderId="0" applyNumberFormat="0" applyBorder="0" applyAlignment="0" applyProtection="0"/>
    <xf numFmtId="0" fontId="104" fillId="10" borderId="0" applyNumberFormat="0" applyBorder="0" applyAlignment="0" applyProtection="0"/>
    <xf numFmtId="0" fontId="75" fillId="49" borderId="0" applyNumberFormat="0" applyBorder="0" applyAlignment="0" applyProtection="0"/>
    <xf numFmtId="0" fontId="53" fillId="14" borderId="0" applyNumberFormat="0" applyBorder="0" applyAlignment="0" applyProtection="0"/>
    <xf numFmtId="0" fontId="104" fillId="14" borderId="0" applyNumberFormat="0" applyBorder="0" applyAlignment="0" applyProtection="0"/>
    <xf numFmtId="0" fontId="75" fillId="50" borderId="0" applyNumberFormat="0" applyBorder="0" applyAlignment="0" applyProtection="0"/>
    <xf numFmtId="0" fontId="53" fillId="18" borderId="0" applyNumberFormat="0" applyBorder="0" applyAlignment="0" applyProtection="0"/>
    <xf numFmtId="0" fontId="104" fillId="18" borderId="0" applyNumberFormat="0" applyBorder="0" applyAlignment="0" applyProtection="0"/>
    <xf numFmtId="0" fontId="75" fillId="45" borderId="0" applyNumberFormat="0" applyBorder="0" applyAlignment="0" applyProtection="0"/>
    <xf numFmtId="0" fontId="53" fillId="22" borderId="0" applyNumberFormat="0" applyBorder="0" applyAlignment="0" applyProtection="0"/>
    <xf numFmtId="0" fontId="104" fillId="22" borderId="0" applyNumberFormat="0" applyBorder="0" applyAlignment="0" applyProtection="0"/>
    <xf numFmtId="0" fontId="75" fillId="46" borderId="0" applyNumberFormat="0" applyBorder="0" applyAlignment="0" applyProtection="0"/>
    <xf numFmtId="0" fontId="53" fillId="26" borderId="0" applyNumberFormat="0" applyBorder="0" applyAlignment="0" applyProtection="0"/>
    <xf numFmtId="0" fontId="104" fillId="26" borderId="0" applyNumberFormat="0" applyBorder="0" applyAlignment="0" applyProtection="0"/>
    <xf numFmtId="0" fontId="75" fillId="51" borderId="0" applyNumberFormat="0" applyBorder="0" applyAlignment="0" applyProtection="0"/>
    <xf numFmtId="0" fontId="53" fillId="30" borderId="0" applyNumberFormat="0" applyBorder="0" applyAlignment="0" applyProtection="0"/>
    <xf numFmtId="0" fontId="104" fillId="30" borderId="0" applyNumberFormat="0" applyBorder="0" applyAlignment="0" applyProtection="0"/>
    <xf numFmtId="0" fontId="76" fillId="35" borderId="0" applyNumberFormat="0" applyBorder="0" applyAlignment="0" applyProtection="0"/>
    <xf numFmtId="0" fontId="43" fillId="4" borderId="0" applyNumberFormat="0" applyBorder="0" applyAlignment="0" applyProtection="0"/>
    <xf numFmtId="0" fontId="94" fillId="4" borderId="0" applyNumberFormat="0" applyBorder="0" applyAlignment="0" applyProtection="0"/>
    <xf numFmtId="0" fontId="77" fillId="52" borderId="31" applyNumberFormat="0" applyAlignment="0" applyProtection="0"/>
    <xf numFmtId="0" fontId="47" fillId="7" borderId="25" applyNumberFormat="0" applyAlignment="0" applyProtection="0"/>
    <xf numFmtId="0" fontId="98" fillId="7" borderId="25" applyNumberFormat="0" applyAlignment="0" applyProtection="0"/>
    <xf numFmtId="0" fontId="78" fillId="53" borderId="32" applyNumberFormat="0" applyAlignment="0" applyProtection="0"/>
    <xf numFmtId="0" fontId="49" fillId="8" borderId="28" applyNumberFormat="0" applyAlignment="0" applyProtection="0"/>
    <xf numFmtId="0" fontId="100" fillId="8" borderId="28" applyNumberFormat="0" applyAlignment="0" applyProtection="0"/>
    <xf numFmtId="0" fontId="79" fillId="0" borderId="0" applyNumberFormat="0" applyFill="0" applyBorder="0" applyAlignment="0" applyProtection="0"/>
    <xf numFmtId="0" fontId="51" fillId="0" borderId="0" applyNumberFormat="0" applyFill="0" applyBorder="0" applyAlignment="0" applyProtection="0"/>
    <xf numFmtId="0" fontId="102" fillId="0" borderId="0" applyNumberFormat="0" applyFill="0" applyBorder="0" applyAlignment="0" applyProtection="0"/>
    <xf numFmtId="0" fontId="80" fillId="36" borderId="0" applyNumberFormat="0" applyBorder="0" applyAlignment="0" applyProtection="0"/>
    <xf numFmtId="0" fontId="42" fillId="3" borderId="0" applyNumberFormat="0" applyBorder="0" applyAlignment="0" applyProtection="0"/>
    <xf numFmtId="0" fontId="93" fillId="3" borderId="0" applyNumberFormat="0" applyBorder="0" applyAlignment="0" applyProtection="0"/>
    <xf numFmtId="0" fontId="81" fillId="0" borderId="33" applyNumberFormat="0" applyFill="0" applyAlignment="0" applyProtection="0"/>
    <xf numFmtId="0" fontId="39" fillId="0" borderId="22" applyNumberFormat="0" applyFill="0" applyAlignment="0" applyProtection="0"/>
    <xf numFmtId="0" fontId="90" fillId="0" borderId="22" applyNumberFormat="0" applyFill="0" applyAlignment="0" applyProtection="0"/>
    <xf numFmtId="0" fontId="82" fillId="0" borderId="34" applyNumberFormat="0" applyFill="0" applyAlignment="0" applyProtection="0"/>
    <xf numFmtId="0" fontId="40" fillId="0" borderId="23" applyNumberFormat="0" applyFill="0" applyAlignment="0" applyProtection="0"/>
    <xf numFmtId="0" fontId="91" fillId="0" borderId="23" applyNumberFormat="0" applyFill="0" applyAlignment="0" applyProtection="0"/>
    <xf numFmtId="0" fontId="83" fillId="0" borderId="35" applyNumberFormat="0" applyFill="0" applyAlignment="0" applyProtection="0"/>
    <xf numFmtId="0" fontId="41" fillId="0" borderId="24" applyNumberFormat="0" applyFill="0" applyAlignment="0" applyProtection="0"/>
    <xf numFmtId="0" fontId="92" fillId="0" borderId="24" applyNumberFormat="0" applyFill="0" applyAlignment="0" applyProtection="0"/>
    <xf numFmtId="0" fontId="83" fillId="0" borderId="0" applyNumberFormat="0" applyFill="0" applyBorder="0" applyAlignment="0" applyProtection="0"/>
    <xf numFmtId="0" fontId="41" fillId="0" borderId="0" applyNumberFormat="0" applyFill="0" applyBorder="0" applyAlignment="0" applyProtection="0"/>
    <xf numFmtId="0" fontId="92" fillId="0" borderId="0" applyNumberFormat="0" applyFill="0" applyBorder="0" applyAlignment="0" applyProtection="0"/>
    <xf numFmtId="0" fontId="84" fillId="39" borderId="31" applyNumberFormat="0" applyAlignment="0" applyProtection="0"/>
    <xf numFmtId="0" fontId="45" fillId="6" borderId="25" applyNumberFormat="0" applyAlignment="0" applyProtection="0"/>
    <xf numFmtId="0" fontId="96" fillId="6" borderId="25" applyNumberFormat="0" applyAlignment="0" applyProtection="0"/>
    <xf numFmtId="0" fontId="85" fillId="0" borderId="36" applyNumberFormat="0" applyFill="0" applyAlignment="0" applyProtection="0"/>
    <xf numFmtId="0" fontId="48" fillId="0" borderId="27" applyNumberFormat="0" applyFill="0" applyAlignment="0" applyProtection="0"/>
    <xf numFmtId="0" fontId="99" fillId="0" borderId="27" applyNumberFormat="0" applyFill="0" applyAlignment="0" applyProtection="0"/>
    <xf numFmtId="0" fontId="86" fillId="54" borderId="0" applyNumberFormat="0" applyBorder="0" applyAlignment="0" applyProtection="0"/>
    <xf numFmtId="0" fontId="44" fillId="5" borderId="0" applyNumberFormat="0" applyBorder="0" applyAlignment="0" applyProtection="0"/>
    <xf numFmtId="0" fontId="95" fillId="5" borderId="0" applyNumberFormat="0" applyBorder="0" applyAlignment="0" applyProtection="0"/>
    <xf numFmtId="0" fontId="11" fillId="0" borderId="0"/>
    <xf numFmtId="0" fontId="11" fillId="0" borderId="0"/>
    <xf numFmtId="0" fontId="11" fillId="0" borderId="0"/>
    <xf numFmtId="0" fontId="11" fillId="55" borderId="37" applyNumberFormat="0" applyFont="0" applyAlignment="0" applyProtection="0"/>
    <xf numFmtId="0" fontId="7" fillId="9" borderId="29" applyNumberFormat="0" applyFont="0" applyAlignment="0" applyProtection="0"/>
    <xf numFmtId="0" fontId="87" fillId="52" borderId="38" applyNumberFormat="0" applyAlignment="0" applyProtection="0"/>
    <xf numFmtId="0" fontId="46" fillId="7" borderId="26" applyNumberFormat="0" applyAlignment="0" applyProtection="0"/>
    <xf numFmtId="0" fontId="97" fillId="7" borderId="26" applyNumberFormat="0" applyAlignment="0" applyProtection="0"/>
    <xf numFmtId="0" fontId="38" fillId="0" borderId="0" applyNumberFormat="0" applyFill="0" applyBorder="0" applyAlignment="0" applyProtection="0"/>
    <xf numFmtId="0" fontId="88" fillId="0" borderId="39" applyNumberFormat="0" applyFill="0" applyAlignment="0" applyProtection="0"/>
    <xf numFmtId="0" fontId="52" fillId="0" borderId="30" applyNumberFormat="0" applyFill="0" applyAlignment="0" applyProtection="0"/>
    <xf numFmtId="0" fontId="103" fillId="0" borderId="30" applyNumberFormat="0" applyFill="0" applyAlignment="0" applyProtection="0"/>
    <xf numFmtId="0" fontId="89" fillId="0" borderId="0" applyNumberFormat="0" applyFill="0" applyBorder="0" applyAlignment="0" applyProtection="0"/>
    <xf numFmtId="0" fontId="50" fillId="0" borderId="0" applyNumberFormat="0" applyFill="0" applyBorder="0" applyAlignment="0" applyProtection="0"/>
    <xf numFmtId="0" fontId="101" fillId="0" borderId="0" applyNumberFormat="0" applyFill="0" applyBorder="0" applyAlignment="0" applyProtection="0"/>
    <xf numFmtId="0" fontId="74" fillId="34" borderId="0" applyNumberFormat="0" applyBorder="0" applyAlignment="0" applyProtection="0"/>
    <xf numFmtId="0" fontId="72" fillId="11" borderId="0" applyNumberFormat="0" applyBorder="0" applyAlignment="0" applyProtection="0"/>
    <xf numFmtId="0" fontId="74" fillId="35" borderId="0" applyNumberFormat="0" applyBorder="0" applyAlignment="0" applyProtection="0"/>
    <xf numFmtId="0" fontId="72" fillId="15" borderId="0" applyNumberFormat="0" applyBorder="0" applyAlignment="0" applyProtection="0"/>
    <xf numFmtId="0" fontId="74" fillId="36" borderId="0" applyNumberFormat="0" applyBorder="0" applyAlignment="0" applyProtection="0"/>
    <xf numFmtId="0" fontId="72" fillId="19" borderId="0" applyNumberFormat="0" applyBorder="0" applyAlignment="0" applyProtection="0"/>
    <xf numFmtId="0" fontId="74" fillId="37" borderId="0" applyNumberFormat="0" applyBorder="0" applyAlignment="0" applyProtection="0"/>
    <xf numFmtId="0" fontId="72" fillId="23" borderId="0" applyNumberFormat="0" applyBorder="0" applyAlignment="0" applyProtection="0"/>
    <xf numFmtId="0" fontId="74" fillId="38" borderId="0" applyNumberFormat="0" applyBorder="0" applyAlignment="0" applyProtection="0"/>
    <xf numFmtId="0" fontId="72" fillId="27" borderId="0" applyNumberFormat="0" applyBorder="0" applyAlignment="0" applyProtection="0"/>
    <xf numFmtId="0" fontId="74" fillId="39" borderId="0" applyNumberFormat="0" applyBorder="0" applyAlignment="0" applyProtection="0"/>
    <xf numFmtId="0" fontId="72" fillId="31" borderId="0" applyNumberFormat="0" applyBorder="0" applyAlignment="0" applyProtection="0"/>
    <xf numFmtId="0" fontId="74" fillId="40" borderId="0" applyNumberFormat="0" applyBorder="0" applyAlignment="0" applyProtection="0"/>
    <xf numFmtId="0" fontId="72" fillId="12" borderId="0" applyNumberFormat="0" applyBorder="0" applyAlignment="0" applyProtection="0"/>
    <xf numFmtId="0" fontId="74" fillId="41" borderId="0" applyNumberFormat="0" applyBorder="0" applyAlignment="0" applyProtection="0"/>
    <xf numFmtId="0" fontId="72" fillId="16" borderId="0" applyNumberFormat="0" applyBorder="0" applyAlignment="0" applyProtection="0"/>
    <xf numFmtId="0" fontId="74" fillId="42" borderId="0" applyNumberFormat="0" applyBorder="0" applyAlignment="0" applyProtection="0"/>
    <xf numFmtId="0" fontId="72" fillId="20" borderId="0" applyNumberFormat="0" applyBorder="0" applyAlignment="0" applyProtection="0"/>
    <xf numFmtId="0" fontId="74" fillId="37" borderId="0" applyNumberFormat="0" applyBorder="0" applyAlignment="0" applyProtection="0"/>
    <xf numFmtId="0" fontId="72" fillId="24" borderId="0" applyNumberFormat="0" applyBorder="0" applyAlignment="0" applyProtection="0"/>
    <xf numFmtId="0" fontId="74" fillId="40" borderId="0" applyNumberFormat="0" applyBorder="0" applyAlignment="0" applyProtection="0"/>
    <xf numFmtId="0" fontId="72" fillId="28" borderId="0" applyNumberFormat="0" applyBorder="0" applyAlignment="0" applyProtection="0"/>
    <xf numFmtId="0" fontId="74" fillId="43" borderId="0" applyNumberFormat="0" applyBorder="0" applyAlignment="0" applyProtection="0"/>
    <xf numFmtId="0" fontId="72" fillId="32" borderId="0" applyNumberFormat="0" applyBorder="0" applyAlignment="0" applyProtection="0"/>
    <xf numFmtId="0" fontId="75" fillId="44" borderId="0" applyNumberFormat="0" applyBorder="0" applyAlignment="0" applyProtection="0"/>
    <xf numFmtId="0" fontId="104" fillId="13" borderId="0" applyNumberFormat="0" applyBorder="0" applyAlignment="0" applyProtection="0"/>
    <xf numFmtId="0" fontId="75" fillId="41" borderId="0" applyNumberFormat="0" applyBorder="0" applyAlignment="0" applyProtection="0"/>
    <xf numFmtId="0" fontId="104" fillId="17" borderId="0" applyNumberFormat="0" applyBorder="0" applyAlignment="0" applyProtection="0"/>
    <xf numFmtId="0" fontId="75" fillId="42" borderId="0" applyNumberFormat="0" applyBorder="0" applyAlignment="0" applyProtection="0"/>
    <xf numFmtId="0" fontId="104" fillId="21" borderId="0" applyNumberFormat="0" applyBorder="0" applyAlignment="0" applyProtection="0"/>
    <xf numFmtId="0" fontId="75" fillId="45" borderId="0" applyNumberFormat="0" applyBorder="0" applyAlignment="0" applyProtection="0"/>
    <xf numFmtId="0" fontId="104" fillId="25" borderId="0" applyNumberFormat="0" applyBorder="0" applyAlignment="0" applyProtection="0"/>
    <xf numFmtId="0" fontId="75" fillId="46" borderId="0" applyNumberFormat="0" applyBorder="0" applyAlignment="0" applyProtection="0"/>
    <xf numFmtId="0" fontId="104" fillId="29" borderId="0" applyNumberFormat="0" applyBorder="0" applyAlignment="0" applyProtection="0"/>
    <xf numFmtId="0" fontId="75" fillId="47" borderId="0" applyNumberFormat="0" applyBorder="0" applyAlignment="0" applyProtection="0"/>
    <xf numFmtId="0" fontId="104" fillId="33" borderId="0" applyNumberFormat="0" applyBorder="0" applyAlignment="0" applyProtection="0"/>
    <xf numFmtId="0" fontId="75" fillId="48" borderId="0" applyNumberFormat="0" applyBorder="0" applyAlignment="0" applyProtection="0"/>
    <xf numFmtId="0" fontId="104" fillId="10" borderId="0" applyNumberFormat="0" applyBorder="0" applyAlignment="0" applyProtection="0"/>
    <xf numFmtId="0" fontId="75" fillId="49" borderId="0" applyNumberFormat="0" applyBorder="0" applyAlignment="0" applyProtection="0"/>
    <xf numFmtId="0" fontId="104" fillId="14" borderId="0" applyNumberFormat="0" applyBorder="0" applyAlignment="0" applyProtection="0"/>
    <xf numFmtId="0" fontId="75" fillId="50" borderId="0" applyNumberFormat="0" applyBorder="0" applyAlignment="0" applyProtection="0"/>
    <xf numFmtId="0" fontId="104" fillId="18" borderId="0" applyNumberFormat="0" applyBorder="0" applyAlignment="0" applyProtection="0"/>
    <xf numFmtId="0" fontId="75" fillId="45" borderId="0" applyNumberFormat="0" applyBorder="0" applyAlignment="0" applyProtection="0"/>
    <xf numFmtId="0" fontId="104" fillId="22" borderId="0" applyNumberFormat="0" applyBorder="0" applyAlignment="0" applyProtection="0"/>
    <xf numFmtId="0" fontId="75" fillId="46" borderId="0" applyNumberFormat="0" applyBorder="0" applyAlignment="0" applyProtection="0"/>
    <xf numFmtId="0" fontId="104" fillId="26" borderId="0" applyNumberFormat="0" applyBorder="0" applyAlignment="0" applyProtection="0"/>
    <xf numFmtId="0" fontId="75" fillId="51" borderId="0" applyNumberFormat="0" applyBorder="0" applyAlignment="0" applyProtection="0"/>
    <xf numFmtId="0" fontId="104" fillId="30" borderId="0" applyNumberFormat="0" applyBorder="0" applyAlignment="0" applyProtection="0"/>
    <xf numFmtId="0" fontId="76" fillId="35" borderId="0" applyNumberFormat="0" applyBorder="0" applyAlignment="0" applyProtection="0"/>
    <xf numFmtId="0" fontId="94" fillId="4" borderId="0" applyNumberFormat="0" applyBorder="0" applyAlignment="0" applyProtection="0"/>
    <xf numFmtId="0" fontId="77" fillId="52" borderId="31" applyNumberFormat="0" applyAlignment="0" applyProtection="0"/>
    <xf numFmtId="0" fontId="98" fillId="7" borderId="25" applyNumberFormat="0" applyAlignment="0" applyProtection="0"/>
    <xf numFmtId="0" fontId="78" fillId="53" borderId="32" applyNumberFormat="0" applyAlignment="0" applyProtection="0"/>
    <xf numFmtId="0" fontId="100" fillId="8" borderId="28" applyNumberFormat="0" applyAlignment="0" applyProtection="0"/>
    <xf numFmtId="0" fontId="79" fillId="0" borderId="0" applyNumberFormat="0" applyFill="0" applyBorder="0" applyAlignment="0" applyProtection="0"/>
    <xf numFmtId="0" fontId="102" fillId="0" borderId="0" applyNumberFormat="0" applyFill="0" applyBorder="0" applyAlignment="0" applyProtection="0"/>
    <xf numFmtId="0" fontId="80" fillId="36" borderId="0" applyNumberFormat="0" applyBorder="0" applyAlignment="0" applyProtection="0"/>
    <xf numFmtId="0" fontId="93" fillId="3" borderId="0" applyNumberFormat="0" applyBorder="0" applyAlignment="0" applyProtection="0"/>
    <xf numFmtId="0" fontId="81" fillId="0" borderId="33" applyNumberFormat="0" applyFill="0" applyAlignment="0" applyProtection="0"/>
    <xf numFmtId="0" fontId="90" fillId="0" borderId="22" applyNumberFormat="0" applyFill="0" applyAlignment="0" applyProtection="0"/>
    <xf numFmtId="0" fontId="82" fillId="0" borderId="34" applyNumberFormat="0" applyFill="0" applyAlignment="0" applyProtection="0"/>
    <xf numFmtId="0" fontId="91" fillId="0" borderId="23" applyNumberFormat="0" applyFill="0" applyAlignment="0" applyProtection="0"/>
    <xf numFmtId="0" fontId="83" fillId="0" borderId="35" applyNumberFormat="0" applyFill="0" applyAlignment="0" applyProtection="0"/>
    <xf numFmtId="0" fontId="92" fillId="0" borderId="24" applyNumberFormat="0" applyFill="0" applyAlignment="0" applyProtection="0"/>
    <xf numFmtId="0" fontId="83" fillId="0" borderId="0" applyNumberFormat="0" applyFill="0" applyBorder="0" applyAlignment="0" applyProtection="0"/>
    <xf numFmtId="0" fontId="92" fillId="0" borderId="0" applyNumberFormat="0" applyFill="0" applyBorder="0" applyAlignment="0" applyProtection="0"/>
    <xf numFmtId="0" fontId="84" fillId="39" borderId="31" applyNumberFormat="0" applyAlignment="0" applyProtection="0"/>
    <xf numFmtId="0" fontId="96" fillId="6" borderId="25" applyNumberFormat="0" applyAlignment="0" applyProtection="0"/>
    <xf numFmtId="0" fontId="85" fillId="0" borderId="36" applyNumberFormat="0" applyFill="0" applyAlignment="0" applyProtection="0"/>
    <xf numFmtId="0" fontId="99" fillId="0" borderId="27" applyNumberFormat="0" applyFill="0" applyAlignment="0" applyProtection="0"/>
    <xf numFmtId="0" fontId="86" fillId="54" borderId="0" applyNumberFormat="0" applyBorder="0" applyAlignment="0" applyProtection="0"/>
    <xf numFmtId="0" fontId="95" fillId="5" borderId="0" applyNumberFormat="0" applyBorder="0" applyAlignment="0" applyProtection="0"/>
    <xf numFmtId="0" fontId="11" fillId="0" borderId="0"/>
    <xf numFmtId="0" fontId="11" fillId="55" borderId="37" applyNumberFormat="0" applyFont="0" applyAlignment="0" applyProtection="0"/>
    <xf numFmtId="0" fontId="87" fillId="52" borderId="38" applyNumberFormat="0" applyAlignment="0" applyProtection="0"/>
    <xf numFmtId="0" fontId="97" fillId="7" borderId="26" applyNumberFormat="0" applyAlignment="0" applyProtection="0"/>
    <xf numFmtId="0" fontId="88" fillId="0" borderId="39" applyNumberFormat="0" applyFill="0" applyAlignment="0" applyProtection="0"/>
    <xf numFmtId="0" fontId="103" fillId="0" borderId="30" applyNumberFormat="0" applyFill="0" applyAlignment="0" applyProtection="0"/>
    <xf numFmtId="0" fontId="89" fillId="0" borderId="0" applyNumberFormat="0" applyFill="0" applyBorder="0" applyAlignment="0" applyProtection="0"/>
    <xf numFmtId="0" fontId="101" fillId="0" borderId="0" applyNumberFormat="0" applyFill="0" applyBorder="0" applyAlignment="0" applyProtection="0"/>
    <xf numFmtId="0" fontId="31" fillId="0" borderId="0"/>
    <xf numFmtId="0" fontId="31" fillId="0" borderId="0"/>
    <xf numFmtId="0" fontId="31" fillId="0" borderId="0"/>
    <xf numFmtId="0" fontId="31" fillId="0" borderId="0"/>
    <xf numFmtId="43" fontId="31" fillId="0" borderId="0" applyFont="0" applyFill="0" applyBorder="0" applyAlignment="0" applyProtection="0"/>
    <xf numFmtId="0" fontId="31" fillId="0" borderId="0"/>
    <xf numFmtId="43" fontId="31" fillId="0" borderId="0" applyFont="0" applyFill="0" applyBorder="0" applyAlignment="0" applyProtection="0"/>
    <xf numFmtId="43" fontId="31" fillId="0" borderId="0" applyFont="0" applyFill="0" applyBorder="0" applyAlignment="0" applyProtection="0"/>
    <xf numFmtId="0" fontId="31" fillId="0" borderId="0"/>
    <xf numFmtId="43" fontId="31" fillId="0" borderId="0" applyFont="0" applyFill="0" applyBorder="0" applyAlignment="0" applyProtection="0"/>
    <xf numFmtId="0" fontId="31" fillId="0" borderId="0"/>
    <xf numFmtId="43" fontId="31" fillId="0" borderId="0" applyFont="0" applyFill="0" applyBorder="0" applyAlignment="0" applyProtection="0"/>
    <xf numFmtId="0" fontId="31" fillId="0" borderId="0"/>
    <xf numFmtId="43" fontId="31" fillId="0" borderId="0" applyFont="0" applyFill="0" applyBorder="0" applyAlignment="0" applyProtection="0"/>
    <xf numFmtId="0" fontId="31" fillId="0" borderId="0"/>
    <xf numFmtId="43" fontId="31"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43" fontId="31" fillId="0" borderId="0" applyFont="0" applyFill="0" applyBorder="0" applyAlignment="0" applyProtection="0"/>
    <xf numFmtId="0" fontId="31" fillId="0" borderId="0"/>
    <xf numFmtId="43" fontId="31" fillId="0" borderId="0" applyFont="0" applyFill="0" applyBorder="0" applyAlignment="0" applyProtection="0"/>
    <xf numFmtId="0" fontId="31" fillId="0" borderId="0"/>
    <xf numFmtId="43" fontId="31" fillId="0" borderId="0" applyFont="0" applyFill="0" applyBorder="0" applyAlignment="0" applyProtection="0"/>
    <xf numFmtId="0" fontId="31" fillId="0" borderId="0"/>
    <xf numFmtId="43" fontId="31" fillId="0" borderId="0" applyFont="0" applyFill="0" applyBorder="0" applyAlignment="0" applyProtection="0"/>
    <xf numFmtId="0" fontId="31" fillId="0" borderId="0"/>
    <xf numFmtId="43" fontId="31" fillId="0" borderId="0" applyFont="0" applyFill="0" applyBorder="0" applyAlignment="0" applyProtection="0"/>
    <xf numFmtId="0" fontId="31" fillId="0" borderId="0"/>
    <xf numFmtId="0" fontId="31" fillId="0" borderId="0"/>
    <xf numFmtId="0" fontId="31" fillId="0" borderId="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0" fontId="31" fillId="0" borderId="0"/>
    <xf numFmtId="0" fontId="31" fillId="0" borderId="0"/>
    <xf numFmtId="0" fontId="31" fillId="0" borderId="0"/>
    <xf numFmtId="43" fontId="31"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43" fontId="31" fillId="0" borderId="0" applyFont="0" applyFill="0" applyBorder="0" applyAlignment="0" applyProtection="0"/>
    <xf numFmtId="0" fontId="31" fillId="0" borderId="0"/>
    <xf numFmtId="43" fontId="31"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43" fontId="31"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43" fontId="31" fillId="0" borderId="0" applyFont="0" applyFill="0" applyBorder="0" applyAlignment="0" applyProtection="0"/>
    <xf numFmtId="43" fontId="31" fillId="0" borderId="0" applyFont="0" applyFill="0" applyBorder="0" applyAlignment="0" applyProtection="0"/>
    <xf numFmtId="0" fontId="31" fillId="0" borderId="0"/>
    <xf numFmtId="0" fontId="31" fillId="0" borderId="0"/>
    <xf numFmtId="43" fontId="31"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43" fontId="31" fillId="0" borderId="0" applyFont="0" applyFill="0" applyBorder="0" applyAlignment="0" applyProtection="0"/>
    <xf numFmtId="43" fontId="31" fillId="0" borderId="0" applyFont="0" applyFill="0" applyBorder="0" applyAlignment="0" applyProtection="0"/>
    <xf numFmtId="0" fontId="31" fillId="0" borderId="0"/>
    <xf numFmtId="0" fontId="31" fillId="0" borderId="0"/>
    <xf numFmtId="43" fontId="31"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43" fontId="31" fillId="0" borderId="0" applyFont="0" applyFill="0" applyBorder="0" applyAlignment="0" applyProtection="0"/>
    <xf numFmtId="43" fontId="31" fillId="0" borderId="0" applyFont="0" applyFill="0" applyBorder="0" applyAlignment="0" applyProtection="0"/>
    <xf numFmtId="0" fontId="31" fillId="0" borderId="0"/>
    <xf numFmtId="0" fontId="31" fillId="0" borderId="0"/>
    <xf numFmtId="43" fontId="31"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43" fontId="31" fillId="0" borderId="0" applyFont="0" applyFill="0" applyBorder="0" applyAlignment="0" applyProtection="0"/>
    <xf numFmtId="43" fontId="31" fillId="0" borderId="0" applyFont="0" applyFill="0" applyBorder="0" applyAlignment="0" applyProtection="0"/>
    <xf numFmtId="0" fontId="31" fillId="0" borderId="0"/>
    <xf numFmtId="0" fontId="31" fillId="0" borderId="0"/>
    <xf numFmtId="43" fontId="31"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43" fontId="31" fillId="0" borderId="0" applyFont="0" applyFill="0" applyBorder="0" applyAlignment="0" applyProtection="0"/>
    <xf numFmtId="43" fontId="31" fillId="0" borderId="0" applyFont="0" applyFill="0" applyBorder="0" applyAlignment="0" applyProtection="0"/>
    <xf numFmtId="0" fontId="31" fillId="0" borderId="0"/>
    <xf numFmtId="0" fontId="31" fillId="0" borderId="0"/>
    <xf numFmtId="43" fontId="31"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43" fontId="31" fillId="0" borderId="0" applyFont="0" applyFill="0" applyBorder="0" applyAlignment="0" applyProtection="0"/>
    <xf numFmtId="43" fontId="31" fillId="0" borderId="0" applyFont="0" applyFill="0" applyBorder="0" applyAlignment="0" applyProtection="0"/>
    <xf numFmtId="0" fontId="31" fillId="0" borderId="0"/>
    <xf numFmtId="0" fontId="31" fillId="0" borderId="0"/>
    <xf numFmtId="43" fontId="31"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43" fontId="31" fillId="0" borderId="0" applyFont="0" applyFill="0" applyBorder="0" applyAlignment="0" applyProtection="0"/>
    <xf numFmtId="43" fontId="31" fillId="0" borderId="0" applyFont="0" applyFill="0" applyBorder="0" applyAlignment="0" applyProtection="0"/>
    <xf numFmtId="0" fontId="31" fillId="0" borderId="0"/>
    <xf numFmtId="0" fontId="31" fillId="0" borderId="0"/>
    <xf numFmtId="43" fontId="31"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43" fontId="31" fillId="0" borderId="0" applyFont="0" applyFill="0" applyBorder="0" applyAlignment="0" applyProtection="0"/>
    <xf numFmtId="43" fontId="31" fillId="0" borderId="0" applyFont="0" applyFill="0" applyBorder="0" applyAlignment="0" applyProtection="0"/>
    <xf numFmtId="0" fontId="31" fillId="0" borderId="0"/>
    <xf numFmtId="0" fontId="31" fillId="0" borderId="0"/>
    <xf numFmtId="43" fontId="31"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0" fontId="31" fillId="0" borderId="0"/>
    <xf numFmtId="43" fontId="31"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43" fontId="31" fillId="0" borderId="0" applyFont="0" applyFill="0" applyBorder="0" applyAlignment="0" applyProtection="0"/>
    <xf numFmtId="0" fontId="31" fillId="0" borderId="0"/>
    <xf numFmtId="43" fontId="31"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43" fontId="31" fillId="0" borderId="0" applyFont="0" applyFill="0" applyBorder="0" applyAlignment="0" applyProtection="0"/>
    <xf numFmtId="43" fontId="31" fillId="0" borderId="0" applyFont="0" applyFill="0" applyBorder="0" applyAlignment="0" applyProtection="0"/>
    <xf numFmtId="0" fontId="31" fillId="0" borderId="0"/>
    <xf numFmtId="0" fontId="31" fillId="0" borderId="0"/>
    <xf numFmtId="0" fontId="31" fillId="0" borderId="0"/>
    <xf numFmtId="0" fontId="31" fillId="0" borderId="0"/>
    <xf numFmtId="43" fontId="31"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43" fontId="31" fillId="0" borderId="0" applyFont="0" applyFill="0" applyBorder="0" applyAlignment="0" applyProtection="0"/>
    <xf numFmtId="43" fontId="31" fillId="0" borderId="0" applyFont="0" applyFill="0" applyBorder="0" applyAlignment="0" applyProtection="0"/>
    <xf numFmtId="0" fontId="31" fillId="0" borderId="0"/>
    <xf numFmtId="0" fontId="31" fillId="0" borderId="0"/>
    <xf numFmtId="43" fontId="31"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43" fontId="31" fillId="0" borderId="0" applyFont="0" applyFill="0" applyBorder="0" applyAlignment="0" applyProtection="0"/>
    <xf numFmtId="43" fontId="31" fillId="0" borderId="0" applyFont="0" applyFill="0" applyBorder="0" applyAlignment="0" applyProtection="0"/>
    <xf numFmtId="0" fontId="31" fillId="0" borderId="0"/>
    <xf numFmtId="0" fontId="31" fillId="0" borderId="0"/>
    <xf numFmtId="43" fontId="31"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43" fontId="31" fillId="0" borderId="0" applyFont="0" applyFill="0" applyBorder="0" applyAlignment="0" applyProtection="0"/>
    <xf numFmtId="43" fontId="31" fillId="0" borderId="0" applyFont="0" applyFill="0" applyBorder="0" applyAlignment="0" applyProtection="0"/>
    <xf numFmtId="0" fontId="31" fillId="0" borderId="0"/>
    <xf numFmtId="0" fontId="31" fillId="0" borderId="0"/>
    <xf numFmtId="43" fontId="31"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43" fontId="31" fillId="0" borderId="0" applyFont="0" applyFill="0" applyBorder="0" applyAlignment="0" applyProtection="0"/>
    <xf numFmtId="43" fontId="31" fillId="0" borderId="0" applyFont="0" applyFill="0" applyBorder="0" applyAlignment="0" applyProtection="0"/>
    <xf numFmtId="0" fontId="31" fillId="0" borderId="0"/>
    <xf numFmtId="0" fontId="31" fillId="0" borderId="0"/>
    <xf numFmtId="43" fontId="31"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43" fontId="31" fillId="0" borderId="0" applyFont="0" applyFill="0" applyBorder="0" applyAlignment="0" applyProtection="0"/>
    <xf numFmtId="43" fontId="31" fillId="0" borderId="0" applyFont="0" applyFill="0" applyBorder="0" applyAlignment="0" applyProtection="0"/>
    <xf numFmtId="0" fontId="31" fillId="0" borderId="0"/>
    <xf numFmtId="0" fontId="31" fillId="0" borderId="0"/>
    <xf numFmtId="43" fontId="31"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43" fontId="31" fillId="0" borderId="0" applyFont="0" applyFill="0" applyBorder="0" applyAlignment="0" applyProtection="0"/>
    <xf numFmtId="43" fontId="31" fillId="0" borderId="0" applyFont="0" applyFill="0" applyBorder="0" applyAlignment="0" applyProtection="0"/>
    <xf numFmtId="0" fontId="31" fillId="0" borderId="0"/>
    <xf numFmtId="0" fontId="31" fillId="0" borderId="0"/>
    <xf numFmtId="43" fontId="31"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43" fontId="31" fillId="0" borderId="0" applyFont="0" applyFill="0" applyBorder="0" applyAlignment="0" applyProtection="0"/>
    <xf numFmtId="43" fontId="31" fillId="0" borderId="0" applyFont="0" applyFill="0" applyBorder="0" applyAlignment="0" applyProtection="0"/>
    <xf numFmtId="0" fontId="31" fillId="0" borderId="0"/>
    <xf numFmtId="0" fontId="31" fillId="0" borderId="0"/>
    <xf numFmtId="43" fontId="31"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43" fontId="31" fillId="0" borderId="0" applyFont="0" applyFill="0" applyBorder="0" applyAlignment="0" applyProtection="0"/>
    <xf numFmtId="43" fontId="31" fillId="0" borderId="0" applyFont="0" applyFill="0" applyBorder="0" applyAlignment="0" applyProtection="0"/>
    <xf numFmtId="0" fontId="31" fillId="0" borderId="0"/>
    <xf numFmtId="0" fontId="31" fillId="0" borderId="0"/>
    <xf numFmtId="43" fontId="31"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43" fontId="31" fillId="0" borderId="0" applyFont="0" applyFill="0" applyBorder="0" applyAlignment="0" applyProtection="0"/>
    <xf numFmtId="43" fontId="31" fillId="0" borderId="0" applyFont="0" applyFill="0" applyBorder="0" applyAlignment="0" applyProtection="0"/>
    <xf numFmtId="0" fontId="31" fillId="0" borderId="0"/>
    <xf numFmtId="0" fontId="31" fillId="0" borderId="0"/>
    <xf numFmtId="43" fontId="31"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43" fontId="31" fillId="0" borderId="0" applyFont="0" applyFill="0" applyBorder="0" applyAlignment="0" applyProtection="0"/>
    <xf numFmtId="43" fontId="31" fillId="0" borderId="0" applyFont="0" applyFill="0" applyBorder="0" applyAlignment="0" applyProtection="0"/>
    <xf numFmtId="0" fontId="31" fillId="0" borderId="0"/>
    <xf numFmtId="43" fontId="31" fillId="0" borderId="0" applyFont="0" applyFill="0" applyBorder="0" applyAlignment="0" applyProtection="0"/>
    <xf numFmtId="0" fontId="31" fillId="0" borderId="0"/>
    <xf numFmtId="0" fontId="31" fillId="0" borderId="0"/>
    <xf numFmtId="0" fontId="31" fillId="0" borderId="0"/>
    <xf numFmtId="0" fontId="31" fillId="0" borderId="0"/>
    <xf numFmtId="43" fontId="31" fillId="0" borderId="0" applyFont="0" applyFill="0" applyBorder="0" applyAlignment="0" applyProtection="0"/>
    <xf numFmtId="0" fontId="31" fillId="0" borderId="0"/>
    <xf numFmtId="0" fontId="31" fillId="0" borderId="0"/>
    <xf numFmtId="0" fontId="31" fillId="0" borderId="0"/>
    <xf numFmtId="44" fontId="31" fillId="0" borderId="0" applyFont="0" applyFill="0" applyBorder="0" applyAlignment="0" applyProtection="0"/>
    <xf numFmtId="43" fontId="11" fillId="0" borderId="0" applyFont="0" applyFill="0" applyBorder="0" applyAlignment="0" applyProtection="0"/>
    <xf numFmtId="0" fontId="11" fillId="0" borderId="0"/>
    <xf numFmtId="0" fontId="7" fillId="0" borderId="0"/>
    <xf numFmtId="0" fontId="38" fillId="0" borderId="0" applyNumberFormat="0" applyFill="0" applyBorder="0" applyAlignment="0" applyProtection="0"/>
    <xf numFmtId="0" fontId="39" fillId="0" borderId="22" applyNumberFormat="0" applyFill="0" applyAlignment="0" applyProtection="0"/>
    <xf numFmtId="0" fontId="40" fillId="0" borderId="23" applyNumberFormat="0" applyFill="0" applyAlignment="0" applyProtection="0"/>
    <xf numFmtId="0" fontId="41" fillId="0" borderId="24" applyNumberFormat="0" applyFill="0" applyAlignment="0" applyProtection="0"/>
    <xf numFmtId="0" fontId="41" fillId="0" borderId="0" applyNumberFormat="0" applyFill="0" applyBorder="0" applyAlignment="0" applyProtection="0"/>
    <xf numFmtId="0" fontId="42" fillId="3" borderId="0" applyNumberFormat="0" applyBorder="0" applyAlignment="0" applyProtection="0"/>
    <xf numFmtId="0" fontId="43" fillId="4" borderId="0" applyNumberFormat="0" applyBorder="0" applyAlignment="0" applyProtection="0"/>
    <xf numFmtId="0" fontId="44" fillId="5" borderId="0" applyNumberFormat="0" applyBorder="0" applyAlignment="0" applyProtection="0"/>
    <xf numFmtId="0" fontId="45" fillId="6" borderId="25" applyNumberFormat="0" applyAlignment="0" applyProtection="0"/>
    <xf numFmtId="0" fontId="46" fillId="7" borderId="26" applyNumberFormat="0" applyAlignment="0" applyProtection="0"/>
    <xf numFmtId="0" fontId="47" fillId="7" borderId="25" applyNumberFormat="0" applyAlignment="0" applyProtection="0"/>
    <xf numFmtId="0" fontId="48" fillId="0" borderId="27" applyNumberFormat="0" applyFill="0" applyAlignment="0" applyProtection="0"/>
    <xf numFmtId="0" fontId="49" fillId="8" borderId="28" applyNumberFormat="0" applyAlignment="0" applyProtection="0"/>
    <xf numFmtId="0" fontId="50" fillId="0" borderId="0" applyNumberFormat="0" applyFill="0" applyBorder="0" applyAlignment="0" applyProtection="0"/>
    <xf numFmtId="0" fontId="7" fillId="9" borderId="29" applyNumberFormat="0" applyFont="0" applyAlignment="0" applyProtection="0"/>
    <xf numFmtId="0" fontId="51" fillId="0" borderId="0" applyNumberFormat="0" applyFill="0" applyBorder="0" applyAlignment="0" applyProtection="0"/>
    <xf numFmtId="0" fontId="52" fillId="0" borderId="30" applyNumberFormat="0" applyFill="0" applyAlignment="0" applyProtection="0"/>
    <xf numFmtId="0" fontId="53"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53" fillId="13" borderId="0" applyNumberFormat="0" applyBorder="0" applyAlignment="0" applyProtection="0"/>
    <xf numFmtId="0" fontId="53"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53" fillId="29" borderId="0" applyNumberFormat="0" applyBorder="0" applyAlignment="0" applyProtection="0"/>
    <xf numFmtId="0" fontId="53"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53" fillId="33" borderId="0" applyNumberFormat="0" applyBorder="0" applyAlignment="0" applyProtection="0"/>
    <xf numFmtId="0" fontId="90" fillId="0" borderId="22" applyNumberFormat="0" applyFill="0" applyAlignment="0" applyProtection="0"/>
    <xf numFmtId="0" fontId="91" fillId="0" borderId="23" applyNumberFormat="0" applyFill="0" applyAlignment="0" applyProtection="0"/>
    <xf numFmtId="0" fontId="92" fillId="0" borderId="24" applyNumberFormat="0" applyFill="0" applyAlignment="0" applyProtection="0"/>
    <xf numFmtId="0" fontId="92" fillId="0" borderId="0" applyNumberFormat="0" applyFill="0" applyBorder="0" applyAlignment="0" applyProtection="0"/>
    <xf numFmtId="0" fontId="93" fillId="3" borderId="0" applyNumberFormat="0" applyBorder="0" applyAlignment="0" applyProtection="0"/>
    <xf numFmtId="0" fontId="94" fillId="4" borderId="0" applyNumberFormat="0" applyBorder="0" applyAlignment="0" applyProtection="0"/>
    <xf numFmtId="0" fontId="95" fillId="5" borderId="0" applyNumberFormat="0" applyBorder="0" applyAlignment="0" applyProtection="0"/>
    <xf numFmtId="0" fontId="96" fillId="6" borderId="25" applyNumberFormat="0" applyAlignment="0" applyProtection="0"/>
    <xf numFmtId="0" fontId="97" fillId="7" borderId="26" applyNumberFormat="0" applyAlignment="0" applyProtection="0"/>
    <xf numFmtId="0" fontId="98" fillId="7" borderId="25" applyNumberFormat="0" applyAlignment="0" applyProtection="0"/>
    <xf numFmtId="0" fontId="99" fillId="0" borderId="27" applyNumberFormat="0" applyFill="0" applyAlignment="0" applyProtection="0"/>
    <xf numFmtId="0" fontId="100" fillId="8" borderId="28" applyNumberFormat="0" applyAlignment="0" applyProtection="0"/>
    <xf numFmtId="0" fontId="101" fillId="0" borderId="0" applyNumberFormat="0" applyFill="0" applyBorder="0" applyAlignment="0" applyProtection="0"/>
    <xf numFmtId="0" fontId="102" fillId="0" borderId="0" applyNumberFormat="0" applyFill="0" applyBorder="0" applyAlignment="0" applyProtection="0"/>
    <xf numFmtId="0" fontId="103" fillId="0" borderId="30" applyNumberFormat="0" applyFill="0" applyAlignment="0" applyProtection="0"/>
    <xf numFmtId="0" fontId="104"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104" fillId="13" borderId="0" applyNumberFormat="0" applyBorder="0" applyAlignment="0" applyProtection="0"/>
    <xf numFmtId="0" fontId="104"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104" fillId="17" borderId="0" applyNumberFormat="0" applyBorder="0" applyAlignment="0" applyProtection="0"/>
    <xf numFmtId="0" fontId="104"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104" fillId="21" borderId="0" applyNumberFormat="0" applyBorder="0" applyAlignment="0" applyProtection="0"/>
    <xf numFmtId="0" fontId="104"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104" fillId="25" borderId="0" applyNumberFormat="0" applyBorder="0" applyAlignment="0" applyProtection="0"/>
    <xf numFmtId="0" fontId="104" fillId="26"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104" fillId="29" borderId="0" applyNumberFormat="0" applyBorder="0" applyAlignment="0" applyProtection="0"/>
    <xf numFmtId="0" fontId="104" fillId="30" borderId="0" applyNumberFormat="0" applyBorder="0" applyAlignment="0" applyProtection="0"/>
    <xf numFmtId="0" fontId="72" fillId="31" borderId="0" applyNumberFormat="0" applyBorder="0" applyAlignment="0" applyProtection="0"/>
    <xf numFmtId="0" fontId="72" fillId="32" borderId="0" applyNumberFormat="0" applyBorder="0" applyAlignment="0" applyProtection="0"/>
    <xf numFmtId="0" fontId="104" fillId="33" borderId="0" applyNumberFormat="0" applyBorder="0" applyAlignment="0" applyProtection="0"/>
    <xf numFmtId="0" fontId="7" fillId="12"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20" borderId="0" applyNumberFormat="0" applyBorder="0" applyAlignment="0" applyProtection="0"/>
    <xf numFmtId="0" fontId="7" fillId="9" borderId="29" applyNumberFormat="0" applyFont="0" applyAlignment="0" applyProtection="0"/>
    <xf numFmtId="0" fontId="7" fillId="19" borderId="0" applyNumberFormat="0" applyBorder="0" applyAlignment="0" applyProtection="0"/>
    <xf numFmtId="0" fontId="7" fillId="0" borderId="0"/>
    <xf numFmtId="0" fontId="7" fillId="16" borderId="0" applyNumberFormat="0" applyBorder="0" applyAlignment="0" applyProtection="0"/>
    <xf numFmtId="0" fontId="7" fillId="32" borderId="0" applyNumberFormat="0" applyBorder="0" applyAlignment="0" applyProtection="0"/>
    <xf numFmtId="0" fontId="7" fillId="31" borderId="0" applyNumberFormat="0" applyBorder="0" applyAlignment="0" applyProtection="0"/>
    <xf numFmtId="0" fontId="7" fillId="24" borderId="0" applyNumberFormat="0" applyBorder="0" applyAlignment="0" applyProtection="0"/>
    <xf numFmtId="0" fontId="7" fillId="23" borderId="0" applyNumberFormat="0" applyBorder="0" applyAlignment="0" applyProtection="0"/>
    <xf numFmtId="0" fontId="7" fillId="28" borderId="0" applyNumberFormat="0" applyBorder="0" applyAlignment="0" applyProtection="0"/>
    <xf numFmtId="0" fontId="7" fillId="27" borderId="0" applyNumberFormat="0" applyBorder="0" applyAlignment="0" applyProtection="0"/>
    <xf numFmtId="0" fontId="7" fillId="0" borderId="0"/>
    <xf numFmtId="0" fontId="7" fillId="9" borderId="29" applyNumberFormat="0" applyFont="0" applyAlignment="0" applyProtection="0"/>
    <xf numFmtId="0" fontId="7" fillId="11"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11" fillId="0" borderId="0"/>
    <xf numFmtId="0" fontId="11" fillId="0" borderId="0"/>
    <xf numFmtId="0" fontId="11" fillId="0" borderId="0"/>
    <xf numFmtId="0" fontId="74" fillId="34" borderId="0" applyNumberFormat="0" applyBorder="0" applyAlignment="0" applyProtection="0"/>
    <xf numFmtId="0" fontId="11" fillId="0" borderId="0"/>
    <xf numFmtId="0" fontId="11" fillId="0" borderId="0"/>
    <xf numFmtId="0" fontId="75" fillId="46" borderId="0" applyNumberFormat="0" applyBorder="0" applyAlignment="0" applyProtection="0"/>
    <xf numFmtId="0" fontId="11" fillId="0" borderId="0"/>
    <xf numFmtId="0" fontId="74" fillId="35" borderId="0" applyNumberFormat="0" applyBorder="0" applyAlignment="0" applyProtection="0"/>
    <xf numFmtId="0" fontId="11" fillId="0" borderId="0"/>
    <xf numFmtId="0" fontId="11" fillId="0" borderId="0"/>
    <xf numFmtId="0" fontId="74" fillId="40" borderId="0" applyNumberFormat="0" applyBorder="0" applyAlignment="0" applyProtection="0"/>
    <xf numFmtId="0" fontId="74" fillId="34" borderId="0" applyNumberFormat="0" applyBorder="0" applyAlignment="0" applyProtection="0"/>
    <xf numFmtId="0" fontId="74" fillId="35" borderId="0" applyNumberFormat="0" applyBorder="0" applyAlignment="0" applyProtection="0"/>
    <xf numFmtId="0" fontId="74" fillId="36" borderId="0" applyNumberFormat="0" applyBorder="0" applyAlignment="0" applyProtection="0"/>
    <xf numFmtId="0" fontId="74" fillId="37" borderId="0" applyNumberFormat="0" applyBorder="0" applyAlignment="0" applyProtection="0"/>
    <xf numFmtId="0" fontId="74" fillId="38" borderId="0" applyNumberFormat="0" applyBorder="0" applyAlignment="0" applyProtection="0"/>
    <xf numFmtId="0" fontId="74" fillId="39" borderId="0" applyNumberFormat="0" applyBorder="0" applyAlignment="0" applyProtection="0"/>
    <xf numFmtId="0" fontId="74" fillId="40" borderId="0" applyNumberFormat="0" applyBorder="0" applyAlignment="0" applyProtection="0"/>
    <xf numFmtId="0" fontId="74" fillId="41" borderId="0" applyNumberFormat="0" applyBorder="0" applyAlignment="0" applyProtection="0"/>
    <xf numFmtId="0" fontId="74" fillId="42" borderId="0" applyNumberFormat="0" applyBorder="0" applyAlignment="0" applyProtection="0"/>
    <xf numFmtId="0" fontId="74" fillId="37" borderId="0" applyNumberFormat="0" applyBorder="0" applyAlignment="0" applyProtection="0"/>
    <xf numFmtId="0" fontId="74" fillId="40" borderId="0" applyNumberFormat="0" applyBorder="0" applyAlignment="0" applyProtection="0"/>
    <xf numFmtId="0" fontId="74" fillId="43" borderId="0" applyNumberFormat="0" applyBorder="0" applyAlignment="0" applyProtection="0"/>
    <xf numFmtId="0" fontId="75" fillId="44" borderId="0" applyNumberFormat="0" applyBorder="0" applyAlignment="0" applyProtection="0"/>
    <xf numFmtId="0" fontId="75" fillId="41" borderId="0" applyNumberFormat="0" applyBorder="0" applyAlignment="0" applyProtection="0"/>
    <xf numFmtId="0" fontId="75" fillId="42" borderId="0" applyNumberFormat="0" applyBorder="0" applyAlignment="0" applyProtection="0"/>
    <xf numFmtId="0" fontId="75" fillId="45" borderId="0" applyNumberFormat="0" applyBorder="0" applyAlignment="0" applyProtection="0"/>
    <xf numFmtId="0" fontId="75" fillId="46" borderId="0" applyNumberFormat="0" applyBorder="0" applyAlignment="0" applyProtection="0"/>
    <xf numFmtId="0" fontId="75" fillId="47" borderId="0" applyNumberFormat="0" applyBorder="0" applyAlignment="0" applyProtection="0"/>
    <xf numFmtId="0" fontId="75" fillId="48" borderId="0" applyNumberFormat="0" applyBorder="0" applyAlignment="0" applyProtection="0"/>
    <xf numFmtId="0" fontId="75" fillId="49" borderId="0" applyNumberFormat="0" applyBorder="0" applyAlignment="0" applyProtection="0"/>
    <xf numFmtId="0" fontId="75" fillId="50" borderId="0" applyNumberFormat="0" applyBorder="0" applyAlignment="0" applyProtection="0"/>
    <xf numFmtId="0" fontId="75" fillId="45" borderId="0" applyNumberFormat="0" applyBorder="0" applyAlignment="0" applyProtection="0"/>
    <xf numFmtId="0" fontId="75" fillId="46" borderId="0" applyNumberFormat="0" applyBorder="0" applyAlignment="0" applyProtection="0"/>
    <xf numFmtId="0" fontId="75" fillId="51" borderId="0" applyNumberFormat="0" applyBorder="0" applyAlignment="0" applyProtection="0"/>
    <xf numFmtId="0" fontId="76" fillId="35" borderId="0" applyNumberFormat="0" applyBorder="0" applyAlignment="0" applyProtection="0"/>
    <xf numFmtId="0" fontId="77" fillId="52" borderId="31" applyNumberFormat="0" applyAlignment="0" applyProtection="0"/>
    <xf numFmtId="0" fontId="78" fillId="53" borderId="32" applyNumberFormat="0" applyAlignment="0" applyProtection="0"/>
    <xf numFmtId="0" fontId="79" fillId="0" borderId="0" applyNumberFormat="0" applyFill="0" applyBorder="0" applyAlignment="0" applyProtection="0"/>
    <xf numFmtId="0" fontId="80" fillId="36" borderId="0" applyNumberFormat="0" applyBorder="0" applyAlignment="0" applyProtection="0"/>
    <xf numFmtId="0" fontId="81" fillId="0" borderId="33" applyNumberFormat="0" applyFill="0" applyAlignment="0" applyProtection="0"/>
    <xf numFmtId="0" fontId="82" fillId="0" borderId="34" applyNumberFormat="0" applyFill="0" applyAlignment="0" applyProtection="0"/>
    <xf numFmtId="0" fontId="83" fillId="0" borderId="35" applyNumberFormat="0" applyFill="0" applyAlignment="0" applyProtection="0"/>
    <xf numFmtId="0" fontId="83" fillId="0" borderId="0" applyNumberFormat="0" applyFill="0" applyBorder="0" applyAlignment="0" applyProtection="0"/>
    <xf numFmtId="0" fontId="84" fillId="39" borderId="31" applyNumberFormat="0" applyAlignment="0" applyProtection="0"/>
    <xf numFmtId="0" fontId="85" fillId="0" borderId="36" applyNumberFormat="0" applyFill="0" applyAlignment="0" applyProtection="0"/>
    <xf numFmtId="0" fontId="86" fillId="54" borderId="0" applyNumberFormat="0" applyBorder="0" applyAlignment="0" applyProtection="0"/>
    <xf numFmtId="0" fontId="11" fillId="55" borderId="37" applyNumberFormat="0" applyFont="0" applyAlignment="0" applyProtection="0"/>
    <xf numFmtId="0" fontId="87" fillId="52" borderId="38" applyNumberFormat="0" applyAlignment="0" applyProtection="0"/>
    <xf numFmtId="0" fontId="69" fillId="0" borderId="0" applyNumberFormat="0" applyFill="0" applyBorder="0" applyAlignment="0" applyProtection="0"/>
    <xf numFmtId="0" fontId="88" fillId="0" borderId="39" applyNumberFormat="0" applyFill="0" applyAlignment="0" applyProtection="0"/>
    <xf numFmtId="0" fontId="89" fillId="0" borderId="0" applyNumberFormat="0" applyFill="0" applyBorder="0" applyAlignment="0" applyProtection="0"/>
    <xf numFmtId="0" fontId="75" fillId="44" borderId="0" applyNumberFormat="0" applyBorder="0" applyAlignment="0" applyProtection="0"/>
    <xf numFmtId="0" fontId="7" fillId="0" borderId="0"/>
    <xf numFmtId="0" fontId="74" fillId="43" borderId="0" applyNumberFormat="0" applyBorder="0" applyAlignment="0" applyProtection="0"/>
    <xf numFmtId="0" fontId="74" fillId="38" borderId="0" applyNumberFormat="0" applyBorder="0" applyAlignment="0" applyProtection="0"/>
    <xf numFmtId="0" fontId="74" fillId="40" borderId="0" applyNumberFormat="0" applyBorder="0" applyAlignment="0" applyProtection="0"/>
    <xf numFmtId="0" fontId="74" fillId="37" borderId="0" applyNumberFormat="0" applyBorder="0" applyAlignment="0" applyProtection="0"/>
    <xf numFmtId="0" fontId="7" fillId="0" borderId="0"/>
    <xf numFmtId="0" fontId="74" fillId="42" borderId="0" applyNumberFormat="0" applyBorder="0" applyAlignment="0" applyProtection="0"/>
    <xf numFmtId="0" fontId="74" fillId="41" borderId="0" applyNumberFormat="0" applyBorder="0" applyAlignment="0" applyProtection="0"/>
    <xf numFmtId="0" fontId="74" fillId="37" borderId="0" applyNumberFormat="0" applyBorder="0" applyAlignment="0" applyProtection="0"/>
    <xf numFmtId="0" fontId="11" fillId="0" borderId="0"/>
    <xf numFmtId="0" fontId="74" fillId="34" borderId="0" applyNumberFormat="0" applyBorder="0" applyAlignment="0" applyProtection="0"/>
    <xf numFmtId="0" fontId="74" fillId="35" borderId="0" applyNumberFormat="0" applyBorder="0" applyAlignment="0" applyProtection="0"/>
    <xf numFmtId="0" fontId="74" fillId="36" borderId="0" applyNumberFormat="0" applyBorder="0" applyAlignment="0" applyProtection="0"/>
    <xf numFmtId="0" fontId="74" fillId="37" borderId="0" applyNumberFormat="0" applyBorder="0" applyAlignment="0" applyProtection="0"/>
    <xf numFmtId="0" fontId="74" fillId="38" borderId="0" applyNumberFormat="0" applyBorder="0" applyAlignment="0" applyProtection="0"/>
    <xf numFmtId="0" fontId="74" fillId="39" borderId="0" applyNumberFormat="0" applyBorder="0" applyAlignment="0" applyProtection="0"/>
    <xf numFmtId="0" fontId="74" fillId="40" borderId="0" applyNumberFormat="0" applyBorder="0" applyAlignment="0" applyProtection="0"/>
    <xf numFmtId="0" fontId="74" fillId="41" borderId="0" applyNumberFormat="0" applyBorder="0" applyAlignment="0" applyProtection="0"/>
    <xf numFmtId="0" fontId="74" fillId="42" borderId="0" applyNumberFormat="0" applyBorder="0" applyAlignment="0" applyProtection="0"/>
    <xf numFmtId="0" fontId="74" fillId="37" borderId="0" applyNumberFormat="0" applyBorder="0" applyAlignment="0" applyProtection="0"/>
    <xf numFmtId="0" fontId="74" fillId="40" borderId="0" applyNumberFormat="0" applyBorder="0" applyAlignment="0" applyProtection="0"/>
    <xf numFmtId="0" fontId="74" fillId="43" borderId="0" applyNumberFormat="0" applyBorder="0" applyAlignment="0" applyProtection="0"/>
    <xf numFmtId="0" fontId="75" fillId="44" borderId="0" applyNumberFormat="0" applyBorder="0" applyAlignment="0" applyProtection="0"/>
    <xf numFmtId="0" fontId="75" fillId="41" borderId="0" applyNumberFormat="0" applyBorder="0" applyAlignment="0" applyProtection="0"/>
    <xf numFmtId="0" fontId="75" fillId="42" borderId="0" applyNumberFormat="0" applyBorder="0" applyAlignment="0" applyProtection="0"/>
    <xf numFmtId="0" fontId="75" fillId="45" borderId="0" applyNumberFormat="0" applyBorder="0" applyAlignment="0" applyProtection="0"/>
    <xf numFmtId="0" fontId="75" fillId="46" borderId="0" applyNumberFormat="0" applyBorder="0" applyAlignment="0" applyProtection="0"/>
    <xf numFmtId="0" fontId="75" fillId="47" borderId="0" applyNumberFormat="0" applyBorder="0" applyAlignment="0" applyProtection="0"/>
    <xf numFmtId="0" fontId="75" fillId="48" borderId="0" applyNumberFormat="0" applyBorder="0" applyAlignment="0" applyProtection="0"/>
    <xf numFmtId="0" fontId="75" fillId="49" borderId="0" applyNumberFormat="0" applyBorder="0" applyAlignment="0" applyProtection="0"/>
    <xf numFmtId="0" fontId="75" fillId="50" borderId="0" applyNumberFormat="0" applyBorder="0" applyAlignment="0" applyProtection="0"/>
    <xf numFmtId="0" fontId="75" fillId="45" borderId="0" applyNumberFormat="0" applyBorder="0" applyAlignment="0" applyProtection="0"/>
    <xf numFmtId="0" fontId="75" fillId="46" borderId="0" applyNumberFormat="0" applyBorder="0" applyAlignment="0" applyProtection="0"/>
    <xf numFmtId="0" fontId="75" fillId="51" borderId="0" applyNumberFormat="0" applyBorder="0" applyAlignment="0" applyProtection="0"/>
    <xf numFmtId="0" fontId="76" fillId="35" borderId="0" applyNumberFormat="0" applyBorder="0" applyAlignment="0" applyProtection="0"/>
    <xf numFmtId="0" fontId="77" fillId="52" borderId="31" applyNumberFormat="0" applyAlignment="0" applyProtection="0"/>
    <xf numFmtId="0" fontId="78" fillId="53" borderId="32" applyNumberFormat="0" applyAlignment="0" applyProtection="0"/>
    <xf numFmtId="0" fontId="79" fillId="0" borderId="0" applyNumberFormat="0" applyFill="0" applyBorder="0" applyAlignment="0" applyProtection="0"/>
    <xf numFmtId="0" fontId="80" fillId="36" borderId="0" applyNumberFormat="0" applyBorder="0" applyAlignment="0" applyProtection="0"/>
    <xf numFmtId="0" fontId="81" fillId="0" borderId="33" applyNumberFormat="0" applyFill="0" applyAlignment="0" applyProtection="0"/>
    <xf numFmtId="0" fontId="82" fillId="0" borderId="34" applyNumberFormat="0" applyFill="0" applyAlignment="0" applyProtection="0"/>
    <xf numFmtId="0" fontId="83" fillId="0" borderId="35" applyNumberFormat="0" applyFill="0" applyAlignment="0" applyProtection="0"/>
    <xf numFmtId="0" fontId="83" fillId="0" borderId="0" applyNumberFormat="0" applyFill="0" applyBorder="0" applyAlignment="0" applyProtection="0"/>
    <xf numFmtId="0" fontId="84" fillId="39" borderId="31" applyNumberFormat="0" applyAlignment="0" applyProtection="0"/>
    <xf numFmtId="0" fontId="85" fillId="0" borderId="36" applyNumberFormat="0" applyFill="0" applyAlignment="0" applyProtection="0"/>
    <xf numFmtId="0" fontId="86" fillId="54" borderId="0" applyNumberFormat="0" applyBorder="0" applyAlignment="0" applyProtection="0"/>
    <xf numFmtId="0" fontId="11" fillId="55" borderId="37" applyNumberFormat="0" applyFont="0" applyAlignment="0" applyProtection="0"/>
    <xf numFmtId="0" fontId="87" fillId="52" borderId="38" applyNumberFormat="0" applyAlignment="0" applyProtection="0"/>
    <xf numFmtId="0" fontId="69" fillId="0" borderId="0" applyNumberFormat="0" applyFill="0" applyBorder="0" applyAlignment="0" applyProtection="0"/>
    <xf numFmtId="0" fontId="88" fillId="0" borderId="39" applyNumberFormat="0" applyFill="0" applyAlignment="0" applyProtection="0"/>
    <xf numFmtId="0" fontId="89" fillId="0" borderId="0" applyNumberFormat="0" applyFill="0" applyBorder="0" applyAlignment="0" applyProtection="0"/>
    <xf numFmtId="0" fontId="74" fillId="39" borderId="0" applyNumberFormat="0" applyBorder="0" applyAlignment="0" applyProtection="0"/>
    <xf numFmtId="0" fontId="7" fillId="0" borderId="0"/>
    <xf numFmtId="0" fontId="74" fillId="36" borderId="0" applyNumberFormat="0" applyBorder="0" applyAlignment="0" applyProtection="0"/>
    <xf numFmtId="0" fontId="11" fillId="0" borderId="0"/>
    <xf numFmtId="0" fontId="74" fillId="34" borderId="0" applyNumberFormat="0" applyBorder="0" applyAlignment="0" applyProtection="0"/>
    <xf numFmtId="0" fontId="74" fillId="35" borderId="0" applyNumberFormat="0" applyBorder="0" applyAlignment="0" applyProtection="0"/>
    <xf numFmtId="0" fontId="74" fillId="36" borderId="0" applyNumberFormat="0" applyBorder="0" applyAlignment="0" applyProtection="0"/>
    <xf numFmtId="0" fontId="74" fillId="37" borderId="0" applyNumberFormat="0" applyBorder="0" applyAlignment="0" applyProtection="0"/>
    <xf numFmtId="0" fontId="74" fillId="38" borderId="0" applyNumberFormat="0" applyBorder="0" applyAlignment="0" applyProtection="0"/>
    <xf numFmtId="0" fontId="74" fillId="39" borderId="0" applyNumberFormat="0" applyBorder="0" applyAlignment="0" applyProtection="0"/>
    <xf numFmtId="0" fontId="74" fillId="40" borderId="0" applyNumberFormat="0" applyBorder="0" applyAlignment="0" applyProtection="0"/>
    <xf numFmtId="0" fontId="74" fillId="41" borderId="0" applyNumberFormat="0" applyBorder="0" applyAlignment="0" applyProtection="0"/>
    <xf numFmtId="0" fontId="74" fillId="42" borderId="0" applyNumberFormat="0" applyBorder="0" applyAlignment="0" applyProtection="0"/>
    <xf numFmtId="0" fontId="74" fillId="37" borderId="0" applyNumberFormat="0" applyBorder="0" applyAlignment="0" applyProtection="0"/>
    <xf numFmtId="0" fontId="74" fillId="40" borderId="0" applyNumberFormat="0" applyBorder="0" applyAlignment="0" applyProtection="0"/>
    <xf numFmtId="0" fontId="74" fillId="43" borderId="0" applyNumberFormat="0" applyBorder="0" applyAlignment="0" applyProtection="0"/>
    <xf numFmtId="0" fontId="75" fillId="44" borderId="0" applyNumberFormat="0" applyBorder="0" applyAlignment="0" applyProtection="0"/>
    <xf numFmtId="0" fontId="75" fillId="41" borderId="0" applyNumberFormat="0" applyBorder="0" applyAlignment="0" applyProtection="0"/>
    <xf numFmtId="0" fontId="75" fillId="42" borderId="0" applyNumberFormat="0" applyBorder="0" applyAlignment="0" applyProtection="0"/>
    <xf numFmtId="0" fontId="75" fillId="45" borderId="0" applyNumberFormat="0" applyBorder="0" applyAlignment="0" applyProtection="0"/>
    <xf numFmtId="0" fontId="75" fillId="46" borderId="0" applyNumberFormat="0" applyBorder="0" applyAlignment="0" applyProtection="0"/>
    <xf numFmtId="0" fontId="75" fillId="47" borderId="0" applyNumberFormat="0" applyBorder="0" applyAlignment="0" applyProtection="0"/>
    <xf numFmtId="0" fontId="75" fillId="48" borderId="0" applyNumberFormat="0" applyBorder="0" applyAlignment="0" applyProtection="0"/>
    <xf numFmtId="0" fontId="75" fillId="49" borderId="0" applyNumberFormat="0" applyBorder="0" applyAlignment="0" applyProtection="0"/>
    <xf numFmtId="0" fontId="75" fillId="50" borderId="0" applyNumberFormat="0" applyBorder="0" applyAlignment="0" applyProtection="0"/>
    <xf numFmtId="0" fontId="75" fillId="45" borderId="0" applyNumberFormat="0" applyBorder="0" applyAlignment="0" applyProtection="0"/>
    <xf numFmtId="0" fontId="75" fillId="46" borderId="0" applyNumberFormat="0" applyBorder="0" applyAlignment="0" applyProtection="0"/>
    <xf numFmtId="0" fontId="75" fillId="51" borderId="0" applyNumberFormat="0" applyBorder="0" applyAlignment="0" applyProtection="0"/>
    <xf numFmtId="0" fontId="76" fillId="35" borderId="0" applyNumberFormat="0" applyBorder="0" applyAlignment="0" applyProtection="0"/>
    <xf numFmtId="0" fontId="77" fillId="52" borderId="31" applyNumberFormat="0" applyAlignment="0" applyProtection="0"/>
    <xf numFmtId="0" fontId="78" fillId="53" borderId="32" applyNumberFormat="0" applyAlignment="0" applyProtection="0"/>
    <xf numFmtId="0" fontId="79" fillId="0" borderId="0" applyNumberFormat="0" applyFill="0" applyBorder="0" applyAlignment="0" applyProtection="0"/>
    <xf numFmtId="0" fontId="80" fillId="36" borderId="0" applyNumberFormat="0" applyBorder="0" applyAlignment="0" applyProtection="0"/>
    <xf numFmtId="0" fontId="81" fillId="0" borderId="33" applyNumberFormat="0" applyFill="0" applyAlignment="0" applyProtection="0"/>
    <xf numFmtId="0" fontId="82" fillId="0" borderId="34" applyNumberFormat="0" applyFill="0" applyAlignment="0" applyProtection="0"/>
    <xf numFmtId="0" fontId="83" fillId="0" borderId="35" applyNumberFormat="0" applyFill="0" applyAlignment="0" applyProtection="0"/>
    <xf numFmtId="0" fontId="83" fillId="0" borderId="0" applyNumberFormat="0" applyFill="0" applyBorder="0" applyAlignment="0" applyProtection="0"/>
    <xf numFmtId="0" fontId="84" fillId="39" borderId="31" applyNumberFormat="0" applyAlignment="0" applyProtection="0"/>
    <xf numFmtId="0" fontId="85" fillId="0" borderId="36" applyNumberFormat="0" applyFill="0" applyAlignment="0" applyProtection="0"/>
    <xf numFmtId="0" fontId="86" fillId="54" borderId="0" applyNumberFormat="0" applyBorder="0" applyAlignment="0" applyProtection="0"/>
    <xf numFmtId="0" fontId="11" fillId="55" borderId="37" applyNumberFormat="0" applyFont="0" applyAlignment="0" applyProtection="0"/>
    <xf numFmtId="0" fontId="87" fillId="52" borderId="38" applyNumberFormat="0" applyAlignment="0" applyProtection="0"/>
    <xf numFmtId="0" fontId="69" fillId="0" borderId="0" applyNumberFormat="0" applyFill="0" applyBorder="0" applyAlignment="0" applyProtection="0"/>
    <xf numFmtId="0" fontId="88" fillId="0" borderId="39" applyNumberFormat="0" applyFill="0" applyAlignment="0" applyProtection="0"/>
    <xf numFmtId="0" fontId="89" fillId="0" borderId="0" applyNumberFormat="0" applyFill="0" applyBorder="0" applyAlignment="0" applyProtection="0"/>
    <xf numFmtId="0" fontId="7" fillId="0" borderId="0"/>
    <xf numFmtId="0" fontId="7" fillId="0" borderId="0"/>
    <xf numFmtId="0" fontId="7" fillId="0" borderId="0"/>
    <xf numFmtId="0" fontId="7" fillId="0" borderId="0"/>
    <xf numFmtId="43" fontId="11" fillId="0" borderId="0" applyFont="0" applyFill="0" applyBorder="0" applyAlignment="0" applyProtection="0"/>
    <xf numFmtId="0" fontId="89" fillId="0" borderId="0" applyNumberFormat="0" applyFill="0" applyBorder="0" applyAlignment="0" applyProtection="0"/>
    <xf numFmtId="0" fontId="88" fillId="0" borderId="39" applyNumberFormat="0" applyFill="0" applyAlignment="0" applyProtection="0"/>
    <xf numFmtId="0" fontId="69" fillId="0" borderId="0" applyNumberFormat="0" applyFill="0" applyBorder="0" applyAlignment="0" applyProtection="0"/>
    <xf numFmtId="0" fontId="11" fillId="0" borderId="0"/>
    <xf numFmtId="0" fontId="11" fillId="0" borderId="0"/>
    <xf numFmtId="0" fontId="87" fillId="52" borderId="38" applyNumberFormat="0" applyAlignment="0" applyProtection="0"/>
    <xf numFmtId="0" fontId="11" fillId="55" borderId="37" applyNumberFormat="0" applyFont="0" applyAlignment="0" applyProtection="0"/>
    <xf numFmtId="0" fontId="86" fillId="54" borderId="0" applyNumberFormat="0" applyBorder="0" applyAlignment="0" applyProtection="0"/>
    <xf numFmtId="0" fontId="85" fillId="0" borderId="36" applyNumberFormat="0" applyFill="0" applyAlignment="0" applyProtection="0"/>
    <xf numFmtId="0" fontId="84" fillId="39" borderId="31" applyNumberFormat="0" applyAlignment="0" applyProtection="0"/>
    <xf numFmtId="0" fontId="83" fillId="0" borderId="0" applyNumberFormat="0" applyFill="0" applyBorder="0" applyAlignment="0" applyProtection="0"/>
    <xf numFmtId="0" fontId="83" fillId="0" borderId="35" applyNumberFormat="0" applyFill="0" applyAlignment="0" applyProtection="0"/>
    <xf numFmtId="0" fontId="82" fillId="0" borderId="34" applyNumberFormat="0" applyFill="0" applyAlignment="0" applyProtection="0"/>
    <xf numFmtId="0" fontId="81" fillId="0" borderId="33" applyNumberFormat="0" applyFill="0" applyAlignment="0" applyProtection="0"/>
    <xf numFmtId="0" fontId="80" fillId="36" borderId="0" applyNumberFormat="0" applyBorder="0" applyAlignment="0" applyProtection="0"/>
    <xf numFmtId="0" fontId="79" fillId="0" borderId="0" applyNumberFormat="0" applyFill="0" applyBorder="0" applyAlignment="0" applyProtection="0"/>
    <xf numFmtId="0" fontId="78" fillId="53" borderId="32" applyNumberFormat="0" applyAlignment="0" applyProtection="0"/>
    <xf numFmtId="0" fontId="77" fillId="52" borderId="31" applyNumberFormat="0" applyAlignment="0" applyProtection="0"/>
    <xf numFmtId="0" fontId="76" fillId="35" borderId="0" applyNumberFormat="0" applyBorder="0" applyAlignment="0" applyProtection="0"/>
    <xf numFmtId="0" fontId="75" fillId="51" borderId="0" applyNumberFormat="0" applyBorder="0" applyAlignment="0" applyProtection="0"/>
    <xf numFmtId="0" fontId="75" fillId="46" borderId="0" applyNumberFormat="0" applyBorder="0" applyAlignment="0" applyProtection="0"/>
    <xf numFmtId="0" fontId="75" fillId="45" borderId="0" applyNumberFormat="0" applyBorder="0" applyAlignment="0" applyProtection="0"/>
    <xf numFmtId="0" fontId="75" fillId="50" borderId="0" applyNumberFormat="0" applyBorder="0" applyAlignment="0" applyProtection="0"/>
    <xf numFmtId="0" fontId="75" fillId="49" borderId="0" applyNumberFormat="0" applyBorder="0" applyAlignment="0" applyProtection="0"/>
    <xf numFmtId="0" fontId="75" fillId="48" borderId="0" applyNumberFormat="0" applyBorder="0" applyAlignment="0" applyProtection="0"/>
    <xf numFmtId="0" fontId="75" fillId="47" borderId="0" applyNumberFormat="0" applyBorder="0" applyAlignment="0" applyProtection="0"/>
    <xf numFmtId="0" fontId="75" fillId="45" borderId="0" applyNumberFormat="0" applyBorder="0" applyAlignment="0" applyProtection="0"/>
    <xf numFmtId="0" fontId="75" fillId="42" borderId="0" applyNumberFormat="0" applyBorder="0" applyAlignment="0" applyProtection="0"/>
    <xf numFmtId="0" fontId="75" fillId="41" borderId="0" applyNumberFormat="0" applyBorder="0" applyAlignment="0" applyProtection="0"/>
    <xf numFmtId="0" fontId="11" fillId="0" borderId="0"/>
    <xf numFmtId="0" fontId="69" fillId="0" borderId="0" applyNumberFormat="0" applyFill="0" applyBorder="0" applyAlignment="0" applyProtection="0"/>
    <xf numFmtId="0" fontId="7" fillId="0" borderId="0"/>
    <xf numFmtId="0" fontId="7" fillId="0" borderId="0"/>
    <xf numFmtId="0" fontId="7" fillId="0" borderId="0"/>
    <xf numFmtId="0" fontId="7" fillId="0" borderId="0"/>
    <xf numFmtId="0" fontId="11" fillId="0" borderId="0"/>
    <xf numFmtId="0" fontId="74" fillId="34" borderId="0" applyNumberFormat="0" applyBorder="0" applyAlignment="0" applyProtection="0"/>
    <xf numFmtId="0" fontId="74" fillId="35" borderId="0" applyNumberFormat="0" applyBorder="0" applyAlignment="0" applyProtection="0"/>
    <xf numFmtId="0" fontId="74" fillId="36" borderId="0" applyNumberFormat="0" applyBorder="0" applyAlignment="0" applyProtection="0"/>
    <xf numFmtId="0" fontId="74" fillId="37" borderId="0" applyNumberFormat="0" applyBorder="0" applyAlignment="0" applyProtection="0"/>
    <xf numFmtId="0" fontId="74" fillId="38" borderId="0" applyNumberFormat="0" applyBorder="0" applyAlignment="0" applyProtection="0"/>
    <xf numFmtId="0" fontId="74" fillId="39" borderId="0" applyNumberFormat="0" applyBorder="0" applyAlignment="0" applyProtection="0"/>
    <xf numFmtId="0" fontId="74" fillId="40" borderId="0" applyNumberFormat="0" applyBorder="0" applyAlignment="0" applyProtection="0"/>
    <xf numFmtId="0" fontId="74" fillId="41" borderId="0" applyNumberFormat="0" applyBorder="0" applyAlignment="0" applyProtection="0"/>
    <xf numFmtId="0" fontId="74" fillId="42" borderId="0" applyNumberFormat="0" applyBorder="0" applyAlignment="0" applyProtection="0"/>
    <xf numFmtId="0" fontId="74" fillId="37" borderId="0" applyNumberFormat="0" applyBorder="0" applyAlignment="0" applyProtection="0"/>
    <xf numFmtId="0" fontId="74" fillId="40" borderId="0" applyNumberFormat="0" applyBorder="0" applyAlignment="0" applyProtection="0"/>
    <xf numFmtId="0" fontId="74" fillId="43" borderId="0" applyNumberFormat="0" applyBorder="0" applyAlignment="0" applyProtection="0"/>
    <xf numFmtId="0" fontId="75" fillId="44" borderId="0" applyNumberFormat="0" applyBorder="0" applyAlignment="0" applyProtection="0"/>
    <xf numFmtId="0" fontId="75" fillId="41" borderId="0" applyNumberFormat="0" applyBorder="0" applyAlignment="0" applyProtection="0"/>
    <xf numFmtId="0" fontId="75" fillId="42" borderId="0" applyNumberFormat="0" applyBorder="0" applyAlignment="0" applyProtection="0"/>
    <xf numFmtId="0" fontId="75" fillId="45" borderId="0" applyNumberFormat="0" applyBorder="0" applyAlignment="0" applyProtection="0"/>
    <xf numFmtId="0" fontId="75" fillId="46" borderId="0" applyNumberFormat="0" applyBorder="0" applyAlignment="0" applyProtection="0"/>
    <xf numFmtId="0" fontId="75" fillId="47" borderId="0" applyNumberFormat="0" applyBorder="0" applyAlignment="0" applyProtection="0"/>
    <xf numFmtId="0" fontId="75" fillId="48" borderId="0" applyNumberFormat="0" applyBorder="0" applyAlignment="0" applyProtection="0"/>
    <xf numFmtId="0" fontId="75" fillId="49" borderId="0" applyNumberFormat="0" applyBorder="0" applyAlignment="0" applyProtection="0"/>
    <xf numFmtId="0" fontId="75" fillId="50" borderId="0" applyNumberFormat="0" applyBorder="0" applyAlignment="0" applyProtection="0"/>
    <xf numFmtId="0" fontId="75" fillId="45" borderId="0" applyNumberFormat="0" applyBorder="0" applyAlignment="0" applyProtection="0"/>
    <xf numFmtId="0" fontId="75" fillId="46" borderId="0" applyNumberFormat="0" applyBorder="0" applyAlignment="0" applyProtection="0"/>
    <xf numFmtId="0" fontId="75" fillId="51" borderId="0" applyNumberFormat="0" applyBorder="0" applyAlignment="0" applyProtection="0"/>
    <xf numFmtId="0" fontId="76" fillId="35" borderId="0" applyNumberFormat="0" applyBorder="0" applyAlignment="0" applyProtection="0"/>
    <xf numFmtId="0" fontId="77" fillId="52" borderId="31" applyNumberFormat="0" applyAlignment="0" applyProtection="0"/>
    <xf numFmtId="0" fontId="78" fillId="53" borderId="32" applyNumberFormat="0" applyAlignment="0" applyProtection="0"/>
    <xf numFmtId="0" fontId="79" fillId="0" borderId="0" applyNumberFormat="0" applyFill="0" applyBorder="0" applyAlignment="0" applyProtection="0"/>
    <xf numFmtId="0" fontId="80" fillId="36" borderId="0" applyNumberFormat="0" applyBorder="0" applyAlignment="0" applyProtection="0"/>
    <xf numFmtId="0" fontId="81" fillId="0" borderId="33" applyNumberFormat="0" applyFill="0" applyAlignment="0" applyProtection="0"/>
    <xf numFmtId="0" fontId="82" fillId="0" borderId="34" applyNumberFormat="0" applyFill="0" applyAlignment="0" applyProtection="0"/>
    <xf numFmtId="0" fontId="83" fillId="0" borderId="35" applyNumberFormat="0" applyFill="0" applyAlignment="0" applyProtection="0"/>
    <xf numFmtId="0" fontId="83" fillId="0" borderId="0" applyNumberFormat="0" applyFill="0" applyBorder="0" applyAlignment="0" applyProtection="0"/>
    <xf numFmtId="0" fontId="84" fillId="39" borderId="31" applyNumberFormat="0" applyAlignment="0" applyProtection="0"/>
    <xf numFmtId="0" fontId="85" fillId="0" borderId="36" applyNumberFormat="0" applyFill="0" applyAlignment="0" applyProtection="0"/>
    <xf numFmtId="0" fontId="86" fillId="54" borderId="0" applyNumberFormat="0" applyBorder="0" applyAlignment="0" applyProtection="0"/>
    <xf numFmtId="0" fontId="11" fillId="55" borderId="37" applyNumberFormat="0" applyFont="0" applyAlignment="0" applyProtection="0"/>
    <xf numFmtId="0" fontId="87" fillId="52" borderId="38" applyNumberFormat="0" applyAlignment="0" applyProtection="0"/>
    <xf numFmtId="0" fontId="69" fillId="0" borderId="0" applyNumberFormat="0" applyFill="0" applyBorder="0" applyAlignment="0" applyProtection="0"/>
    <xf numFmtId="0" fontId="88" fillId="0" borderId="39" applyNumberFormat="0" applyFill="0" applyAlignment="0" applyProtection="0"/>
    <xf numFmtId="0" fontId="89" fillId="0" borderId="0" applyNumberFormat="0" applyFill="0" applyBorder="0" applyAlignment="0" applyProtection="0"/>
    <xf numFmtId="0" fontId="7" fillId="0" borderId="0"/>
    <xf numFmtId="0" fontId="11" fillId="0" borderId="0"/>
    <xf numFmtId="0" fontId="74" fillId="34" borderId="0" applyNumberFormat="0" applyBorder="0" applyAlignment="0" applyProtection="0"/>
    <xf numFmtId="0" fontId="74" fillId="35" borderId="0" applyNumberFormat="0" applyBorder="0" applyAlignment="0" applyProtection="0"/>
    <xf numFmtId="0" fontId="74" fillId="36" borderId="0" applyNumberFormat="0" applyBorder="0" applyAlignment="0" applyProtection="0"/>
    <xf numFmtId="0" fontId="74" fillId="37" borderId="0" applyNumberFormat="0" applyBorder="0" applyAlignment="0" applyProtection="0"/>
    <xf numFmtId="0" fontId="74" fillId="38" borderId="0" applyNumberFormat="0" applyBorder="0" applyAlignment="0" applyProtection="0"/>
    <xf numFmtId="0" fontId="74" fillId="39" borderId="0" applyNumberFormat="0" applyBorder="0" applyAlignment="0" applyProtection="0"/>
    <xf numFmtId="0" fontId="74" fillId="40" borderId="0" applyNumberFormat="0" applyBorder="0" applyAlignment="0" applyProtection="0"/>
    <xf numFmtId="0" fontId="74" fillId="41" borderId="0" applyNumberFormat="0" applyBorder="0" applyAlignment="0" applyProtection="0"/>
    <xf numFmtId="0" fontId="74" fillId="42" borderId="0" applyNumberFormat="0" applyBorder="0" applyAlignment="0" applyProtection="0"/>
    <xf numFmtId="0" fontId="74" fillId="37" borderId="0" applyNumberFormat="0" applyBorder="0" applyAlignment="0" applyProtection="0"/>
    <xf numFmtId="0" fontId="74" fillId="40" borderId="0" applyNumberFormat="0" applyBorder="0" applyAlignment="0" applyProtection="0"/>
    <xf numFmtId="0" fontId="74" fillId="43" borderId="0" applyNumberFormat="0" applyBorder="0" applyAlignment="0" applyProtection="0"/>
    <xf numFmtId="0" fontId="75" fillId="44" borderId="0" applyNumberFormat="0" applyBorder="0" applyAlignment="0" applyProtection="0"/>
    <xf numFmtId="0" fontId="75" fillId="41" borderId="0" applyNumberFormat="0" applyBorder="0" applyAlignment="0" applyProtection="0"/>
    <xf numFmtId="0" fontId="75" fillId="42" borderId="0" applyNumberFormat="0" applyBorder="0" applyAlignment="0" applyProtection="0"/>
    <xf numFmtId="0" fontId="75" fillId="45" borderId="0" applyNumberFormat="0" applyBorder="0" applyAlignment="0" applyProtection="0"/>
    <xf numFmtId="0" fontId="75" fillId="46" borderId="0" applyNumberFormat="0" applyBorder="0" applyAlignment="0" applyProtection="0"/>
    <xf numFmtId="0" fontId="75" fillId="47" borderId="0" applyNumberFormat="0" applyBorder="0" applyAlignment="0" applyProtection="0"/>
    <xf numFmtId="0" fontId="75" fillId="48" borderId="0" applyNumberFormat="0" applyBorder="0" applyAlignment="0" applyProtection="0"/>
    <xf numFmtId="0" fontId="75" fillId="49" borderId="0" applyNumberFormat="0" applyBorder="0" applyAlignment="0" applyProtection="0"/>
    <xf numFmtId="0" fontId="75" fillId="50" borderId="0" applyNumberFormat="0" applyBorder="0" applyAlignment="0" applyProtection="0"/>
    <xf numFmtId="0" fontId="75" fillId="45" borderId="0" applyNumberFormat="0" applyBorder="0" applyAlignment="0" applyProtection="0"/>
    <xf numFmtId="0" fontId="75" fillId="46" borderId="0" applyNumberFormat="0" applyBorder="0" applyAlignment="0" applyProtection="0"/>
    <xf numFmtId="0" fontId="75" fillId="51" borderId="0" applyNumberFormat="0" applyBorder="0" applyAlignment="0" applyProtection="0"/>
    <xf numFmtId="0" fontId="76" fillId="35" borderId="0" applyNumberFormat="0" applyBorder="0" applyAlignment="0" applyProtection="0"/>
    <xf numFmtId="0" fontId="77" fillId="52" borderId="31" applyNumberFormat="0" applyAlignment="0" applyProtection="0"/>
    <xf numFmtId="0" fontId="78" fillId="53" borderId="32" applyNumberFormat="0" applyAlignment="0" applyProtection="0"/>
    <xf numFmtId="0" fontId="79" fillId="0" borderId="0" applyNumberFormat="0" applyFill="0" applyBorder="0" applyAlignment="0" applyProtection="0"/>
    <xf numFmtId="0" fontId="80" fillId="36" borderId="0" applyNumberFormat="0" applyBorder="0" applyAlignment="0" applyProtection="0"/>
    <xf numFmtId="0" fontId="81" fillId="0" borderId="33" applyNumberFormat="0" applyFill="0" applyAlignment="0" applyProtection="0"/>
    <xf numFmtId="0" fontId="82" fillId="0" borderId="34" applyNumberFormat="0" applyFill="0" applyAlignment="0" applyProtection="0"/>
    <xf numFmtId="0" fontId="83" fillId="0" borderId="35" applyNumberFormat="0" applyFill="0" applyAlignment="0" applyProtection="0"/>
    <xf numFmtId="0" fontId="83" fillId="0" borderId="0" applyNumberFormat="0" applyFill="0" applyBorder="0" applyAlignment="0" applyProtection="0"/>
    <xf numFmtId="0" fontId="84" fillId="39" borderId="31" applyNumberFormat="0" applyAlignment="0" applyProtection="0"/>
    <xf numFmtId="0" fontId="85" fillId="0" borderId="36" applyNumberFormat="0" applyFill="0" applyAlignment="0" applyProtection="0"/>
    <xf numFmtId="0" fontId="86" fillId="54" borderId="0" applyNumberFormat="0" applyBorder="0" applyAlignment="0" applyProtection="0"/>
    <xf numFmtId="0" fontId="11" fillId="55" borderId="37" applyNumberFormat="0" applyFont="0" applyAlignment="0" applyProtection="0"/>
    <xf numFmtId="0" fontId="87" fillId="52" borderId="38" applyNumberFormat="0" applyAlignment="0" applyProtection="0"/>
    <xf numFmtId="0" fontId="69" fillId="0" borderId="0" applyNumberFormat="0" applyFill="0" applyBorder="0" applyAlignment="0" applyProtection="0"/>
    <xf numFmtId="0" fontId="88" fillId="0" borderId="39" applyNumberFormat="0" applyFill="0" applyAlignment="0" applyProtection="0"/>
    <xf numFmtId="0" fontId="89" fillId="0" borderId="0" applyNumberFormat="0" applyFill="0" applyBorder="0" applyAlignment="0" applyProtection="0"/>
    <xf numFmtId="0" fontId="7" fillId="0" borderId="0"/>
    <xf numFmtId="0" fontId="11" fillId="0" borderId="0"/>
    <xf numFmtId="0" fontId="69" fillId="0" borderId="0" applyNumberFormat="0" applyFill="0" applyBorder="0" applyAlignment="0" applyProtection="0"/>
    <xf numFmtId="0" fontId="7" fillId="0" borderId="0"/>
    <xf numFmtId="0" fontId="74" fillId="41" borderId="0" applyNumberFormat="0" applyBorder="0" applyAlignment="0" applyProtection="0"/>
    <xf numFmtId="0" fontId="74" fillId="36" borderId="0" applyNumberFormat="0" applyBorder="0" applyAlignment="0" applyProtection="0"/>
    <xf numFmtId="0" fontId="74" fillId="35"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5" borderId="0" applyNumberFormat="0" applyBorder="0" applyAlignment="0" applyProtection="0"/>
    <xf numFmtId="0" fontId="74" fillId="36" borderId="0" applyNumberFormat="0" applyBorder="0" applyAlignment="0" applyProtection="0"/>
    <xf numFmtId="0" fontId="74" fillId="37" borderId="0" applyNumberFormat="0" applyBorder="0" applyAlignment="0" applyProtection="0"/>
    <xf numFmtId="0" fontId="74" fillId="38" borderId="0" applyNumberFormat="0" applyBorder="0" applyAlignment="0" applyProtection="0"/>
    <xf numFmtId="0" fontId="74" fillId="39" borderId="0" applyNumberFormat="0" applyBorder="0" applyAlignment="0" applyProtection="0"/>
    <xf numFmtId="0" fontId="74" fillId="40" borderId="0" applyNumberFormat="0" applyBorder="0" applyAlignment="0" applyProtection="0"/>
    <xf numFmtId="0" fontId="74" fillId="41" borderId="0" applyNumberFormat="0" applyBorder="0" applyAlignment="0" applyProtection="0"/>
    <xf numFmtId="0" fontId="74" fillId="42" borderId="0" applyNumberFormat="0" applyBorder="0" applyAlignment="0" applyProtection="0"/>
    <xf numFmtId="0" fontId="74" fillId="37" borderId="0" applyNumberFormat="0" applyBorder="0" applyAlignment="0" applyProtection="0"/>
    <xf numFmtId="0" fontId="74" fillId="40" borderId="0" applyNumberFormat="0" applyBorder="0" applyAlignment="0" applyProtection="0"/>
    <xf numFmtId="0" fontId="74" fillId="43" borderId="0" applyNumberFormat="0" applyBorder="0" applyAlignment="0" applyProtection="0"/>
    <xf numFmtId="0" fontId="75" fillId="44" borderId="0" applyNumberFormat="0" applyBorder="0" applyAlignment="0" applyProtection="0"/>
    <xf numFmtId="0" fontId="75" fillId="41" borderId="0" applyNumberFormat="0" applyBorder="0" applyAlignment="0" applyProtection="0"/>
    <xf numFmtId="0" fontId="75" fillId="42" borderId="0" applyNumberFormat="0" applyBorder="0" applyAlignment="0" applyProtection="0"/>
    <xf numFmtId="0" fontId="75" fillId="45" borderId="0" applyNumberFormat="0" applyBorder="0" applyAlignment="0" applyProtection="0"/>
    <xf numFmtId="0" fontId="75" fillId="46" borderId="0" applyNumberFormat="0" applyBorder="0" applyAlignment="0" applyProtection="0"/>
    <xf numFmtId="0" fontId="75" fillId="47" borderId="0" applyNumberFormat="0" applyBorder="0" applyAlignment="0" applyProtection="0"/>
    <xf numFmtId="0" fontId="75" fillId="48" borderId="0" applyNumberFormat="0" applyBorder="0" applyAlignment="0" applyProtection="0"/>
    <xf numFmtId="0" fontId="75" fillId="49" borderId="0" applyNumberFormat="0" applyBorder="0" applyAlignment="0" applyProtection="0"/>
    <xf numFmtId="0" fontId="75" fillId="50" borderId="0" applyNumberFormat="0" applyBorder="0" applyAlignment="0" applyProtection="0"/>
    <xf numFmtId="0" fontId="75" fillId="45" borderId="0" applyNumberFormat="0" applyBorder="0" applyAlignment="0" applyProtection="0"/>
    <xf numFmtId="0" fontId="75" fillId="46" borderId="0" applyNumberFormat="0" applyBorder="0" applyAlignment="0" applyProtection="0"/>
    <xf numFmtId="0" fontId="75" fillId="51" borderId="0" applyNumberFormat="0" applyBorder="0" applyAlignment="0" applyProtection="0"/>
    <xf numFmtId="0" fontId="76" fillId="35" borderId="0" applyNumberFormat="0" applyBorder="0" applyAlignment="0" applyProtection="0"/>
    <xf numFmtId="0" fontId="77" fillId="52" borderId="31" applyNumberFormat="0" applyAlignment="0" applyProtection="0"/>
    <xf numFmtId="0" fontId="78" fillId="53" borderId="32" applyNumberFormat="0" applyAlignment="0" applyProtection="0"/>
    <xf numFmtId="0" fontId="79" fillId="0" borderId="0" applyNumberFormat="0" applyFill="0" applyBorder="0" applyAlignment="0" applyProtection="0"/>
    <xf numFmtId="0" fontId="80" fillId="36" borderId="0" applyNumberFormat="0" applyBorder="0" applyAlignment="0" applyProtection="0"/>
    <xf numFmtId="0" fontId="81" fillId="0" borderId="33" applyNumberFormat="0" applyFill="0" applyAlignment="0" applyProtection="0"/>
    <xf numFmtId="0" fontId="82" fillId="0" borderId="34" applyNumberFormat="0" applyFill="0" applyAlignment="0" applyProtection="0"/>
    <xf numFmtId="0" fontId="83" fillId="0" borderId="35" applyNumberFormat="0" applyFill="0" applyAlignment="0" applyProtection="0"/>
    <xf numFmtId="0" fontId="83" fillId="0" borderId="0" applyNumberFormat="0" applyFill="0" applyBorder="0" applyAlignment="0" applyProtection="0"/>
    <xf numFmtId="0" fontId="84" fillId="39" borderId="31" applyNumberFormat="0" applyAlignment="0" applyProtection="0"/>
    <xf numFmtId="0" fontId="85" fillId="0" borderId="36" applyNumberFormat="0" applyFill="0" applyAlignment="0" applyProtection="0"/>
    <xf numFmtId="0" fontId="86" fillId="54" borderId="0" applyNumberFormat="0" applyBorder="0" applyAlignment="0" applyProtection="0"/>
    <xf numFmtId="0" fontId="11" fillId="55" borderId="37" applyNumberFormat="0" applyFont="0" applyAlignment="0" applyProtection="0"/>
    <xf numFmtId="0" fontId="87" fillId="52" borderId="38" applyNumberFormat="0" applyAlignment="0" applyProtection="0"/>
    <xf numFmtId="0" fontId="74" fillId="35" borderId="0" applyNumberFormat="0" applyBorder="0" applyAlignment="0" applyProtection="0"/>
    <xf numFmtId="0" fontId="74" fillId="36" borderId="0" applyNumberFormat="0" applyBorder="0" applyAlignment="0" applyProtection="0"/>
    <xf numFmtId="0" fontId="74" fillId="37" borderId="0" applyNumberFormat="0" applyBorder="0" applyAlignment="0" applyProtection="0"/>
    <xf numFmtId="0" fontId="74" fillId="42" borderId="0" applyNumberFormat="0" applyBorder="0" applyAlignment="0" applyProtection="0"/>
    <xf numFmtId="0" fontId="69" fillId="0" borderId="0" applyNumberFormat="0" applyFill="0" applyBorder="0" applyAlignment="0" applyProtection="0"/>
    <xf numFmtId="0" fontId="88" fillId="0" borderId="39" applyNumberFormat="0" applyFill="0" applyAlignment="0" applyProtection="0"/>
    <xf numFmtId="0" fontId="89" fillId="0" borderId="0" applyNumberFormat="0" applyFill="0" applyBorder="0" applyAlignment="0" applyProtection="0"/>
    <xf numFmtId="0" fontId="55" fillId="34" borderId="0" applyNumberFormat="0" applyBorder="0" applyAlignment="0" applyProtection="0"/>
    <xf numFmtId="0" fontId="55" fillId="35"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38" borderId="0" applyNumberFormat="0" applyBorder="0" applyAlignment="0" applyProtection="0"/>
    <xf numFmtId="0" fontId="55" fillId="39" borderId="0" applyNumberFormat="0" applyBorder="0" applyAlignment="0" applyProtection="0"/>
    <xf numFmtId="0" fontId="55" fillId="40" borderId="0" applyNumberFormat="0" applyBorder="0" applyAlignment="0" applyProtection="0"/>
    <xf numFmtId="0" fontId="55" fillId="41" borderId="0" applyNumberFormat="0" applyBorder="0" applyAlignment="0" applyProtection="0"/>
    <xf numFmtId="0" fontId="55" fillId="42" borderId="0" applyNumberFormat="0" applyBorder="0" applyAlignment="0" applyProtection="0"/>
    <xf numFmtId="0" fontId="55" fillId="37" borderId="0" applyNumberFormat="0" applyBorder="0" applyAlignment="0" applyProtection="0"/>
    <xf numFmtId="0" fontId="55" fillId="40" borderId="0" applyNumberFormat="0" applyBorder="0" applyAlignment="0" applyProtection="0"/>
    <xf numFmtId="0" fontId="55" fillId="43" borderId="0" applyNumberFormat="0" applyBorder="0" applyAlignment="0" applyProtection="0"/>
    <xf numFmtId="0" fontId="56" fillId="44" borderId="0" applyNumberFormat="0" applyBorder="0" applyAlignment="0" applyProtection="0"/>
    <xf numFmtId="0" fontId="56" fillId="41" borderId="0" applyNumberFormat="0" applyBorder="0" applyAlignment="0" applyProtection="0"/>
    <xf numFmtId="0" fontId="56" fillId="42" borderId="0" applyNumberFormat="0" applyBorder="0" applyAlignment="0" applyProtection="0"/>
    <xf numFmtId="0" fontId="56" fillId="45" borderId="0" applyNumberFormat="0" applyBorder="0" applyAlignment="0" applyProtection="0"/>
    <xf numFmtId="0" fontId="56" fillId="46" borderId="0" applyNumberFormat="0" applyBorder="0" applyAlignment="0" applyProtection="0"/>
    <xf numFmtId="0" fontId="56" fillId="47" borderId="0" applyNumberFormat="0" applyBorder="0" applyAlignment="0" applyProtection="0"/>
    <xf numFmtId="0" fontId="56" fillId="48" borderId="0" applyNumberFormat="0" applyBorder="0" applyAlignment="0" applyProtection="0"/>
    <xf numFmtId="0" fontId="56" fillId="49" borderId="0" applyNumberFormat="0" applyBorder="0" applyAlignment="0" applyProtection="0"/>
    <xf numFmtId="0" fontId="56" fillId="50" borderId="0" applyNumberFormat="0" applyBorder="0" applyAlignment="0" applyProtection="0"/>
    <xf numFmtId="0" fontId="56" fillId="45" borderId="0" applyNumberFormat="0" applyBorder="0" applyAlignment="0" applyProtection="0"/>
    <xf numFmtId="0" fontId="56" fillId="46" borderId="0" applyNumberFormat="0" applyBorder="0" applyAlignment="0" applyProtection="0"/>
    <xf numFmtId="0" fontId="56" fillId="51" borderId="0" applyNumberFormat="0" applyBorder="0" applyAlignment="0" applyProtection="0"/>
    <xf numFmtId="0" fontId="57" fillId="35" borderId="0" applyNumberFormat="0" applyBorder="0" applyAlignment="0" applyProtection="0"/>
    <xf numFmtId="0" fontId="58" fillId="52" borderId="31" applyNumberFormat="0" applyAlignment="0" applyProtection="0"/>
    <xf numFmtId="0" fontId="59" fillId="53" borderId="32" applyNumberFormat="0" applyAlignment="0" applyProtection="0"/>
    <xf numFmtId="0" fontId="56" fillId="46" borderId="0" applyNumberFormat="0" applyBorder="0" applyAlignment="0" applyProtection="0"/>
    <xf numFmtId="0" fontId="56" fillId="45" borderId="0" applyNumberFormat="0" applyBorder="0" applyAlignment="0" applyProtection="0"/>
    <xf numFmtId="0" fontId="60" fillId="0" borderId="0" applyNumberFormat="0" applyFill="0" applyBorder="0" applyAlignment="0" applyProtection="0"/>
    <xf numFmtId="0" fontId="61" fillId="36" borderId="0" applyNumberFormat="0" applyBorder="0" applyAlignment="0" applyProtection="0"/>
    <xf numFmtId="0" fontId="62" fillId="0" borderId="33" applyNumberFormat="0" applyFill="0" applyAlignment="0" applyProtection="0"/>
    <xf numFmtId="0" fontId="63" fillId="0" borderId="34" applyNumberFormat="0" applyFill="0" applyAlignment="0" applyProtection="0"/>
    <xf numFmtId="0" fontId="64" fillId="0" borderId="35" applyNumberFormat="0" applyFill="0" applyAlignment="0" applyProtection="0"/>
    <xf numFmtId="0" fontId="64" fillId="0" borderId="0" applyNumberFormat="0" applyFill="0" applyBorder="0" applyAlignment="0" applyProtection="0"/>
    <xf numFmtId="0" fontId="56" fillId="42" borderId="0" applyNumberFormat="0" applyBorder="0" applyAlignment="0" applyProtection="0"/>
    <xf numFmtId="0" fontId="65" fillId="39" borderId="31" applyNumberFormat="0" applyAlignment="0" applyProtection="0"/>
    <xf numFmtId="0" fontId="66" fillId="0" borderId="36" applyNumberFormat="0" applyFill="0" applyAlignment="0" applyProtection="0"/>
    <xf numFmtId="0" fontId="67" fillId="54" borderId="0" applyNumberFormat="0" applyBorder="0" applyAlignment="0" applyProtection="0"/>
    <xf numFmtId="0" fontId="55" fillId="40" borderId="0" applyNumberFormat="0" applyBorder="0" applyAlignment="0" applyProtection="0"/>
    <xf numFmtId="0" fontId="55" fillId="37" borderId="0" applyNumberFormat="0" applyBorder="0" applyAlignment="0" applyProtection="0"/>
    <xf numFmtId="0" fontId="11" fillId="55" borderId="37" applyNumberFormat="0" applyFont="0" applyAlignment="0" applyProtection="0"/>
    <xf numFmtId="0" fontId="68" fillId="52" borderId="38" applyNumberFormat="0" applyAlignment="0" applyProtection="0"/>
    <xf numFmtId="0" fontId="55" fillId="41" borderId="0" applyNumberFormat="0" applyBorder="0" applyAlignment="0" applyProtection="0"/>
    <xf numFmtId="0" fontId="69" fillId="0" borderId="0" applyNumberFormat="0" applyFill="0" applyBorder="0" applyAlignment="0" applyProtection="0"/>
    <xf numFmtId="0" fontId="70" fillId="0" borderId="39" applyNumberFormat="0" applyFill="0" applyAlignment="0" applyProtection="0"/>
    <xf numFmtId="0" fontId="71" fillId="0" borderId="0" applyNumberForma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67" fillId="54" borderId="0" applyNumberFormat="0" applyBorder="0" applyAlignment="0" applyProtection="0"/>
    <xf numFmtId="0" fontId="66" fillId="0" borderId="36" applyNumberFormat="0" applyFill="0" applyAlignment="0" applyProtection="0"/>
    <xf numFmtId="0" fontId="71" fillId="0" borderId="0" applyNumberFormat="0" applyFill="0" applyBorder="0" applyAlignment="0" applyProtection="0"/>
    <xf numFmtId="0" fontId="70" fillId="0" borderId="39" applyNumberFormat="0" applyFill="0" applyAlignment="0" applyProtection="0"/>
    <xf numFmtId="0" fontId="69" fillId="0" borderId="0" applyNumberFormat="0" applyFill="0" applyBorder="0" applyAlignment="0" applyProtection="0"/>
    <xf numFmtId="0" fontId="55" fillId="37" borderId="0" applyNumberFormat="0" applyBorder="0" applyAlignment="0" applyProtection="0"/>
    <xf numFmtId="0" fontId="68" fillId="52" borderId="38" applyNumberFormat="0" applyAlignment="0" applyProtection="0"/>
    <xf numFmtId="0" fontId="11" fillId="55" borderId="37" applyNumberFormat="0" applyFont="0" applyAlignment="0" applyProtection="0"/>
    <xf numFmtId="0" fontId="56" fillId="44" borderId="0" applyNumberFormat="0" applyBorder="0" applyAlignment="0" applyProtection="0"/>
    <xf numFmtId="0" fontId="56" fillId="41" borderId="0" applyNumberFormat="0" applyBorder="0" applyAlignment="0" applyProtection="0"/>
    <xf numFmtId="0" fontId="56" fillId="42" borderId="0" applyNumberFormat="0" applyBorder="0" applyAlignment="0" applyProtection="0"/>
    <xf numFmtId="0" fontId="67" fillId="54" borderId="0" applyNumberFormat="0" applyBorder="0" applyAlignment="0" applyProtection="0"/>
    <xf numFmtId="0" fontId="66" fillId="0" borderId="36" applyNumberFormat="0" applyFill="0" applyAlignment="0" applyProtection="0"/>
    <xf numFmtId="0" fontId="65" fillId="39" borderId="31" applyNumberFormat="0" applyAlignment="0" applyProtection="0"/>
    <xf numFmtId="0" fontId="56" fillId="46" borderId="0" applyNumberFormat="0" applyBorder="0" applyAlignment="0" applyProtection="0"/>
    <xf numFmtId="0" fontId="64" fillId="0" borderId="0" applyNumberFormat="0" applyFill="0" applyBorder="0" applyAlignment="0" applyProtection="0"/>
    <xf numFmtId="0" fontId="64" fillId="0" borderId="35" applyNumberFormat="0" applyFill="0" applyAlignment="0" applyProtection="0"/>
    <xf numFmtId="0" fontId="63" fillId="0" borderId="34" applyNumberFormat="0" applyFill="0" applyAlignment="0" applyProtection="0"/>
    <xf numFmtId="0" fontId="62" fillId="0" borderId="33" applyNumberFormat="0" applyFill="0" applyAlignment="0" applyProtection="0"/>
    <xf numFmtId="0" fontId="61" fillId="36" borderId="0" applyNumberFormat="0" applyBorder="0" applyAlignment="0" applyProtection="0"/>
    <xf numFmtId="0" fontId="60" fillId="0" borderId="0" applyNumberFormat="0" applyFill="0" applyBorder="0" applyAlignment="0" applyProtection="0"/>
    <xf numFmtId="0" fontId="65" fillId="39" borderId="31" applyNumberFormat="0" applyAlignment="0" applyProtection="0"/>
    <xf numFmtId="0" fontId="59" fillId="53" borderId="32" applyNumberFormat="0" applyAlignment="0" applyProtection="0"/>
    <xf numFmtId="0" fontId="58" fillId="52" borderId="31" applyNumberFormat="0" applyAlignment="0" applyProtection="0"/>
    <xf numFmtId="0" fontId="57" fillId="35" borderId="0" applyNumberFormat="0" applyBorder="0" applyAlignment="0" applyProtection="0"/>
    <xf numFmtId="0" fontId="56" fillId="51" borderId="0" applyNumberFormat="0" applyBorder="0" applyAlignment="0" applyProtection="0"/>
    <xf numFmtId="0" fontId="56" fillId="50" borderId="0" applyNumberFormat="0" applyBorder="0" applyAlignment="0" applyProtection="0"/>
    <xf numFmtId="0" fontId="56" fillId="49" borderId="0" applyNumberFormat="0" applyBorder="0" applyAlignment="0" applyProtection="0"/>
    <xf numFmtId="0" fontId="56" fillId="48" borderId="0" applyNumberFormat="0" applyBorder="0" applyAlignment="0" applyProtection="0"/>
    <xf numFmtId="0" fontId="56" fillId="47" borderId="0" applyNumberFormat="0" applyBorder="0" applyAlignment="0" applyProtection="0"/>
    <xf numFmtId="0" fontId="56" fillId="46" borderId="0" applyNumberFormat="0" applyBorder="0" applyAlignment="0" applyProtection="0"/>
    <xf numFmtId="0" fontId="56" fillId="45" borderId="0" applyNumberFormat="0" applyBorder="0" applyAlignment="0" applyProtection="0"/>
    <xf numFmtId="0" fontId="74" fillId="40" borderId="0" applyNumberFormat="0" applyBorder="0" applyAlignment="0" applyProtection="0"/>
    <xf numFmtId="0" fontId="56" fillId="41" borderId="0" applyNumberFormat="0" applyBorder="0" applyAlignment="0" applyProtection="0"/>
    <xf numFmtId="0" fontId="56" fillId="44"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40"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0" fontId="55" fillId="37" borderId="0" applyNumberFormat="0" applyBorder="0" applyAlignment="0" applyProtection="0"/>
    <xf numFmtId="0" fontId="55" fillId="36" borderId="0" applyNumberFormat="0" applyBorder="0" applyAlignment="0" applyProtection="0"/>
    <xf numFmtId="0" fontId="55" fillId="35" borderId="0" applyNumberFormat="0" applyBorder="0" applyAlignment="0" applyProtection="0"/>
    <xf numFmtId="0" fontId="55" fillId="34" borderId="0" applyNumberFormat="0" applyBorder="0" applyAlignment="0" applyProtection="0"/>
    <xf numFmtId="0" fontId="38" fillId="0" borderId="0" applyNumberFormat="0" applyFill="0" applyBorder="0" applyAlignment="0" applyProtection="0"/>
    <xf numFmtId="0" fontId="90" fillId="0" borderId="22" applyNumberFormat="0" applyFill="0" applyAlignment="0" applyProtection="0"/>
    <xf numFmtId="0" fontId="91" fillId="0" borderId="23" applyNumberFormat="0" applyFill="0" applyAlignment="0" applyProtection="0"/>
    <xf numFmtId="0" fontId="92" fillId="0" borderId="24" applyNumberFormat="0" applyFill="0" applyAlignment="0" applyProtection="0"/>
    <xf numFmtId="0" fontId="92" fillId="0" borderId="0" applyNumberFormat="0" applyFill="0" applyBorder="0" applyAlignment="0" applyProtection="0"/>
    <xf numFmtId="0" fontId="93" fillId="3" borderId="0" applyNumberFormat="0" applyBorder="0" applyAlignment="0" applyProtection="0"/>
    <xf numFmtId="0" fontId="94" fillId="4" borderId="0" applyNumberFormat="0" applyBorder="0" applyAlignment="0" applyProtection="0"/>
    <xf numFmtId="0" fontId="95" fillId="5" borderId="0" applyNumberFormat="0" applyBorder="0" applyAlignment="0" applyProtection="0"/>
    <xf numFmtId="0" fontId="96" fillId="6" borderId="25" applyNumberFormat="0" applyAlignment="0" applyProtection="0"/>
    <xf numFmtId="0" fontId="97" fillId="7" borderId="26" applyNumberFormat="0" applyAlignment="0" applyProtection="0"/>
    <xf numFmtId="0" fontId="98" fillId="7" borderId="25" applyNumberFormat="0" applyAlignment="0" applyProtection="0"/>
    <xf numFmtId="0" fontId="99" fillId="0" borderId="27" applyNumberFormat="0" applyFill="0" applyAlignment="0" applyProtection="0"/>
    <xf numFmtId="0" fontId="100" fillId="8" borderId="28" applyNumberFormat="0" applyAlignment="0" applyProtection="0"/>
    <xf numFmtId="0" fontId="101" fillId="0" borderId="0" applyNumberFormat="0" applyFill="0" applyBorder="0" applyAlignment="0" applyProtection="0"/>
    <xf numFmtId="0" fontId="72" fillId="9" borderId="29" applyNumberFormat="0" applyFont="0" applyAlignment="0" applyProtection="0"/>
    <xf numFmtId="0" fontId="102" fillId="0" borderId="0" applyNumberFormat="0" applyFill="0" applyBorder="0" applyAlignment="0" applyProtection="0"/>
    <xf numFmtId="0" fontId="103" fillId="0" borderId="30" applyNumberFormat="0" applyFill="0" applyAlignment="0" applyProtection="0"/>
    <xf numFmtId="0" fontId="104"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104" fillId="13" borderId="0" applyNumberFormat="0" applyBorder="0" applyAlignment="0" applyProtection="0"/>
    <xf numFmtId="0" fontId="104"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104" fillId="17" borderId="0" applyNumberFormat="0" applyBorder="0" applyAlignment="0" applyProtection="0"/>
    <xf numFmtId="0" fontId="104"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104" fillId="21" borderId="0" applyNumberFormat="0" applyBorder="0" applyAlignment="0" applyProtection="0"/>
    <xf numFmtId="0" fontId="104"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104" fillId="25" borderId="0" applyNumberFormat="0" applyBorder="0" applyAlignment="0" applyProtection="0"/>
    <xf numFmtId="0" fontId="104" fillId="26"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104" fillId="29" borderId="0" applyNumberFormat="0" applyBorder="0" applyAlignment="0" applyProtection="0"/>
    <xf numFmtId="0" fontId="104" fillId="30" borderId="0" applyNumberFormat="0" applyBorder="0" applyAlignment="0" applyProtection="0"/>
    <xf numFmtId="0" fontId="72" fillId="31" borderId="0" applyNumberFormat="0" applyBorder="0" applyAlignment="0" applyProtection="0"/>
    <xf numFmtId="0" fontId="72" fillId="32" borderId="0" applyNumberFormat="0" applyBorder="0" applyAlignment="0" applyProtection="0"/>
    <xf numFmtId="0" fontId="104" fillId="33" borderId="0" applyNumberFormat="0" applyBorder="0" applyAlignment="0" applyProtection="0"/>
    <xf numFmtId="0" fontId="74" fillId="39" borderId="0" applyNumberFormat="0" applyBorder="0" applyAlignment="0" applyProtection="0"/>
    <xf numFmtId="0" fontId="71" fillId="0" borderId="0" applyNumberFormat="0" applyFill="0" applyBorder="0" applyAlignment="0" applyProtection="0"/>
    <xf numFmtId="0" fontId="69" fillId="0" borderId="0" applyNumberFormat="0" applyFill="0" applyBorder="0" applyAlignment="0" applyProtection="0"/>
    <xf numFmtId="0" fontId="68" fillId="52" borderId="38" applyNumberFormat="0" applyAlignment="0" applyProtection="0"/>
    <xf numFmtId="0" fontId="64" fillId="0" borderId="0" applyNumberFormat="0" applyFill="0" applyBorder="0" applyAlignment="0" applyProtection="0"/>
    <xf numFmtId="0" fontId="63" fillId="0" borderId="34" applyNumberFormat="0" applyFill="0" applyAlignment="0" applyProtection="0"/>
    <xf numFmtId="0" fontId="61" fillId="36" borderId="0" applyNumberFormat="0" applyBorder="0" applyAlignment="0" applyProtection="0"/>
    <xf numFmtId="0" fontId="59" fillId="53" borderId="32" applyNumberFormat="0" applyAlignment="0" applyProtection="0"/>
    <xf numFmtId="0" fontId="57" fillId="35" borderId="0" applyNumberFormat="0" applyBorder="0" applyAlignment="0" applyProtection="0"/>
    <xf numFmtId="0" fontId="56" fillId="45" borderId="0" applyNumberFormat="0" applyBorder="0" applyAlignment="0" applyProtection="0"/>
    <xf numFmtId="0" fontId="56" fillId="50" borderId="0" applyNumberFormat="0" applyBorder="0" applyAlignment="0" applyProtection="0"/>
    <xf numFmtId="0" fontId="56" fillId="48" borderId="0" applyNumberFormat="0" applyBorder="0" applyAlignment="0" applyProtection="0"/>
    <xf numFmtId="0" fontId="56"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41" borderId="0" applyNumberFormat="0" applyBorder="0" applyAlignment="0" applyProtection="0"/>
    <xf numFmtId="0" fontId="55" fillId="40"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0" fontId="55" fillId="37" borderId="0" applyNumberFormat="0" applyBorder="0" applyAlignment="0" applyProtection="0"/>
    <xf numFmtId="0" fontId="55" fillId="36" borderId="0" applyNumberFormat="0" applyBorder="0" applyAlignment="0" applyProtection="0"/>
    <xf numFmtId="0" fontId="55" fillId="34" borderId="0" applyNumberFormat="0" applyBorder="0" applyAlignment="0" applyProtection="0"/>
    <xf numFmtId="0" fontId="38" fillId="0" borderId="0" applyNumberFormat="0" applyFill="0" applyBorder="0" applyAlignment="0" applyProtection="0"/>
    <xf numFmtId="0" fontId="60" fillId="0" borderId="0" applyNumberFormat="0" applyFill="0" applyBorder="0" applyAlignment="0" applyProtection="0"/>
    <xf numFmtId="0" fontId="58" fillId="52" borderId="31" applyNumberFormat="0" applyAlignment="0" applyProtection="0"/>
    <xf numFmtId="0" fontId="56" fillId="51" borderId="0" applyNumberFormat="0" applyBorder="0" applyAlignment="0" applyProtection="0"/>
    <xf numFmtId="0" fontId="62" fillId="0" borderId="33" applyNumberFormat="0" applyFill="0" applyAlignment="0" applyProtection="0"/>
    <xf numFmtId="0" fontId="56" fillId="45" borderId="0" applyNumberFormat="0" applyBorder="0" applyAlignment="0" applyProtection="0"/>
    <xf numFmtId="0" fontId="56" fillId="49" borderId="0" applyNumberFormat="0" applyBorder="0" applyAlignment="0" applyProtection="0"/>
    <xf numFmtId="0" fontId="55" fillId="40" borderId="0" applyNumberFormat="0" applyBorder="0" applyAlignment="0" applyProtection="0"/>
    <xf numFmtId="0" fontId="74" fillId="34" borderId="0" applyNumberFormat="0" applyBorder="0" applyAlignment="0" applyProtection="0"/>
    <xf numFmtId="0" fontId="56" fillId="47" borderId="0" applyNumberFormat="0" applyBorder="0" applyAlignment="0" applyProtection="0"/>
    <xf numFmtId="0" fontId="72" fillId="9" borderId="29" applyNumberFormat="0" applyFont="0" applyAlignment="0" applyProtection="0"/>
    <xf numFmtId="0" fontId="64" fillId="0" borderId="35" applyNumberFormat="0" applyFill="0" applyAlignment="0" applyProtection="0"/>
    <xf numFmtId="0" fontId="55" fillId="35" borderId="0" applyNumberFormat="0" applyBorder="0" applyAlignment="0" applyProtection="0"/>
    <xf numFmtId="0" fontId="70" fillId="0" borderId="39" applyNumberFormat="0" applyFill="0" applyAlignment="0" applyProtection="0"/>
    <xf numFmtId="0" fontId="38" fillId="0" borderId="0" applyNumberFormat="0" applyFill="0" applyBorder="0" applyAlignment="0" applyProtection="0"/>
    <xf numFmtId="0" fontId="90" fillId="0" borderId="22" applyNumberFormat="0" applyFill="0" applyAlignment="0" applyProtection="0"/>
    <xf numFmtId="0" fontId="91" fillId="0" borderId="23" applyNumberFormat="0" applyFill="0" applyAlignment="0" applyProtection="0"/>
    <xf numFmtId="0" fontId="92" fillId="0" borderId="24" applyNumberFormat="0" applyFill="0" applyAlignment="0" applyProtection="0"/>
    <xf numFmtId="0" fontId="92" fillId="0" borderId="0" applyNumberFormat="0" applyFill="0" applyBorder="0" applyAlignment="0" applyProtection="0"/>
    <xf numFmtId="0" fontId="93" fillId="3" borderId="0" applyNumberFormat="0" applyBorder="0" applyAlignment="0" applyProtection="0"/>
    <xf numFmtId="0" fontId="94" fillId="4" borderId="0" applyNumberFormat="0" applyBorder="0" applyAlignment="0" applyProtection="0"/>
    <xf numFmtId="0" fontId="95" fillId="5" borderId="0" applyNumberFormat="0" applyBorder="0" applyAlignment="0" applyProtection="0"/>
    <xf numFmtId="0" fontId="96" fillId="6" borderId="25" applyNumberFormat="0" applyAlignment="0" applyProtection="0"/>
    <xf numFmtId="0" fontId="97" fillId="7" borderId="26" applyNumberFormat="0" applyAlignment="0" applyProtection="0"/>
    <xf numFmtId="0" fontId="98" fillId="7" borderId="25" applyNumberFormat="0" applyAlignment="0" applyProtection="0"/>
    <xf numFmtId="0" fontId="99" fillId="0" borderId="27" applyNumberFormat="0" applyFill="0" applyAlignment="0" applyProtection="0"/>
    <xf numFmtId="0" fontId="100" fillId="8" borderId="28" applyNumberFormat="0" applyAlignment="0" applyProtection="0"/>
    <xf numFmtId="0" fontId="101" fillId="0" borderId="0" applyNumberFormat="0" applyFill="0" applyBorder="0" applyAlignment="0" applyProtection="0"/>
    <xf numFmtId="0" fontId="72" fillId="9" borderId="29" applyNumberFormat="0" applyFont="0" applyAlignment="0" applyProtection="0"/>
    <xf numFmtId="0" fontId="102" fillId="0" borderId="0" applyNumberFormat="0" applyFill="0" applyBorder="0" applyAlignment="0" applyProtection="0"/>
    <xf numFmtId="0" fontId="103" fillId="0" borderId="30" applyNumberFormat="0" applyFill="0" applyAlignment="0" applyProtection="0"/>
    <xf numFmtId="0" fontId="104"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104" fillId="13" borderId="0" applyNumberFormat="0" applyBorder="0" applyAlignment="0" applyProtection="0"/>
    <xf numFmtId="0" fontId="104"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104" fillId="17" borderId="0" applyNumberFormat="0" applyBorder="0" applyAlignment="0" applyProtection="0"/>
    <xf numFmtId="0" fontId="104"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104" fillId="21" borderId="0" applyNumberFormat="0" applyBorder="0" applyAlignment="0" applyProtection="0"/>
    <xf numFmtId="0" fontId="104"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104" fillId="25" borderId="0" applyNumberFormat="0" applyBorder="0" applyAlignment="0" applyProtection="0"/>
    <xf numFmtId="0" fontId="104" fillId="26"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104" fillId="29" borderId="0" applyNumberFormat="0" applyBorder="0" applyAlignment="0" applyProtection="0"/>
    <xf numFmtId="0" fontId="104" fillId="30" borderId="0" applyNumberFormat="0" applyBorder="0" applyAlignment="0" applyProtection="0"/>
    <xf numFmtId="0" fontId="72" fillId="31" borderId="0" applyNumberFormat="0" applyBorder="0" applyAlignment="0" applyProtection="0"/>
    <xf numFmtId="0" fontId="72" fillId="32" borderId="0" applyNumberFormat="0" applyBorder="0" applyAlignment="0" applyProtection="0"/>
    <xf numFmtId="0" fontId="104" fillId="33" borderId="0" applyNumberFormat="0" applyBorder="0" applyAlignment="0" applyProtection="0"/>
    <xf numFmtId="0" fontId="74" fillId="38" borderId="0" applyNumberFormat="0" applyBorder="0" applyAlignment="0" applyProtection="0"/>
    <xf numFmtId="0" fontId="38" fillId="0" borderId="0" applyNumberFormat="0" applyFill="0" applyBorder="0" applyAlignment="0" applyProtection="0"/>
    <xf numFmtId="0" fontId="72" fillId="9" borderId="29" applyNumberFormat="0" applyFont="0" applyAlignment="0" applyProtection="0"/>
    <xf numFmtId="0" fontId="38" fillId="0" borderId="0" applyNumberFormat="0" applyFill="0" applyBorder="0" applyAlignment="0" applyProtection="0"/>
    <xf numFmtId="0" fontId="90" fillId="0" borderId="22" applyNumberFormat="0" applyFill="0" applyAlignment="0" applyProtection="0"/>
    <xf numFmtId="0" fontId="91" fillId="0" borderId="23" applyNumberFormat="0" applyFill="0" applyAlignment="0" applyProtection="0"/>
    <xf numFmtId="0" fontId="92" fillId="0" borderId="24" applyNumberFormat="0" applyFill="0" applyAlignment="0" applyProtection="0"/>
    <xf numFmtId="0" fontId="92" fillId="0" borderId="0" applyNumberFormat="0" applyFill="0" applyBorder="0" applyAlignment="0" applyProtection="0"/>
    <xf numFmtId="0" fontId="93" fillId="3" borderId="0" applyNumberFormat="0" applyBorder="0" applyAlignment="0" applyProtection="0"/>
    <xf numFmtId="0" fontId="94" fillId="4" borderId="0" applyNumberFormat="0" applyBorder="0" applyAlignment="0" applyProtection="0"/>
    <xf numFmtId="0" fontId="95" fillId="5" borderId="0" applyNumberFormat="0" applyBorder="0" applyAlignment="0" applyProtection="0"/>
    <xf numFmtId="0" fontId="96" fillId="6" borderId="25" applyNumberFormat="0" applyAlignment="0" applyProtection="0"/>
    <xf numFmtId="0" fontId="97" fillId="7" borderId="26" applyNumberFormat="0" applyAlignment="0" applyProtection="0"/>
    <xf numFmtId="0" fontId="98" fillId="7" borderId="25" applyNumberFormat="0" applyAlignment="0" applyProtection="0"/>
    <xf numFmtId="0" fontId="99" fillId="0" borderId="27" applyNumberFormat="0" applyFill="0" applyAlignment="0" applyProtection="0"/>
    <xf numFmtId="0" fontId="100" fillId="8" borderId="28" applyNumberFormat="0" applyAlignment="0" applyProtection="0"/>
    <xf numFmtId="0" fontId="101" fillId="0" borderId="0" applyNumberFormat="0" applyFill="0" applyBorder="0" applyAlignment="0" applyProtection="0"/>
    <xf numFmtId="0" fontId="72" fillId="9" borderId="29" applyNumberFormat="0" applyFont="0" applyAlignment="0" applyProtection="0"/>
    <xf numFmtId="0" fontId="102" fillId="0" borderId="0" applyNumberFormat="0" applyFill="0" applyBorder="0" applyAlignment="0" applyProtection="0"/>
    <xf numFmtId="0" fontId="103" fillId="0" borderId="30" applyNumberFormat="0" applyFill="0" applyAlignment="0" applyProtection="0"/>
    <xf numFmtId="0" fontId="104"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104" fillId="13" borderId="0" applyNumberFormat="0" applyBorder="0" applyAlignment="0" applyProtection="0"/>
    <xf numFmtId="0" fontId="104"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104" fillId="17" borderId="0" applyNumberFormat="0" applyBorder="0" applyAlignment="0" applyProtection="0"/>
    <xf numFmtId="0" fontId="104"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104" fillId="21" borderId="0" applyNumberFormat="0" applyBorder="0" applyAlignment="0" applyProtection="0"/>
    <xf numFmtId="0" fontId="104"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104" fillId="25" borderId="0" applyNumberFormat="0" applyBorder="0" applyAlignment="0" applyProtection="0"/>
    <xf numFmtId="0" fontId="104" fillId="26"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104" fillId="29" borderId="0" applyNumberFormat="0" applyBorder="0" applyAlignment="0" applyProtection="0"/>
    <xf numFmtId="0" fontId="104" fillId="30" borderId="0" applyNumberFormat="0" applyBorder="0" applyAlignment="0" applyProtection="0"/>
    <xf numFmtId="0" fontId="72" fillId="31" borderId="0" applyNumberFormat="0" applyBorder="0" applyAlignment="0" applyProtection="0"/>
    <xf numFmtId="0" fontId="72" fillId="32" borderId="0" applyNumberFormat="0" applyBorder="0" applyAlignment="0" applyProtection="0"/>
    <xf numFmtId="0" fontId="104" fillId="33" borderId="0" applyNumberFormat="0" applyBorder="0" applyAlignment="0" applyProtection="0"/>
    <xf numFmtId="0" fontId="74" fillId="37" borderId="0" applyNumberFormat="0" applyBorder="0" applyAlignment="0" applyProtection="0"/>
    <xf numFmtId="0" fontId="11" fillId="0" borderId="0"/>
    <xf numFmtId="0" fontId="74" fillId="34" borderId="0" applyNumberFormat="0" applyBorder="0" applyAlignment="0" applyProtection="0"/>
    <xf numFmtId="0" fontId="74" fillId="35" borderId="0" applyNumberFormat="0" applyBorder="0" applyAlignment="0" applyProtection="0"/>
    <xf numFmtId="0" fontId="74" fillId="36" borderId="0" applyNumberFormat="0" applyBorder="0" applyAlignment="0" applyProtection="0"/>
    <xf numFmtId="0" fontId="74" fillId="37" borderId="0" applyNumberFormat="0" applyBorder="0" applyAlignment="0" applyProtection="0"/>
    <xf numFmtId="0" fontId="74" fillId="38" borderId="0" applyNumberFormat="0" applyBorder="0" applyAlignment="0" applyProtection="0"/>
    <xf numFmtId="0" fontId="74" fillId="39" borderId="0" applyNumberFormat="0" applyBorder="0" applyAlignment="0" applyProtection="0"/>
    <xf numFmtId="0" fontId="74" fillId="40" borderId="0" applyNumberFormat="0" applyBorder="0" applyAlignment="0" applyProtection="0"/>
    <xf numFmtId="0" fontId="74" fillId="41" borderId="0" applyNumberFormat="0" applyBorder="0" applyAlignment="0" applyProtection="0"/>
    <xf numFmtId="0" fontId="74" fillId="42" borderId="0" applyNumberFormat="0" applyBorder="0" applyAlignment="0" applyProtection="0"/>
    <xf numFmtId="0" fontId="74" fillId="37" borderId="0" applyNumberFormat="0" applyBorder="0" applyAlignment="0" applyProtection="0"/>
    <xf numFmtId="0" fontId="74" fillId="40" borderId="0" applyNumberFormat="0" applyBorder="0" applyAlignment="0" applyProtection="0"/>
    <xf numFmtId="0" fontId="74" fillId="43" borderId="0" applyNumberFormat="0" applyBorder="0" applyAlignment="0" applyProtection="0"/>
    <xf numFmtId="0" fontId="75" fillId="44" borderId="0" applyNumberFormat="0" applyBorder="0" applyAlignment="0" applyProtection="0"/>
    <xf numFmtId="0" fontId="75" fillId="41" borderId="0" applyNumberFormat="0" applyBorder="0" applyAlignment="0" applyProtection="0"/>
    <xf numFmtId="0" fontId="75" fillId="42" borderId="0" applyNumberFormat="0" applyBorder="0" applyAlignment="0" applyProtection="0"/>
    <xf numFmtId="0" fontId="75" fillId="45" borderId="0" applyNumberFormat="0" applyBorder="0" applyAlignment="0" applyProtection="0"/>
    <xf numFmtId="0" fontId="75" fillId="46" borderId="0" applyNumberFormat="0" applyBorder="0" applyAlignment="0" applyProtection="0"/>
    <xf numFmtId="0" fontId="75" fillId="47" borderId="0" applyNumberFormat="0" applyBorder="0" applyAlignment="0" applyProtection="0"/>
    <xf numFmtId="0" fontId="75" fillId="48" borderId="0" applyNumberFormat="0" applyBorder="0" applyAlignment="0" applyProtection="0"/>
    <xf numFmtId="0" fontId="75" fillId="49" borderId="0" applyNumberFormat="0" applyBorder="0" applyAlignment="0" applyProtection="0"/>
    <xf numFmtId="0" fontId="75" fillId="50" borderId="0" applyNumberFormat="0" applyBorder="0" applyAlignment="0" applyProtection="0"/>
    <xf numFmtId="0" fontId="75" fillId="45" borderId="0" applyNumberFormat="0" applyBorder="0" applyAlignment="0" applyProtection="0"/>
    <xf numFmtId="0" fontId="75" fillId="46" borderId="0" applyNumberFormat="0" applyBorder="0" applyAlignment="0" applyProtection="0"/>
    <xf numFmtId="0" fontId="75" fillId="51" borderId="0" applyNumberFormat="0" applyBorder="0" applyAlignment="0" applyProtection="0"/>
    <xf numFmtId="0" fontId="76" fillId="35" borderId="0" applyNumberFormat="0" applyBorder="0" applyAlignment="0" applyProtection="0"/>
    <xf numFmtId="0" fontId="77" fillId="52" borderId="31" applyNumberFormat="0" applyAlignment="0" applyProtection="0"/>
    <xf numFmtId="0" fontId="78" fillId="53" borderId="32" applyNumberFormat="0" applyAlignment="0" applyProtection="0"/>
    <xf numFmtId="0" fontId="79" fillId="0" borderId="0" applyNumberFormat="0" applyFill="0" applyBorder="0" applyAlignment="0" applyProtection="0"/>
    <xf numFmtId="0" fontId="80" fillId="36" borderId="0" applyNumberFormat="0" applyBorder="0" applyAlignment="0" applyProtection="0"/>
    <xf numFmtId="0" fontId="81" fillId="0" borderId="33" applyNumberFormat="0" applyFill="0" applyAlignment="0" applyProtection="0"/>
    <xf numFmtId="0" fontId="82" fillId="0" borderId="34" applyNumberFormat="0" applyFill="0" applyAlignment="0" applyProtection="0"/>
    <xf numFmtId="0" fontId="83" fillId="0" borderId="35" applyNumberFormat="0" applyFill="0" applyAlignment="0" applyProtection="0"/>
    <xf numFmtId="0" fontId="83" fillId="0" borderId="0" applyNumberFormat="0" applyFill="0" applyBorder="0" applyAlignment="0" applyProtection="0"/>
    <xf numFmtId="0" fontId="84" fillId="39" borderId="31" applyNumberFormat="0" applyAlignment="0" applyProtection="0"/>
    <xf numFmtId="0" fontId="85" fillId="0" borderId="36" applyNumberFormat="0" applyFill="0" applyAlignment="0" applyProtection="0"/>
    <xf numFmtId="0" fontId="86" fillId="54" borderId="0" applyNumberFormat="0" applyBorder="0" applyAlignment="0" applyProtection="0"/>
    <xf numFmtId="0" fontId="11" fillId="55" borderId="37" applyNumberFormat="0" applyFont="0" applyAlignment="0" applyProtection="0"/>
    <xf numFmtId="0" fontId="87" fillId="52" borderId="38" applyNumberFormat="0" applyAlignment="0" applyProtection="0"/>
    <xf numFmtId="0" fontId="69" fillId="0" borderId="0" applyNumberFormat="0" applyFill="0" applyBorder="0" applyAlignment="0" applyProtection="0"/>
    <xf numFmtId="0" fontId="88" fillId="0" borderId="39" applyNumberFormat="0" applyFill="0" applyAlignment="0" applyProtection="0"/>
    <xf numFmtId="0" fontId="89" fillId="0" borderId="0" applyNumberFormat="0" applyFill="0" applyBorder="0" applyAlignment="0" applyProtection="0"/>
    <xf numFmtId="0" fontId="74" fillId="42" borderId="0" applyNumberFormat="0" applyBorder="0" applyAlignment="0" applyProtection="0"/>
    <xf numFmtId="0" fontId="74" fillId="37" borderId="0" applyNumberFormat="0" applyBorder="0" applyAlignment="0" applyProtection="0"/>
    <xf numFmtId="0" fontId="74" fillId="40" borderId="0" applyNumberFormat="0" applyBorder="0" applyAlignment="0" applyProtection="0"/>
    <xf numFmtId="0" fontId="74" fillId="43" borderId="0" applyNumberFormat="0" applyBorder="0" applyAlignment="0" applyProtection="0"/>
    <xf numFmtId="0" fontId="75" fillId="44" borderId="0" applyNumberFormat="0" applyBorder="0" applyAlignment="0" applyProtection="0"/>
    <xf numFmtId="0" fontId="75" fillId="41" borderId="0" applyNumberFormat="0" applyBorder="0" applyAlignment="0" applyProtection="0"/>
    <xf numFmtId="0" fontId="75" fillId="42" borderId="0" applyNumberFormat="0" applyBorder="0" applyAlignment="0" applyProtection="0"/>
    <xf numFmtId="0" fontId="75" fillId="45" borderId="0" applyNumberFormat="0" applyBorder="0" applyAlignment="0" applyProtection="0"/>
    <xf numFmtId="0" fontId="75" fillId="46" borderId="0" applyNumberFormat="0" applyBorder="0" applyAlignment="0" applyProtection="0"/>
    <xf numFmtId="0" fontId="75" fillId="47" borderId="0" applyNumberFormat="0" applyBorder="0" applyAlignment="0" applyProtection="0"/>
    <xf numFmtId="0" fontId="75" fillId="48" borderId="0" applyNumberFormat="0" applyBorder="0" applyAlignment="0" applyProtection="0"/>
    <xf numFmtId="0" fontId="75" fillId="49" borderId="0" applyNumberFormat="0" applyBorder="0" applyAlignment="0" applyProtection="0"/>
    <xf numFmtId="0" fontId="75" fillId="50" borderId="0" applyNumberFormat="0" applyBorder="0" applyAlignment="0" applyProtection="0"/>
    <xf numFmtId="0" fontId="75" fillId="45" borderId="0" applyNumberFormat="0" applyBorder="0" applyAlignment="0" applyProtection="0"/>
    <xf numFmtId="0" fontId="75" fillId="46" borderId="0" applyNumberFormat="0" applyBorder="0" applyAlignment="0" applyProtection="0"/>
    <xf numFmtId="0" fontId="75" fillId="51" borderId="0" applyNumberFormat="0" applyBorder="0" applyAlignment="0" applyProtection="0"/>
    <xf numFmtId="0" fontId="76" fillId="35" borderId="0" applyNumberFormat="0" applyBorder="0" applyAlignment="0" applyProtection="0"/>
    <xf numFmtId="0" fontId="77" fillId="52" borderId="31" applyNumberFormat="0" applyAlignment="0" applyProtection="0"/>
    <xf numFmtId="0" fontId="78" fillId="53" borderId="32" applyNumberFormat="0" applyAlignment="0" applyProtection="0"/>
    <xf numFmtId="0" fontId="79" fillId="0" borderId="0" applyNumberFormat="0" applyFill="0" applyBorder="0" applyAlignment="0" applyProtection="0"/>
    <xf numFmtId="0" fontId="80" fillId="36" borderId="0" applyNumberFormat="0" applyBorder="0" applyAlignment="0" applyProtection="0"/>
    <xf numFmtId="0" fontId="81" fillId="0" borderId="33" applyNumberFormat="0" applyFill="0" applyAlignment="0" applyProtection="0"/>
    <xf numFmtId="0" fontId="82" fillId="0" borderId="34" applyNumberFormat="0" applyFill="0" applyAlignment="0" applyProtection="0"/>
    <xf numFmtId="0" fontId="83" fillId="0" borderId="35" applyNumberFormat="0" applyFill="0" applyAlignment="0" applyProtection="0"/>
    <xf numFmtId="0" fontId="83" fillId="0" borderId="0" applyNumberFormat="0" applyFill="0" applyBorder="0" applyAlignment="0" applyProtection="0"/>
    <xf numFmtId="0" fontId="84" fillId="39" borderId="31" applyNumberFormat="0" applyAlignment="0" applyProtection="0"/>
    <xf numFmtId="0" fontId="85" fillId="0" borderId="36" applyNumberFormat="0" applyFill="0" applyAlignment="0" applyProtection="0"/>
    <xf numFmtId="0" fontId="86" fillId="54" borderId="0" applyNumberFormat="0" applyBorder="0" applyAlignment="0" applyProtection="0"/>
    <xf numFmtId="0" fontId="11" fillId="55" borderId="37" applyNumberFormat="0" applyFont="0" applyAlignment="0" applyProtection="0"/>
    <xf numFmtId="0" fontId="87" fillId="52" borderId="38" applyNumberFormat="0" applyAlignment="0" applyProtection="0"/>
    <xf numFmtId="0" fontId="74" fillId="35" borderId="0" applyNumberFormat="0" applyBorder="0" applyAlignment="0" applyProtection="0"/>
    <xf numFmtId="0" fontId="74" fillId="36" borderId="0" applyNumberFormat="0" applyBorder="0" applyAlignment="0" applyProtection="0"/>
    <xf numFmtId="0" fontId="74" fillId="37" borderId="0" applyNumberFormat="0" applyBorder="0" applyAlignment="0" applyProtection="0"/>
    <xf numFmtId="0" fontId="74" fillId="42" borderId="0" applyNumberFormat="0" applyBorder="0" applyAlignment="0" applyProtection="0"/>
    <xf numFmtId="0" fontId="69" fillId="0" borderId="0" applyNumberFormat="0" applyFill="0" applyBorder="0" applyAlignment="0" applyProtection="0"/>
    <xf numFmtId="0" fontId="88" fillId="0" borderId="39" applyNumberFormat="0" applyFill="0" applyAlignment="0" applyProtection="0"/>
    <xf numFmtId="0" fontId="89" fillId="0" borderId="0" applyNumberFormat="0" applyFill="0" applyBorder="0" applyAlignment="0" applyProtection="0"/>
    <xf numFmtId="0" fontId="55" fillId="34" borderId="0" applyNumberFormat="0" applyBorder="0" applyAlignment="0" applyProtection="0"/>
    <xf numFmtId="0" fontId="55" fillId="35"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38" borderId="0" applyNumberFormat="0" applyBorder="0" applyAlignment="0" applyProtection="0"/>
    <xf numFmtId="0" fontId="55" fillId="39" borderId="0" applyNumberFormat="0" applyBorder="0" applyAlignment="0" applyProtection="0"/>
    <xf numFmtId="0" fontId="55" fillId="40" borderId="0" applyNumberFormat="0" applyBorder="0" applyAlignment="0" applyProtection="0"/>
    <xf numFmtId="0" fontId="55" fillId="41" borderId="0" applyNumberFormat="0" applyBorder="0" applyAlignment="0" applyProtection="0"/>
    <xf numFmtId="0" fontId="55" fillId="42" borderId="0" applyNumberFormat="0" applyBorder="0" applyAlignment="0" applyProtection="0"/>
    <xf numFmtId="0" fontId="55" fillId="37" borderId="0" applyNumberFormat="0" applyBorder="0" applyAlignment="0" applyProtection="0"/>
    <xf numFmtId="0" fontId="55" fillId="40" borderId="0" applyNumberFormat="0" applyBorder="0" applyAlignment="0" applyProtection="0"/>
    <xf numFmtId="0" fontId="55" fillId="43" borderId="0" applyNumberFormat="0" applyBorder="0" applyAlignment="0" applyProtection="0"/>
    <xf numFmtId="0" fontId="56" fillId="44" borderId="0" applyNumberFormat="0" applyBorder="0" applyAlignment="0" applyProtection="0"/>
    <xf numFmtId="0" fontId="56" fillId="41" borderId="0" applyNumberFormat="0" applyBorder="0" applyAlignment="0" applyProtection="0"/>
    <xf numFmtId="0" fontId="56" fillId="42" borderId="0" applyNumberFormat="0" applyBorder="0" applyAlignment="0" applyProtection="0"/>
    <xf numFmtId="0" fontId="56" fillId="45" borderId="0" applyNumberFormat="0" applyBorder="0" applyAlignment="0" applyProtection="0"/>
    <xf numFmtId="0" fontId="56" fillId="46" borderId="0" applyNumberFormat="0" applyBorder="0" applyAlignment="0" applyProtection="0"/>
    <xf numFmtId="0" fontId="56" fillId="47" borderId="0" applyNumberFormat="0" applyBorder="0" applyAlignment="0" applyProtection="0"/>
    <xf numFmtId="0" fontId="56" fillId="48" borderId="0" applyNumberFormat="0" applyBorder="0" applyAlignment="0" applyProtection="0"/>
    <xf numFmtId="0" fontId="56" fillId="49" borderId="0" applyNumberFormat="0" applyBorder="0" applyAlignment="0" applyProtection="0"/>
    <xf numFmtId="0" fontId="56" fillId="50" borderId="0" applyNumberFormat="0" applyBorder="0" applyAlignment="0" applyProtection="0"/>
    <xf numFmtId="0" fontId="56" fillId="45" borderId="0" applyNumberFormat="0" applyBorder="0" applyAlignment="0" applyProtection="0"/>
    <xf numFmtId="0" fontId="56" fillId="46" borderId="0" applyNumberFormat="0" applyBorder="0" applyAlignment="0" applyProtection="0"/>
    <xf numFmtId="0" fontId="56" fillId="51" borderId="0" applyNumberFormat="0" applyBorder="0" applyAlignment="0" applyProtection="0"/>
    <xf numFmtId="0" fontId="57" fillId="35" borderId="0" applyNumberFormat="0" applyBorder="0" applyAlignment="0" applyProtection="0"/>
    <xf numFmtId="0" fontId="58" fillId="52" borderId="31" applyNumberFormat="0" applyAlignment="0" applyProtection="0"/>
    <xf numFmtId="0" fontId="59" fillId="53" borderId="32" applyNumberFormat="0" applyAlignment="0" applyProtection="0"/>
    <xf numFmtId="0" fontId="56" fillId="46" borderId="0" applyNumberFormat="0" applyBorder="0" applyAlignment="0" applyProtection="0"/>
    <xf numFmtId="0" fontId="56" fillId="45" borderId="0" applyNumberFormat="0" applyBorder="0" applyAlignment="0" applyProtection="0"/>
    <xf numFmtId="0" fontId="60" fillId="0" borderId="0" applyNumberFormat="0" applyFill="0" applyBorder="0" applyAlignment="0" applyProtection="0"/>
    <xf numFmtId="0" fontId="61" fillId="36" borderId="0" applyNumberFormat="0" applyBorder="0" applyAlignment="0" applyProtection="0"/>
    <xf numFmtId="0" fontId="62" fillId="0" borderId="33" applyNumberFormat="0" applyFill="0" applyAlignment="0" applyProtection="0"/>
    <xf numFmtId="0" fontId="63" fillId="0" borderId="34" applyNumberFormat="0" applyFill="0" applyAlignment="0" applyProtection="0"/>
    <xf numFmtId="0" fontId="64" fillId="0" borderId="35" applyNumberFormat="0" applyFill="0" applyAlignment="0" applyProtection="0"/>
    <xf numFmtId="0" fontId="64" fillId="0" borderId="0" applyNumberFormat="0" applyFill="0" applyBorder="0" applyAlignment="0" applyProtection="0"/>
    <xf numFmtId="0" fontId="56" fillId="42" borderId="0" applyNumberFormat="0" applyBorder="0" applyAlignment="0" applyProtection="0"/>
    <xf numFmtId="0" fontId="65" fillId="39" borderId="31" applyNumberFormat="0" applyAlignment="0" applyProtection="0"/>
    <xf numFmtId="0" fontId="66" fillId="0" borderId="36" applyNumberFormat="0" applyFill="0" applyAlignment="0" applyProtection="0"/>
    <xf numFmtId="0" fontId="67" fillId="54" borderId="0" applyNumberFormat="0" applyBorder="0" applyAlignment="0" applyProtection="0"/>
    <xf numFmtId="0" fontId="55" fillId="40" borderId="0" applyNumberFormat="0" applyBorder="0" applyAlignment="0" applyProtection="0"/>
    <xf numFmtId="0" fontId="55" fillId="37" borderId="0" applyNumberFormat="0" applyBorder="0" applyAlignment="0" applyProtection="0"/>
    <xf numFmtId="0" fontId="11" fillId="55" borderId="37" applyNumberFormat="0" applyFont="0" applyAlignment="0" applyProtection="0"/>
    <xf numFmtId="0" fontId="68" fillId="52" borderId="38" applyNumberFormat="0" applyAlignment="0" applyProtection="0"/>
    <xf numFmtId="0" fontId="55" fillId="41" borderId="0" applyNumberFormat="0" applyBorder="0" applyAlignment="0" applyProtection="0"/>
    <xf numFmtId="0" fontId="69" fillId="0" borderId="0" applyNumberFormat="0" applyFill="0" applyBorder="0" applyAlignment="0" applyProtection="0"/>
    <xf numFmtId="0" fontId="70" fillId="0" borderId="39" applyNumberFormat="0" applyFill="0" applyAlignment="0" applyProtection="0"/>
    <xf numFmtId="0" fontId="71" fillId="0" borderId="0" applyNumberForma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67" fillId="54" borderId="0" applyNumberFormat="0" applyBorder="0" applyAlignment="0" applyProtection="0"/>
    <xf numFmtId="0" fontId="66" fillId="0" borderId="36" applyNumberFormat="0" applyFill="0" applyAlignment="0" applyProtection="0"/>
    <xf numFmtId="0" fontId="71" fillId="0" borderId="0" applyNumberFormat="0" applyFill="0" applyBorder="0" applyAlignment="0" applyProtection="0"/>
    <xf numFmtId="0" fontId="70" fillId="0" borderId="39" applyNumberFormat="0" applyFill="0" applyAlignment="0" applyProtection="0"/>
    <xf numFmtId="0" fontId="69" fillId="0" borderId="0" applyNumberFormat="0" applyFill="0" applyBorder="0" applyAlignment="0" applyProtection="0"/>
    <xf numFmtId="0" fontId="55" fillId="37" borderId="0" applyNumberFormat="0" applyBorder="0" applyAlignment="0" applyProtection="0"/>
    <xf numFmtId="0" fontId="68" fillId="52" borderId="38" applyNumberFormat="0" applyAlignment="0" applyProtection="0"/>
    <xf numFmtId="0" fontId="11" fillId="55" borderId="37" applyNumberFormat="0" applyFont="0" applyAlignment="0" applyProtection="0"/>
    <xf numFmtId="0" fontId="56" fillId="44" borderId="0" applyNumberFormat="0" applyBorder="0" applyAlignment="0" applyProtection="0"/>
    <xf numFmtId="0" fontId="56" fillId="41" borderId="0" applyNumberFormat="0" applyBorder="0" applyAlignment="0" applyProtection="0"/>
    <xf numFmtId="0" fontId="56" fillId="42" borderId="0" applyNumberFormat="0" applyBorder="0" applyAlignment="0" applyProtection="0"/>
    <xf numFmtId="0" fontId="67" fillId="54" borderId="0" applyNumberFormat="0" applyBorder="0" applyAlignment="0" applyProtection="0"/>
    <xf numFmtId="0" fontId="66" fillId="0" borderId="36" applyNumberFormat="0" applyFill="0" applyAlignment="0" applyProtection="0"/>
    <xf numFmtId="0" fontId="65" fillId="39" borderId="31" applyNumberFormat="0" applyAlignment="0" applyProtection="0"/>
    <xf numFmtId="0" fontId="56" fillId="46" borderId="0" applyNumberFormat="0" applyBorder="0" applyAlignment="0" applyProtection="0"/>
    <xf numFmtId="0" fontId="64" fillId="0" borderId="0" applyNumberFormat="0" applyFill="0" applyBorder="0" applyAlignment="0" applyProtection="0"/>
    <xf numFmtId="0" fontId="64" fillId="0" borderId="35" applyNumberFormat="0" applyFill="0" applyAlignment="0" applyProtection="0"/>
    <xf numFmtId="0" fontId="63" fillId="0" borderId="34" applyNumberFormat="0" applyFill="0" applyAlignment="0" applyProtection="0"/>
    <xf numFmtId="0" fontId="62" fillId="0" borderId="33" applyNumberFormat="0" applyFill="0" applyAlignment="0" applyProtection="0"/>
    <xf numFmtId="0" fontId="61" fillId="36" borderId="0" applyNumberFormat="0" applyBorder="0" applyAlignment="0" applyProtection="0"/>
    <xf numFmtId="0" fontId="60" fillId="0" borderId="0" applyNumberFormat="0" applyFill="0" applyBorder="0" applyAlignment="0" applyProtection="0"/>
    <xf numFmtId="0" fontId="65" fillId="39" borderId="31" applyNumberFormat="0" applyAlignment="0" applyProtection="0"/>
    <xf numFmtId="0" fontId="59" fillId="53" borderId="32" applyNumberFormat="0" applyAlignment="0" applyProtection="0"/>
    <xf numFmtId="0" fontId="58" fillId="52" borderId="31" applyNumberFormat="0" applyAlignment="0" applyProtection="0"/>
    <xf numFmtId="0" fontId="57" fillId="35" borderId="0" applyNumberFormat="0" applyBorder="0" applyAlignment="0" applyProtection="0"/>
    <xf numFmtId="0" fontId="56" fillId="51" borderId="0" applyNumberFormat="0" applyBorder="0" applyAlignment="0" applyProtection="0"/>
    <xf numFmtId="44" fontId="11" fillId="0" borderId="0" applyFont="0" applyFill="0" applyBorder="0" applyAlignment="0" applyProtection="0"/>
    <xf numFmtId="0" fontId="56" fillId="50" borderId="0" applyNumberFormat="0" applyBorder="0" applyAlignment="0" applyProtection="0"/>
    <xf numFmtId="0" fontId="56" fillId="49" borderId="0" applyNumberFormat="0" applyBorder="0" applyAlignment="0" applyProtection="0"/>
    <xf numFmtId="0" fontId="56" fillId="48" borderId="0" applyNumberFormat="0" applyBorder="0" applyAlignment="0" applyProtection="0"/>
    <xf numFmtId="0" fontId="56" fillId="47" borderId="0" applyNumberFormat="0" applyBorder="0" applyAlignment="0" applyProtection="0"/>
    <xf numFmtId="0" fontId="56" fillId="46" borderId="0" applyNumberFormat="0" applyBorder="0" applyAlignment="0" applyProtection="0"/>
    <xf numFmtId="0" fontId="56" fillId="45" borderId="0" applyNumberFormat="0" applyBorder="0" applyAlignment="0" applyProtection="0"/>
    <xf numFmtId="0" fontId="74" fillId="41" borderId="0" applyNumberFormat="0" applyBorder="0" applyAlignment="0" applyProtection="0"/>
    <xf numFmtId="0" fontId="56" fillId="41" borderId="0" applyNumberFormat="0" applyBorder="0" applyAlignment="0" applyProtection="0"/>
    <xf numFmtId="0" fontId="56" fillId="44"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40"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0" fontId="55" fillId="37" borderId="0" applyNumberFormat="0" applyBorder="0" applyAlignment="0" applyProtection="0"/>
    <xf numFmtId="0" fontId="55" fillId="36" borderId="0" applyNumberFormat="0" applyBorder="0" applyAlignment="0" applyProtection="0"/>
    <xf numFmtId="0" fontId="55" fillId="35" borderId="0" applyNumberFormat="0" applyBorder="0" applyAlignment="0" applyProtection="0"/>
    <xf numFmtId="0" fontId="55" fillId="34" borderId="0" applyNumberFormat="0" applyBorder="0" applyAlignment="0" applyProtection="0"/>
    <xf numFmtId="0" fontId="90" fillId="0" borderId="22" applyNumberFormat="0" applyFill="0" applyAlignment="0" applyProtection="0"/>
    <xf numFmtId="0" fontId="91" fillId="0" borderId="23" applyNumberFormat="0" applyFill="0" applyAlignment="0" applyProtection="0"/>
    <xf numFmtId="0" fontId="92" fillId="0" borderId="24" applyNumberFormat="0" applyFill="0" applyAlignment="0" applyProtection="0"/>
    <xf numFmtId="0" fontId="92" fillId="0" borderId="0" applyNumberFormat="0" applyFill="0" applyBorder="0" applyAlignment="0" applyProtection="0"/>
    <xf numFmtId="0" fontId="93" fillId="3" borderId="0" applyNumberFormat="0" applyBorder="0" applyAlignment="0" applyProtection="0"/>
    <xf numFmtId="0" fontId="94" fillId="4" borderId="0" applyNumberFormat="0" applyBorder="0" applyAlignment="0" applyProtection="0"/>
    <xf numFmtId="0" fontId="95" fillId="5" borderId="0" applyNumberFormat="0" applyBorder="0" applyAlignment="0" applyProtection="0"/>
    <xf numFmtId="0" fontId="96" fillId="6" borderId="25" applyNumberFormat="0" applyAlignment="0" applyProtection="0"/>
    <xf numFmtId="0" fontId="97" fillId="7" borderId="26" applyNumberFormat="0" applyAlignment="0" applyProtection="0"/>
    <xf numFmtId="0" fontId="98" fillId="7" borderId="25" applyNumberFormat="0" applyAlignment="0" applyProtection="0"/>
    <xf numFmtId="0" fontId="99" fillId="0" borderId="27" applyNumberFormat="0" applyFill="0" applyAlignment="0" applyProtection="0"/>
    <xf numFmtId="0" fontId="100" fillId="8" borderId="28" applyNumberFormat="0" applyAlignment="0" applyProtection="0"/>
    <xf numFmtId="0" fontId="101" fillId="0" borderId="0" applyNumberFormat="0" applyFill="0" applyBorder="0" applyAlignment="0" applyProtection="0"/>
    <xf numFmtId="0" fontId="102" fillId="0" borderId="0" applyNumberFormat="0" applyFill="0" applyBorder="0" applyAlignment="0" applyProtection="0"/>
    <xf numFmtId="0" fontId="103" fillId="0" borderId="30" applyNumberFormat="0" applyFill="0" applyAlignment="0" applyProtection="0"/>
    <xf numFmtId="0" fontId="104"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104" fillId="13" borderId="0" applyNumberFormat="0" applyBorder="0" applyAlignment="0" applyProtection="0"/>
    <xf numFmtId="0" fontId="104"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104" fillId="17" borderId="0" applyNumberFormat="0" applyBorder="0" applyAlignment="0" applyProtection="0"/>
    <xf numFmtId="0" fontId="104"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104" fillId="21" borderId="0" applyNumberFormat="0" applyBorder="0" applyAlignment="0" applyProtection="0"/>
    <xf numFmtId="0" fontId="104"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104" fillId="25" borderId="0" applyNumberFormat="0" applyBorder="0" applyAlignment="0" applyProtection="0"/>
    <xf numFmtId="0" fontId="104" fillId="26"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104" fillId="29" borderId="0" applyNumberFormat="0" applyBorder="0" applyAlignment="0" applyProtection="0"/>
    <xf numFmtId="0" fontId="104" fillId="30" borderId="0" applyNumberFormat="0" applyBorder="0" applyAlignment="0" applyProtection="0"/>
    <xf numFmtId="0" fontId="72" fillId="31" borderId="0" applyNumberFormat="0" applyBorder="0" applyAlignment="0" applyProtection="0"/>
    <xf numFmtId="0" fontId="72" fillId="32" borderId="0" applyNumberFormat="0" applyBorder="0" applyAlignment="0" applyProtection="0"/>
    <xf numFmtId="0" fontId="104" fillId="33" borderId="0" applyNumberFormat="0" applyBorder="0" applyAlignment="0" applyProtection="0"/>
    <xf numFmtId="0" fontId="38" fillId="0" borderId="0" applyNumberFormat="0" applyFill="0" applyBorder="0" applyAlignment="0" applyProtection="0"/>
    <xf numFmtId="0" fontId="90" fillId="0" borderId="22" applyNumberFormat="0" applyFill="0" applyAlignment="0" applyProtection="0"/>
    <xf numFmtId="0" fontId="91" fillId="0" borderId="23" applyNumberFormat="0" applyFill="0" applyAlignment="0" applyProtection="0"/>
    <xf numFmtId="0" fontId="92" fillId="0" borderId="24" applyNumberFormat="0" applyFill="0" applyAlignment="0" applyProtection="0"/>
    <xf numFmtId="0" fontId="92" fillId="0" borderId="0" applyNumberFormat="0" applyFill="0" applyBorder="0" applyAlignment="0" applyProtection="0"/>
    <xf numFmtId="0" fontId="93" fillId="3" borderId="0" applyNumberFormat="0" applyBorder="0" applyAlignment="0" applyProtection="0"/>
    <xf numFmtId="0" fontId="94" fillId="4" borderId="0" applyNumberFormat="0" applyBorder="0" applyAlignment="0" applyProtection="0"/>
    <xf numFmtId="0" fontId="95" fillId="5" borderId="0" applyNumberFormat="0" applyBorder="0" applyAlignment="0" applyProtection="0"/>
    <xf numFmtId="0" fontId="96" fillId="6" borderId="25" applyNumberFormat="0" applyAlignment="0" applyProtection="0"/>
    <xf numFmtId="0" fontId="97" fillId="7" borderId="26" applyNumberFormat="0" applyAlignment="0" applyProtection="0"/>
    <xf numFmtId="0" fontId="98" fillId="7" borderId="25" applyNumberFormat="0" applyAlignment="0" applyProtection="0"/>
    <xf numFmtId="0" fontId="99" fillId="0" borderId="27" applyNumberFormat="0" applyFill="0" applyAlignment="0" applyProtection="0"/>
    <xf numFmtId="0" fontId="100" fillId="8" borderId="28" applyNumberFormat="0" applyAlignment="0" applyProtection="0"/>
    <xf numFmtId="0" fontId="101" fillId="0" borderId="0" applyNumberFormat="0" applyFill="0" applyBorder="0" applyAlignment="0" applyProtection="0"/>
    <xf numFmtId="0" fontId="72" fillId="9" borderId="29" applyNumberFormat="0" applyFont="0" applyAlignment="0" applyProtection="0"/>
    <xf numFmtId="0" fontId="102" fillId="0" borderId="0" applyNumberFormat="0" applyFill="0" applyBorder="0" applyAlignment="0" applyProtection="0"/>
    <xf numFmtId="0" fontId="103" fillId="0" borderId="30" applyNumberFormat="0" applyFill="0" applyAlignment="0" applyProtection="0"/>
    <xf numFmtId="0" fontId="104"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104" fillId="13" borderId="0" applyNumberFormat="0" applyBorder="0" applyAlignment="0" applyProtection="0"/>
    <xf numFmtId="0" fontId="104"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104" fillId="17" borderId="0" applyNumberFormat="0" applyBorder="0" applyAlignment="0" applyProtection="0"/>
    <xf numFmtId="0" fontId="104"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104" fillId="21" borderId="0" applyNumberFormat="0" applyBorder="0" applyAlignment="0" applyProtection="0"/>
    <xf numFmtId="0" fontId="104"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104" fillId="25" borderId="0" applyNumberFormat="0" applyBorder="0" applyAlignment="0" applyProtection="0"/>
    <xf numFmtId="0" fontId="104" fillId="26"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104" fillId="29" borderId="0" applyNumberFormat="0" applyBorder="0" applyAlignment="0" applyProtection="0"/>
    <xf numFmtId="0" fontId="104" fillId="30" borderId="0" applyNumberFormat="0" applyBorder="0" applyAlignment="0" applyProtection="0"/>
    <xf numFmtId="0" fontId="72" fillId="31" borderId="0" applyNumberFormat="0" applyBorder="0" applyAlignment="0" applyProtection="0"/>
    <xf numFmtId="0" fontId="72" fillId="32" borderId="0" applyNumberFormat="0" applyBorder="0" applyAlignment="0" applyProtection="0"/>
    <xf numFmtId="0" fontId="104" fillId="33" borderId="0" applyNumberFormat="0" applyBorder="0" applyAlignment="0" applyProtection="0"/>
    <xf numFmtId="0" fontId="74" fillId="40" borderId="0" applyNumberFormat="0" applyBorder="0" applyAlignment="0" applyProtection="0"/>
    <xf numFmtId="0" fontId="71" fillId="0" borderId="0" applyNumberFormat="0" applyFill="0" applyBorder="0" applyAlignment="0" applyProtection="0"/>
    <xf numFmtId="0" fontId="69" fillId="0" borderId="0" applyNumberFormat="0" applyFill="0" applyBorder="0" applyAlignment="0" applyProtection="0"/>
    <xf numFmtId="0" fontId="68" fillId="52" borderId="38" applyNumberFormat="0" applyAlignment="0" applyProtection="0"/>
    <xf numFmtId="0" fontId="64" fillId="0" borderId="0" applyNumberFormat="0" applyFill="0" applyBorder="0" applyAlignment="0" applyProtection="0"/>
    <xf numFmtId="0" fontId="63" fillId="0" borderId="34" applyNumberFormat="0" applyFill="0" applyAlignment="0" applyProtection="0"/>
    <xf numFmtId="0" fontId="61" fillId="36" borderId="0" applyNumberFormat="0" applyBorder="0" applyAlignment="0" applyProtection="0"/>
    <xf numFmtId="0" fontId="59" fillId="53" borderId="32" applyNumberFormat="0" applyAlignment="0" applyProtection="0"/>
    <xf numFmtId="0" fontId="57" fillId="35" borderId="0" applyNumberFormat="0" applyBorder="0" applyAlignment="0" applyProtection="0"/>
    <xf numFmtId="0" fontId="56" fillId="45" borderId="0" applyNumberFormat="0" applyBorder="0" applyAlignment="0" applyProtection="0"/>
    <xf numFmtId="0" fontId="56" fillId="50" borderId="0" applyNumberFormat="0" applyBorder="0" applyAlignment="0" applyProtection="0"/>
    <xf numFmtId="0" fontId="56" fillId="48" borderId="0" applyNumberFormat="0" applyBorder="0" applyAlignment="0" applyProtection="0"/>
    <xf numFmtId="0" fontId="56"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41" borderId="0" applyNumberFormat="0" applyBorder="0" applyAlignment="0" applyProtection="0"/>
    <xf numFmtId="0" fontId="55" fillId="40"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0" fontId="55" fillId="37" borderId="0" applyNumberFormat="0" applyBorder="0" applyAlignment="0" applyProtection="0"/>
    <xf numFmtId="0" fontId="55" fillId="36" borderId="0" applyNumberFormat="0" applyBorder="0" applyAlignment="0" applyProtection="0"/>
    <xf numFmtId="0" fontId="55" fillId="34" borderId="0" applyNumberFormat="0" applyBorder="0" applyAlignment="0" applyProtection="0"/>
    <xf numFmtId="0" fontId="38" fillId="0" borderId="0" applyNumberFormat="0" applyFill="0" applyBorder="0" applyAlignment="0" applyProtection="0"/>
    <xf numFmtId="0" fontId="60" fillId="0" borderId="0" applyNumberFormat="0" applyFill="0" applyBorder="0" applyAlignment="0" applyProtection="0"/>
    <xf numFmtId="0" fontId="58" fillId="52" borderId="31" applyNumberFormat="0" applyAlignment="0" applyProtection="0"/>
    <xf numFmtId="0" fontId="56" fillId="51" borderId="0" applyNumberFormat="0" applyBorder="0" applyAlignment="0" applyProtection="0"/>
    <xf numFmtId="0" fontId="62" fillId="0" borderId="33" applyNumberFormat="0" applyFill="0" applyAlignment="0" applyProtection="0"/>
    <xf numFmtId="0" fontId="56" fillId="45" borderId="0" applyNumberFormat="0" applyBorder="0" applyAlignment="0" applyProtection="0"/>
    <xf numFmtId="0" fontId="56" fillId="49" borderId="0" applyNumberFormat="0" applyBorder="0" applyAlignment="0" applyProtection="0"/>
    <xf numFmtId="0" fontId="55" fillId="40" borderId="0" applyNumberFormat="0" applyBorder="0" applyAlignment="0" applyProtection="0"/>
    <xf numFmtId="0" fontId="74" fillId="34" borderId="0" applyNumberFormat="0" applyBorder="0" applyAlignment="0" applyProtection="0"/>
    <xf numFmtId="0" fontId="56" fillId="47" borderId="0" applyNumberFormat="0" applyBorder="0" applyAlignment="0" applyProtection="0"/>
    <xf numFmtId="0" fontId="72" fillId="9" borderId="29" applyNumberFormat="0" applyFont="0" applyAlignment="0" applyProtection="0"/>
    <xf numFmtId="0" fontId="64" fillId="0" borderId="35" applyNumberFormat="0" applyFill="0" applyAlignment="0" applyProtection="0"/>
    <xf numFmtId="0" fontId="55" fillId="35" borderId="0" applyNumberFormat="0" applyBorder="0" applyAlignment="0" applyProtection="0"/>
    <xf numFmtId="0" fontId="70" fillId="0" borderId="39" applyNumberFormat="0" applyFill="0" applyAlignment="0" applyProtection="0"/>
    <xf numFmtId="0" fontId="38" fillId="0" borderId="0" applyNumberFormat="0" applyFill="0" applyBorder="0" applyAlignment="0" applyProtection="0"/>
    <xf numFmtId="0" fontId="90" fillId="0" borderId="22" applyNumberFormat="0" applyFill="0" applyAlignment="0" applyProtection="0"/>
    <xf numFmtId="0" fontId="91" fillId="0" borderId="23" applyNumberFormat="0" applyFill="0" applyAlignment="0" applyProtection="0"/>
    <xf numFmtId="0" fontId="92" fillId="0" borderId="24" applyNumberFormat="0" applyFill="0" applyAlignment="0" applyProtection="0"/>
    <xf numFmtId="0" fontId="92" fillId="0" borderId="0" applyNumberFormat="0" applyFill="0" applyBorder="0" applyAlignment="0" applyProtection="0"/>
    <xf numFmtId="0" fontId="93" fillId="3" borderId="0" applyNumberFormat="0" applyBorder="0" applyAlignment="0" applyProtection="0"/>
    <xf numFmtId="0" fontId="94" fillId="4" borderId="0" applyNumberFormat="0" applyBorder="0" applyAlignment="0" applyProtection="0"/>
    <xf numFmtId="0" fontId="95" fillId="5" borderId="0" applyNumberFormat="0" applyBorder="0" applyAlignment="0" applyProtection="0"/>
    <xf numFmtId="0" fontId="96" fillId="6" borderId="25" applyNumberFormat="0" applyAlignment="0" applyProtection="0"/>
    <xf numFmtId="0" fontId="97" fillId="7" borderId="26" applyNumberFormat="0" applyAlignment="0" applyProtection="0"/>
    <xf numFmtId="0" fontId="98" fillId="7" borderId="25" applyNumberFormat="0" applyAlignment="0" applyProtection="0"/>
    <xf numFmtId="0" fontId="99" fillId="0" borderId="27" applyNumberFormat="0" applyFill="0" applyAlignment="0" applyProtection="0"/>
    <xf numFmtId="0" fontId="100" fillId="8" borderId="28" applyNumberFormat="0" applyAlignment="0" applyProtection="0"/>
    <xf numFmtId="0" fontId="101" fillId="0" borderId="0" applyNumberFormat="0" applyFill="0" applyBorder="0" applyAlignment="0" applyProtection="0"/>
    <xf numFmtId="0" fontId="72" fillId="9" borderId="29" applyNumberFormat="0" applyFont="0" applyAlignment="0" applyProtection="0"/>
    <xf numFmtId="0" fontId="102" fillId="0" borderId="0" applyNumberFormat="0" applyFill="0" applyBorder="0" applyAlignment="0" applyProtection="0"/>
    <xf numFmtId="0" fontId="103" fillId="0" borderId="30" applyNumberFormat="0" applyFill="0" applyAlignment="0" applyProtection="0"/>
    <xf numFmtId="0" fontId="104"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104" fillId="13" borderId="0" applyNumberFormat="0" applyBorder="0" applyAlignment="0" applyProtection="0"/>
    <xf numFmtId="0" fontId="104"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104" fillId="17" borderId="0" applyNumberFormat="0" applyBorder="0" applyAlignment="0" applyProtection="0"/>
    <xf numFmtId="0" fontId="104"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104" fillId="21" borderId="0" applyNumberFormat="0" applyBorder="0" applyAlignment="0" applyProtection="0"/>
    <xf numFmtId="0" fontId="104"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104" fillId="25" borderId="0" applyNumberFormat="0" applyBorder="0" applyAlignment="0" applyProtection="0"/>
    <xf numFmtId="0" fontId="104" fillId="26"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104" fillId="29" borderId="0" applyNumberFormat="0" applyBorder="0" applyAlignment="0" applyProtection="0"/>
    <xf numFmtId="0" fontId="104" fillId="30" borderId="0" applyNumberFormat="0" applyBorder="0" applyAlignment="0" applyProtection="0"/>
    <xf numFmtId="0" fontId="72" fillId="31" borderId="0" applyNumberFormat="0" applyBorder="0" applyAlignment="0" applyProtection="0"/>
    <xf numFmtId="0" fontId="72" fillId="32" borderId="0" applyNumberFormat="0" applyBorder="0" applyAlignment="0" applyProtection="0"/>
    <xf numFmtId="0" fontId="104" fillId="33" borderId="0" applyNumberFormat="0" applyBorder="0" applyAlignment="0" applyProtection="0"/>
    <xf numFmtId="0" fontId="74" fillId="39" borderId="0" applyNumberFormat="0" applyBorder="0" applyAlignment="0" applyProtection="0"/>
    <xf numFmtId="0" fontId="38" fillId="0" borderId="0" applyNumberFormat="0" applyFill="0" applyBorder="0" applyAlignment="0" applyProtection="0"/>
    <xf numFmtId="0" fontId="72" fillId="9" borderId="29" applyNumberFormat="0" applyFont="0" applyAlignment="0" applyProtection="0"/>
    <xf numFmtId="0" fontId="38" fillId="0" borderId="0" applyNumberFormat="0" applyFill="0" applyBorder="0" applyAlignment="0" applyProtection="0"/>
    <xf numFmtId="0" fontId="90" fillId="0" borderId="22" applyNumberFormat="0" applyFill="0" applyAlignment="0" applyProtection="0"/>
    <xf numFmtId="0" fontId="91" fillId="0" borderId="23" applyNumberFormat="0" applyFill="0" applyAlignment="0" applyProtection="0"/>
    <xf numFmtId="0" fontId="92" fillId="0" borderId="24" applyNumberFormat="0" applyFill="0" applyAlignment="0" applyProtection="0"/>
    <xf numFmtId="0" fontId="92" fillId="0" borderId="0" applyNumberFormat="0" applyFill="0" applyBorder="0" applyAlignment="0" applyProtection="0"/>
    <xf numFmtId="0" fontId="93" fillId="3" borderId="0" applyNumberFormat="0" applyBorder="0" applyAlignment="0" applyProtection="0"/>
    <xf numFmtId="0" fontId="94" fillId="4" borderId="0" applyNumberFormat="0" applyBorder="0" applyAlignment="0" applyProtection="0"/>
    <xf numFmtId="0" fontId="95" fillId="5" borderId="0" applyNumberFormat="0" applyBorder="0" applyAlignment="0" applyProtection="0"/>
    <xf numFmtId="0" fontId="96" fillId="6" borderId="25" applyNumberFormat="0" applyAlignment="0" applyProtection="0"/>
    <xf numFmtId="0" fontId="97" fillId="7" borderId="26" applyNumberFormat="0" applyAlignment="0" applyProtection="0"/>
    <xf numFmtId="0" fontId="98" fillId="7" borderId="25" applyNumberFormat="0" applyAlignment="0" applyProtection="0"/>
    <xf numFmtId="0" fontId="99" fillId="0" borderId="27" applyNumberFormat="0" applyFill="0" applyAlignment="0" applyProtection="0"/>
    <xf numFmtId="0" fontId="100" fillId="8" borderId="28" applyNumberFormat="0" applyAlignment="0" applyProtection="0"/>
    <xf numFmtId="0" fontId="101" fillId="0" borderId="0" applyNumberFormat="0" applyFill="0" applyBorder="0" applyAlignment="0" applyProtection="0"/>
    <xf numFmtId="0" fontId="72" fillId="9" borderId="29" applyNumberFormat="0" applyFont="0" applyAlignment="0" applyProtection="0"/>
    <xf numFmtId="0" fontId="102" fillId="0" borderId="0" applyNumberFormat="0" applyFill="0" applyBorder="0" applyAlignment="0" applyProtection="0"/>
    <xf numFmtId="0" fontId="103" fillId="0" borderId="30" applyNumberFormat="0" applyFill="0" applyAlignment="0" applyProtection="0"/>
    <xf numFmtId="0" fontId="104"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104" fillId="13" borderId="0" applyNumberFormat="0" applyBorder="0" applyAlignment="0" applyProtection="0"/>
    <xf numFmtId="0" fontId="104"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104" fillId="17" borderId="0" applyNumberFormat="0" applyBorder="0" applyAlignment="0" applyProtection="0"/>
    <xf numFmtId="0" fontId="104"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104" fillId="21" borderId="0" applyNumberFormat="0" applyBorder="0" applyAlignment="0" applyProtection="0"/>
    <xf numFmtId="0" fontId="104"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104" fillId="25" borderId="0" applyNumberFormat="0" applyBorder="0" applyAlignment="0" applyProtection="0"/>
    <xf numFmtId="0" fontId="104" fillId="26"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104" fillId="29" borderId="0" applyNumberFormat="0" applyBorder="0" applyAlignment="0" applyProtection="0"/>
    <xf numFmtId="0" fontId="104" fillId="30" borderId="0" applyNumberFormat="0" applyBorder="0" applyAlignment="0" applyProtection="0"/>
    <xf numFmtId="0" fontId="72" fillId="31" borderId="0" applyNumberFormat="0" applyBorder="0" applyAlignment="0" applyProtection="0"/>
    <xf numFmtId="0" fontId="72" fillId="32" borderId="0" applyNumberFormat="0" applyBorder="0" applyAlignment="0" applyProtection="0"/>
    <xf numFmtId="0" fontId="104" fillId="33" borderId="0" applyNumberFormat="0" applyBorder="0" applyAlignment="0" applyProtection="0"/>
    <xf numFmtId="0" fontId="74" fillId="38" borderId="0" applyNumberFormat="0" applyBorder="0" applyAlignment="0" applyProtection="0"/>
    <xf numFmtId="0" fontId="11" fillId="0" borderId="0"/>
    <xf numFmtId="0" fontId="74" fillId="34" borderId="0" applyNumberFormat="0" applyBorder="0" applyAlignment="0" applyProtection="0"/>
    <xf numFmtId="0" fontId="74" fillId="35" borderId="0" applyNumberFormat="0" applyBorder="0" applyAlignment="0" applyProtection="0"/>
    <xf numFmtId="0" fontId="74" fillId="36" borderId="0" applyNumberFormat="0" applyBorder="0" applyAlignment="0" applyProtection="0"/>
    <xf numFmtId="0" fontId="74" fillId="37" borderId="0" applyNumberFormat="0" applyBorder="0" applyAlignment="0" applyProtection="0"/>
    <xf numFmtId="0" fontId="74" fillId="38" borderId="0" applyNumberFormat="0" applyBorder="0" applyAlignment="0" applyProtection="0"/>
    <xf numFmtId="0" fontId="74" fillId="39" borderId="0" applyNumberFormat="0" applyBorder="0" applyAlignment="0" applyProtection="0"/>
    <xf numFmtId="0" fontId="74" fillId="40" borderId="0" applyNumberFormat="0" applyBorder="0" applyAlignment="0" applyProtection="0"/>
    <xf numFmtId="0" fontId="74" fillId="41" borderId="0" applyNumberFormat="0" applyBorder="0" applyAlignment="0" applyProtection="0"/>
    <xf numFmtId="0" fontId="74" fillId="42" borderId="0" applyNumberFormat="0" applyBorder="0" applyAlignment="0" applyProtection="0"/>
    <xf numFmtId="0" fontId="74" fillId="37" borderId="0" applyNumberFormat="0" applyBorder="0" applyAlignment="0" applyProtection="0"/>
    <xf numFmtId="0" fontId="74" fillId="40" borderId="0" applyNumberFormat="0" applyBorder="0" applyAlignment="0" applyProtection="0"/>
    <xf numFmtId="0" fontId="74" fillId="43" borderId="0" applyNumberFormat="0" applyBorder="0" applyAlignment="0" applyProtection="0"/>
    <xf numFmtId="0" fontId="75" fillId="44" borderId="0" applyNumberFormat="0" applyBorder="0" applyAlignment="0" applyProtection="0"/>
    <xf numFmtId="0" fontId="75" fillId="41" borderId="0" applyNumberFormat="0" applyBorder="0" applyAlignment="0" applyProtection="0"/>
    <xf numFmtId="0" fontId="75" fillId="42" borderId="0" applyNumberFormat="0" applyBorder="0" applyAlignment="0" applyProtection="0"/>
    <xf numFmtId="0" fontId="75" fillId="45" borderId="0" applyNumberFormat="0" applyBorder="0" applyAlignment="0" applyProtection="0"/>
    <xf numFmtId="0" fontId="75" fillId="46" borderId="0" applyNumberFormat="0" applyBorder="0" applyAlignment="0" applyProtection="0"/>
    <xf numFmtId="0" fontId="75" fillId="47" borderId="0" applyNumberFormat="0" applyBorder="0" applyAlignment="0" applyProtection="0"/>
    <xf numFmtId="0" fontId="75" fillId="48" borderId="0" applyNumberFormat="0" applyBorder="0" applyAlignment="0" applyProtection="0"/>
    <xf numFmtId="0" fontId="75" fillId="49" borderId="0" applyNumberFormat="0" applyBorder="0" applyAlignment="0" applyProtection="0"/>
    <xf numFmtId="0" fontId="75" fillId="50" borderId="0" applyNumberFormat="0" applyBorder="0" applyAlignment="0" applyProtection="0"/>
    <xf numFmtId="0" fontId="75" fillId="45" borderId="0" applyNumberFormat="0" applyBorder="0" applyAlignment="0" applyProtection="0"/>
    <xf numFmtId="0" fontId="75" fillId="46" borderId="0" applyNumberFormat="0" applyBorder="0" applyAlignment="0" applyProtection="0"/>
    <xf numFmtId="0" fontId="75" fillId="51" borderId="0" applyNumberFormat="0" applyBorder="0" applyAlignment="0" applyProtection="0"/>
    <xf numFmtId="0" fontId="76" fillId="35" borderId="0" applyNumberFormat="0" applyBorder="0" applyAlignment="0" applyProtection="0"/>
    <xf numFmtId="0" fontId="77" fillId="52" borderId="31" applyNumberFormat="0" applyAlignment="0" applyProtection="0"/>
    <xf numFmtId="0" fontId="78" fillId="53" borderId="32" applyNumberFormat="0" applyAlignment="0" applyProtection="0"/>
    <xf numFmtId="0" fontId="79" fillId="0" borderId="0" applyNumberFormat="0" applyFill="0" applyBorder="0" applyAlignment="0" applyProtection="0"/>
    <xf numFmtId="0" fontId="80" fillId="36" borderId="0" applyNumberFormat="0" applyBorder="0" applyAlignment="0" applyProtection="0"/>
    <xf numFmtId="0" fontId="81" fillId="0" borderId="33" applyNumberFormat="0" applyFill="0" applyAlignment="0" applyProtection="0"/>
    <xf numFmtId="0" fontId="82" fillId="0" borderId="34" applyNumberFormat="0" applyFill="0" applyAlignment="0" applyProtection="0"/>
    <xf numFmtId="0" fontId="83" fillId="0" borderId="35" applyNumberFormat="0" applyFill="0" applyAlignment="0" applyProtection="0"/>
    <xf numFmtId="0" fontId="83" fillId="0" borderId="0" applyNumberFormat="0" applyFill="0" applyBorder="0" applyAlignment="0" applyProtection="0"/>
    <xf numFmtId="0" fontId="84" fillId="39" borderId="31" applyNumberFormat="0" applyAlignment="0" applyProtection="0"/>
    <xf numFmtId="0" fontId="85" fillId="0" borderId="36" applyNumberFormat="0" applyFill="0" applyAlignment="0" applyProtection="0"/>
    <xf numFmtId="0" fontId="86" fillId="54" borderId="0" applyNumberFormat="0" applyBorder="0" applyAlignment="0" applyProtection="0"/>
    <xf numFmtId="0" fontId="11" fillId="55" borderId="37" applyNumberFormat="0" applyFont="0" applyAlignment="0" applyProtection="0"/>
    <xf numFmtId="0" fontId="87" fillId="52" borderId="38" applyNumberFormat="0" applyAlignment="0" applyProtection="0"/>
    <xf numFmtId="0" fontId="69" fillId="0" borderId="0" applyNumberFormat="0" applyFill="0" applyBorder="0" applyAlignment="0" applyProtection="0"/>
    <xf numFmtId="0" fontId="88" fillId="0" borderId="39" applyNumberFormat="0" applyFill="0" applyAlignment="0" applyProtection="0"/>
    <xf numFmtId="0" fontId="89" fillId="0" borderId="0" applyNumberFormat="0" applyFill="0" applyBorder="0" applyAlignment="0" applyProtection="0"/>
    <xf numFmtId="0" fontId="74" fillId="37" borderId="0" applyNumberFormat="0" applyBorder="0" applyAlignment="0" applyProtection="0"/>
    <xf numFmtId="0" fontId="74" fillId="40" borderId="0" applyNumberFormat="0" applyBorder="0" applyAlignment="0" applyProtection="0"/>
    <xf numFmtId="0" fontId="74" fillId="43" borderId="0" applyNumberFormat="0" applyBorder="0" applyAlignment="0" applyProtection="0"/>
    <xf numFmtId="0" fontId="75" fillId="44" borderId="0" applyNumberFormat="0" applyBorder="0" applyAlignment="0" applyProtection="0"/>
    <xf numFmtId="0" fontId="75" fillId="41" borderId="0" applyNumberFormat="0" applyBorder="0" applyAlignment="0" applyProtection="0"/>
    <xf numFmtId="0" fontId="75" fillId="42" borderId="0" applyNumberFormat="0" applyBorder="0" applyAlignment="0" applyProtection="0"/>
    <xf numFmtId="0" fontId="75" fillId="45" borderId="0" applyNumberFormat="0" applyBorder="0" applyAlignment="0" applyProtection="0"/>
    <xf numFmtId="0" fontId="75" fillId="46" borderId="0" applyNumberFormat="0" applyBorder="0" applyAlignment="0" applyProtection="0"/>
    <xf numFmtId="0" fontId="75" fillId="47" borderId="0" applyNumberFormat="0" applyBorder="0" applyAlignment="0" applyProtection="0"/>
    <xf numFmtId="0" fontId="75" fillId="48" borderId="0" applyNumberFormat="0" applyBorder="0" applyAlignment="0" applyProtection="0"/>
    <xf numFmtId="0" fontId="75" fillId="49" borderId="0" applyNumberFormat="0" applyBorder="0" applyAlignment="0" applyProtection="0"/>
    <xf numFmtId="0" fontId="75" fillId="50" borderId="0" applyNumberFormat="0" applyBorder="0" applyAlignment="0" applyProtection="0"/>
    <xf numFmtId="0" fontId="75" fillId="45" borderId="0" applyNumberFormat="0" applyBorder="0" applyAlignment="0" applyProtection="0"/>
    <xf numFmtId="0" fontId="75" fillId="46" borderId="0" applyNumberFormat="0" applyBorder="0" applyAlignment="0" applyProtection="0"/>
    <xf numFmtId="0" fontId="75" fillId="51" borderId="0" applyNumberFormat="0" applyBorder="0" applyAlignment="0" applyProtection="0"/>
    <xf numFmtId="0" fontId="76" fillId="35" borderId="0" applyNumberFormat="0" applyBorder="0" applyAlignment="0" applyProtection="0"/>
    <xf numFmtId="0" fontId="77" fillId="52" borderId="31" applyNumberFormat="0" applyAlignment="0" applyProtection="0"/>
    <xf numFmtId="0" fontId="78" fillId="53" borderId="32" applyNumberFormat="0" applyAlignment="0" applyProtection="0"/>
    <xf numFmtId="0" fontId="79" fillId="0" borderId="0" applyNumberFormat="0" applyFill="0" applyBorder="0" applyAlignment="0" applyProtection="0"/>
    <xf numFmtId="0" fontId="80" fillId="36" borderId="0" applyNumberFormat="0" applyBorder="0" applyAlignment="0" applyProtection="0"/>
    <xf numFmtId="0" fontId="81" fillId="0" borderId="33" applyNumberFormat="0" applyFill="0" applyAlignment="0" applyProtection="0"/>
    <xf numFmtId="0" fontId="82" fillId="0" borderId="34" applyNumberFormat="0" applyFill="0" applyAlignment="0" applyProtection="0"/>
    <xf numFmtId="0" fontId="83" fillId="0" borderId="35" applyNumberFormat="0" applyFill="0" applyAlignment="0" applyProtection="0"/>
    <xf numFmtId="0" fontId="83" fillId="0" borderId="0" applyNumberFormat="0" applyFill="0" applyBorder="0" applyAlignment="0" applyProtection="0"/>
    <xf numFmtId="0" fontId="84" fillId="39" borderId="31" applyNumberFormat="0" applyAlignment="0" applyProtection="0"/>
    <xf numFmtId="0" fontId="85" fillId="0" borderId="36" applyNumberFormat="0" applyFill="0" applyAlignment="0" applyProtection="0"/>
    <xf numFmtId="0" fontId="86" fillId="54" borderId="0" applyNumberFormat="0" applyBorder="0" applyAlignment="0" applyProtection="0"/>
    <xf numFmtId="0" fontId="11" fillId="55" borderId="37" applyNumberFormat="0" applyFont="0" applyAlignment="0" applyProtection="0"/>
    <xf numFmtId="0" fontId="87" fillId="52" borderId="38" applyNumberFormat="0" applyAlignment="0" applyProtection="0"/>
    <xf numFmtId="0" fontId="74" fillId="34" borderId="0" applyNumberFormat="0" applyBorder="0" applyAlignment="0" applyProtection="0"/>
    <xf numFmtId="0" fontId="74" fillId="35" borderId="0" applyNumberFormat="0" applyBorder="0" applyAlignment="0" applyProtection="0"/>
    <xf numFmtId="0" fontId="74" fillId="36" borderId="0" applyNumberFormat="0" applyBorder="0" applyAlignment="0" applyProtection="0"/>
    <xf numFmtId="0" fontId="74" fillId="41" borderId="0" applyNumberFormat="0" applyBorder="0" applyAlignment="0" applyProtection="0"/>
    <xf numFmtId="0" fontId="69" fillId="0" borderId="0" applyNumberFormat="0" applyFill="0" applyBorder="0" applyAlignment="0" applyProtection="0"/>
    <xf numFmtId="0" fontId="88" fillId="0" borderId="39" applyNumberFormat="0" applyFill="0" applyAlignment="0" applyProtection="0"/>
    <xf numFmtId="0" fontId="89" fillId="0" borderId="0" applyNumberFormat="0" applyFill="0" applyBorder="0" applyAlignment="0" applyProtection="0"/>
    <xf numFmtId="0" fontId="55" fillId="34" borderId="0" applyNumberFormat="0" applyBorder="0" applyAlignment="0" applyProtection="0"/>
    <xf numFmtId="0" fontId="55" fillId="35"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38" borderId="0" applyNumberFormat="0" applyBorder="0" applyAlignment="0" applyProtection="0"/>
    <xf numFmtId="0" fontId="55" fillId="39" borderId="0" applyNumberFormat="0" applyBorder="0" applyAlignment="0" applyProtection="0"/>
    <xf numFmtId="0" fontId="55" fillId="40" borderId="0" applyNumberFormat="0" applyBorder="0" applyAlignment="0" applyProtection="0"/>
    <xf numFmtId="0" fontId="55" fillId="41" borderId="0" applyNumberFormat="0" applyBorder="0" applyAlignment="0" applyProtection="0"/>
    <xf numFmtId="0" fontId="55" fillId="42" borderId="0" applyNumberFormat="0" applyBorder="0" applyAlignment="0" applyProtection="0"/>
    <xf numFmtId="0" fontId="55" fillId="37" borderId="0" applyNumberFormat="0" applyBorder="0" applyAlignment="0" applyProtection="0"/>
    <xf numFmtId="0" fontId="55" fillId="40" borderId="0" applyNumberFormat="0" applyBorder="0" applyAlignment="0" applyProtection="0"/>
    <xf numFmtId="0" fontId="55" fillId="43" borderId="0" applyNumberFormat="0" applyBorder="0" applyAlignment="0" applyProtection="0"/>
    <xf numFmtId="0" fontId="56" fillId="44" borderId="0" applyNumberFormat="0" applyBorder="0" applyAlignment="0" applyProtection="0"/>
    <xf numFmtId="0" fontId="56" fillId="41" borderId="0" applyNumberFormat="0" applyBorder="0" applyAlignment="0" applyProtection="0"/>
    <xf numFmtId="0" fontId="56" fillId="42" borderId="0" applyNumberFormat="0" applyBorder="0" applyAlignment="0" applyProtection="0"/>
    <xf numFmtId="0" fontId="56" fillId="45" borderId="0" applyNumberFormat="0" applyBorder="0" applyAlignment="0" applyProtection="0"/>
    <xf numFmtId="0" fontId="56" fillId="46" borderId="0" applyNumberFormat="0" applyBorder="0" applyAlignment="0" applyProtection="0"/>
    <xf numFmtId="0" fontId="56" fillId="47" borderId="0" applyNumberFormat="0" applyBorder="0" applyAlignment="0" applyProtection="0"/>
    <xf numFmtId="0" fontId="56" fillId="48" borderId="0" applyNumberFormat="0" applyBorder="0" applyAlignment="0" applyProtection="0"/>
    <xf numFmtId="0" fontId="56" fillId="49" borderId="0" applyNumberFormat="0" applyBorder="0" applyAlignment="0" applyProtection="0"/>
    <xf numFmtId="0" fontId="56" fillId="50" borderId="0" applyNumberFormat="0" applyBorder="0" applyAlignment="0" applyProtection="0"/>
    <xf numFmtId="0" fontId="56" fillId="45" borderId="0" applyNumberFormat="0" applyBorder="0" applyAlignment="0" applyProtection="0"/>
    <xf numFmtId="0" fontId="56" fillId="46" borderId="0" applyNumberFormat="0" applyBorder="0" applyAlignment="0" applyProtection="0"/>
    <xf numFmtId="0" fontId="56" fillId="51" borderId="0" applyNumberFormat="0" applyBorder="0" applyAlignment="0" applyProtection="0"/>
    <xf numFmtId="0" fontId="57" fillId="35" borderId="0" applyNumberFormat="0" applyBorder="0" applyAlignment="0" applyProtection="0"/>
    <xf numFmtId="0" fontId="58" fillId="52" borderId="31" applyNumberFormat="0" applyAlignment="0" applyProtection="0"/>
    <xf numFmtId="0" fontId="59" fillId="53" borderId="32" applyNumberFormat="0" applyAlignment="0" applyProtection="0"/>
    <xf numFmtId="0" fontId="56" fillId="46" borderId="0" applyNumberFormat="0" applyBorder="0" applyAlignment="0" applyProtection="0"/>
    <xf numFmtId="0" fontId="56" fillId="45" borderId="0" applyNumberFormat="0" applyBorder="0" applyAlignment="0" applyProtection="0"/>
    <xf numFmtId="0" fontId="60" fillId="0" borderId="0" applyNumberFormat="0" applyFill="0" applyBorder="0" applyAlignment="0" applyProtection="0"/>
    <xf numFmtId="0" fontId="61" fillId="36" borderId="0" applyNumberFormat="0" applyBorder="0" applyAlignment="0" applyProtection="0"/>
    <xf numFmtId="0" fontId="62" fillId="0" borderId="33" applyNumberFormat="0" applyFill="0" applyAlignment="0" applyProtection="0"/>
    <xf numFmtId="0" fontId="63" fillId="0" borderId="34" applyNumberFormat="0" applyFill="0" applyAlignment="0" applyProtection="0"/>
    <xf numFmtId="0" fontId="64" fillId="0" borderId="35" applyNumberFormat="0" applyFill="0" applyAlignment="0" applyProtection="0"/>
    <xf numFmtId="0" fontId="64" fillId="0" borderId="0" applyNumberFormat="0" applyFill="0" applyBorder="0" applyAlignment="0" applyProtection="0"/>
    <xf numFmtId="0" fontId="56" fillId="42" borderId="0" applyNumberFormat="0" applyBorder="0" applyAlignment="0" applyProtection="0"/>
    <xf numFmtId="0" fontId="65" fillId="39" borderId="31" applyNumberFormat="0" applyAlignment="0" applyProtection="0"/>
    <xf numFmtId="0" fontId="66" fillId="0" borderId="36" applyNumberFormat="0" applyFill="0" applyAlignment="0" applyProtection="0"/>
    <xf numFmtId="0" fontId="67" fillId="54" borderId="0" applyNumberFormat="0" applyBorder="0" applyAlignment="0" applyProtection="0"/>
    <xf numFmtId="0" fontId="55" fillId="40" borderId="0" applyNumberFormat="0" applyBorder="0" applyAlignment="0" applyProtection="0"/>
    <xf numFmtId="0" fontId="55" fillId="37" borderId="0" applyNumberFormat="0" applyBorder="0" applyAlignment="0" applyProtection="0"/>
    <xf numFmtId="0" fontId="11" fillId="55" borderId="37" applyNumberFormat="0" applyFont="0" applyAlignment="0" applyProtection="0"/>
    <xf numFmtId="0" fontId="68" fillId="52" borderId="38" applyNumberFormat="0" applyAlignment="0" applyProtection="0"/>
    <xf numFmtId="0" fontId="55" fillId="41" borderId="0" applyNumberFormat="0" applyBorder="0" applyAlignment="0" applyProtection="0"/>
    <xf numFmtId="0" fontId="69" fillId="0" borderId="0" applyNumberFormat="0" applyFill="0" applyBorder="0" applyAlignment="0" applyProtection="0"/>
    <xf numFmtId="0" fontId="70" fillId="0" borderId="39" applyNumberFormat="0" applyFill="0" applyAlignment="0" applyProtection="0"/>
    <xf numFmtId="0" fontId="71" fillId="0" borderId="0" applyNumberForma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67" fillId="54" borderId="0" applyNumberFormat="0" applyBorder="0" applyAlignment="0" applyProtection="0"/>
    <xf numFmtId="0" fontId="66" fillId="0" borderId="36" applyNumberFormat="0" applyFill="0" applyAlignment="0" applyProtection="0"/>
    <xf numFmtId="0" fontId="71" fillId="0" borderId="0" applyNumberFormat="0" applyFill="0" applyBorder="0" applyAlignment="0" applyProtection="0"/>
    <xf numFmtId="0" fontId="70" fillId="0" borderId="39" applyNumberFormat="0" applyFill="0" applyAlignment="0" applyProtection="0"/>
    <xf numFmtId="0" fontId="69" fillId="0" borderId="0" applyNumberFormat="0" applyFill="0" applyBorder="0" applyAlignment="0" applyProtection="0"/>
    <xf numFmtId="0" fontId="55" fillId="37" borderId="0" applyNumberFormat="0" applyBorder="0" applyAlignment="0" applyProtection="0"/>
    <xf numFmtId="0" fontId="68" fillId="52" borderId="38" applyNumberFormat="0" applyAlignment="0" applyProtection="0"/>
    <xf numFmtId="0" fontId="11" fillId="55" borderId="37" applyNumberFormat="0" applyFont="0" applyAlignment="0" applyProtection="0"/>
    <xf numFmtId="0" fontId="56" fillId="44" borderId="0" applyNumberFormat="0" applyBorder="0" applyAlignment="0" applyProtection="0"/>
    <xf numFmtId="0" fontId="56" fillId="41" borderId="0" applyNumberFormat="0" applyBorder="0" applyAlignment="0" applyProtection="0"/>
    <xf numFmtId="0" fontId="56" fillId="42" borderId="0" applyNumberFormat="0" applyBorder="0" applyAlignment="0" applyProtection="0"/>
    <xf numFmtId="0" fontId="67" fillId="54" borderId="0" applyNumberFormat="0" applyBorder="0" applyAlignment="0" applyProtection="0"/>
    <xf numFmtId="0" fontId="66" fillId="0" borderId="36" applyNumberFormat="0" applyFill="0" applyAlignment="0" applyProtection="0"/>
    <xf numFmtId="0" fontId="65" fillId="39" borderId="31" applyNumberFormat="0" applyAlignment="0" applyProtection="0"/>
    <xf numFmtId="0" fontId="56" fillId="46" borderId="0" applyNumberFormat="0" applyBorder="0" applyAlignment="0" applyProtection="0"/>
    <xf numFmtId="0" fontId="64" fillId="0" borderId="0" applyNumberFormat="0" applyFill="0" applyBorder="0" applyAlignment="0" applyProtection="0"/>
    <xf numFmtId="0" fontId="64" fillId="0" borderId="35" applyNumberFormat="0" applyFill="0" applyAlignment="0" applyProtection="0"/>
    <xf numFmtId="0" fontId="63" fillId="0" borderId="34" applyNumberFormat="0" applyFill="0" applyAlignment="0" applyProtection="0"/>
    <xf numFmtId="0" fontId="62" fillId="0" borderId="33" applyNumberFormat="0" applyFill="0" applyAlignment="0" applyProtection="0"/>
    <xf numFmtId="0" fontId="61" fillId="36" borderId="0" applyNumberFormat="0" applyBorder="0" applyAlignment="0" applyProtection="0"/>
    <xf numFmtId="0" fontId="60" fillId="0" borderId="0" applyNumberFormat="0" applyFill="0" applyBorder="0" applyAlignment="0" applyProtection="0"/>
    <xf numFmtId="0" fontId="65" fillId="39" borderId="31" applyNumberFormat="0" applyAlignment="0" applyProtection="0"/>
    <xf numFmtId="0" fontId="59" fillId="53" borderId="32" applyNumberFormat="0" applyAlignment="0" applyProtection="0"/>
    <xf numFmtId="0" fontId="58" fillId="52" borderId="31" applyNumberFormat="0" applyAlignment="0" applyProtection="0"/>
    <xf numFmtId="0" fontId="57" fillId="35" borderId="0" applyNumberFormat="0" applyBorder="0" applyAlignment="0" applyProtection="0"/>
    <xf numFmtId="0" fontId="56" fillId="51" borderId="0" applyNumberFormat="0" applyBorder="0" applyAlignment="0" applyProtection="0"/>
    <xf numFmtId="44" fontId="11" fillId="0" borderId="0" applyFont="0" applyFill="0" applyBorder="0" applyAlignment="0" applyProtection="0"/>
    <xf numFmtId="0" fontId="56" fillId="50" borderId="0" applyNumberFormat="0" applyBorder="0" applyAlignment="0" applyProtection="0"/>
    <xf numFmtId="0" fontId="56" fillId="49" borderId="0" applyNumberFormat="0" applyBorder="0" applyAlignment="0" applyProtection="0"/>
    <xf numFmtId="0" fontId="56" fillId="48" borderId="0" applyNumberFormat="0" applyBorder="0" applyAlignment="0" applyProtection="0"/>
    <xf numFmtId="0" fontId="56" fillId="47" borderId="0" applyNumberFormat="0" applyBorder="0" applyAlignment="0" applyProtection="0"/>
    <xf numFmtId="0" fontId="56" fillId="46" borderId="0" applyNumberFormat="0" applyBorder="0" applyAlignment="0" applyProtection="0"/>
    <xf numFmtId="0" fontId="56" fillId="45" borderId="0" applyNumberFormat="0" applyBorder="0" applyAlignment="0" applyProtection="0"/>
    <xf numFmtId="0" fontId="74" fillId="41" borderId="0" applyNumberFormat="0" applyBorder="0" applyAlignment="0" applyProtection="0"/>
    <xf numFmtId="0" fontId="56" fillId="41" borderId="0" applyNumberFormat="0" applyBorder="0" applyAlignment="0" applyProtection="0"/>
    <xf numFmtId="0" fontId="56" fillId="44"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40"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0" fontId="55" fillId="37" borderId="0" applyNumberFormat="0" applyBorder="0" applyAlignment="0" applyProtection="0"/>
    <xf numFmtId="0" fontId="55" fillId="36" borderId="0" applyNumberFormat="0" applyBorder="0" applyAlignment="0" applyProtection="0"/>
    <xf numFmtId="0" fontId="55" fillId="35" borderId="0" applyNumberFormat="0" applyBorder="0" applyAlignment="0" applyProtection="0"/>
    <xf numFmtId="0" fontId="55" fillId="34" borderId="0" applyNumberFormat="0" applyBorder="0" applyAlignment="0" applyProtection="0"/>
    <xf numFmtId="0" fontId="90" fillId="0" borderId="22" applyNumberFormat="0" applyFill="0" applyAlignment="0" applyProtection="0"/>
    <xf numFmtId="0" fontId="91" fillId="0" borderId="23" applyNumberFormat="0" applyFill="0" applyAlignment="0" applyProtection="0"/>
    <xf numFmtId="0" fontId="92" fillId="0" borderId="24" applyNumberFormat="0" applyFill="0" applyAlignment="0" applyProtection="0"/>
    <xf numFmtId="0" fontId="92" fillId="0" borderId="0" applyNumberFormat="0" applyFill="0" applyBorder="0" applyAlignment="0" applyProtection="0"/>
    <xf numFmtId="0" fontId="93" fillId="3" borderId="0" applyNumberFormat="0" applyBorder="0" applyAlignment="0" applyProtection="0"/>
    <xf numFmtId="0" fontId="94" fillId="4" borderId="0" applyNumberFormat="0" applyBorder="0" applyAlignment="0" applyProtection="0"/>
    <xf numFmtId="0" fontId="95" fillId="5" borderId="0" applyNumberFormat="0" applyBorder="0" applyAlignment="0" applyProtection="0"/>
    <xf numFmtId="0" fontId="96" fillId="6" borderId="25" applyNumberFormat="0" applyAlignment="0" applyProtection="0"/>
    <xf numFmtId="0" fontId="97" fillId="7" borderId="26" applyNumberFormat="0" applyAlignment="0" applyProtection="0"/>
    <xf numFmtId="0" fontId="98" fillId="7" borderId="25" applyNumberFormat="0" applyAlignment="0" applyProtection="0"/>
    <xf numFmtId="0" fontId="99" fillId="0" borderId="27" applyNumberFormat="0" applyFill="0" applyAlignment="0" applyProtection="0"/>
    <xf numFmtId="0" fontId="100" fillId="8" borderId="28" applyNumberFormat="0" applyAlignment="0" applyProtection="0"/>
    <xf numFmtId="0" fontId="101" fillId="0" borderId="0" applyNumberFormat="0" applyFill="0" applyBorder="0" applyAlignment="0" applyProtection="0"/>
    <xf numFmtId="0" fontId="102" fillId="0" borderId="0" applyNumberFormat="0" applyFill="0" applyBorder="0" applyAlignment="0" applyProtection="0"/>
    <xf numFmtId="0" fontId="103" fillId="0" borderId="30" applyNumberFormat="0" applyFill="0" applyAlignment="0" applyProtection="0"/>
    <xf numFmtId="0" fontId="104"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104" fillId="13" borderId="0" applyNumberFormat="0" applyBorder="0" applyAlignment="0" applyProtection="0"/>
    <xf numFmtId="0" fontId="104"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104" fillId="17" borderId="0" applyNumberFormat="0" applyBorder="0" applyAlignment="0" applyProtection="0"/>
    <xf numFmtId="0" fontId="104"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104" fillId="21" borderId="0" applyNumberFormat="0" applyBorder="0" applyAlignment="0" applyProtection="0"/>
    <xf numFmtId="0" fontId="104"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104" fillId="25" borderId="0" applyNumberFormat="0" applyBorder="0" applyAlignment="0" applyProtection="0"/>
    <xf numFmtId="0" fontId="104" fillId="26"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104" fillId="29" borderId="0" applyNumberFormat="0" applyBorder="0" applyAlignment="0" applyProtection="0"/>
    <xf numFmtId="0" fontId="104" fillId="30" borderId="0" applyNumberFormat="0" applyBorder="0" applyAlignment="0" applyProtection="0"/>
    <xf numFmtId="0" fontId="72" fillId="31" borderId="0" applyNumberFormat="0" applyBorder="0" applyAlignment="0" applyProtection="0"/>
    <xf numFmtId="0" fontId="72" fillId="32" borderId="0" applyNumberFormat="0" applyBorder="0" applyAlignment="0" applyProtection="0"/>
    <xf numFmtId="0" fontId="104" fillId="33" borderId="0" applyNumberFormat="0" applyBorder="0" applyAlignment="0" applyProtection="0"/>
    <xf numFmtId="0" fontId="38" fillId="0" borderId="0" applyNumberFormat="0" applyFill="0" applyBorder="0" applyAlignment="0" applyProtection="0"/>
    <xf numFmtId="0" fontId="90" fillId="0" borderId="22" applyNumberFormat="0" applyFill="0" applyAlignment="0" applyProtection="0"/>
    <xf numFmtId="0" fontId="91" fillId="0" borderId="23" applyNumberFormat="0" applyFill="0" applyAlignment="0" applyProtection="0"/>
    <xf numFmtId="0" fontId="92" fillId="0" borderId="24" applyNumberFormat="0" applyFill="0" applyAlignment="0" applyProtection="0"/>
    <xf numFmtId="0" fontId="92" fillId="0" borderId="0" applyNumberFormat="0" applyFill="0" applyBorder="0" applyAlignment="0" applyProtection="0"/>
    <xf numFmtId="0" fontId="93" fillId="3" borderId="0" applyNumberFormat="0" applyBorder="0" applyAlignment="0" applyProtection="0"/>
    <xf numFmtId="0" fontId="94" fillId="4" borderId="0" applyNumberFormat="0" applyBorder="0" applyAlignment="0" applyProtection="0"/>
    <xf numFmtId="0" fontId="95" fillId="5" borderId="0" applyNumberFormat="0" applyBorder="0" applyAlignment="0" applyProtection="0"/>
    <xf numFmtId="0" fontId="96" fillId="6" borderId="25" applyNumberFormat="0" applyAlignment="0" applyProtection="0"/>
    <xf numFmtId="0" fontId="97" fillId="7" borderId="26" applyNumberFormat="0" applyAlignment="0" applyProtection="0"/>
    <xf numFmtId="0" fontId="98" fillId="7" borderId="25" applyNumberFormat="0" applyAlignment="0" applyProtection="0"/>
    <xf numFmtId="0" fontId="99" fillId="0" borderId="27" applyNumberFormat="0" applyFill="0" applyAlignment="0" applyProtection="0"/>
    <xf numFmtId="0" fontId="100" fillId="8" borderId="28" applyNumberFormat="0" applyAlignment="0" applyProtection="0"/>
    <xf numFmtId="0" fontId="101" fillId="0" borderId="0" applyNumberFormat="0" applyFill="0" applyBorder="0" applyAlignment="0" applyProtection="0"/>
    <xf numFmtId="0" fontId="72" fillId="9" borderId="29" applyNumberFormat="0" applyFont="0" applyAlignment="0" applyProtection="0"/>
    <xf numFmtId="0" fontId="102" fillId="0" borderId="0" applyNumberFormat="0" applyFill="0" applyBorder="0" applyAlignment="0" applyProtection="0"/>
    <xf numFmtId="0" fontId="103" fillId="0" borderId="30" applyNumberFormat="0" applyFill="0" applyAlignment="0" applyProtection="0"/>
    <xf numFmtId="0" fontId="104"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104" fillId="13" borderId="0" applyNumberFormat="0" applyBorder="0" applyAlignment="0" applyProtection="0"/>
    <xf numFmtId="0" fontId="104"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104" fillId="17" borderId="0" applyNumberFormat="0" applyBorder="0" applyAlignment="0" applyProtection="0"/>
    <xf numFmtId="0" fontId="104"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104" fillId="21" borderId="0" applyNumberFormat="0" applyBorder="0" applyAlignment="0" applyProtection="0"/>
    <xf numFmtId="0" fontId="104"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104" fillId="25" borderId="0" applyNumberFormat="0" applyBorder="0" applyAlignment="0" applyProtection="0"/>
    <xf numFmtId="0" fontId="104" fillId="26"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104" fillId="29" borderId="0" applyNumberFormat="0" applyBorder="0" applyAlignment="0" applyProtection="0"/>
    <xf numFmtId="0" fontId="104" fillId="30" borderId="0" applyNumberFormat="0" applyBorder="0" applyAlignment="0" applyProtection="0"/>
    <xf numFmtId="0" fontId="72" fillId="31" borderId="0" applyNumberFormat="0" applyBorder="0" applyAlignment="0" applyProtection="0"/>
    <xf numFmtId="0" fontId="72" fillId="32" borderId="0" applyNumberFormat="0" applyBorder="0" applyAlignment="0" applyProtection="0"/>
    <xf numFmtId="0" fontId="104" fillId="33" borderId="0" applyNumberFormat="0" applyBorder="0" applyAlignment="0" applyProtection="0"/>
    <xf numFmtId="0" fontId="74" fillId="40" borderId="0" applyNumberFormat="0" applyBorder="0" applyAlignment="0" applyProtection="0"/>
    <xf numFmtId="0" fontId="71" fillId="0" borderId="0" applyNumberFormat="0" applyFill="0" applyBorder="0" applyAlignment="0" applyProtection="0"/>
    <xf numFmtId="0" fontId="69" fillId="0" borderId="0" applyNumberFormat="0" applyFill="0" applyBorder="0" applyAlignment="0" applyProtection="0"/>
    <xf numFmtId="0" fontId="68" fillId="52" borderId="38" applyNumberFormat="0" applyAlignment="0" applyProtection="0"/>
    <xf numFmtId="0" fontId="64" fillId="0" borderId="0" applyNumberFormat="0" applyFill="0" applyBorder="0" applyAlignment="0" applyProtection="0"/>
    <xf numFmtId="0" fontId="63" fillId="0" borderId="34" applyNumberFormat="0" applyFill="0" applyAlignment="0" applyProtection="0"/>
    <xf numFmtId="0" fontId="61" fillId="36" borderId="0" applyNumberFormat="0" applyBorder="0" applyAlignment="0" applyProtection="0"/>
    <xf numFmtId="0" fontId="59" fillId="53" borderId="32" applyNumberFormat="0" applyAlignment="0" applyProtection="0"/>
    <xf numFmtId="0" fontId="57" fillId="35" borderId="0" applyNumberFormat="0" applyBorder="0" applyAlignment="0" applyProtection="0"/>
    <xf numFmtId="0" fontId="56" fillId="45" borderId="0" applyNumberFormat="0" applyBorder="0" applyAlignment="0" applyProtection="0"/>
    <xf numFmtId="0" fontId="56" fillId="50" borderId="0" applyNumberFormat="0" applyBorder="0" applyAlignment="0" applyProtection="0"/>
    <xf numFmtId="0" fontId="56" fillId="48" borderId="0" applyNumberFormat="0" applyBorder="0" applyAlignment="0" applyProtection="0"/>
    <xf numFmtId="0" fontId="56"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41" borderId="0" applyNumberFormat="0" applyBorder="0" applyAlignment="0" applyProtection="0"/>
    <xf numFmtId="0" fontId="55" fillId="40"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0" fontId="55" fillId="37" borderId="0" applyNumberFormat="0" applyBorder="0" applyAlignment="0" applyProtection="0"/>
    <xf numFmtId="0" fontId="55" fillId="36" borderId="0" applyNumberFormat="0" applyBorder="0" applyAlignment="0" applyProtection="0"/>
    <xf numFmtId="0" fontId="55" fillId="34" borderId="0" applyNumberFormat="0" applyBorder="0" applyAlignment="0" applyProtection="0"/>
    <xf numFmtId="0" fontId="38" fillId="0" borderId="0" applyNumberFormat="0" applyFill="0" applyBorder="0" applyAlignment="0" applyProtection="0"/>
    <xf numFmtId="0" fontId="60" fillId="0" borderId="0" applyNumberFormat="0" applyFill="0" applyBorder="0" applyAlignment="0" applyProtection="0"/>
    <xf numFmtId="0" fontId="58" fillId="52" borderId="31" applyNumberFormat="0" applyAlignment="0" applyProtection="0"/>
    <xf numFmtId="0" fontId="56" fillId="51" borderId="0" applyNumberFormat="0" applyBorder="0" applyAlignment="0" applyProtection="0"/>
    <xf numFmtId="0" fontId="62" fillId="0" borderId="33" applyNumberFormat="0" applyFill="0" applyAlignment="0" applyProtection="0"/>
    <xf numFmtId="0" fontId="56" fillId="45" borderId="0" applyNumberFormat="0" applyBorder="0" applyAlignment="0" applyProtection="0"/>
    <xf numFmtId="0" fontId="56" fillId="49" borderId="0" applyNumberFormat="0" applyBorder="0" applyAlignment="0" applyProtection="0"/>
    <xf numFmtId="0" fontId="55" fillId="40" borderId="0" applyNumberFormat="0" applyBorder="0" applyAlignment="0" applyProtection="0"/>
    <xf numFmtId="0" fontId="56" fillId="47" borderId="0" applyNumberFormat="0" applyBorder="0" applyAlignment="0" applyProtection="0"/>
    <xf numFmtId="0" fontId="72" fillId="9" borderId="29" applyNumberFormat="0" applyFont="0" applyAlignment="0" applyProtection="0"/>
    <xf numFmtId="0" fontId="64" fillId="0" borderId="35" applyNumberFormat="0" applyFill="0" applyAlignment="0" applyProtection="0"/>
    <xf numFmtId="0" fontId="55" fillId="35" borderId="0" applyNumberFormat="0" applyBorder="0" applyAlignment="0" applyProtection="0"/>
    <xf numFmtId="0" fontId="70" fillId="0" borderId="39" applyNumberFormat="0" applyFill="0" applyAlignment="0" applyProtection="0"/>
    <xf numFmtId="0" fontId="38" fillId="0" borderId="0" applyNumberFormat="0" applyFill="0" applyBorder="0" applyAlignment="0" applyProtection="0"/>
    <xf numFmtId="0" fontId="90" fillId="0" borderId="22" applyNumberFormat="0" applyFill="0" applyAlignment="0" applyProtection="0"/>
    <xf numFmtId="0" fontId="91" fillId="0" borderId="23" applyNumberFormat="0" applyFill="0" applyAlignment="0" applyProtection="0"/>
    <xf numFmtId="0" fontId="92" fillId="0" borderId="24" applyNumberFormat="0" applyFill="0" applyAlignment="0" applyProtection="0"/>
    <xf numFmtId="0" fontId="92" fillId="0" borderId="0" applyNumberFormat="0" applyFill="0" applyBorder="0" applyAlignment="0" applyProtection="0"/>
    <xf numFmtId="0" fontId="93" fillId="3" borderId="0" applyNumberFormat="0" applyBorder="0" applyAlignment="0" applyProtection="0"/>
    <xf numFmtId="0" fontId="94" fillId="4" borderId="0" applyNumberFormat="0" applyBorder="0" applyAlignment="0" applyProtection="0"/>
    <xf numFmtId="0" fontId="95" fillId="5" borderId="0" applyNumberFormat="0" applyBorder="0" applyAlignment="0" applyProtection="0"/>
    <xf numFmtId="0" fontId="96" fillId="6" borderId="25" applyNumberFormat="0" applyAlignment="0" applyProtection="0"/>
    <xf numFmtId="0" fontId="97" fillId="7" borderId="26" applyNumberFormat="0" applyAlignment="0" applyProtection="0"/>
    <xf numFmtId="0" fontId="98" fillId="7" borderId="25" applyNumberFormat="0" applyAlignment="0" applyProtection="0"/>
    <xf numFmtId="0" fontId="99" fillId="0" borderId="27" applyNumberFormat="0" applyFill="0" applyAlignment="0" applyProtection="0"/>
    <xf numFmtId="0" fontId="100" fillId="8" borderId="28" applyNumberFormat="0" applyAlignment="0" applyProtection="0"/>
    <xf numFmtId="0" fontId="101" fillId="0" borderId="0" applyNumberFormat="0" applyFill="0" applyBorder="0" applyAlignment="0" applyProtection="0"/>
    <xf numFmtId="0" fontId="72" fillId="9" borderId="29" applyNumberFormat="0" applyFont="0" applyAlignment="0" applyProtection="0"/>
    <xf numFmtId="0" fontId="102" fillId="0" borderId="0" applyNumberFormat="0" applyFill="0" applyBorder="0" applyAlignment="0" applyProtection="0"/>
    <xf numFmtId="0" fontId="103" fillId="0" borderId="30" applyNumberFormat="0" applyFill="0" applyAlignment="0" applyProtection="0"/>
    <xf numFmtId="0" fontId="104"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104" fillId="13" borderId="0" applyNumberFormat="0" applyBorder="0" applyAlignment="0" applyProtection="0"/>
    <xf numFmtId="0" fontId="104"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104" fillId="17" borderId="0" applyNumberFormat="0" applyBorder="0" applyAlignment="0" applyProtection="0"/>
    <xf numFmtId="0" fontId="104"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104" fillId="21" borderId="0" applyNumberFormat="0" applyBorder="0" applyAlignment="0" applyProtection="0"/>
    <xf numFmtId="0" fontId="104"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104" fillId="25" borderId="0" applyNumberFormat="0" applyBorder="0" applyAlignment="0" applyProtection="0"/>
    <xf numFmtId="0" fontId="104" fillId="26"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104" fillId="29" borderId="0" applyNumberFormat="0" applyBorder="0" applyAlignment="0" applyProtection="0"/>
    <xf numFmtId="0" fontId="104" fillId="30" borderId="0" applyNumberFormat="0" applyBorder="0" applyAlignment="0" applyProtection="0"/>
    <xf numFmtId="0" fontId="72" fillId="31" borderId="0" applyNumberFormat="0" applyBorder="0" applyAlignment="0" applyProtection="0"/>
    <xf numFmtId="0" fontId="72" fillId="32" borderId="0" applyNumberFormat="0" applyBorder="0" applyAlignment="0" applyProtection="0"/>
    <xf numFmtId="0" fontId="104" fillId="33" borderId="0" applyNumberFormat="0" applyBorder="0" applyAlignment="0" applyProtection="0"/>
    <xf numFmtId="0" fontId="74" fillId="39" borderId="0" applyNumberFormat="0" applyBorder="0" applyAlignment="0" applyProtection="0"/>
    <xf numFmtId="0" fontId="38" fillId="0" borderId="0" applyNumberFormat="0" applyFill="0" applyBorder="0" applyAlignment="0" applyProtection="0"/>
    <xf numFmtId="0" fontId="72" fillId="9" borderId="29" applyNumberFormat="0" applyFont="0" applyAlignment="0" applyProtection="0"/>
    <xf numFmtId="0" fontId="38" fillId="0" borderId="0" applyNumberFormat="0" applyFill="0" applyBorder="0" applyAlignment="0" applyProtection="0"/>
    <xf numFmtId="0" fontId="90" fillId="0" borderId="22" applyNumberFormat="0" applyFill="0" applyAlignment="0" applyProtection="0"/>
    <xf numFmtId="0" fontId="91" fillId="0" borderId="23" applyNumberFormat="0" applyFill="0" applyAlignment="0" applyProtection="0"/>
    <xf numFmtId="0" fontId="92" fillId="0" borderId="24" applyNumberFormat="0" applyFill="0" applyAlignment="0" applyProtection="0"/>
    <xf numFmtId="0" fontId="92" fillId="0" borderId="0" applyNumberFormat="0" applyFill="0" applyBorder="0" applyAlignment="0" applyProtection="0"/>
    <xf numFmtId="0" fontId="93" fillId="3" borderId="0" applyNumberFormat="0" applyBorder="0" applyAlignment="0" applyProtection="0"/>
    <xf numFmtId="0" fontId="94" fillId="4" borderId="0" applyNumberFormat="0" applyBorder="0" applyAlignment="0" applyProtection="0"/>
    <xf numFmtId="0" fontId="95" fillId="5" borderId="0" applyNumberFormat="0" applyBorder="0" applyAlignment="0" applyProtection="0"/>
    <xf numFmtId="0" fontId="96" fillId="6" borderId="25" applyNumberFormat="0" applyAlignment="0" applyProtection="0"/>
    <xf numFmtId="0" fontId="97" fillId="7" borderId="26" applyNumberFormat="0" applyAlignment="0" applyProtection="0"/>
    <xf numFmtId="0" fontId="98" fillId="7" borderId="25" applyNumberFormat="0" applyAlignment="0" applyProtection="0"/>
    <xf numFmtId="0" fontId="99" fillId="0" borderId="27" applyNumberFormat="0" applyFill="0" applyAlignment="0" applyProtection="0"/>
    <xf numFmtId="0" fontId="100" fillId="8" borderId="28" applyNumberFormat="0" applyAlignment="0" applyProtection="0"/>
    <xf numFmtId="0" fontId="101" fillId="0" borderId="0" applyNumberFormat="0" applyFill="0" applyBorder="0" applyAlignment="0" applyProtection="0"/>
    <xf numFmtId="0" fontId="72" fillId="9" borderId="29" applyNumberFormat="0" applyFont="0" applyAlignment="0" applyProtection="0"/>
    <xf numFmtId="0" fontId="102" fillId="0" borderId="0" applyNumberFormat="0" applyFill="0" applyBorder="0" applyAlignment="0" applyProtection="0"/>
    <xf numFmtId="0" fontId="103" fillId="0" borderId="30" applyNumberFormat="0" applyFill="0" applyAlignment="0" applyProtection="0"/>
    <xf numFmtId="0" fontId="104"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104" fillId="13" borderId="0" applyNumberFormat="0" applyBorder="0" applyAlignment="0" applyProtection="0"/>
    <xf numFmtId="0" fontId="104"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104" fillId="17" borderId="0" applyNumberFormat="0" applyBorder="0" applyAlignment="0" applyProtection="0"/>
    <xf numFmtId="0" fontId="104"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104" fillId="21" borderId="0" applyNumberFormat="0" applyBorder="0" applyAlignment="0" applyProtection="0"/>
    <xf numFmtId="0" fontId="104"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104" fillId="25" borderId="0" applyNumberFormat="0" applyBorder="0" applyAlignment="0" applyProtection="0"/>
    <xf numFmtId="0" fontId="104" fillId="26"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104" fillId="29" borderId="0" applyNumberFormat="0" applyBorder="0" applyAlignment="0" applyProtection="0"/>
    <xf numFmtId="0" fontId="104" fillId="30" borderId="0" applyNumberFormat="0" applyBorder="0" applyAlignment="0" applyProtection="0"/>
    <xf numFmtId="0" fontId="72" fillId="31" borderId="0" applyNumberFormat="0" applyBorder="0" applyAlignment="0" applyProtection="0"/>
    <xf numFmtId="0" fontId="72" fillId="32" borderId="0" applyNumberFormat="0" applyBorder="0" applyAlignment="0" applyProtection="0"/>
    <xf numFmtId="0" fontId="104" fillId="33" borderId="0" applyNumberFormat="0" applyBorder="0" applyAlignment="0" applyProtection="0"/>
    <xf numFmtId="0" fontId="74" fillId="38" borderId="0" applyNumberFormat="0" applyBorder="0" applyAlignment="0" applyProtection="0"/>
    <xf numFmtId="0" fontId="11" fillId="0" borderId="0"/>
    <xf numFmtId="0" fontId="74" fillId="34" borderId="0" applyNumberFormat="0" applyBorder="0" applyAlignment="0" applyProtection="0"/>
    <xf numFmtId="0" fontId="74" fillId="35" borderId="0" applyNumberFormat="0" applyBorder="0" applyAlignment="0" applyProtection="0"/>
    <xf numFmtId="0" fontId="74" fillId="36" borderId="0" applyNumberFormat="0" applyBorder="0" applyAlignment="0" applyProtection="0"/>
    <xf numFmtId="0" fontId="74" fillId="37" borderId="0" applyNumberFormat="0" applyBorder="0" applyAlignment="0" applyProtection="0"/>
    <xf numFmtId="0" fontId="74" fillId="38" borderId="0" applyNumberFormat="0" applyBorder="0" applyAlignment="0" applyProtection="0"/>
    <xf numFmtId="0" fontId="74" fillId="39" borderId="0" applyNumberFormat="0" applyBorder="0" applyAlignment="0" applyProtection="0"/>
    <xf numFmtId="0" fontId="74" fillId="40" borderId="0" applyNumberFormat="0" applyBorder="0" applyAlignment="0" applyProtection="0"/>
    <xf numFmtId="0" fontId="74" fillId="41" borderId="0" applyNumberFormat="0" applyBorder="0" applyAlignment="0" applyProtection="0"/>
    <xf numFmtId="0" fontId="74" fillId="42" borderId="0" applyNumberFormat="0" applyBorder="0" applyAlignment="0" applyProtection="0"/>
    <xf numFmtId="0" fontId="74" fillId="37" borderId="0" applyNumberFormat="0" applyBorder="0" applyAlignment="0" applyProtection="0"/>
    <xf numFmtId="0" fontId="74" fillId="40" borderId="0" applyNumberFormat="0" applyBorder="0" applyAlignment="0" applyProtection="0"/>
    <xf numFmtId="0" fontId="74" fillId="43" borderId="0" applyNumberFormat="0" applyBorder="0" applyAlignment="0" applyProtection="0"/>
    <xf numFmtId="0" fontId="75" fillId="44" borderId="0" applyNumberFormat="0" applyBorder="0" applyAlignment="0" applyProtection="0"/>
    <xf numFmtId="0" fontId="75" fillId="41" borderId="0" applyNumberFormat="0" applyBorder="0" applyAlignment="0" applyProtection="0"/>
    <xf numFmtId="0" fontId="75" fillId="42" borderId="0" applyNumberFormat="0" applyBorder="0" applyAlignment="0" applyProtection="0"/>
    <xf numFmtId="0" fontId="75" fillId="45" borderId="0" applyNumberFormat="0" applyBorder="0" applyAlignment="0" applyProtection="0"/>
    <xf numFmtId="0" fontId="75" fillId="46" borderId="0" applyNumberFormat="0" applyBorder="0" applyAlignment="0" applyProtection="0"/>
    <xf numFmtId="0" fontId="75" fillId="47" borderId="0" applyNumberFormat="0" applyBorder="0" applyAlignment="0" applyProtection="0"/>
    <xf numFmtId="0" fontId="75" fillId="48" borderId="0" applyNumberFormat="0" applyBorder="0" applyAlignment="0" applyProtection="0"/>
    <xf numFmtId="0" fontId="75" fillId="49" borderId="0" applyNumberFormat="0" applyBorder="0" applyAlignment="0" applyProtection="0"/>
    <xf numFmtId="0" fontId="75" fillId="50" borderId="0" applyNumberFormat="0" applyBorder="0" applyAlignment="0" applyProtection="0"/>
    <xf numFmtId="0" fontId="75" fillId="45" borderId="0" applyNumberFormat="0" applyBorder="0" applyAlignment="0" applyProtection="0"/>
    <xf numFmtId="0" fontId="75" fillId="46" borderId="0" applyNumberFormat="0" applyBorder="0" applyAlignment="0" applyProtection="0"/>
    <xf numFmtId="0" fontId="75" fillId="51" borderId="0" applyNumberFormat="0" applyBorder="0" applyAlignment="0" applyProtection="0"/>
    <xf numFmtId="0" fontId="76" fillId="35" borderId="0" applyNumberFormat="0" applyBorder="0" applyAlignment="0" applyProtection="0"/>
    <xf numFmtId="0" fontId="77" fillId="52" borderId="31" applyNumberFormat="0" applyAlignment="0" applyProtection="0"/>
    <xf numFmtId="0" fontId="78" fillId="53" borderId="32" applyNumberFormat="0" applyAlignment="0" applyProtection="0"/>
    <xf numFmtId="0" fontId="79" fillId="0" borderId="0" applyNumberFormat="0" applyFill="0" applyBorder="0" applyAlignment="0" applyProtection="0"/>
    <xf numFmtId="0" fontId="80" fillId="36" borderId="0" applyNumberFormat="0" applyBorder="0" applyAlignment="0" applyProtection="0"/>
    <xf numFmtId="0" fontId="81" fillId="0" borderId="33" applyNumberFormat="0" applyFill="0" applyAlignment="0" applyProtection="0"/>
    <xf numFmtId="0" fontId="82" fillId="0" borderId="34" applyNumberFormat="0" applyFill="0" applyAlignment="0" applyProtection="0"/>
    <xf numFmtId="0" fontId="83" fillId="0" borderId="35" applyNumberFormat="0" applyFill="0" applyAlignment="0" applyProtection="0"/>
    <xf numFmtId="0" fontId="83" fillId="0" borderId="0" applyNumberFormat="0" applyFill="0" applyBorder="0" applyAlignment="0" applyProtection="0"/>
    <xf numFmtId="0" fontId="84" fillId="39" borderId="31" applyNumberFormat="0" applyAlignment="0" applyProtection="0"/>
    <xf numFmtId="0" fontId="85" fillId="0" borderId="36" applyNumberFormat="0" applyFill="0" applyAlignment="0" applyProtection="0"/>
    <xf numFmtId="0" fontId="86" fillId="54" borderId="0" applyNumberFormat="0" applyBorder="0" applyAlignment="0" applyProtection="0"/>
    <xf numFmtId="0" fontId="11" fillId="55" borderId="37" applyNumberFormat="0" applyFont="0" applyAlignment="0" applyProtection="0"/>
    <xf numFmtId="0" fontId="87" fillId="52" borderId="38" applyNumberFormat="0" applyAlignment="0" applyProtection="0"/>
    <xf numFmtId="0" fontId="69" fillId="0" borderId="0" applyNumberFormat="0" applyFill="0" applyBorder="0" applyAlignment="0" applyProtection="0"/>
    <xf numFmtId="0" fontId="88" fillId="0" borderId="39" applyNumberFormat="0" applyFill="0" applyAlignment="0" applyProtection="0"/>
    <xf numFmtId="0" fontId="89" fillId="0" borderId="0" applyNumberFormat="0" applyFill="0" applyBorder="0" applyAlignment="0" applyProtection="0"/>
    <xf numFmtId="0" fontId="74" fillId="37" borderId="0" applyNumberFormat="0" applyBorder="0" applyAlignment="0" applyProtection="0"/>
    <xf numFmtId="0" fontId="74" fillId="40" borderId="0" applyNumberFormat="0" applyBorder="0" applyAlignment="0" applyProtection="0"/>
    <xf numFmtId="0" fontId="74" fillId="43" borderId="0" applyNumberFormat="0" applyBorder="0" applyAlignment="0" applyProtection="0"/>
    <xf numFmtId="0" fontId="75" fillId="44" borderId="0" applyNumberFormat="0" applyBorder="0" applyAlignment="0" applyProtection="0"/>
    <xf numFmtId="0" fontId="75" fillId="41" borderId="0" applyNumberFormat="0" applyBorder="0" applyAlignment="0" applyProtection="0"/>
    <xf numFmtId="0" fontId="75" fillId="42" borderId="0" applyNumberFormat="0" applyBorder="0" applyAlignment="0" applyProtection="0"/>
    <xf numFmtId="0" fontId="75" fillId="45" borderId="0" applyNumberFormat="0" applyBorder="0" applyAlignment="0" applyProtection="0"/>
    <xf numFmtId="0" fontId="75" fillId="46" borderId="0" applyNumberFormat="0" applyBorder="0" applyAlignment="0" applyProtection="0"/>
    <xf numFmtId="0" fontId="75" fillId="47" borderId="0" applyNumberFormat="0" applyBorder="0" applyAlignment="0" applyProtection="0"/>
    <xf numFmtId="0" fontId="75" fillId="48" borderId="0" applyNumberFormat="0" applyBorder="0" applyAlignment="0" applyProtection="0"/>
    <xf numFmtId="0" fontId="75" fillId="49" borderId="0" applyNumberFormat="0" applyBorder="0" applyAlignment="0" applyProtection="0"/>
    <xf numFmtId="0" fontId="75" fillId="50" borderId="0" applyNumberFormat="0" applyBorder="0" applyAlignment="0" applyProtection="0"/>
    <xf numFmtId="0" fontId="75" fillId="45" borderId="0" applyNumberFormat="0" applyBorder="0" applyAlignment="0" applyProtection="0"/>
    <xf numFmtId="0" fontId="75" fillId="46" borderId="0" applyNumberFormat="0" applyBorder="0" applyAlignment="0" applyProtection="0"/>
    <xf numFmtId="0" fontId="75" fillId="51" borderId="0" applyNumberFormat="0" applyBorder="0" applyAlignment="0" applyProtection="0"/>
    <xf numFmtId="0" fontId="76" fillId="35" borderId="0" applyNumberFormat="0" applyBorder="0" applyAlignment="0" applyProtection="0"/>
    <xf numFmtId="0" fontId="77" fillId="52" borderId="31" applyNumberFormat="0" applyAlignment="0" applyProtection="0"/>
    <xf numFmtId="0" fontId="78" fillId="53" borderId="32" applyNumberFormat="0" applyAlignment="0" applyProtection="0"/>
    <xf numFmtId="0" fontId="79" fillId="0" borderId="0" applyNumberFormat="0" applyFill="0" applyBorder="0" applyAlignment="0" applyProtection="0"/>
    <xf numFmtId="0" fontId="80" fillId="36" borderId="0" applyNumberFormat="0" applyBorder="0" applyAlignment="0" applyProtection="0"/>
    <xf numFmtId="0" fontId="81" fillId="0" borderId="33" applyNumberFormat="0" applyFill="0" applyAlignment="0" applyProtection="0"/>
    <xf numFmtId="0" fontId="82" fillId="0" borderId="34" applyNumberFormat="0" applyFill="0" applyAlignment="0" applyProtection="0"/>
    <xf numFmtId="0" fontId="83" fillId="0" borderId="35" applyNumberFormat="0" applyFill="0" applyAlignment="0" applyProtection="0"/>
    <xf numFmtId="0" fontId="83" fillId="0" borderId="0" applyNumberFormat="0" applyFill="0" applyBorder="0" applyAlignment="0" applyProtection="0"/>
    <xf numFmtId="0" fontId="84" fillId="39" borderId="31" applyNumberFormat="0" applyAlignment="0" applyProtection="0"/>
    <xf numFmtId="0" fontId="85" fillId="0" borderId="36" applyNumberFormat="0" applyFill="0" applyAlignment="0" applyProtection="0"/>
    <xf numFmtId="0" fontId="86" fillId="54" borderId="0" applyNumberFormat="0" applyBorder="0" applyAlignment="0" applyProtection="0"/>
    <xf numFmtId="0" fontId="11" fillId="55" borderId="37" applyNumberFormat="0" applyFont="0" applyAlignment="0" applyProtection="0"/>
    <xf numFmtId="0" fontId="87" fillId="52" borderId="38" applyNumberFormat="0" applyAlignment="0" applyProtection="0"/>
    <xf numFmtId="0" fontId="74" fillId="35" borderId="0" applyNumberFormat="0" applyBorder="0" applyAlignment="0" applyProtection="0"/>
    <xf numFmtId="0" fontId="74" fillId="36" borderId="0" applyNumberFormat="0" applyBorder="0" applyAlignment="0" applyProtection="0"/>
    <xf numFmtId="0" fontId="74" fillId="41" borderId="0" applyNumberFormat="0" applyBorder="0" applyAlignment="0" applyProtection="0"/>
    <xf numFmtId="0" fontId="69" fillId="0" borderId="0" applyNumberFormat="0" applyFill="0" applyBorder="0" applyAlignment="0" applyProtection="0"/>
    <xf numFmtId="0" fontId="88" fillId="0" borderId="39" applyNumberFormat="0" applyFill="0" applyAlignment="0" applyProtection="0"/>
    <xf numFmtId="0" fontId="89" fillId="0" borderId="0" applyNumberFormat="0" applyFill="0" applyBorder="0" applyAlignment="0" applyProtection="0"/>
    <xf numFmtId="0" fontId="55" fillId="34" borderId="0" applyNumberFormat="0" applyBorder="0" applyAlignment="0" applyProtection="0"/>
    <xf numFmtId="0" fontId="55" fillId="35"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38" borderId="0" applyNumberFormat="0" applyBorder="0" applyAlignment="0" applyProtection="0"/>
    <xf numFmtId="0" fontId="55" fillId="39" borderId="0" applyNumberFormat="0" applyBorder="0" applyAlignment="0" applyProtection="0"/>
    <xf numFmtId="0" fontId="55" fillId="40" borderId="0" applyNumberFormat="0" applyBorder="0" applyAlignment="0" applyProtection="0"/>
    <xf numFmtId="0" fontId="55" fillId="41" borderId="0" applyNumberFormat="0" applyBorder="0" applyAlignment="0" applyProtection="0"/>
    <xf numFmtId="0" fontId="55" fillId="42" borderId="0" applyNumberFormat="0" applyBorder="0" applyAlignment="0" applyProtection="0"/>
    <xf numFmtId="0" fontId="55" fillId="37" borderId="0" applyNumberFormat="0" applyBorder="0" applyAlignment="0" applyProtection="0"/>
    <xf numFmtId="0" fontId="55" fillId="40" borderId="0" applyNumberFormat="0" applyBorder="0" applyAlignment="0" applyProtection="0"/>
    <xf numFmtId="0" fontId="55" fillId="43" borderId="0" applyNumberFormat="0" applyBorder="0" applyAlignment="0" applyProtection="0"/>
    <xf numFmtId="0" fontId="56" fillId="44" borderId="0" applyNumberFormat="0" applyBorder="0" applyAlignment="0" applyProtection="0"/>
    <xf numFmtId="0" fontId="56" fillId="41" borderId="0" applyNumberFormat="0" applyBorder="0" applyAlignment="0" applyProtection="0"/>
    <xf numFmtId="0" fontId="56" fillId="42" borderId="0" applyNumberFormat="0" applyBorder="0" applyAlignment="0" applyProtection="0"/>
    <xf numFmtId="0" fontId="56" fillId="45" borderId="0" applyNumberFormat="0" applyBorder="0" applyAlignment="0" applyProtection="0"/>
    <xf numFmtId="0" fontId="56" fillId="46" borderId="0" applyNumberFormat="0" applyBorder="0" applyAlignment="0" applyProtection="0"/>
    <xf numFmtId="0" fontId="56" fillId="47" borderId="0" applyNumberFormat="0" applyBorder="0" applyAlignment="0" applyProtection="0"/>
    <xf numFmtId="0" fontId="56" fillId="48" borderId="0" applyNumberFormat="0" applyBorder="0" applyAlignment="0" applyProtection="0"/>
    <xf numFmtId="0" fontId="56" fillId="49" borderId="0" applyNumberFormat="0" applyBorder="0" applyAlignment="0" applyProtection="0"/>
    <xf numFmtId="0" fontId="56" fillId="50" borderId="0" applyNumberFormat="0" applyBorder="0" applyAlignment="0" applyProtection="0"/>
    <xf numFmtId="0" fontId="56" fillId="45" borderId="0" applyNumberFormat="0" applyBorder="0" applyAlignment="0" applyProtection="0"/>
    <xf numFmtId="0" fontId="56" fillId="46" borderId="0" applyNumberFormat="0" applyBorder="0" applyAlignment="0" applyProtection="0"/>
    <xf numFmtId="0" fontId="56" fillId="51" borderId="0" applyNumberFormat="0" applyBorder="0" applyAlignment="0" applyProtection="0"/>
    <xf numFmtId="0" fontId="57" fillId="35" borderId="0" applyNumberFormat="0" applyBorder="0" applyAlignment="0" applyProtection="0"/>
    <xf numFmtId="0" fontId="58" fillId="52" borderId="31" applyNumberFormat="0" applyAlignment="0" applyProtection="0"/>
    <xf numFmtId="0" fontId="59" fillId="53" borderId="32" applyNumberFormat="0" applyAlignment="0" applyProtection="0"/>
    <xf numFmtId="0" fontId="56" fillId="46" borderId="0" applyNumberFormat="0" applyBorder="0" applyAlignment="0" applyProtection="0"/>
    <xf numFmtId="0" fontId="56" fillId="45" borderId="0" applyNumberFormat="0" applyBorder="0" applyAlignment="0" applyProtection="0"/>
    <xf numFmtId="0" fontId="60" fillId="0" borderId="0" applyNumberFormat="0" applyFill="0" applyBorder="0" applyAlignment="0" applyProtection="0"/>
    <xf numFmtId="0" fontId="61" fillId="36" borderId="0" applyNumberFormat="0" applyBorder="0" applyAlignment="0" applyProtection="0"/>
    <xf numFmtId="0" fontId="62" fillId="0" borderId="33" applyNumberFormat="0" applyFill="0" applyAlignment="0" applyProtection="0"/>
    <xf numFmtId="0" fontId="63" fillId="0" borderId="34" applyNumberFormat="0" applyFill="0" applyAlignment="0" applyProtection="0"/>
    <xf numFmtId="0" fontId="64" fillId="0" borderId="35" applyNumberFormat="0" applyFill="0" applyAlignment="0" applyProtection="0"/>
    <xf numFmtId="0" fontId="64" fillId="0" borderId="0" applyNumberFormat="0" applyFill="0" applyBorder="0" applyAlignment="0" applyProtection="0"/>
    <xf numFmtId="0" fontId="56" fillId="42" borderId="0" applyNumberFormat="0" applyBorder="0" applyAlignment="0" applyProtection="0"/>
    <xf numFmtId="0" fontId="65" fillId="39" borderId="31" applyNumberFormat="0" applyAlignment="0" applyProtection="0"/>
    <xf numFmtId="0" fontId="66" fillId="0" borderId="36" applyNumberFormat="0" applyFill="0" applyAlignment="0" applyProtection="0"/>
    <xf numFmtId="0" fontId="67" fillId="54" borderId="0" applyNumberFormat="0" applyBorder="0" applyAlignment="0" applyProtection="0"/>
    <xf numFmtId="0" fontId="55" fillId="40" borderId="0" applyNumberFormat="0" applyBorder="0" applyAlignment="0" applyProtection="0"/>
    <xf numFmtId="0" fontId="55" fillId="37" borderId="0" applyNumberFormat="0" applyBorder="0" applyAlignment="0" applyProtection="0"/>
    <xf numFmtId="0" fontId="11" fillId="55" borderId="37" applyNumberFormat="0" applyFont="0" applyAlignment="0" applyProtection="0"/>
    <xf numFmtId="0" fontId="68" fillId="52" borderId="38" applyNumberFormat="0" applyAlignment="0" applyProtection="0"/>
    <xf numFmtId="0" fontId="55" fillId="41" borderId="0" applyNumberFormat="0" applyBorder="0" applyAlignment="0" applyProtection="0"/>
    <xf numFmtId="0" fontId="69" fillId="0" borderId="0" applyNumberFormat="0" applyFill="0" applyBorder="0" applyAlignment="0" applyProtection="0"/>
    <xf numFmtId="0" fontId="70" fillId="0" borderId="39" applyNumberFormat="0" applyFill="0" applyAlignment="0" applyProtection="0"/>
    <xf numFmtId="0" fontId="71" fillId="0" borderId="0" applyNumberForma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67" fillId="54" borderId="0" applyNumberFormat="0" applyBorder="0" applyAlignment="0" applyProtection="0"/>
    <xf numFmtId="0" fontId="66" fillId="0" borderId="36" applyNumberFormat="0" applyFill="0" applyAlignment="0" applyProtection="0"/>
    <xf numFmtId="0" fontId="71" fillId="0" borderId="0" applyNumberFormat="0" applyFill="0" applyBorder="0" applyAlignment="0" applyProtection="0"/>
    <xf numFmtId="0" fontId="70" fillId="0" borderId="39" applyNumberFormat="0" applyFill="0" applyAlignment="0" applyProtection="0"/>
    <xf numFmtId="0" fontId="69" fillId="0" borderId="0" applyNumberFormat="0" applyFill="0" applyBorder="0" applyAlignment="0" applyProtection="0"/>
    <xf numFmtId="0" fontId="55" fillId="37" borderId="0" applyNumberFormat="0" applyBorder="0" applyAlignment="0" applyProtection="0"/>
    <xf numFmtId="0" fontId="68" fillId="52" borderId="38" applyNumberFormat="0" applyAlignment="0" applyProtection="0"/>
    <xf numFmtId="0" fontId="11" fillId="55" borderId="37" applyNumberFormat="0" applyFont="0" applyAlignment="0" applyProtection="0"/>
    <xf numFmtId="0" fontId="56" fillId="44" borderId="0" applyNumberFormat="0" applyBorder="0" applyAlignment="0" applyProtection="0"/>
    <xf numFmtId="0" fontId="56" fillId="41" borderId="0" applyNumberFormat="0" applyBorder="0" applyAlignment="0" applyProtection="0"/>
    <xf numFmtId="0" fontId="56" fillId="42" borderId="0" applyNumberFormat="0" applyBorder="0" applyAlignment="0" applyProtection="0"/>
    <xf numFmtId="0" fontId="67" fillId="54" borderId="0" applyNumberFormat="0" applyBorder="0" applyAlignment="0" applyProtection="0"/>
    <xf numFmtId="0" fontId="66" fillId="0" borderId="36" applyNumberFormat="0" applyFill="0" applyAlignment="0" applyProtection="0"/>
    <xf numFmtId="0" fontId="65" fillId="39" borderId="31" applyNumberFormat="0" applyAlignment="0" applyProtection="0"/>
    <xf numFmtId="0" fontId="56" fillId="46" borderId="0" applyNumberFormat="0" applyBorder="0" applyAlignment="0" applyProtection="0"/>
    <xf numFmtId="0" fontId="64" fillId="0" borderId="0" applyNumberFormat="0" applyFill="0" applyBorder="0" applyAlignment="0" applyProtection="0"/>
    <xf numFmtId="0" fontId="64" fillId="0" borderId="35" applyNumberFormat="0" applyFill="0" applyAlignment="0" applyProtection="0"/>
    <xf numFmtId="0" fontId="63" fillId="0" borderId="34" applyNumberFormat="0" applyFill="0" applyAlignment="0" applyProtection="0"/>
    <xf numFmtId="0" fontId="62" fillId="0" borderId="33" applyNumberFormat="0" applyFill="0" applyAlignment="0" applyProtection="0"/>
    <xf numFmtId="0" fontId="61" fillId="36" borderId="0" applyNumberFormat="0" applyBorder="0" applyAlignment="0" applyProtection="0"/>
    <xf numFmtId="0" fontId="60" fillId="0" borderId="0" applyNumberFormat="0" applyFill="0" applyBorder="0" applyAlignment="0" applyProtection="0"/>
    <xf numFmtId="0" fontId="65" fillId="39" borderId="31" applyNumberFormat="0" applyAlignment="0" applyProtection="0"/>
    <xf numFmtId="0" fontId="59" fillId="53" borderId="32" applyNumberFormat="0" applyAlignment="0" applyProtection="0"/>
    <xf numFmtId="0" fontId="58" fillId="52" borderId="31" applyNumberFormat="0" applyAlignment="0" applyProtection="0"/>
    <xf numFmtId="0" fontId="57" fillId="35" borderId="0" applyNumberFormat="0" applyBorder="0" applyAlignment="0" applyProtection="0"/>
    <xf numFmtId="0" fontId="56" fillId="51" borderId="0" applyNumberFormat="0" applyBorder="0" applyAlignment="0" applyProtection="0"/>
    <xf numFmtId="44" fontId="11" fillId="0" borderId="0" applyFont="0" applyFill="0" applyBorder="0" applyAlignment="0" applyProtection="0"/>
    <xf numFmtId="0" fontId="56" fillId="50" borderId="0" applyNumberFormat="0" applyBorder="0" applyAlignment="0" applyProtection="0"/>
    <xf numFmtId="0" fontId="56" fillId="49" borderId="0" applyNumberFormat="0" applyBorder="0" applyAlignment="0" applyProtection="0"/>
    <xf numFmtId="0" fontId="56" fillId="48" borderId="0" applyNumberFormat="0" applyBorder="0" applyAlignment="0" applyProtection="0"/>
    <xf numFmtId="0" fontId="56" fillId="47" borderId="0" applyNumberFormat="0" applyBorder="0" applyAlignment="0" applyProtection="0"/>
    <xf numFmtId="0" fontId="56" fillId="46" borderId="0" applyNumberFormat="0" applyBorder="0" applyAlignment="0" applyProtection="0"/>
    <xf numFmtId="0" fontId="56" fillId="45" borderId="0" applyNumberFormat="0" applyBorder="0" applyAlignment="0" applyProtection="0"/>
    <xf numFmtId="0" fontId="74" fillId="40" borderId="0" applyNumberFormat="0" applyBorder="0" applyAlignment="0" applyProtection="0"/>
    <xf numFmtId="0" fontId="56" fillId="41" borderId="0" applyNumberFormat="0" applyBorder="0" applyAlignment="0" applyProtection="0"/>
    <xf numFmtId="0" fontId="56" fillId="44"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40"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0" fontId="55" fillId="37" borderId="0" applyNumberFormat="0" applyBorder="0" applyAlignment="0" applyProtection="0"/>
    <xf numFmtId="0" fontId="55" fillId="36" borderId="0" applyNumberFormat="0" applyBorder="0" applyAlignment="0" applyProtection="0"/>
    <xf numFmtId="0" fontId="55" fillId="35" borderId="0" applyNumberFormat="0" applyBorder="0" applyAlignment="0" applyProtection="0"/>
    <xf numFmtId="0" fontId="55" fillId="34" borderId="0" applyNumberFormat="0" applyBorder="0" applyAlignment="0" applyProtection="0"/>
    <xf numFmtId="0" fontId="90" fillId="0" borderId="22" applyNumberFormat="0" applyFill="0" applyAlignment="0" applyProtection="0"/>
    <xf numFmtId="0" fontId="91" fillId="0" borderId="23" applyNumberFormat="0" applyFill="0" applyAlignment="0" applyProtection="0"/>
    <xf numFmtId="0" fontId="92" fillId="0" borderId="24" applyNumberFormat="0" applyFill="0" applyAlignment="0" applyProtection="0"/>
    <xf numFmtId="0" fontId="92" fillId="0" borderId="0" applyNumberFormat="0" applyFill="0" applyBorder="0" applyAlignment="0" applyProtection="0"/>
    <xf numFmtId="0" fontId="93" fillId="3" borderId="0" applyNumberFormat="0" applyBorder="0" applyAlignment="0" applyProtection="0"/>
    <xf numFmtId="0" fontId="94" fillId="4" borderId="0" applyNumberFormat="0" applyBorder="0" applyAlignment="0" applyProtection="0"/>
    <xf numFmtId="0" fontId="95" fillId="5" borderId="0" applyNumberFormat="0" applyBorder="0" applyAlignment="0" applyProtection="0"/>
    <xf numFmtId="0" fontId="96" fillId="6" borderId="25" applyNumberFormat="0" applyAlignment="0" applyProtection="0"/>
    <xf numFmtId="0" fontId="97" fillId="7" borderId="26" applyNumberFormat="0" applyAlignment="0" applyProtection="0"/>
    <xf numFmtId="0" fontId="98" fillId="7" borderId="25" applyNumberFormat="0" applyAlignment="0" applyProtection="0"/>
    <xf numFmtId="0" fontId="99" fillId="0" borderId="27" applyNumberFormat="0" applyFill="0" applyAlignment="0" applyProtection="0"/>
    <xf numFmtId="0" fontId="100" fillId="8" borderId="28" applyNumberFormat="0" applyAlignment="0" applyProtection="0"/>
    <xf numFmtId="0" fontId="101" fillId="0" borderId="0" applyNumberFormat="0" applyFill="0" applyBorder="0" applyAlignment="0" applyProtection="0"/>
    <xf numFmtId="0" fontId="102" fillId="0" borderId="0" applyNumberFormat="0" applyFill="0" applyBorder="0" applyAlignment="0" applyProtection="0"/>
    <xf numFmtId="0" fontId="103" fillId="0" borderId="30" applyNumberFormat="0" applyFill="0" applyAlignment="0" applyProtection="0"/>
    <xf numFmtId="0" fontId="104"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104" fillId="13" borderId="0" applyNumberFormat="0" applyBorder="0" applyAlignment="0" applyProtection="0"/>
    <xf numFmtId="0" fontId="104"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104" fillId="17" borderId="0" applyNumberFormat="0" applyBorder="0" applyAlignment="0" applyProtection="0"/>
    <xf numFmtId="0" fontId="104"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104" fillId="21" borderId="0" applyNumberFormat="0" applyBorder="0" applyAlignment="0" applyProtection="0"/>
    <xf numFmtId="0" fontId="104"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104" fillId="25" borderId="0" applyNumberFormat="0" applyBorder="0" applyAlignment="0" applyProtection="0"/>
    <xf numFmtId="0" fontId="104" fillId="26"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104" fillId="29" borderId="0" applyNumberFormat="0" applyBorder="0" applyAlignment="0" applyProtection="0"/>
    <xf numFmtId="0" fontId="104" fillId="30" borderId="0" applyNumberFormat="0" applyBorder="0" applyAlignment="0" applyProtection="0"/>
    <xf numFmtId="0" fontId="72" fillId="31" borderId="0" applyNumberFormat="0" applyBorder="0" applyAlignment="0" applyProtection="0"/>
    <xf numFmtId="0" fontId="72" fillId="32" borderId="0" applyNumberFormat="0" applyBorder="0" applyAlignment="0" applyProtection="0"/>
    <xf numFmtId="0" fontId="104" fillId="33" borderId="0" applyNumberFormat="0" applyBorder="0" applyAlignment="0" applyProtection="0"/>
    <xf numFmtId="0" fontId="38" fillId="0" borderId="0" applyNumberFormat="0" applyFill="0" applyBorder="0" applyAlignment="0" applyProtection="0"/>
    <xf numFmtId="0" fontId="90" fillId="0" borderId="22" applyNumberFormat="0" applyFill="0" applyAlignment="0" applyProtection="0"/>
    <xf numFmtId="0" fontId="91" fillId="0" borderId="23" applyNumberFormat="0" applyFill="0" applyAlignment="0" applyProtection="0"/>
    <xf numFmtId="0" fontId="92" fillId="0" borderId="24" applyNumberFormat="0" applyFill="0" applyAlignment="0" applyProtection="0"/>
    <xf numFmtId="0" fontId="92" fillId="0" borderId="0" applyNumberFormat="0" applyFill="0" applyBorder="0" applyAlignment="0" applyProtection="0"/>
    <xf numFmtId="0" fontId="93" fillId="3" borderId="0" applyNumberFormat="0" applyBorder="0" applyAlignment="0" applyProtection="0"/>
    <xf numFmtId="0" fontId="94" fillId="4" borderId="0" applyNumberFormat="0" applyBorder="0" applyAlignment="0" applyProtection="0"/>
    <xf numFmtId="0" fontId="95" fillId="5" borderId="0" applyNumberFormat="0" applyBorder="0" applyAlignment="0" applyProtection="0"/>
    <xf numFmtId="0" fontId="96" fillId="6" borderId="25" applyNumberFormat="0" applyAlignment="0" applyProtection="0"/>
    <xf numFmtId="0" fontId="97" fillId="7" borderId="26" applyNumberFormat="0" applyAlignment="0" applyProtection="0"/>
    <xf numFmtId="0" fontId="98" fillId="7" borderId="25" applyNumberFormat="0" applyAlignment="0" applyProtection="0"/>
    <xf numFmtId="0" fontId="99" fillId="0" borderId="27" applyNumberFormat="0" applyFill="0" applyAlignment="0" applyProtection="0"/>
    <xf numFmtId="0" fontId="100" fillId="8" borderId="28" applyNumberFormat="0" applyAlignment="0" applyProtection="0"/>
    <xf numFmtId="0" fontId="101" fillId="0" borderId="0" applyNumberFormat="0" applyFill="0" applyBorder="0" applyAlignment="0" applyProtection="0"/>
    <xf numFmtId="0" fontId="72" fillId="9" borderId="29" applyNumberFormat="0" applyFont="0" applyAlignment="0" applyProtection="0"/>
    <xf numFmtId="0" fontId="102" fillId="0" borderId="0" applyNumberFormat="0" applyFill="0" applyBorder="0" applyAlignment="0" applyProtection="0"/>
    <xf numFmtId="0" fontId="103" fillId="0" borderId="30" applyNumberFormat="0" applyFill="0" applyAlignment="0" applyProtection="0"/>
    <xf numFmtId="0" fontId="104"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104" fillId="13" borderId="0" applyNumberFormat="0" applyBorder="0" applyAlignment="0" applyProtection="0"/>
    <xf numFmtId="0" fontId="104"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104" fillId="17" borderId="0" applyNumberFormat="0" applyBorder="0" applyAlignment="0" applyProtection="0"/>
    <xf numFmtId="0" fontId="104"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104" fillId="21" borderId="0" applyNumberFormat="0" applyBorder="0" applyAlignment="0" applyProtection="0"/>
    <xf numFmtId="0" fontId="104"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104" fillId="25" borderId="0" applyNumberFormat="0" applyBorder="0" applyAlignment="0" applyProtection="0"/>
    <xf numFmtId="0" fontId="104" fillId="26"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104" fillId="29" borderId="0" applyNumberFormat="0" applyBorder="0" applyAlignment="0" applyProtection="0"/>
    <xf numFmtId="0" fontId="104" fillId="30" borderId="0" applyNumberFormat="0" applyBorder="0" applyAlignment="0" applyProtection="0"/>
    <xf numFmtId="0" fontId="72" fillId="31" borderId="0" applyNumberFormat="0" applyBorder="0" applyAlignment="0" applyProtection="0"/>
    <xf numFmtId="0" fontId="72" fillId="32" borderId="0" applyNumberFormat="0" applyBorder="0" applyAlignment="0" applyProtection="0"/>
    <xf numFmtId="0" fontId="104" fillId="33" borderId="0" applyNumberFormat="0" applyBorder="0" applyAlignment="0" applyProtection="0"/>
    <xf numFmtId="0" fontId="74" fillId="39" borderId="0" applyNumberFormat="0" applyBorder="0" applyAlignment="0" applyProtection="0"/>
    <xf numFmtId="0" fontId="71" fillId="0" borderId="0" applyNumberFormat="0" applyFill="0" applyBorder="0" applyAlignment="0" applyProtection="0"/>
    <xf numFmtId="0" fontId="69" fillId="0" borderId="0" applyNumberFormat="0" applyFill="0" applyBorder="0" applyAlignment="0" applyProtection="0"/>
    <xf numFmtId="0" fontId="68" fillId="52" borderId="38" applyNumberFormat="0" applyAlignment="0" applyProtection="0"/>
    <xf numFmtId="0" fontId="64" fillId="0" borderId="0" applyNumberFormat="0" applyFill="0" applyBorder="0" applyAlignment="0" applyProtection="0"/>
    <xf numFmtId="0" fontId="63" fillId="0" borderId="34" applyNumberFormat="0" applyFill="0" applyAlignment="0" applyProtection="0"/>
    <xf numFmtId="0" fontId="61" fillId="36" borderId="0" applyNumberFormat="0" applyBorder="0" applyAlignment="0" applyProtection="0"/>
    <xf numFmtId="0" fontId="59" fillId="53" borderId="32" applyNumberFormat="0" applyAlignment="0" applyProtection="0"/>
    <xf numFmtId="0" fontId="57" fillId="35" borderId="0" applyNumberFormat="0" applyBorder="0" applyAlignment="0" applyProtection="0"/>
    <xf numFmtId="0" fontId="56" fillId="45" borderId="0" applyNumberFormat="0" applyBorder="0" applyAlignment="0" applyProtection="0"/>
    <xf numFmtId="0" fontId="56" fillId="50" borderId="0" applyNumberFormat="0" applyBorder="0" applyAlignment="0" applyProtection="0"/>
    <xf numFmtId="0" fontId="56" fillId="48" borderId="0" applyNumberFormat="0" applyBorder="0" applyAlignment="0" applyProtection="0"/>
    <xf numFmtId="0" fontId="56"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41" borderId="0" applyNumberFormat="0" applyBorder="0" applyAlignment="0" applyProtection="0"/>
    <xf numFmtId="0" fontId="55" fillId="40"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0" fontId="55" fillId="37" borderId="0" applyNumberFormat="0" applyBorder="0" applyAlignment="0" applyProtection="0"/>
    <xf numFmtId="0" fontId="55" fillId="36" borderId="0" applyNumberFormat="0" applyBorder="0" applyAlignment="0" applyProtection="0"/>
    <xf numFmtId="0" fontId="55" fillId="34" borderId="0" applyNumberFormat="0" applyBorder="0" applyAlignment="0" applyProtection="0"/>
    <xf numFmtId="0" fontId="38" fillId="0" borderId="0" applyNumberFormat="0" applyFill="0" applyBorder="0" applyAlignment="0" applyProtection="0"/>
    <xf numFmtId="0" fontId="60" fillId="0" borderId="0" applyNumberFormat="0" applyFill="0" applyBorder="0" applyAlignment="0" applyProtection="0"/>
    <xf numFmtId="0" fontId="58" fillId="52" borderId="31" applyNumberFormat="0" applyAlignment="0" applyProtection="0"/>
    <xf numFmtId="0" fontId="56" fillId="51" borderId="0" applyNumberFormat="0" applyBorder="0" applyAlignment="0" applyProtection="0"/>
    <xf numFmtId="0" fontId="62" fillId="0" borderId="33" applyNumberFormat="0" applyFill="0" applyAlignment="0" applyProtection="0"/>
    <xf numFmtId="0" fontId="56" fillId="45" borderId="0" applyNumberFormat="0" applyBorder="0" applyAlignment="0" applyProtection="0"/>
    <xf numFmtId="0" fontId="56" fillId="49" borderId="0" applyNumberFormat="0" applyBorder="0" applyAlignment="0" applyProtection="0"/>
    <xf numFmtId="0" fontId="55" fillId="40" borderId="0" applyNumberFormat="0" applyBorder="0" applyAlignment="0" applyProtection="0"/>
    <xf numFmtId="0" fontId="74" fillId="34" borderId="0" applyNumberFormat="0" applyBorder="0" applyAlignment="0" applyProtection="0"/>
    <xf numFmtId="0" fontId="56" fillId="47" borderId="0" applyNumberFormat="0" applyBorder="0" applyAlignment="0" applyProtection="0"/>
    <xf numFmtId="0" fontId="72" fillId="9" borderId="29" applyNumberFormat="0" applyFont="0" applyAlignment="0" applyProtection="0"/>
    <xf numFmtId="0" fontId="64" fillId="0" borderId="35" applyNumberFormat="0" applyFill="0" applyAlignment="0" applyProtection="0"/>
    <xf numFmtId="0" fontId="55" fillId="35" borderId="0" applyNumberFormat="0" applyBorder="0" applyAlignment="0" applyProtection="0"/>
    <xf numFmtId="0" fontId="70" fillId="0" borderId="39" applyNumberFormat="0" applyFill="0" applyAlignment="0" applyProtection="0"/>
    <xf numFmtId="0" fontId="38" fillId="0" borderId="0" applyNumberFormat="0" applyFill="0" applyBorder="0" applyAlignment="0" applyProtection="0"/>
    <xf numFmtId="0" fontId="90" fillId="0" borderId="22" applyNumberFormat="0" applyFill="0" applyAlignment="0" applyProtection="0"/>
    <xf numFmtId="0" fontId="91" fillId="0" borderId="23" applyNumberFormat="0" applyFill="0" applyAlignment="0" applyProtection="0"/>
    <xf numFmtId="0" fontId="92" fillId="0" borderId="24" applyNumberFormat="0" applyFill="0" applyAlignment="0" applyProtection="0"/>
    <xf numFmtId="0" fontId="92" fillId="0" borderId="0" applyNumberFormat="0" applyFill="0" applyBorder="0" applyAlignment="0" applyProtection="0"/>
    <xf numFmtId="0" fontId="93" fillId="3" borderId="0" applyNumberFormat="0" applyBorder="0" applyAlignment="0" applyProtection="0"/>
    <xf numFmtId="0" fontId="94" fillId="4" borderId="0" applyNumberFormat="0" applyBorder="0" applyAlignment="0" applyProtection="0"/>
    <xf numFmtId="0" fontId="95" fillId="5" borderId="0" applyNumberFormat="0" applyBorder="0" applyAlignment="0" applyProtection="0"/>
    <xf numFmtId="0" fontId="96" fillId="6" borderId="25" applyNumberFormat="0" applyAlignment="0" applyProtection="0"/>
    <xf numFmtId="0" fontId="97" fillId="7" borderId="26" applyNumberFormat="0" applyAlignment="0" applyProtection="0"/>
    <xf numFmtId="0" fontId="98" fillId="7" borderId="25" applyNumberFormat="0" applyAlignment="0" applyProtection="0"/>
    <xf numFmtId="0" fontId="99" fillId="0" borderId="27" applyNumberFormat="0" applyFill="0" applyAlignment="0" applyProtection="0"/>
    <xf numFmtId="0" fontId="100" fillId="8" borderId="28" applyNumberFormat="0" applyAlignment="0" applyProtection="0"/>
    <xf numFmtId="0" fontId="101" fillId="0" borderId="0" applyNumberFormat="0" applyFill="0" applyBorder="0" applyAlignment="0" applyProtection="0"/>
    <xf numFmtId="0" fontId="72" fillId="9" borderId="29" applyNumberFormat="0" applyFont="0" applyAlignment="0" applyProtection="0"/>
    <xf numFmtId="0" fontId="102" fillId="0" borderId="0" applyNumberFormat="0" applyFill="0" applyBorder="0" applyAlignment="0" applyProtection="0"/>
    <xf numFmtId="0" fontId="103" fillId="0" borderId="30" applyNumberFormat="0" applyFill="0" applyAlignment="0" applyProtection="0"/>
    <xf numFmtId="0" fontId="104"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104" fillId="13" borderId="0" applyNumberFormat="0" applyBorder="0" applyAlignment="0" applyProtection="0"/>
    <xf numFmtId="0" fontId="104"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104" fillId="17" borderId="0" applyNumberFormat="0" applyBorder="0" applyAlignment="0" applyProtection="0"/>
    <xf numFmtId="0" fontId="104"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104" fillId="21" borderId="0" applyNumberFormat="0" applyBorder="0" applyAlignment="0" applyProtection="0"/>
    <xf numFmtId="0" fontId="104"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104" fillId="25" borderId="0" applyNumberFormat="0" applyBorder="0" applyAlignment="0" applyProtection="0"/>
    <xf numFmtId="0" fontId="104" fillId="26"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104" fillId="29" borderId="0" applyNumberFormat="0" applyBorder="0" applyAlignment="0" applyProtection="0"/>
    <xf numFmtId="0" fontId="104" fillId="30" borderId="0" applyNumberFormat="0" applyBorder="0" applyAlignment="0" applyProtection="0"/>
    <xf numFmtId="0" fontId="72" fillId="31" borderId="0" applyNumberFormat="0" applyBorder="0" applyAlignment="0" applyProtection="0"/>
    <xf numFmtId="0" fontId="72" fillId="32" borderId="0" applyNumberFormat="0" applyBorder="0" applyAlignment="0" applyProtection="0"/>
    <xf numFmtId="0" fontId="104" fillId="33" borderId="0" applyNumberFormat="0" applyBorder="0" applyAlignment="0" applyProtection="0"/>
    <xf numFmtId="0" fontId="74" fillId="38" borderId="0" applyNumberFormat="0" applyBorder="0" applyAlignment="0" applyProtection="0"/>
    <xf numFmtId="0" fontId="38" fillId="0" borderId="0" applyNumberFormat="0" applyFill="0" applyBorder="0" applyAlignment="0" applyProtection="0"/>
    <xf numFmtId="0" fontId="72" fillId="9" borderId="29" applyNumberFormat="0" applyFont="0" applyAlignment="0" applyProtection="0"/>
    <xf numFmtId="0" fontId="38" fillId="0" borderId="0" applyNumberFormat="0" applyFill="0" applyBorder="0" applyAlignment="0" applyProtection="0"/>
    <xf numFmtId="0" fontId="90" fillId="0" borderId="22" applyNumberFormat="0" applyFill="0" applyAlignment="0" applyProtection="0"/>
    <xf numFmtId="0" fontId="91" fillId="0" borderId="23" applyNumberFormat="0" applyFill="0" applyAlignment="0" applyProtection="0"/>
    <xf numFmtId="0" fontId="92" fillId="0" borderId="24" applyNumberFormat="0" applyFill="0" applyAlignment="0" applyProtection="0"/>
    <xf numFmtId="0" fontId="92" fillId="0" borderId="0" applyNumberFormat="0" applyFill="0" applyBorder="0" applyAlignment="0" applyProtection="0"/>
    <xf numFmtId="0" fontId="93" fillId="3" borderId="0" applyNumberFormat="0" applyBorder="0" applyAlignment="0" applyProtection="0"/>
    <xf numFmtId="0" fontId="94" fillId="4" borderId="0" applyNumberFormat="0" applyBorder="0" applyAlignment="0" applyProtection="0"/>
    <xf numFmtId="0" fontId="95" fillId="5" borderId="0" applyNumberFormat="0" applyBorder="0" applyAlignment="0" applyProtection="0"/>
    <xf numFmtId="0" fontId="96" fillId="6" borderId="25" applyNumberFormat="0" applyAlignment="0" applyProtection="0"/>
    <xf numFmtId="0" fontId="97" fillId="7" borderId="26" applyNumberFormat="0" applyAlignment="0" applyProtection="0"/>
    <xf numFmtId="0" fontId="98" fillId="7" borderId="25" applyNumberFormat="0" applyAlignment="0" applyProtection="0"/>
    <xf numFmtId="0" fontId="99" fillId="0" borderId="27" applyNumberFormat="0" applyFill="0" applyAlignment="0" applyProtection="0"/>
    <xf numFmtId="0" fontId="100" fillId="8" borderId="28" applyNumberFormat="0" applyAlignment="0" applyProtection="0"/>
    <xf numFmtId="0" fontId="101" fillId="0" borderId="0" applyNumberFormat="0" applyFill="0" applyBorder="0" applyAlignment="0" applyProtection="0"/>
    <xf numFmtId="0" fontId="72" fillId="9" borderId="29" applyNumberFormat="0" applyFont="0" applyAlignment="0" applyProtection="0"/>
    <xf numFmtId="0" fontId="102" fillId="0" borderId="0" applyNumberFormat="0" applyFill="0" applyBorder="0" applyAlignment="0" applyProtection="0"/>
    <xf numFmtId="0" fontId="103" fillId="0" borderId="30" applyNumberFormat="0" applyFill="0" applyAlignment="0" applyProtection="0"/>
    <xf numFmtId="0" fontId="104"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104" fillId="13" borderId="0" applyNumberFormat="0" applyBorder="0" applyAlignment="0" applyProtection="0"/>
    <xf numFmtId="0" fontId="104"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104" fillId="17" borderId="0" applyNumberFormat="0" applyBorder="0" applyAlignment="0" applyProtection="0"/>
    <xf numFmtId="0" fontId="104"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104" fillId="21" borderId="0" applyNumberFormat="0" applyBorder="0" applyAlignment="0" applyProtection="0"/>
    <xf numFmtId="0" fontId="104"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104" fillId="25" borderId="0" applyNumberFormat="0" applyBorder="0" applyAlignment="0" applyProtection="0"/>
    <xf numFmtId="0" fontId="104" fillId="26"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104" fillId="29" borderId="0" applyNumberFormat="0" applyBorder="0" applyAlignment="0" applyProtection="0"/>
    <xf numFmtId="0" fontId="104" fillId="30" borderId="0" applyNumberFormat="0" applyBorder="0" applyAlignment="0" applyProtection="0"/>
    <xf numFmtId="0" fontId="72" fillId="31" borderId="0" applyNumberFormat="0" applyBorder="0" applyAlignment="0" applyProtection="0"/>
    <xf numFmtId="0" fontId="72" fillId="32" borderId="0" applyNumberFormat="0" applyBorder="0" applyAlignment="0" applyProtection="0"/>
    <xf numFmtId="0" fontId="104" fillId="33" borderId="0" applyNumberFormat="0" applyBorder="0" applyAlignment="0" applyProtection="0"/>
    <xf numFmtId="0" fontId="74" fillId="37" borderId="0" applyNumberFormat="0" applyBorder="0" applyAlignment="0" applyProtection="0"/>
    <xf numFmtId="0" fontId="11" fillId="0" borderId="0"/>
    <xf numFmtId="0" fontId="74" fillId="34" borderId="0" applyNumberFormat="0" applyBorder="0" applyAlignment="0" applyProtection="0"/>
    <xf numFmtId="0" fontId="74" fillId="35" borderId="0" applyNumberFormat="0" applyBorder="0" applyAlignment="0" applyProtection="0"/>
    <xf numFmtId="0" fontId="74" fillId="36" borderId="0" applyNumberFormat="0" applyBorder="0" applyAlignment="0" applyProtection="0"/>
    <xf numFmtId="0" fontId="74" fillId="37" borderId="0" applyNumberFormat="0" applyBorder="0" applyAlignment="0" applyProtection="0"/>
    <xf numFmtId="0" fontId="74" fillId="38" borderId="0" applyNumberFormat="0" applyBorder="0" applyAlignment="0" applyProtection="0"/>
    <xf numFmtId="0" fontId="74" fillId="39" borderId="0" applyNumberFormat="0" applyBorder="0" applyAlignment="0" applyProtection="0"/>
    <xf numFmtId="0" fontId="74" fillId="40" borderId="0" applyNumberFormat="0" applyBorder="0" applyAlignment="0" applyProtection="0"/>
    <xf numFmtId="0" fontId="74" fillId="41" borderId="0" applyNumberFormat="0" applyBorder="0" applyAlignment="0" applyProtection="0"/>
    <xf numFmtId="0" fontId="74" fillId="42" borderId="0" applyNumberFormat="0" applyBorder="0" applyAlignment="0" applyProtection="0"/>
    <xf numFmtId="0" fontId="74" fillId="37" borderId="0" applyNumberFormat="0" applyBorder="0" applyAlignment="0" applyProtection="0"/>
    <xf numFmtId="0" fontId="74" fillId="40" borderId="0" applyNumberFormat="0" applyBorder="0" applyAlignment="0" applyProtection="0"/>
    <xf numFmtId="0" fontId="74" fillId="43" borderId="0" applyNumberFormat="0" applyBorder="0" applyAlignment="0" applyProtection="0"/>
    <xf numFmtId="0" fontId="75" fillId="44" borderId="0" applyNumberFormat="0" applyBorder="0" applyAlignment="0" applyProtection="0"/>
    <xf numFmtId="0" fontId="75" fillId="41" borderId="0" applyNumberFormat="0" applyBorder="0" applyAlignment="0" applyProtection="0"/>
    <xf numFmtId="0" fontId="75" fillId="42" borderId="0" applyNumberFormat="0" applyBorder="0" applyAlignment="0" applyProtection="0"/>
    <xf numFmtId="0" fontId="75" fillId="45" borderId="0" applyNumberFormat="0" applyBorder="0" applyAlignment="0" applyProtection="0"/>
    <xf numFmtId="0" fontId="75" fillId="46" borderId="0" applyNumberFormat="0" applyBorder="0" applyAlignment="0" applyProtection="0"/>
    <xf numFmtId="0" fontId="75" fillId="47" borderId="0" applyNumberFormat="0" applyBorder="0" applyAlignment="0" applyProtection="0"/>
    <xf numFmtId="0" fontId="75" fillId="48" borderId="0" applyNumberFormat="0" applyBorder="0" applyAlignment="0" applyProtection="0"/>
    <xf numFmtId="0" fontId="75" fillId="49" borderId="0" applyNumberFormat="0" applyBorder="0" applyAlignment="0" applyProtection="0"/>
    <xf numFmtId="0" fontId="75" fillId="50" borderId="0" applyNumberFormat="0" applyBorder="0" applyAlignment="0" applyProtection="0"/>
    <xf numFmtId="0" fontId="75" fillId="45" borderId="0" applyNumberFormat="0" applyBorder="0" applyAlignment="0" applyProtection="0"/>
    <xf numFmtId="0" fontId="75" fillId="46" borderId="0" applyNumberFormat="0" applyBorder="0" applyAlignment="0" applyProtection="0"/>
    <xf numFmtId="0" fontId="75" fillId="51" borderId="0" applyNumberFormat="0" applyBorder="0" applyAlignment="0" applyProtection="0"/>
    <xf numFmtId="0" fontId="76" fillId="35" borderId="0" applyNumberFormat="0" applyBorder="0" applyAlignment="0" applyProtection="0"/>
    <xf numFmtId="0" fontId="77" fillId="52" borderId="31" applyNumberFormat="0" applyAlignment="0" applyProtection="0"/>
    <xf numFmtId="0" fontId="78" fillId="53" borderId="32" applyNumberFormat="0" applyAlignment="0" applyProtection="0"/>
    <xf numFmtId="0" fontId="79" fillId="0" borderId="0" applyNumberFormat="0" applyFill="0" applyBorder="0" applyAlignment="0" applyProtection="0"/>
    <xf numFmtId="0" fontId="80" fillId="36" borderId="0" applyNumberFormat="0" applyBorder="0" applyAlignment="0" applyProtection="0"/>
    <xf numFmtId="0" fontId="81" fillId="0" borderId="33" applyNumberFormat="0" applyFill="0" applyAlignment="0" applyProtection="0"/>
    <xf numFmtId="0" fontId="82" fillId="0" borderId="34" applyNumberFormat="0" applyFill="0" applyAlignment="0" applyProtection="0"/>
    <xf numFmtId="0" fontId="83" fillId="0" borderId="35" applyNumberFormat="0" applyFill="0" applyAlignment="0" applyProtection="0"/>
    <xf numFmtId="0" fontId="83" fillId="0" borderId="0" applyNumberFormat="0" applyFill="0" applyBorder="0" applyAlignment="0" applyProtection="0"/>
    <xf numFmtId="0" fontId="84" fillId="39" borderId="31" applyNumberFormat="0" applyAlignment="0" applyProtection="0"/>
    <xf numFmtId="0" fontId="85" fillId="0" borderId="36" applyNumberFormat="0" applyFill="0" applyAlignment="0" applyProtection="0"/>
    <xf numFmtId="0" fontId="86" fillId="54" borderId="0" applyNumberFormat="0" applyBorder="0" applyAlignment="0" applyProtection="0"/>
    <xf numFmtId="0" fontId="11" fillId="55" borderId="37" applyNumberFormat="0" applyFont="0" applyAlignment="0" applyProtection="0"/>
    <xf numFmtId="0" fontId="87" fillId="52" borderId="38" applyNumberFormat="0" applyAlignment="0" applyProtection="0"/>
    <xf numFmtId="0" fontId="69" fillId="0" borderId="0" applyNumberFormat="0" applyFill="0" applyBorder="0" applyAlignment="0" applyProtection="0"/>
    <xf numFmtId="0" fontId="88" fillId="0" borderId="39" applyNumberFormat="0" applyFill="0" applyAlignment="0" applyProtection="0"/>
    <xf numFmtId="0" fontId="89" fillId="0" borderId="0" applyNumberFormat="0" applyFill="0" applyBorder="0" applyAlignment="0" applyProtection="0"/>
    <xf numFmtId="0" fontId="74" fillId="42" borderId="0" applyNumberFormat="0" applyBorder="0" applyAlignment="0" applyProtection="0"/>
    <xf numFmtId="0" fontId="74" fillId="37" borderId="0" applyNumberFormat="0" applyBorder="0" applyAlignment="0" applyProtection="0"/>
    <xf numFmtId="0" fontId="74" fillId="40" borderId="0" applyNumberFormat="0" applyBorder="0" applyAlignment="0" applyProtection="0"/>
    <xf numFmtId="0" fontId="74" fillId="43" borderId="0" applyNumberFormat="0" applyBorder="0" applyAlignment="0" applyProtection="0"/>
    <xf numFmtId="0" fontId="75" fillId="44" borderId="0" applyNumberFormat="0" applyBorder="0" applyAlignment="0" applyProtection="0"/>
    <xf numFmtId="0" fontId="75" fillId="41" borderId="0" applyNumberFormat="0" applyBorder="0" applyAlignment="0" applyProtection="0"/>
    <xf numFmtId="0" fontId="75" fillId="42" borderId="0" applyNumberFormat="0" applyBorder="0" applyAlignment="0" applyProtection="0"/>
    <xf numFmtId="0" fontId="75" fillId="45" borderId="0" applyNumberFormat="0" applyBorder="0" applyAlignment="0" applyProtection="0"/>
    <xf numFmtId="0" fontId="75" fillId="46" borderId="0" applyNumberFormat="0" applyBorder="0" applyAlignment="0" applyProtection="0"/>
    <xf numFmtId="0" fontId="75" fillId="47" borderId="0" applyNumberFormat="0" applyBorder="0" applyAlignment="0" applyProtection="0"/>
    <xf numFmtId="0" fontId="75" fillId="48" borderId="0" applyNumberFormat="0" applyBorder="0" applyAlignment="0" applyProtection="0"/>
    <xf numFmtId="0" fontId="75" fillId="49" borderId="0" applyNumberFormat="0" applyBorder="0" applyAlignment="0" applyProtection="0"/>
    <xf numFmtId="0" fontId="75" fillId="50" borderId="0" applyNumberFormat="0" applyBorder="0" applyAlignment="0" applyProtection="0"/>
    <xf numFmtId="0" fontId="75" fillId="45" borderId="0" applyNumberFormat="0" applyBorder="0" applyAlignment="0" applyProtection="0"/>
    <xf numFmtId="0" fontId="75" fillId="46" borderId="0" applyNumberFormat="0" applyBorder="0" applyAlignment="0" applyProtection="0"/>
    <xf numFmtId="0" fontId="75" fillId="51" borderId="0" applyNumberFormat="0" applyBorder="0" applyAlignment="0" applyProtection="0"/>
    <xf numFmtId="0" fontId="76" fillId="35" borderId="0" applyNumberFormat="0" applyBorder="0" applyAlignment="0" applyProtection="0"/>
    <xf numFmtId="0" fontId="77" fillId="52" borderId="31" applyNumberFormat="0" applyAlignment="0" applyProtection="0"/>
    <xf numFmtId="0" fontId="78" fillId="53" borderId="32" applyNumberFormat="0" applyAlignment="0" applyProtection="0"/>
    <xf numFmtId="0" fontId="79" fillId="0" borderId="0" applyNumberFormat="0" applyFill="0" applyBorder="0" applyAlignment="0" applyProtection="0"/>
    <xf numFmtId="0" fontId="80" fillId="36" borderId="0" applyNumberFormat="0" applyBorder="0" applyAlignment="0" applyProtection="0"/>
    <xf numFmtId="0" fontId="81" fillId="0" borderId="33" applyNumberFormat="0" applyFill="0" applyAlignment="0" applyProtection="0"/>
    <xf numFmtId="0" fontId="82" fillId="0" borderId="34" applyNumberFormat="0" applyFill="0" applyAlignment="0" applyProtection="0"/>
    <xf numFmtId="0" fontId="83" fillId="0" borderId="35" applyNumberFormat="0" applyFill="0" applyAlignment="0" applyProtection="0"/>
    <xf numFmtId="0" fontId="83" fillId="0" borderId="0" applyNumberFormat="0" applyFill="0" applyBorder="0" applyAlignment="0" applyProtection="0"/>
    <xf numFmtId="0" fontId="84" fillId="39" borderId="31" applyNumberFormat="0" applyAlignment="0" applyProtection="0"/>
    <xf numFmtId="0" fontId="85" fillId="0" borderId="36" applyNumberFormat="0" applyFill="0" applyAlignment="0" applyProtection="0"/>
    <xf numFmtId="0" fontId="86" fillId="54" borderId="0" applyNumberFormat="0" applyBorder="0" applyAlignment="0" applyProtection="0"/>
    <xf numFmtId="0" fontId="11" fillId="55" borderId="37" applyNumberFormat="0" applyFont="0" applyAlignment="0" applyProtection="0"/>
    <xf numFmtId="0" fontId="87" fillId="52" borderId="38" applyNumberFormat="0" applyAlignment="0" applyProtection="0"/>
    <xf numFmtId="0" fontId="69" fillId="0" borderId="0" applyNumberFormat="0" applyFill="0" applyBorder="0" applyAlignment="0" applyProtection="0"/>
    <xf numFmtId="0" fontId="88" fillId="0" borderId="39" applyNumberFormat="0" applyFill="0" applyAlignment="0" applyProtection="0"/>
    <xf numFmtId="0" fontId="89" fillId="0" borderId="0" applyNumberFormat="0" applyFill="0" applyBorder="0" applyAlignment="0" applyProtection="0"/>
    <xf numFmtId="0" fontId="55" fillId="34" borderId="0" applyNumberFormat="0" applyBorder="0" applyAlignment="0" applyProtection="0"/>
    <xf numFmtId="0" fontId="55" fillId="35"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38" borderId="0" applyNumberFormat="0" applyBorder="0" applyAlignment="0" applyProtection="0"/>
    <xf numFmtId="0" fontId="55" fillId="39" borderId="0" applyNumberFormat="0" applyBorder="0" applyAlignment="0" applyProtection="0"/>
    <xf numFmtId="0" fontId="55" fillId="40" borderId="0" applyNumberFormat="0" applyBorder="0" applyAlignment="0" applyProtection="0"/>
    <xf numFmtId="0" fontId="55" fillId="41" borderId="0" applyNumberFormat="0" applyBorder="0" applyAlignment="0" applyProtection="0"/>
    <xf numFmtId="0" fontId="55" fillId="42" borderId="0" applyNumberFormat="0" applyBorder="0" applyAlignment="0" applyProtection="0"/>
    <xf numFmtId="0" fontId="55" fillId="37" borderId="0" applyNumberFormat="0" applyBorder="0" applyAlignment="0" applyProtection="0"/>
    <xf numFmtId="0" fontId="55" fillId="40" borderId="0" applyNumberFormat="0" applyBorder="0" applyAlignment="0" applyProtection="0"/>
    <xf numFmtId="0" fontId="55" fillId="43" borderId="0" applyNumberFormat="0" applyBorder="0" applyAlignment="0" applyProtection="0"/>
    <xf numFmtId="0" fontId="56" fillId="44" borderId="0" applyNumberFormat="0" applyBorder="0" applyAlignment="0" applyProtection="0"/>
    <xf numFmtId="0" fontId="56" fillId="41" borderId="0" applyNumberFormat="0" applyBorder="0" applyAlignment="0" applyProtection="0"/>
    <xf numFmtId="0" fontId="56" fillId="42" borderId="0" applyNumberFormat="0" applyBorder="0" applyAlignment="0" applyProtection="0"/>
    <xf numFmtId="0" fontId="56" fillId="45" borderId="0" applyNumberFormat="0" applyBorder="0" applyAlignment="0" applyProtection="0"/>
    <xf numFmtId="0" fontId="56" fillId="46" borderId="0" applyNumberFormat="0" applyBorder="0" applyAlignment="0" applyProtection="0"/>
    <xf numFmtId="0" fontId="56" fillId="47" borderId="0" applyNumberFormat="0" applyBorder="0" applyAlignment="0" applyProtection="0"/>
    <xf numFmtId="0" fontId="56" fillId="48" borderId="0" applyNumberFormat="0" applyBorder="0" applyAlignment="0" applyProtection="0"/>
    <xf numFmtId="0" fontId="56" fillId="49" borderId="0" applyNumberFormat="0" applyBorder="0" applyAlignment="0" applyProtection="0"/>
    <xf numFmtId="0" fontId="56" fillId="50" borderId="0" applyNumberFormat="0" applyBorder="0" applyAlignment="0" applyProtection="0"/>
    <xf numFmtId="0" fontId="56" fillId="45" borderId="0" applyNumberFormat="0" applyBorder="0" applyAlignment="0" applyProtection="0"/>
    <xf numFmtId="0" fontId="56" fillId="46" borderId="0" applyNumberFormat="0" applyBorder="0" applyAlignment="0" applyProtection="0"/>
    <xf numFmtId="0" fontId="56" fillId="51" borderId="0" applyNumberFormat="0" applyBorder="0" applyAlignment="0" applyProtection="0"/>
    <xf numFmtId="0" fontId="57" fillId="35" borderId="0" applyNumberFormat="0" applyBorder="0" applyAlignment="0" applyProtection="0"/>
    <xf numFmtId="0" fontId="58" fillId="52" borderId="31" applyNumberFormat="0" applyAlignment="0" applyProtection="0"/>
    <xf numFmtId="0" fontId="59" fillId="53" borderId="32" applyNumberFormat="0" applyAlignment="0" applyProtection="0"/>
    <xf numFmtId="0" fontId="56" fillId="46" borderId="0" applyNumberFormat="0" applyBorder="0" applyAlignment="0" applyProtection="0"/>
    <xf numFmtId="0" fontId="56" fillId="45" borderId="0" applyNumberFormat="0" applyBorder="0" applyAlignment="0" applyProtection="0"/>
    <xf numFmtId="0" fontId="60" fillId="0" borderId="0" applyNumberFormat="0" applyFill="0" applyBorder="0" applyAlignment="0" applyProtection="0"/>
    <xf numFmtId="0" fontId="61" fillId="36" borderId="0" applyNumberFormat="0" applyBorder="0" applyAlignment="0" applyProtection="0"/>
    <xf numFmtId="0" fontId="62" fillId="0" borderId="33" applyNumberFormat="0" applyFill="0" applyAlignment="0" applyProtection="0"/>
    <xf numFmtId="0" fontId="63" fillId="0" borderId="34" applyNumberFormat="0" applyFill="0" applyAlignment="0" applyProtection="0"/>
    <xf numFmtId="0" fontId="64" fillId="0" borderId="35" applyNumberFormat="0" applyFill="0" applyAlignment="0" applyProtection="0"/>
    <xf numFmtId="0" fontId="64" fillId="0" borderId="0" applyNumberFormat="0" applyFill="0" applyBorder="0" applyAlignment="0" applyProtection="0"/>
    <xf numFmtId="0" fontId="56" fillId="42" borderId="0" applyNumberFormat="0" applyBorder="0" applyAlignment="0" applyProtection="0"/>
    <xf numFmtId="0" fontId="65" fillId="39" borderId="31" applyNumberFormat="0" applyAlignment="0" applyProtection="0"/>
    <xf numFmtId="0" fontId="66" fillId="0" borderId="36" applyNumberFormat="0" applyFill="0" applyAlignment="0" applyProtection="0"/>
    <xf numFmtId="0" fontId="67" fillId="54" borderId="0" applyNumberFormat="0" applyBorder="0" applyAlignment="0" applyProtection="0"/>
    <xf numFmtId="0" fontId="55" fillId="40" borderId="0" applyNumberFormat="0" applyBorder="0" applyAlignment="0" applyProtection="0"/>
    <xf numFmtId="0" fontId="55" fillId="37" borderId="0" applyNumberFormat="0" applyBorder="0" applyAlignment="0" applyProtection="0"/>
    <xf numFmtId="0" fontId="11" fillId="55" borderId="37" applyNumberFormat="0" applyFont="0" applyAlignment="0" applyProtection="0"/>
    <xf numFmtId="0" fontId="68" fillId="52" borderId="38" applyNumberFormat="0" applyAlignment="0" applyProtection="0"/>
    <xf numFmtId="0" fontId="55" fillId="41" borderId="0" applyNumberFormat="0" applyBorder="0" applyAlignment="0" applyProtection="0"/>
    <xf numFmtId="0" fontId="69" fillId="0" borderId="0" applyNumberFormat="0" applyFill="0" applyBorder="0" applyAlignment="0" applyProtection="0"/>
    <xf numFmtId="0" fontId="70" fillId="0" borderId="39" applyNumberFormat="0" applyFill="0" applyAlignment="0" applyProtection="0"/>
    <xf numFmtId="0" fontId="71" fillId="0" borderId="0" applyNumberForma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67" fillId="54" borderId="0" applyNumberFormat="0" applyBorder="0" applyAlignment="0" applyProtection="0"/>
    <xf numFmtId="0" fontId="66" fillId="0" borderId="36" applyNumberFormat="0" applyFill="0" applyAlignment="0" applyProtection="0"/>
    <xf numFmtId="0" fontId="71" fillId="0" borderId="0" applyNumberFormat="0" applyFill="0" applyBorder="0" applyAlignment="0" applyProtection="0"/>
    <xf numFmtId="0" fontId="70" fillId="0" borderId="39" applyNumberFormat="0" applyFill="0" applyAlignment="0" applyProtection="0"/>
    <xf numFmtId="0" fontId="69" fillId="0" borderId="0" applyNumberFormat="0" applyFill="0" applyBorder="0" applyAlignment="0" applyProtection="0"/>
    <xf numFmtId="0" fontId="55" fillId="37" borderId="0" applyNumberFormat="0" applyBorder="0" applyAlignment="0" applyProtection="0"/>
    <xf numFmtId="0" fontId="68" fillId="52" borderId="38" applyNumberFormat="0" applyAlignment="0" applyProtection="0"/>
    <xf numFmtId="0" fontId="11" fillId="55" borderId="37" applyNumberFormat="0" applyFont="0" applyAlignment="0" applyProtection="0"/>
    <xf numFmtId="0" fontId="56" fillId="44" borderId="0" applyNumberFormat="0" applyBorder="0" applyAlignment="0" applyProtection="0"/>
    <xf numFmtId="0" fontId="56" fillId="41" borderId="0" applyNumberFormat="0" applyBorder="0" applyAlignment="0" applyProtection="0"/>
    <xf numFmtId="0" fontId="56" fillId="42" borderId="0" applyNumberFormat="0" applyBorder="0" applyAlignment="0" applyProtection="0"/>
    <xf numFmtId="0" fontId="67" fillId="54" borderId="0" applyNumberFormat="0" applyBorder="0" applyAlignment="0" applyProtection="0"/>
    <xf numFmtId="0" fontId="66" fillId="0" borderId="36" applyNumberFormat="0" applyFill="0" applyAlignment="0" applyProtection="0"/>
    <xf numFmtId="0" fontId="65" fillId="39" borderId="31" applyNumberFormat="0" applyAlignment="0" applyProtection="0"/>
    <xf numFmtId="0" fontId="56" fillId="46" borderId="0" applyNumberFormat="0" applyBorder="0" applyAlignment="0" applyProtection="0"/>
    <xf numFmtId="0" fontId="64" fillId="0" borderId="0" applyNumberFormat="0" applyFill="0" applyBorder="0" applyAlignment="0" applyProtection="0"/>
    <xf numFmtId="0" fontId="64" fillId="0" borderId="35" applyNumberFormat="0" applyFill="0" applyAlignment="0" applyProtection="0"/>
    <xf numFmtId="0" fontId="63" fillId="0" borderId="34" applyNumberFormat="0" applyFill="0" applyAlignment="0" applyProtection="0"/>
    <xf numFmtId="0" fontId="62" fillId="0" borderId="33" applyNumberFormat="0" applyFill="0" applyAlignment="0" applyProtection="0"/>
    <xf numFmtId="0" fontId="61" fillId="36" borderId="0" applyNumberFormat="0" applyBorder="0" applyAlignment="0" applyProtection="0"/>
    <xf numFmtId="0" fontId="60" fillId="0" borderId="0" applyNumberFormat="0" applyFill="0" applyBorder="0" applyAlignment="0" applyProtection="0"/>
    <xf numFmtId="0" fontId="65" fillId="39" borderId="31" applyNumberFormat="0" applyAlignment="0" applyProtection="0"/>
    <xf numFmtId="0" fontId="59" fillId="53" borderId="32" applyNumberFormat="0" applyAlignment="0" applyProtection="0"/>
    <xf numFmtId="0" fontId="58" fillId="52" borderId="31" applyNumberFormat="0" applyAlignment="0" applyProtection="0"/>
    <xf numFmtId="0" fontId="57" fillId="35" borderId="0" applyNumberFormat="0" applyBorder="0" applyAlignment="0" applyProtection="0"/>
    <xf numFmtId="0" fontId="56" fillId="51" borderId="0" applyNumberFormat="0" applyBorder="0" applyAlignment="0" applyProtection="0"/>
    <xf numFmtId="44" fontId="11" fillId="0" borderId="0" applyFont="0" applyFill="0" applyBorder="0" applyAlignment="0" applyProtection="0"/>
    <xf numFmtId="0" fontId="56" fillId="50" borderId="0" applyNumberFormat="0" applyBorder="0" applyAlignment="0" applyProtection="0"/>
    <xf numFmtId="0" fontId="56" fillId="49" borderId="0" applyNumberFormat="0" applyBorder="0" applyAlignment="0" applyProtection="0"/>
    <xf numFmtId="0" fontId="56" fillId="48" borderId="0" applyNumberFormat="0" applyBorder="0" applyAlignment="0" applyProtection="0"/>
    <xf numFmtId="0" fontId="56" fillId="47" borderId="0" applyNumberFormat="0" applyBorder="0" applyAlignment="0" applyProtection="0"/>
    <xf numFmtId="0" fontId="56" fillId="46" borderId="0" applyNumberFormat="0" applyBorder="0" applyAlignment="0" applyProtection="0"/>
    <xf numFmtId="0" fontId="56" fillId="45" borderId="0" applyNumberFormat="0" applyBorder="0" applyAlignment="0" applyProtection="0"/>
    <xf numFmtId="0" fontId="74" fillId="40" borderId="0" applyNumberFormat="0" applyBorder="0" applyAlignment="0" applyProtection="0"/>
    <xf numFmtId="0" fontId="56" fillId="41" borderId="0" applyNumberFormat="0" applyBorder="0" applyAlignment="0" applyProtection="0"/>
    <xf numFmtId="0" fontId="56" fillId="44"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40"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0" fontId="55" fillId="37" borderId="0" applyNumberFormat="0" applyBorder="0" applyAlignment="0" applyProtection="0"/>
    <xf numFmtId="0" fontId="55" fillId="36" borderId="0" applyNumberFormat="0" applyBorder="0" applyAlignment="0" applyProtection="0"/>
    <xf numFmtId="0" fontId="55" fillId="35" borderId="0" applyNumberFormat="0" applyBorder="0" applyAlignment="0" applyProtection="0"/>
    <xf numFmtId="0" fontId="55" fillId="34" borderId="0" applyNumberFormat="0" applyBorder="0" applyAlignment="0" applyProtection="0"/>
    <xf numFmtId="0" fontId="90" fillId="0" borderId="22" applyNumberFormat="0" applyFill="0" applyAlignment="0" applyProtection="0"/>
    <xf numFmtId="0" fontId="91" fillId="0" borderId="23" applyNumberFormat="0" applyFill="0" applyAlignment="0" applyProtection="0"/>
    <xf numFmtId="0" fontId="92" fillId="0" borderId="24" applyNumberFormat="0" applyFill="0" applyAlignment="0" applyProtection="0"/>
    <xf numFmtId="0" fontId="92" fillId="0" borderId="0" applyNumberFormat="0" applyFill="0" applyBorder="0" applyAlignment="0" applyProtection="0"/>
    <xf numFmtId="0" fontId="93" fillId="3" borderId="0" applyNumberFormat="0" applyBorder="0" applyAlignment="0" applyProtection="0"/>
    <xf numFmtId="0" fontId="94" fillId="4" borderId="0" applyNumberFormat="0" applyBorder="0" applyAlignment="0" applyProtection="0"/>
    <xf numFmtId="0" fontId="95" fillId="5" borderId="0" applyNumberFormat="0" applyBorder="0" applyAlignment="0" applyProtection="0"/>
    <xf numFmtId="0" fontId="96" fillId="6" borderId="25" applyNumberFormat="0" applyAlignment="0" applyProtection="0"/>
    <xf numFmtId="0" fontId="97" fillId="7" borderId="26" applyNumberFormat="0" applyAlignment="0" applyProtection="0"/>
    <xf numFmtId="0" fontId="98" fillId="7" borderId="25" applyNumberFormat="0" applyAlignment="0" applyProtection="0"/>
    <xf numFmtId="0" fontId="99" fillId="0" borderId="27" applyNumberFormat="0" applyFill="0" applyAlignment="0" applyProtection="0"/>
    <xf numFmtId="0" fontId="100" fillId="8" borderId="28" applyNumberFormat="0" applyAlignment="0" applyProtection="0"/>
    <xf numFmtId="0" fontId="101" fillId="0" borderId="0" applyNumberFormat="0" applyFill="0" applyBorder="0" applyAlignment="0" applyProtection="0"/>
    <xf numFmtId="0" fontId="11" fillId="0" borderId="0"/>
    <xf numFmtId="0" fontId="102" fillId="0" borderId="0" applyNumberFormat="0" applyFill="0" applyBorder="0" applyAlignment="0" applyProtection="0"/>
    <xf numFmtId="0" fontId="103" fillId="0" borderId="30" applyNumberFormat="0" applyFill="0" applyAlignment="0" applyProtection="0"/>
    <xf numFmtId="0" fontId="104"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104" fillId="13" borderId="0" applyNumberFormat="0" applyBorder="0" applyAlignment="0" applyProtection="0"/>
    <xf numFmtId="0" fontId="104"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104" fillId="17" borderId="0" applyNumberFormat="0" applyBorder="0" applyAlignment="0" applyProtection="0"/>
    <xf numFmtId="0" fontId="104"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104" fillId="21" borderId="0" applyNumberFormat="0" applyBorder="0" applyAlignment="0" applyProtection="0"/>
    <xf numFmtId="0" fontId="104"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104" fillId="25" borderId="0" applyNumberFormat="0" applyBorder="0" applyAlignment="0" applyProtection="0"/>
    <xf numFmtId="0" fontId="104" fillId="26"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104" fillId="29" borderId="0" applyNumberFormat="0" applyBorder="0" applyAlignment="0" applyProtection="0"/>
    <xf numFmtId="0" fontId="104" fillId="30" borderId="0" applyNumberFormat="0" applyBorder="0" applyAlignment="0" applyProtection="0"/>
    <xf numFmtId="0" fontId="72" fillId="31" borderId="0" applyNumberFormat="0" applyBorder="0" applyAlignment="0" applyProtection="0"/>
    <xf numFmtId="0" fontId="72" fillId="32" borderId="0" applyNumberFormat="0" applyBorder="0" applyAlignment="0" applyProtection="0"/>
    <xf numFmtId="0" fontId="104" fillId="33" borderId="0" applyNumberFormat="0" applyBorder="0" applyAlignment="0" applyProtection="0"/>
    <xf numFmtId="0" fontId="38" fillId="0" borderId="0" applyNumberFormat="0" applyFill="0" applyBorder="0" applyAlignment="0" applyProtection="0"/>
    <xf numFmtId="0" fontId="90" fillId="0" borderId="22" applyNumberFormat="0" applyFill="0" applyAlignment="0" applyProtection="0"/>
    <xf numFmtId="0" fontId="91" fillId="0" borderId="23" applyNumberFormat="0" applyFill="0" applyAlignment="0" applyProtection="0"/>
    <xf numFmtId="0" fontId="92" fillId="0" borderId="24" applyNumberFormat="0" applyFill="0" applyAlignment="0" applyProtection="0"/>
    <xf numFmtId="0" fontId="92" fillId="0" borderId="0" applyNumberFormat="0" applyFill="0" applyBorder="0" applyAlignment="0" applyProtection="0"/>
    <xf numFmtId="0" fontId="93" fillId="3" borderId="0" applyNumberFormat="0" applyBorder="0" applyAlignment="0" applyProtection="0"/>
    <xf numFmtId="0" fontId="94" fillId="4" borderId="0" applyNumberFormat="0" applyBorder="0" applyAlignment="0" applyProtection="0"/>
    <xf numFmtId="0" fontId="95" fillId="5" borderId="0" applyNumberFormat="0" applyBorder="0" applyAlignment="0" applyProtection="0"/>
    <xf numFmtId="0" fontId="96" fillId="6" borderId="25" applyNumberFormat="0" applyAlignment="0" applyProtection="0"/>
    <xf numFmtId="0" fontId="97" fillId="7" borderId="26" applyNumberFormat="0" applyAlignment="0" applyProtection="0"/>
    <xf numFmtId="0" fontId="98" fillId="7" borderId="25" applyNumberFormat="0" applyAlignment="0" applyProtection="0"/>
    <xf numFmtId="0" fontId="99" fillId="0" borderId="27" applyNumberFormat="0" applyFill="0" applyAlignment="0" applyProtection="0"/>
    <xf numFmtId="0" fontId="100" fillId="8" borderId="28" applyNumberFormat="0" applyAlignment="0" applyProtection="0"/>
    <xf numFmtId="0" fontId="101" fillId="0" borderId="0" applyNumberFormat="0" applyFill="0" applyBorder="0" applyAlignment="0" applyProtection="0"/>
    <xf numFmtId="0" fontId="72" fillId="9" borderId="29" applyNumberFormat="0" applyFont="0" applyAlignment="0" applyProtection="0"/>
    <xf numFmtId="0" fontId="102" fillId="0" borderId="0" applyNumberFormat="0" applyFill="0" applyBorder="0" applyAlignment="0" applyProtection="0"/>
    <xf numFmtId="0" fontId="103" fillId="0" borderId="30" applyNumberFormat="0" applyFill="0" applyAlignment="0" applyProtection="0"/>
    <xf numFmtId="0" fontId="104"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104" fillId="13" borderId="0" applyNumberFormat="0" applyBorder="0" applyAlignment="0" applyProtection="0"/>
    <xf numFmtId="0" fontId="104"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104" fillId="17" borderId="0" applyNumberFormat="0" applyBorder="0" applyAlignment="0" applyProtection="0"/>
    <xf numFmtId="0" fontId="104"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104" fillId="21" borderId="0" applyNumberFormat="0" applyBorder="0" applyAlignment="0" applyProtection="0"/>
    <xf numFmtId="0" fontId="104"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104" fillId="25" borderId="0" applyNumberFormat="0" applyBorder="0" applyAlignment="0" applyProtection="0"/>
    <xf numFmtId="0" fontId="104" fillId="26"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104" fillId="29" borderId="0" applyNumberFormat="0" applyBorder="0" applyAlignment="0" applyProtection="0"/>
    <xf numFmtId="0" fontId="104" fillId="30" borderId="0" applyNumberFormat="0" applyBorder="0" applyAlignment="0" applyProtection="0"/>
    <xf numFmtId="0" fontId="72" fillId="31" borderId="0" applyNumberFormat="0" applyBorder="0" applyAlignment="0" applyProtection="0"/>
    <xf numFmtId="0" fontId="72" fillId="32" borderId="0" applyNumberFormat="0" applyBorder="0" applyAlignment="0" applyProtection="0"/>
    <xf numFmtId="0" fontId="104" fillId="33" borderId="0" applyNumberFormat="0" applyBorder="0" applyAlignment="0" applyProtection="0"/>
    <xf numFmtId="0" fontId="74" fillId="39" borderId="0" applyNumberFormat="0" applyBorder="0" applyAlignment="0" applyProtection="0"/>
    <xf numFmtId="0" fontId="71" fillId="0" borderId="0" applyNumberFormat="0" applyFill="0" applyBorder="0" applyAlignment="0" applyProtection="0"/>
    <xf numFmtId="0" fontId="69" fillId="0" borderId="0" applyNumberFormat="0" applyFill="0" applyBorder="0" applyAlignment="0" applyProtection="0"/>
    <xf numFmtId="0" fontId="68" fillId="52" borderId="38" applyNumberFormat="0" applyAlignment="0" applyProtection="0"/>
    <xf numFmtId="0" fontId="64" fillId="0" borderId="0" applyNumberFormat="0" applyFill="0" applyBorder="0" applyAlignment="0" applyProtection="0"/>
    <xf numFmtId="0" fontId="63" fillId="0" borderId="34" applyNumberFormat="0" applyFill="0" applyAlignment="0" applyProtection="0"/>
    <xf numFmtId="0" fontId="61" fillId="36" borderId="0" applyNumberFormat="0" applyBorder="0" applyAlignment="0" applyProtection="0"/>
    <xf numFmtId="0" fontId="59" fillId="53" borderId="32" applyNumberFormat="0" applyAlignment="0" applyProtection="0"/>
    <xf numFmtId="0" fontId="57" fillId="35" borderId="0" applyNumberFormat="0" applyBorder="0" applyAlignment="0" applyProtection="0"/>
    <xf numFmtId="0" fontId="56" fillId="45" borderId="0" applyNumberFormat="0" applyBorder="0" applyAlignment="0" applyProtection="0"/>
    <xf numFmtId="0" fontId="56" fillId="50" borderId="0" applyNumberFormat="0" applyBorder="0" applyAlignment="0" applyProtection="0"/>
    <xf numFmtId="0" fontId="56" fillId="48" borderId="0" applyNumberFormat="0" applyBorder="0" applyAlignment="0" applyProtection="0"/>
    <xf numFmtId="0" fontId="56"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41" borderId="0" applyNumberFormat="0" applyBorder="0" applyAlignment="0" applyProtection="0"/>
    <xf numFmtId="0" fontId="55" fillId="40"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0" fontId="55" fillId="37" borderId="0" applyNumberFormat="0" applyBorder="0" applyAlignment="0" applyProtection="0"/>
    <xf numFmtId="0" fontId="55" fillId="36" borderId="0" applyNumberFormat="0" applyBorder="0" applyAlignment="0" applyProtection="0"/>
    <xf numFmtId="0" fontId="55" fillId="34" borderId="0" applyNumberFormat="0" applyBorder="0" applyAlignment="0" applyProtection="0"/>
    <xf numFmtId="0" fontId="38" fillId="0" borderId="0" applyNumberFormat="0" applyFill="0" applyBorder="0" applyAlignment="0" applyProtection="0"/>
    <xf numFmtId="0" fontId="60" fillId="0" borderId="0" applyNumberFormat="0" applyFill="0" applyBorder="0" applyAlignment="0" applyProtection="0"/>
    <xf numFmtId="0" fontId="58" fillId="52" borderId="31" applyNumberFormat="0" applyAlignment="0" applyProtection="0"/>
    <xf numFmtId="0" fontId="56" fillId="51" borderId="0" applyNumberFormat="0" applyBorder="0" applyAlignment="0" applyProtection="0"/>
    <xf numFmtId="0" fontId="62" fillId="0" borderId="33" applyNumberFormat="0" applyFill="0" applyAlignment="0" applyProtection="0"/>
    <xf numFmtId="0" fontId="56" fillId="45" borderId="0" applyNumberFormat="0" applyBorder="0" applyAlignment="0" applyProtection="0"/>
    <xf numFmtId="0" fontId="56" fillId="49" borderId="0" applyNumberFormat="0" applyBorder="0" applyAlignment="0" applyProtection="0"/>
    <xf numFmtId="0" fontId="55" fillId="40" borderId="0" applyNumberFormat="0" applyBorder="0" applyAlignment="0" applyProtection="0"/>
    <xf numFmtId="0" fontId="56" fillId="47" borderId="0" applyNumberFormat="0" applyBorder="0" applyAlignment="0" applyProtection="0"/>
    <xf numFmtId="0" fontId="72" fillId="9" borderId="29" applyNumberFormat="0" applyFont="0" applyAlignment="0" applyProtection="0"/>
    <xf numFmtId="0" fontId="64" fillId="0" borderId="35" applyNumberFormat="0" applyFill="0" applyAlignment="0" applyProtection="0"/>
    <xf numFmtId="0" fontId="55" fillId="35" borderId="0" applyNumberFormat="0" applyBorder="0" applyAlignment="0" applyProtection="0"/>
    <xf numFmtId="0" fontId="70" fillId="0" borderId="39" applyNumberFormat="0" applyFill="0" applyAlignment="0" applyProtection="0"/>
    <xf numFmtId="0" fontId="38" fillId="0" borderId="0" applyNumberFormat="0" applyFill="0" applyBorder="0" applyAlignment="0" applyProtection="0"/>
    <xf numFmtId="0" fontId="90" fillId="0" borderId="22" applyNumberFormat="0" applyFill="0" applyAlignment="0" applyProtection="0"/>
    <xf numFmtId="0" fontId="91" fillId="0" borderId="23" applyNumberFormat="0" applyFill="0" applyAlignment="0" applyProtection="0"/>
    <xf numFmtId="0" fontId="92" fillId="0" borderId="24" applyNumberFormat="0" applyFill="0" applyAlignment="0" applyProtection="0"/>
    <xf numFmtId="0" fontId="92" fillId="0" borderId="0" applyNumberFormat="0" applyFill="0" applyBorder="0" applyAlignment="0" applyProtection="0"/>
    <xf numFmtId="0" fontId="93" fillId="3" borderId="0" applyNumberFormat="0" applyBorder="0" applyAlignment="0" applyProtection="0"/>
    <xf numFmtId="0" fontId="94" fillId="4" borderId="0" applyNumberFormat="0" applyBorder="0" applyAlignment="0" applyProtection="0"/>
    <xf numFmtId="0" fontId="95" fillId="5" borderId="0" applyNumberFormat="0" applyBorder="0" applyAlignment="0" applyProtection="0"/>
    <xf numFmtId="0" fontId="96" fillId="6" borderId="25" applyNumberFormat="0" applyAlignment="0" applyProtection="0"/>
    <xf numFmtId="0" fontId="97" fillId="7" borderId="26" applyNumberFormat="0" applyAlignment="0" applyProtection="0"/>
    <xf numFmtId="0" fontId="98" fillId="7" borderId="25" applyNumberFormat="0" applyAlignment="0" applyProtection="0"/>
    <xf numFmtId="0" fontId="99" fillId="0" borderId="27" applyNumberFormat="0" applyFill="0" applyAlignment="0" applyProtection="0"/>
    <xf numFmtId="0" fontId="100" fillId="8" borderId="28" applyNumberFormat="0" applyAlignment="0" applyProtection="0"/>
    <xf numFmtId="0" fontId="101" fillId="0" borderId="0" applyNumberFormat="0" applyFill="0" applyBorder="0" applyAlignment="0" applyProtection="0"/>
    <xf numFmtId="0" fontId="72" fillId="9" borderId="29" applyNumberFormat="0" applyFont="0" applyAlignment="0" applyProtection="0"/>
    <xf numFmtId="0" fontId="102" fillId="0" borderId="0" applyNumberFormat="0" applyFill="0" applyBorder="0" applyAlignment="0" applyProtection="0"/>
    <xf numFmtId="0" fontId="103" fillId="0" borderId="30" applyNumberFormat="0" applyFill="0" applyAlignment="0" applyProtection="0"/>
    <xf numFmtId="0" fontId="104"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104" fillId="13" borderId="0" applyNumberFormat="0" applyBorder="0" applyAlignment="0" applyProtection="0"/>
    <xf numFmtId="0" fontId="104"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104" fillId="17" borderId="0" applyNumberFormat="0" applyBorder="0" applyAlignment="0" applyProtection="0"/>
    <xf numFmtId="0" fontId="104"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104" fillId="21" borderId="0" applyNumberFormat="0" applyBorder="0" applyAlignment="0" applyProtection="0"/>
    <xf numFmtId="0" fontId="104"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104" fillId="25" borderId="0" applyNumberFormat="0" applyBorder="0" applyAlignment="0" applyProtection="0"/>
    <xf numFmtId="0" fontId="104" fillId="26"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104" fillId="29" borderId="0" applyNumberFormat="0" applyBorder="0" applyAlignment="0" applyProtection="0"/>
    <xf numFmtId="0" fontId="104" fillId="30" borderId="0" applyNumberFormat="0" applyBorder="0" applyAlignment="0" applyProtection="0"/>
    <xf numFmtId="0" fontId="72" fillId="31" borderId="0" applyNumberFormat="0" applyBorder="0" applyAlignment="0" applyProtection="0"/>
    <xf numFmtId="0" fontId="72" fillId="32" borderId="0" applyNumberFormat="0" applyBorder="0" applyAlignment="0" applyProtection="0"/>
    <xf numFmtId="0" fontId="104" fillId="33" borderId="0" applyNumberFormat="0" applyBorder="0" applyAlignment="0" applyProtection="0"/>
    <xf numFmtId="0" fontId="74" fillId="38" borderId="0" applyNumberFormat="0" applyBorder="0" applyAlignment="0" applyProtection="0"/>
    <xf numFmtId="0" fontId="38" fillId="0" borderId="0" applyNumberFormat="0" applyFill="0" applyBorder="0" applyAlignment="0" applyProtection="0"/>
    <xf numFmtId="0" fontId="72" fillId="9" borderId="29" applyNumberFormat="0" applyFont="0" applyAlignment="0" applyProtection="0"/>
    <xf numFmtId="0" fontId="38" fillId="0" borderId="0" applyNumberFormat="0" applyFill="0" applyBorder="0" applyAlignment="0" applyProtection="0"/>
    <xf numFmtId="0" fontId="90" fillId="0" borderId="22" applyNumberFormat="0" applyFill="0" applyAlignment="0" applyProtection="0"/>
    <xf numFmtId="0" fontId="91" fillId="0" borderId="23" applyNumberFormat="0" applyFill="0" applyAlignment="0" applyProtection="0"/>
    <xf numFmtId="0" fontId="92" fillId="0" borderId="24" applyNumberFormat="0" applyFill="0" applyAlignment="0" applyProtection="0"/>
    <xf numFmtId="0" fontId="92" fillId="0" borderId="0" applyNumberFormat="0" applyFill="0" applyBorder="0" applyAlignment="0" applyProtection="0"/>
    <xf numFmtId="0" fontId="93" fillId="3" borderId="0" applyNumberFormat="0" applyBorder="0" applyAlignment="0" applyProtection="0"/>
    <xf numFmtId="0" fontId="94" fillId="4" borderId="0" applyNumberFormat="0" applyBorder="0" applyAlignment="0" applyProtection="0"/>
    <xf numFmtId="0" fontId="95" fillId="5" borderId="0" applyNumberFormat="0" applyBorder="0" applyAlignment="0" applyProtection="0"/>
    <xf numFmtId="0" fontId="96" fillId="6" borderId="25" applyNumberFormat="0" applyAlignment="0" applyProtection="0"/>
    <xf numFmtId="0" fontId="97" fillId="7" borderId="26" applyNumberFormat="0" applyAlignment="0" applyProtection="0"/>
    <xf numFmtId="0" fontId="98" fillId="7" borderId="25" applyNumberFormat="0" applyAlignment="0" applyProtection="0"/>
    <xf numFmtId="0" fontId="99" fillId="0" borderId="27" applyNumberFormat="0" applyFill="0" applyAlignment="0" applyProtection="0"/>
    <xf numFmtId="0" fontId="100" fillId="8" borderId="28" applyNumberFormat="0" applyAlignment="0" applyProtection="0"/>
    <xf numFmtId="0" fontId="101" fillId="0" borderId="0" applyNumberFormat="0" applyFill="0" applyBorder="0" applyAlignment="0" applyProtection="0"/>
    <xf numFmtId="0" fontId="72" fillId="9" borderId="29" applyNumberFormat="0" applyFont="0" applyAlignment="0" applyProtection="0"/>
    <xf numFmtId="0" fontId="102" fillId="0" borderId="0" applyNumberFormat="0" applyFill="0" applyBorder="0" applyAlignment="0" applyProtection="0"/>
    <xf numFmtId="0" fontId="103" fillId="0" borderId="30" applyNumberFormat="0" applyFill="0" applyAlignment="0" applyProtection="0"/>
    <xf numFmtId="0" fontId="104"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104" fillId="13" borderId="0" applyNumberFormat="0" applyBorder="0" applyAlignment="0" applyProtection="0"/>
    <xf numFmtId="0" fontId="104"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104" fillId="17" borderId="0" applyNumberFormat="0" applyBorder="0" applyAlignment="0" applyProtection="0"/>
    <xf numFmtId="0" fontId="104"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104" fillId="21" borderId="0" applyNumberFormat="0" applyBorder="0" applyAlignment="0" applyProtection="0"/>
    <xf numFmtId="0" fontId="104"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104" fillId="25" borderId="0" applyNumberFormat="0" applyBorder="0" applyAlignment="0" applyProtection="0"/>
    <xf numFmtId="0" fontId="104" fillId="26"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104" fillId="29" borderId="0" applyNumberFormat="0" applyBorder="0" applyAlignment="0" applyProtection="0"/>
    <xf numFmtId="0" fontId="104" fillId="30" borderId="0" applyNumberFormat="0" applyBorder="0" applyAlignment="0" applyProtection="0"/>
    <xf numFmtId="0" fontId="72" fillId="31" borderId="0" applyNumberFormat="0" applyBorder="0" applyAlignment="0" applyProtection="0"/>
    <xf numFmtId="0" fontId="72" fillId="32" borderId="0" applyNumberFormat="0" applyBorder="0" applyAlignment="0" applyProtection="0"/>
    <xf numFmtId="0" fontId="104" fillId="33" borderId="0" applyNumberFormat="0" applyBorder="0" applyAlignment="0" applyProtection="0"/>
    <xf numFmtId="0" fontId="74" fillId="37" borderId="0" applyNumberFormat="0" applyBorder="0" applyAlignment="0" applyProtection="0"/>
    <xf numFmtId="0" fontId="11" fillId="0" borderId="0"/>
    <xf numFmtId="0" fontId="74" fillId="34" borderId="0" applyNumberFormat="0" applyBorder="0" applyAlignment="0" applyProtection="0"/>
    <xf numFmtId="0" fontId="74" fillId="35" borderId="0" applyNumberFormat="0" applyBorder="0" applyAlignment="0" applyProtection="0"/>
    <xf numFmtId="0" fontId="74" fillId="36" borderId="0" applyNumberFormat="0" applyBorder="0" applyAlignment="0" applyProtection="0"/>
    <xf numFmtId="0" fontId="74" fillId="37" borderId="0" applyNumberFormat="0" applyBorder="0" applyAlignment="0" applyProtection="0"/>
    <xf numFmtId="0" fontId="74" fillId="38" borderId="0" applyNumberFormat="0" applyBorder="0" applyAlignment="0" applyProtection="0"/>
    <xf numFmtId="0" fontId="74" fillId="39" borderId="0" applyNumberFormat="0" applyBorder="0" applyAlignment="0" applyProtection="0"/>
    <xf numFmtId="0" fontId="74" fillId="40" borderId="0" applyNumberFormat="0" applyBorder="0" applyAlignment="0" applyProtection="0"/>
    <xf numFmtId="0" fontId="74" fillId="41" borderId="0" applyNumberFormat="0" applyBorder="0" applyAlignment="0" applyProtection="0"/>
    <xf numFmtId="0" fontId="74" fillId="42" borderId="0" applyNumberFormat="0" applyBorder="0" applyAlignment="0" applyProtection="0"/>
    <xf numFmtId="0" fontId="74" fillId="37" borderId="0" applyNumberFormat="0" applyBorder="0" applyAlignment="0" applyProtection="0"/>
    <xf numFmtId="0" fontId="74" fillId="40" borderId="0" applyNumberFormat="0" applyBorder="0" applyAlignment="0" applyProtection="0"/>
    <xf numFmtId="0" fontId="74" fillId="43" borderId="0" applyNumberFormat="0" applyBorder="0" applyAlignment="0" applyProtection="0"/>
    <xf numFmtId="0" fontId="75" fillId="44" borderId="0" applyNumberFormat="0" applyBorder="0" applyAlignment="0" applyProtection="0"/>
    <xf numFmtId="0" fontId="75" fillId="41" borderId="0" applyNumberFormat="0" applyBorder="0" applyAlignment="0" applyProtection="0"/>
    <xf numFmtId="0" fontId="75" fillId="42" borderId="0" applyNumberFormat="0" applyBorder="0" applyAlignment="0" applyProtection="0"/>
    <xf numFmtId="0" fontId="75" fillId="45" borderId="0" applyNumberFormat="0" applyBorder="0" applyAlignment="0" applyProtection="0"/>
    <xf numFmtId="0" fontId="75" fillId="46" borderId="0" applyNumberFormat="0" applyBorder="0" applyAlignment="0" applyProtection="0"/>
    <xf numFmtId="0" fontId="75" fillId="47" borderId="0" applyNumberFormat="0" applyBorder="0" applyAlignment="0" applyProtection="0"/>
    <xf numFmtId="0" fontId="75" fillId="48" borderId="0" applyNumberFormat="0" applyBorder="0" applyAlignment="0" applyProtection="0"/>
    <xf numFmtId="0" fontId="75" fillId="49" borderId="0" applyNumberFormat="0" applyBorder="0" applyAlignment="0" applyProtection="0"/>
    <xf numFmtId="0" fontId="75" fillId="50" borderId="0" applyNumberFormat="0" applyBorder="0" applyAlignment="0" applyProtection="0"/>
    <xf numFmtId="0" fontId="75" fillId="45" borderId="0" applyNumberFormat="0" applyBorder="0" applyAlignment="0" applyProtection="0"/>
    <xf numFmtId="0" fontId="75" fillId="46" borderId="0" applyNumberFormat="0" applyBorder="0" applyAlignment="0" applyProtection="0"/>
    <xf numFmtId="0" fontId="75" fillId="51" borderId="0" applyNumberFormat="0" applyBorder="0" applyAlignment="0" applyProtection="0"/>
    <xf numFmtId="0" fontId="76" fillId="35" borderId="0" applyNumberFormat="0" applyBorder="0" applyAlignment="0" applyProtection="0"/>
    <xf numFmtId="0" fontId="77" fillId="52" borderId="31" applyNumberFormat="0" applyAlignment="0" applyProtection="0"/>
    <xf numFmtId="0" fontId="78" fillId="53" borderId="32" applyNumberFormat="0" applyAlignment="0" applyProtection="0"/>
    <xf numFmtId="0" fontId="79" fillId="0" borderId="0" applyNumberFormat="0" applyFill="0" applyBorder="0" applyAlignment="0" applyProtection="0"/>
    <xf numFmtId="0" fontId="80" fillId="36" borderId="0" applyNumberFormat="0" applyBorder="0" applyAlignment="0" applyProtection="0"/>
    <xf numFmtId="0" fontId="81" fillId="0" borderId="33" applyNumberFormat="0" applyFill="0" applyAlignment="0" applyProtection="0"/>
    <xf numFmtId="0" fontId="82" fillId="0" borderId="34" applyNumberFormat="0" applyFill="0" applyAlignment="0" applyProtection="0"/>
    <xf numFmtId="0" fontId="83" fillId="0" borderId="35" applyNumberFormat="0" applyFill="0" applyAlignment="0" applyProtection="0"/>
    <xf numFmtId="0" fontId="83" fillId="0" borderId="0" applyNumberFormat="0" applyFill="0" applyBorder="0" applyAlignment="0" applyProtection="0"/>
    <xf numFmtId="0" fontId="84" fillId="39" borderId="31" applyNumberFormat="0" applyAlignment="0" applyProtection="0"/>
    <xf numFmtId="0" fontId="85" fillId="0" borderId="36" applyNumberFormat="0" applyFill="0" applyAlignment="0" applyProtection="0"/>
    <xf numFmtId="0" fontId="86" fillId="54" borderId="0" applyNumberFormat="0" applyBorder="0" applyAlignment="0" applyProtection="0"/>
    <xf numFmtId="0" fontId="11" fillId="55" borderId="37" applyNumberFormat="0" applyFont="0" applyAlignment="0" applyProtection="0"/>
    <xf numFmtId="0" fontId="87" fillId="52" borderId="38" applyNumberFormat="0" applyAlignment="0" applyProtection="0"/>
    <xf numFmtId="0" fontId="69" fillId="0" borderId="0" applyNumberFormat="0" applyFill="0" applyBorder="0" applyAlignment="0" applyProtection="0"/>
    <xf numFmtId="0" fontId="88" fillId="0" borderId="39" applyNumberFormat="0" applyFill="0" applyAlignment="0" applyProtection="0"/>
    <xf numFmtId="0" fontId="89" fillId="0" borderId="0" applyNumberFormat="0" applyFill="0" applyBorder="0" applyAlignment="0" applyProtection="0"/>
    <xf numFmtId="0" fontId="74" fillId="42" borderId="0" applyNumberFormat="0" applyBorder="0" applyAlignment="0" applyProtection="0"/>
    <xf numFmtId="0" fontId="74" fillId="37" borderId="0" applyNumberFormat="0" applyBorder="0" applyAlignment="0" applyProtection="0"/>
    <xf numFmtId="0" fontId="74" fillId="40" borderId="0" applyNumberFormat="0" applyBorder="0" applyAlignment="0" applyProtection="0"/>
    <xf numFmtId="0" fontId="74" fillId="43" borderId="0" applyNumberFormat="0" applyBorder="0" applyAlignment="0" applyProtection="0"/>
    <xf numFmtId="0" fontId="75" fillId="44" borderId="0" applyNumberFormat="0" applyBorder="0" applyAlignment="0" applyProtection="0"/>
    <xf numFmtId="0" fontId="75" fillId="41" borderId="0" applyNumberFormat="0" applyBorder="0" applyAlignment="0" applyProtection="0"/>
    <xf numFmtId="0" fontId="75" fillId="42" borderId="0" applyNumberFormat="0" applyBorder="0" applyAlignment="0" applyProtection="0"/>
    <xf numFmtId="0" fontId="75" fillId="45" borderId="0" applyNumberFormat="0" applyBorder="0" applyAlignment="0" applyProtection="0"/>
    <xf numFmtId="0" fontId="75" fillId="46" borderId="0" applyNumberFormat="0" applyBorder="0" applyAlignment="0" applyProtection="0"/>
    <xf numFmtId="0" fontId="75" fillId="47" borderId="0" applyNumberFormat="0" applyBorder="0" applyAlignment="0" applyProtection="0"/>
    <xf numFmtId="0" fontId="75" fillId="48" borderId="0" applyNumberFormat="0" applyBorder="0" applyAlignment="0" applyProtection="0"/>
    <xf numFmtId="0" fontId="75" fillId="49" borderId="0" applyNumberFormat="0" applyBorder="0" applyAlignment="0" applyProtection="0"/>
    <xf numFmtId="0" fontId="75" fillId="50" borderId="0" applyNumberFormat="0" applyBorder="0" applyAlignment="0" applyProtection="0"/>
    <xf numFmtId="0" fontId="75" fillId="45" borderId="0" applyNumberFormat="0" applyBorder="0" applyAlignment="0" applyProtection="0"/>
    <xf numFmtId="0" fontId="75" fillId="46" borderId="0" applyNumberFormat="0" applyBorder="0" applyAlignment="0" applyProtection="0"/>
    <xf numFmtId="0" fontId="75" fillId="51" borderId="0" applyNumberFormat="0" applyBorder="0" applyAlignment="0" applyProtection="0"/>
    <xf numFmtId="0" fontId="76" fillId="35" borderId="0" applyNumberFormat="0" applyBorder="0" applyAlignment="0" applyProtection="0"/>
    <xf numFmtId="0" fontId="77" fillId="52" borderId="31" applyNumberFormat="0" applyAlignment="0" applyProtection="0"/>
    <xf numFmtId="0" fontId="78" fillId="53" borderId="32" applyNumberFormat="0" applyAlignment="0" applyProtection="0"/>
    <xf numFmtId="0" fontId="79" fillId="0" borderId="0" applyNumberFormat="0" applyFill="0" applyBorder="0" applyAlignment="0" applyProtection="0"/>
    <xf numFmtId="0" fontId="80" fillId="36" borderId="0" applyNumberFormat="0" applyBorder="0" applyAlignment="0" applyProtection="0"/>
    <xf numFmtId="0" fontId="81" fillId="0" borderId="33" applyNumberFormat="0" applyFill="0" applyAlignment="0" applyProtection="0"/>
    <xf numFmtId="0" fontId="82" fillId="0" borderId="34" applyNumberFormat="0" applyFill="0" applyAlignment="0" applyProtection="0"/>
    <xf numFmtId="0" fontId="83" fillId="0" borderId="35" applyNumberFormat="0" applyFill="0" applyAlignment="0" applyProtection="0"/>
    <xf numFmtId="0" fontId="83" fillId="0" borderId="0" applyNumberFormat="0" applyFill="0" applyBorder="0" applyAlignment="0" applyProtection="0"/>
    <xf numFmtId="0" fontId="84" fillId="39" borderId="31" applyNumberFormat="0" applyAlignment="0" applyProtection="0"/>
    <xf numFmtId="0" fontId="85" fillId="0" borderId="36" applyNumberFormat="0" applyFill="0" applyAlignment="0" applyProtection="0"/>
    <xf numFmtId="0" fontId="86" fillId="54" borderId="0" applyNumberFormat="0" applyBorder="0" applyAlignment="0" applyProtection="0"/>
    <xf numFmtId="0" fontId="11" fillId="55" borderId="37" applyNumberFormat="0" applyFont="0" applyAlignment="0" applyProtection="0"/>
    <xf numFmtId="0" fontId="87" fillId="52" borderId="38" applyNumberFormat="0" applyAlignment="0" applyProtection="0"/>
    <xf numFmtId="0" fontId="69" fillId="0" borderId="0" applyNumberFormat="0" applyFill="0" applyBorder="0" applyAlignment="0" applyProtection="0"/>
    <xf numFmtId="0" fontId="88" fillId="0" borderId="39" applyNumberFormat="0" applyFill="0" applyAlignment="0" applyProtection="0"/>
    <xf numFmtId="0" fontId="89" fillId="0" borderId="0" applyNumberFormat="0" applyFill="0" applyBorder="0" applyAlignment="0" applyProtection="0"/>
    <xf numFmtId="43" fontId="11" fillId="0" borderId="0" applyFont="0" applyFill="0" applyBorder="0" applyAlignment="0" applyProtection="0"/>
    <xf numFmtId="0" fontId="7" fillId="0" borderId="0"/>
    <xf numFmtId="0" fontId="7" fillId="0" borderId="0"/>
    <xf numFmtId="0" fontId="11" fillId="0" borderId="0"/>
    <xf numFmtId="0" fontId="74" fillId="34" borderId="0" applyNumberFormat="0" applyBorder="0" applyAlignment="0" applyProtection="0"/>
    <xf numFmtId="0" fontId="74" fillId="35" borderId="0" applyNumberFormat="0" applyBorder="0" applyAlignment="0" applyProtection="0"/>
    <xf numFmtId="0" fontId="74" fillId="36" borderId="0" applyNumberFormat="0" applyBorder="0" applyAlignment="0" applyProtection="0"/>
    <xf numFmtId="0" fontId="74" fillId="37" borderId="0" applyNumberFormat="0" applyBorder="0" applyAlignment="0" applyProtection="0"/>
    <xf numFmtId="0" fontId="74" fillId="38" borderId="0" applyNumberFormat="0" applyBorder="0" applyAlignment="0" applyProtection="0"/>
    <xf numFmtId="0" fontId="74" fillId="39" borderId="0" applyNumberFormat="0" applyBorder="0" applyAlignment="0" applyProtection="0"/>
    <xf numFmtId="0" fontId="74" fillId="40" borderId="0" applyNumberFormat="0" applyBorder="0" applyAlignment="0" applyProtection="0"/>
    <xf numFmtId="0" fontId="74" fillId="41" borderId="0" applyNumberFormat="0" applyBorder="0" applyAlignment="0" applyProtection="0"/>
    <xf numFmtId="0" fontId="74" fillId="42" borderId="0" applyNumberFormat="0" applyBorder="0" applyAlignment="0" applyProtection="0"/>
    <xf numFmtId="0" fontId="74" fillId="37" borderId="0" applyNumberFormat="0" applyBorder="0" applyAlignment="0" applyProtection="0"/>
    <xf numFmtId="0" fontId="74" fillId="40" borderId="0" applyNumberFormat="0" applyBorder="0" applyAlignment="0" applyProtection="0"/>
    <xf numFmtId="0" fontId="74" fillId="43" borderId="0" applyNumberFormat="0" applyBorder="0" applyAlignment="0" applyProtection="0"/>
    <xf numFmtId="0" fontId="75" fillId="44" borderId="0" applyNumberFormat="0" applyBorder="0" applyAlignment="0" applyProtection="0"/>
    <xf numFmtId="0" fontId="75" fillId="41" borderId="0" applyNumberFormat="0" applyBorder="0" applyAlignment="0" applyProtection="0"/>
    <xf numFmtId="0" fontId="75" fillId="42" borderId="0" applyNumberFormat="0" applyBorder="0" applyAlignment="0" applyProtection="0"/>
    <xf numFmtId="0" fontId="75" fillId="45" borderId="0" applyNumberFormat="0" applyBorder="0" applyAlignment="0" applyProtection="0"/>
    <xf numFmtId="0" fontId="75" fillId="46" borderId="0" applyNumberFormat="0" applyBorder="0" applyAlignment="0" applyProtection="0"/>
    <xf numFmtId="0" fontId="75" fillId="47" borderId="0" applyNumberFormat="0" applyBorder="0" applyAlignment="0" applyProtection="0"/>
    <xf numFmtId="0" fontId="75" fillId="48" borderId="0" applyNumberFormat="0" applyBorder="0" applyAlignment="0" applyProtection="0"/>
    <xf numFmtId="0" fontId="75" fillId="49" borderId="0" applyNumberFormat="0" applyBorder="0" applyAlignment="0" applyProtection="0"/>
    <xf numFmtId="0" fontId="75" fillId="50" borderId="0" applyNumberFormat="0" applyBorder="0" applyAlignment="0" applyProtection="0"/>
    <xf numFmtId="0" fontId="75" fillId="45" borderId="0" applyNumberFormat="0" applyBorder="0" applyAlignment="0" applyProtection="0"/>
    <xf numFmtId="0" fontId="75" fillId="46" borderId="0" applyNumberFormat="0" applyBorder="0" applyAlignment="0" applyProtection="0"/>
    <xf numFmtId="0" fontId="75" fillId="51" borderId="0" applyNumberFormat="0" applyBorder="0" applyAlignment="0" applyProtection="0"/>
    <xf numFmtId="0" fontId="76" fillId="35" borderId="0" applyNumberFormat="0" applyBorder="0" applyAlignment="0" applyProtection="0"/>
    <xf numFmtId="0" fontId="77" fillId="52" borderId="31" applyNumberFormat="0" applyAlignment="0" applyProtection="0"/>
    <xf numFmtId="0" fontId="78" fillId="53" borderId="32" applyNumberFormat="0" applyAlignment="0" applyProtection="0"/>
    <xf numFmtId="0" fontId="79" fillId="0" borderId="0" applyNumberFormat="0" applyFill="0" applyBorder="0" applyAlignment="0" applyProtection="0"/>
    <xf numFmtId="0" fontId="80" fillId="36" borderId="0" applyNumberFormat="0" applyBorder="0" applyAlignment="0" applyProtection="0"/>
    <xf numFmtId="0" fontId="81" fillId="0" borderId="33" applyNumberFormat="0" applyFill="0" applyAlignment="0" applyProtection="0"/>
    <xf numFmtId="0" fontId="82" fillId="0" borderId="34" applyNumberFormat="0" applyFill="0" applyAlignment="0" applyProtection="0"/>
    <xf numFmtId="0" fontId="83" fillId="0" borderId="35" applyNumberFormat="0" applyFill="0" applyAlignment="0" applyProtection="0"/>
    <xf numFmtId="0" fontId="83" fillId="0" borderId="0" applyNumberFormat="0" applyFill="0" applyBorder="0" applyAlignment="0" applyProtection="0"/>
    <xf numFmtId="0" fontId="84" fillId="39" borderId="31" applyNumberFormat="0" applyAlignment="0" applyProtection="0"/>
    <xf numFmtId="0" fontId="85" fillId="0" borderId="36" applyNumberFormat="0" applyFill="0" applyAlignment="0" applyProtection="0"/>
    <xf numFmtId="0" fontId="86" fillId="54" borderId="0" applyNumberFormat="0" applyBorder="0" applyAlignment="0" applyProtection="0"/>
    <xf numFmtId="0" fontId="11" fillId="55" borderId="37" applyNumberFormat="0" applyFont="0" applyAlignment="0" applyProtection="0"/>
    <xf numFmtId="0" fontId="87" fillId="52" borderId="38" applyNumberFormat="0" applyAlignment="0" applyProtection="0"/>
    <xf numFmtId="0" fontId="69" fillId="0" borderId="0" applyNumberFormat="0" applyFill="0" applyBorder="0" applyAlignment="0" applyProtection="0"/>
    <xf numFmtId="0" fontId="88" fillId="0" borderId="39" applyNumberFormat="0" applyFill="0" applyAlignment="0" applyProtection="0"/>
    <xf numFmtId="0" fontId="89" fillId="0" borderId="0" applyNumberFormat="0" applyFill="0" applyBorder="0" applyAlignment="0" applyProtection="0"/>
    <xf numFmtId="0" fontId="7" fillId="0" borderId="0"/>
    <xf numFmtId="0" fontId="11" fillId="0" borderId="0"/>
    <xf numFmtId="0" fontId="74" fillId="34" borderId="0" applyNumberFormat="0" applyBorder="0" applyAlignment="0" applyProtection="0"/>
    <xf numFmtId="0" fontId="74" fillId="35" borderId="0" applyNumberFormat="0" applyBorder="0" applyAlignment="0" applyProtection="0"/>
    <xf numFmtId="0" fontId="74" fillId="36" borderId="0" applyNumberFormat="0" applyBorder="0" applyAlignment="0" applyProtection="0"/>
    <xf numFmtId="0" fontId="74" fillId="37" borderId="0" applyNumberFormat="0" applyBorder="0" applyAlignment="0" applyProtection="0"/>
    <xf numFmtId="0" fontId="74" fillId="38" borderId="0" applyNumberFormat="0" applyBorder="0" applyAlignment="0" applyProtection="0"/>
    <xf numFmtId="0" fontId="74" fillId="39" borderId="0" applyNumberFormat="0" applyBorder="0" applyAlignment="0" applyProtection="0"/>
    <xf numFmtId="0" fontId="74" fillId="40" borderId="0" applyNumberFormat="0" applyBorder="0" applyAlignment="0" applyProtection="0"/>
    <xf numFmtId="0" fontId="74" fillId="41" borderId="0" applyNumberFormat="0" applyBorder="0" applyAlignment="0" applyProtection="0"/>
    <xf numFmtId="0" fontId="74" fillId="42" borderId="0" applyNumberFormat="0" applyBorder="0" applyAlignment="0" applyProtection="0"/>
    <xf numFmtId="0" fontId="74" fillId="37" borderId="0" applyNumberFormat="0" applyBorder="0" applyAlignment="0" applyProtection="0"/>
    <xf numFmtId="0" fontId="74" fillId="40" borderId="0" applyNumberFormat="0" applyBorder="0" applyAlignment="0" applyProtection="0"/>
    <xf numFmtId="0" fontId="74" fillId="43" borderId="0" applyNumberFormat="0" applyBorder="0" applyAlignment="0" applyProtection="0"/>
    <xf numFmtId="0" fontId="75" fillId="44" borderId="0" applyNumberFormat="0" applyBorder="0" applyAlignment="0" applyProtection="0"/>
    <xf numFmtId="0" fontId="75" fillId="41" borderId="0" applyNumberFormat="0" applyBorder="0" applyAlignment="0" applyProtection="0"/>
    <xf numFmtId="0" fontId="75" fillId="42" borderId="0" applyNumberFormat="0" applyBorder="0" applyAlignment="0" applyProtection="0"/>
    <xf numFmtId="0" fontId="75" fillId="45" borderId="0" applyNumberFormat="0" applyBorder="0" applyAlignment="0" applyProtection="0"/>
    <xf numFmtId="0" fontId="75" fillId="46" borderId="0" applyNumberFormat="0" applyBorder="0" applyAlignment="0" applyProtection="0"/>
    <xf numFmtId="0" fontId="75" fillId="47" borderId="0" applyNumberFormat="0" applyBorder="0" applyAlignment="0" applyProtection="0"/>
    <xf numFmtId="0" fontId="75" fillId="48" borderId="0" applyNumberFormat="0" applyBorder="0" applyAlignment="0" applyProtection="0"/>
    <xf numFmtId="0" fontId="75" fillId="49" borderId="0" applyNumberFormat="0" applyBorder="0" applyAlignment="0" applyProtection="0"/>
    <xf numFmtId="0" fontId="75" fillId="50" borderId="0" applyNumberFormat="0" applyBorder="0" applyAlignment="0" applyProtection="0"/>
    <xf numFmtId="0" fontId="75" fillId="45" borderId="0" applyNumberFormat="0" applyBorder="0" applyAlignment="0" applyProtection="0"/>
    <xf numFmtId="0" fontId="75" fillId="46" borderId="0" applyNumberFormat="0" applyBorder="0" applyAlignment="0" applyProtection="0"/>
    <xf numFmtId="0" fontId="75" fillId="51" borderId="0" applyNumberFormat="0" applyBorder="0" applyAlignment="0" applyProtection="0"/>
    <xf numFmtId="0" fontId="76" fillId="35" borderId="0" applyNumberFormat="0" applyBorder="0" applyAlignment="0" applyProtection="0"/>
    <xf numFmtId="0" fontId="77" fillId="52" borderId="31" applyNumberFormat="0" applyAlignment="0" applyProtection="0"/>
    <xf numFmtId="0" fontId="78" fillId="53" borderId="32" applyNumberFormat="0" applyAlignment="0" applyProtection="0"/>
    <xf numFmtId="0" fontId="79" fillId="0" borderId="0" applyNumberFormat="0" applyFill="0" applyBorder="0" applyAlignment="0" applyProtection="0"/>
    <xf numFmtId="0" fontId="80" fillId="36" borderId="0" applyNumberFormat="0" applyBorder="0" applyAlignment="0" applyProtection="0"/>
    <xf numFmtId="0" fontId="81" fillId="0" borderId="33" applyNumberFormat="0" applyFill="0" applyAlignment="0" applyProtection="0"/>
    <xf numFmtId="0" fontId="82" fillId="0" borderId="34" applyNumberFormat="0" applyFill="0" applyAlignment="0" applyProtection="0"/>
    <xf numFmtId="0" fontId="83" fillId="0" borderId="35" applyNumberFormat="0" applyFill="0" applyAlignment="0" applyProtection="0"/>
    <xf numFmtId="0" fontId="83" fillId="0" borderId="0" applyNumberFormat="0" applyFill="0" applyBorder="0" applyAlignment="0" applyProtection="0"/>
    <xf numFmtId="0" fontId="84" fillId="39" borderId="31" applyNumberFormat="0" applyAlignment="0" applyProtection="0"/>
    <xf numFmtId="0" fontId="85" fillId="0" borderId="36" applyNumberFormat="0" applyFill="0" applyAlignment="0" applyProtection="0"/>
    <xf numFmtId="0" fontId="86" fillId="54" borderId="0" applyNumberFormat="0" applyBorder="0" applyAlignment="0" applyProtection="0"/>
    <xf numFmtId="0" fontId="11" fillId="55" borderId="37" applyNumberFormat="0" applyFont="0" applyAlignment="0" applyProtection="0"/>
    <xf numFmtId="0" fontId="87" fillId="52" borderId="38" applyNumberFormat="0" applyAlignment="0" applyProtection="0"/>
    <xf numFmtId="0" fontId="69" fillId="0" borderId="0" applyNumberFormat="0" applyFill="0" applyBorder="0" applyAlignment="0" applyProtection="0"/>
    <xf numFmtId="0" fontId="88" fillId="0" borderId="39" applyNumberFormat="0" applyFill="0" applyAlignment="0" applyProtection="0"/>
    <xf numFmtId="0" fontId="89" fillId="0" borderId="0" applyNumberFormat="0" applyFill="0" applyBorder="0" applyAlignment="0" applyProtection="0"/>
    <xf numFmtId="0" fontId="7" fillId="0" borderId="0"/>
    <xf numFmtId="0" fontId="69" fillId="0" borderId="0" applyNumberFormat="0" applyFill="0" applyBorder="0" applyAlignment="0" applyProtection="0"/>
    <xf numFmtId="0" fontId="7" fillId="0" borderId="0"/>
    <xf numFmtId="0" fontId="11" fillId="0" borderId="0"/>
    <xf numFmtId="0" fontId="11" fillId="0" borderId="0"/>
    <xf numFmtId="0" fontId="11" fillId="0" borderId="0"/>
    <xf numFmtId="0" fontId="11" fillId="0" borderId="0"/>
    <xf numFmtId="0" fontId="11" fillId="0" borderId="0"/>
    <xf numFmtId="0" fontId="11" fillId="0" borderId="0"/>
    <xf numFmtId="0" fontId="74" fillId="34" borderId="0" applyNumberFormat="0" applyBorder="0" applyAlignment="0" applyProtection="0"/>
    <xf numFmtId="0" fontId="74" fillId="35" borderId="0" applyNumberFormat="0" applyBorder="0" applyAlignment="0" applyProtection="0"/>
    <xf numFmtId="0" fontId="74" fillId="36" borderId="0" applyNumberFormat="0" applyBorder="0" applyAlignment="0" applyProtection="0"/>
    <xf numFmtId="0" fontId="74" fillId="37" borderId="0" applyNumberFormat="0" applyBorder="0" applyAlignment="0" applyProtection="0"/>
    <xf numFmtId="0" fontId="74" fillId="38" borderId="0" applyNumberFormat="0" applyBorder="0" applyAlignment="0" applyProtection="0"/>
    <xf numFmtId="0" fontId="74" fillId="39" borderId="0" applyNumberFormat="0" applyBorder="0" applyAlignment="0" applyProtection="0"/>
    <xf numFmtId="0" fontId="74" fillId="40" borderId="0" applyNumberFormat="0" applyBorder="0" applyAlignment="0" applyProtection="0"/>
    <xf numFmtId="0" fontId="74" fillId="41" borderId="0" applyNumberFormat="0" applyBorder="0" applyAlignment="0" applyProtection="0"/>
    <xf numFmtId="0" fontId="74" fillId="42" borderId="0" applyNumberFormat="0" applyBorder="0" applyAlignment="0" applyProtection="0"/>
    <xf numFmtId="0" fontId="74" fillId="37" borderId="0" applyNumberFormat="0" applyBorder="0" applyAlignment="0" applyProtection="0"/>
    <xf numFmtId="0" fontId="74" fillId="40" borderId="0" applyNumberFormat="0" applyBorder="0" applyAlignment="0" applyProtection="0"/>
    <xf numFmtId="0" fontId="74" fillId="43" borderId="0" applyNumberFormat="0" applyBorder="0" applyAlignment="0" applyProtection="0"/>
    <xf numFmtId="0" fontId="75" fillId="44" borderId="0" applyNumberFormat="0" applyBorder="0" applyAlignment="0" applyProtection="0"/>
    <xf numFmtId="0" fontId="75" fillId="41" borderId="0" applyNumberFormat="0" applyBorder="0" applyAlignment="0" applyProtection="0"/>
    <xf numFmtId="0" fontId="75" fillId="42" borderId="0" applyNumberFormat="0" applyBorder="0" applyAlignment="0" applyProtection="0"/>
    <xf numFmtId="0" fontId="75" fillId="45" borderId="0" applyNumberFormat="0" applyBorder="0" applyAlignment="0" applyProtection="0"/>
    <xf numFmtId="0" fontId="75" fillId="46" borderId="0" applyNumberFormat="0" applyBorder="0" applyAlignment="0" applyProtection="0"/>
    <xf numFmtId="0" fontId="75" fillId="47" borderId="0" applyNumberFormat="0" applyBorder="0" applyAlignment="0" applyProtection="0"/>
    <xf numFmtId="0" fontId="75" fillId="48" borderId="0" applyNumberFormat="0" applyBorder="0" applyAlignment="0" applyProtection="0"/>
    <xf numFmtId="0" fontId="75" fillId="49" borderId="0" applyNumberFormat="0" applyBorder="0" applyAlignment="0" applyProtection="0"/>
    <xf numFmtId="0" fontId="75" fillId="50" borderId="0" applyNumberFormat="0" applyBorder="0" applyAlignment="0" applyProtection="0"/>
    <xf numFmtId="0" fontId="75" fillId="45" borderId="0" applyNumberFormat="0" applyBorder="0" applyAlignment="0" applyProtection="0"/>
    <xf numFmtId="0" fontId="75" fillId="46" borderId="0" applyNumberFormat="0" applyBorder="0" applyAlignment="0" applyProtection="0"/>
    <xf numFmtId="0" fontId="75" fillId="51" borderId="0" applyNumberFormat="0" applyBorder="0" applyAlignment="0" applyProtection="0"/>
    <xf numFmtId="0" fontId="76" fillId="35" borderId="0" applyNumberFormat="0" applyBorder="0" applyAlignment="0" applyProtection="0"/>
    <xf numFmtId="0" fontId="77" fillId="52" borderId="31" applyNumberFormat="0" applyAlignment="0" applyProtection="0"/>
    <xf numFmtId="0" fontId="78" fillId="53" borderId="32" applyNumberFormat="0" applyAlignment="0" applyProtection="0"/>
    <xf numFmtId="0" fontId="79" fillId="0" borderId="0" applyNumberFormat="0" applyFill="0" applyBorder="0" applyAlignment="0" applyProtection="0"/>
    <xf numFmtId="0" fontId="80" fillId="36" borderId="0" applyNumberFormat="0" applyBorder="0" applyAlignment="0" applyProtection="0"/>
    <xf numFmtId="0" fontId="81" fillId="0" borderId="33" applyNumberFormat="0" applyFill="0" applyAlignment="0" applyProtection="0"/>
    <xf numFmtId="0" fontId="82" fillId="0" borderId="34" applyNumberFormat="0" applyFill="0" applyAlignment="0" applyProtection="0"/>
    <xf numFmtId="0" fontId="83" fillId="0" borderId="35" applyNumberFormat="0" applyFill="0" applyAlignment="0" applyProtection="0"/>
    <xf numFmtId="0" fontId="83" fillId="0" borderId="0" applyNumberFormat="0" applyFill="0" applyBorder="0" applyAlignment="0" applyProtection="0"/>
    <xf numFmtId="0" fontId="84" fillId="39" borderId="31" applyNumberFormat="0" applyAlignment="0" applyProtection="0"/>
    <xf numFmtId="0" fontId="85" fillId="0" borderId="36" applyNumberFormat="0" applyFill="0" applyAlignment="0" applyProtection="0"/>
    <xf numFmtId="0" fontId="86" fillId="54" borderId="0" applyNumberFormat="0" applyBorder="0" applyAlignment="0" applyProtection="0"/>
    <xf numFmtId="0" fontId="87" fillId="52" borderId="38" applyNumberFormat="0" applyAlignment="0" applyProtection="0"/>
    <xf numFmtId="0" fontId="88" fillId="0" borderId="39" applyNumberFormat="0" applyFill="0" applyAlignment="0" applyProtection="0"/>
    <xf numFmtId="0" fontId="89" fillId="0" borderId="0" applyNumberFormat="0" applyFill="0" applyBorder="0" applyAlignment="0" applyProtection="0"/>
    <xf numFmtId="43" fontId="11" fillId="0" borderId="0" applyFont="0" applyFill="0" applyBorder="0" applyAlignment="0" applyProtection="0"/>
    <xf numFmtId="0" fontId="7" fillId="0" borderId="0"/>
    <xf numFmtId="0" fontId="7" fillId="0" borderId="0"/>
    <xf numFmtId="0" fontId="7" fillId="0" borderId="0"/>
    <xf numFmtId="0" fontId="74" fillId="34" borderId="0" applyNumberFormat="0" applyBorder="0" applyAlignment="0" applyProtection="0"/>
    <xf numFmtId="0" fontId="74" fillId="35" borderId="0" applyNumberFormat="0" applyBorder="0" applyAlignment="0" applyProtection="0"/>
    <xf numFmtId="0" fontId="74" fillId="36" borderId="0" applyNumberFormat="0" applyBorder="0" applyAlignment="0" applyProtection="0"/>
    <xf numFmtId="0" fontId="74" fillId="37" borderId="0" applyNumberFormat="0" applyBorder="0" applyAlignment="0" applyProtection="0"/>
    <xf numFmtId="0" fontId="74" fillId="38" borderId="0" applyNumberFormat="0" applyBorder="0" applyAlignment="0" applyProtection="0"/>
    <xf numFmtId="0" fontId="74" fillId="39" borderId="0" applyNumberFormat="0" applyBorder="0" applyAlignment="0" applyProtection="0"/>
    <xf numFmtId="0" fontId="74" fillId="40" borderId="0" applyNumberFormat="0" applyBorder="0" applyAlignment="0" applyProtection="0"/>
    <xf numFmtId="0" fontId="74" fillId="41" borderId="0" applyNumberFormat="0" applyBorder="0" applyAlignment="0" applyProtection="0"/>
    <xf numFmtId="0" fontId="74" fillId="42" borderId="0" applyNumberFormat="0" applyBorder="0" applyAlignment="0" applyProtection="0"/>
    <xf numFmtId="0" fontId="74" fillId="37" borderId="0" applyNumberFormat="0" applyBorder="0" applyAlignment="0" applyProtection="0"/>
    <xf numFmtId="0" fontId="74" fillId="40" borderId="0" applyNumberFormat="0" applyBorder="0" applyAlignment="0" applyProtection="0"/>
    <xf numFmtId="0" fontId="74" fillId="43" borderId="0" applyNumberFormat="0" applyBorder="0" applyAlignment="0" applyProtection="0"/>
    <xf numFmtId="0" fontId="75" fillId="44" borderId="0" applyNumberFormat="0" applyBorder="0" applyAlignment="0" applyProtection="0"/>
    <xf numFmtId="0" fontId="75" fillId="41" borderId="0" applyNumberFormat="0" applyBorder="0" applyAlignment="0" applyProtection="0"/>
    <xf numFmtId="0" fontId="75" fillId="42" borderId="0" applyNumberFormat="0" applyBorder="0" applyAlignment="0" applyProtection="0"/>
    <xf numFmtId="0" fontId="75" fillId="45" borderId="0" applyNumberFormat="0" applyBorder="0" applyAlignment="0" applyProtection="0"/>
    <xf numFmtId="0" fontId="75" fillId="46" borderId="0" applyNumberFormat="0" applyBorder="0" applyAlignment="0" applyProtection="0"/>
    <xf numFmtId="0" fontId="75" fillId="47" borderId="0" applyNumberFormat="0" applyBorder="0" applyAlignment="0" applyProtection="0"/>
    <xf numFmtId="0" fontId="75" fillId="48" borderId="0" applyNumberFormat="0" applyBorder="0" applyAlignment="0" applyProtection="0"/>
    <xf numFmtId="0" fontId="75" fillId="49" borderId="0" applyNumberFormat="0" applyBorder="0" applyAlignment="0" applyProtection="0"/>
    <xf numFmtId="0" fontId="75" fillId="50" borderId="0" applyNumberFormat="0" applyBorder="0" applyAlignment="0" applyProtection="0"/>
    <xf numFmtId="0" fontId="75" fillId="45" borderId="0" applyNumberFormat="0" applyBorder="0" applyAlignment="0" applyProtection="0"/>
    <xf numFmtId="0" fontId="75" fillId="46" borderId="0" applyNumberFormat="0" applyBorder="0" applyAlignment="0" applyProtection="0"/>
    <xf numFmtId="0" fontId="75" fillId="51" borderId="0" applyNumberFormat="0" applyBorder="0" applyAlignment="0" applyProtection="0"/>
    <xf numFmtId="0" fontId="76" fillId="35" borderId="0" applyNumberFormat="0" applyBorder="0" applyAlignment="0" applyProtection="0"/>
    <xf numFmtId="0" fontId="77" fillId="52" borderId="31" applyNumberFormat="0" applyAlignment="0" applyProtection="0"/>
    <xf numFmtId="0" fontId="78" fillId="53" borderId="32" applyNumberFormat="0" applyAlignment="0" applyProtection="0"/>
    <xf numFmtId="0" fontId="79" fillId="0" borderId="0" applyNumberFormat="0" applyFill="0" applyBorder="0" applyAlignment="0" applyProtection="0"/>
    <xf numFmtId="0" fontId="80" fillId="36" borderId="0" applyNumberFormat="0" applyBorder="0" applyAlignment="0" applyProtection="0"/>
    <xf numFmtId="0" fontId="81" fillId="0" borderId="33" applyNumberFormat="0" applyFill="0" applyAlignment="0" applyProtection="0"/>
    <xf numFmtId="0" fontId="82" fillId="0" borderId="34" applyNumberFormat="0" applyFill="0" applyAlignment="0" applyProtection="0"/>
    <xf numFmtId="0" fontId="83" fillId="0" borderId="35" applyNumberFormat="0" applyFill="0" applyAlignment="0" applyProtection="0"/>
    <xf numFmtId="0" fontId="83" fillId="0" borderId="0" applyNumberFormat="0" applyFill="0" applyBorder="0" applyAlignment="0" applyProtection="0"/>
    <xf numFmtId="0" fontId="84" fillId="39" borderId="31" applyNumberFormat="0" applyAlignment="0" applyProtection="0"/>
    <xf numFmtId="0" fontId="85" fillId="0" borderId="36" applyNumberFormat="0" applyFill="0" applyAlignment="0" applyProtection="0"/>
    <xf numFmtId="0" fontId="86" fillId="54" borderId="0" applyNumberFormat="0" applyBorder="0" applyAlignment="0" applyProtection="0"/>
    <xf numFmtId="0" fontId="11" fillId="55" borderId="37" applyNumberFormat="0" applyFont="0" applyAlignment="0" applyProtection="0"/>
    <xf numFmtId="0" fontId="87" fillId="52" borderId="38" applyNumberFormat="0" applyAlignment="0" applyProtection="0"/>
    <xf numFmtId="0" fontId="69" fillId="0" borderId="0" applyNumberFormat="0" applyFill="0" applyBorder="0" applyAlignment="0" applyProtection="0"/>
    <xf numFmtId="0" fontId="88" fillId="0" borderId="39" applyNumberFormat="0" applyFill="0" applyAlignment="0" applyProtection="0"/>
    <xf numFmtId="0" fontId="89" fillId="0" borderId="0" applyNumberFormat="0" applyFill="0" applyBorder="0" applyAlignment="0" applyProtection="0"/>
    <xf numFmtId="0" fontId="7" fillId="0" borderId="0"/>
    <xf numFmtId="0" fontId="7" fillId="0" borderId="0"/>
    <xf numFmtId="0" fontId="7" fillId="0" borderId="0"/>
    <xf numFmtId="0" fontId="74" fillId="34" borderId="0" applyNumberFormat="0" applyBorder="0" applyAlignment="0" applyProtection="0"/>
    <xf numFmtId="0" fontId="74" fillId="35" borderId="0" applyNumberFormat="0" applyBorder="0" applyAlignment="0" applyProtection="0"/>
    <xf numFmtId="0" fontId="74" fillId="36" borderId="0" applyNumberFormat="0" applyBorder="0" applyAlignment="0" applyProtection="0"/>
    <xf numFmtId="0" fontId="74" fillId="37" borderId="0" applyNumberFormat="0" applyBorder="0" applyAlignment="0" applyProtection="0"/>
    <xf numFmtId="0" fontId="74" fillId="38" borderId="0" applyNumberFormat="0" applyBorder="0" applyAlignment="0" applyProtection="0"/>
    <xf numFmtId="0" fontId="74" fillId="39" borderId="0" applyNumberFormat="0" applyBorder="0" applyAlignment="0" applyProtection="0"/>
    <xf numFmtId="0" fontId="74" fillId="40" borderId="0" applyNumberFormat="0" applyBorder="0" applyAlignment="0" applyProtection="0"/>
    <xf numFmtId="0" fontId="74" fillId="41" borderId="0" applyNumberFormat="0" applyBorder="0" applyAlignment="0" applyProtection="0"/>
    <xf numFmtId="0" fontId="74" fillId="42" borderId="0" applyNumberFormat="0" applyBorder="0" applyAlignment="0" applyProtection="0"/>
    <xf numFmtId="0" fontId="74" fillId="37" borderId="0" applyNumberFormat="0" applyBorder="0" applyAlignment="0" applyProtection="0"/>
    <xf numFmtId="0" fontId="74" fillId="40" borderId="0" applyNumberFormat="0" applyBorder="0" applyAlignment="0" applyProtection="0"/>
    <xf numFmtId="0" fontId="74" fillId="43" borderId="0" applyNumberFormat="0" applyBorder="0" applyAlignment="0" applyProtection="0"/>
    <xf numFmtId="0" fontId="75" fillId="44" borderId="0" applyNumberFormat="0" applyBorder="0" applyAlignment="0" applyProtection="0"/>
    <xf numFmtId="0" fontId="75" fillId="41" borderId="0" applyNumberFormat="0" applyBorder="0" applyAlignment="0" applyProtection="0"/>
    <xf numFmtId="0" fontId="75" fillId="42" borderId="0" applyNumberFormat="0" applyBorder="0" applyAlignment="0" applyProtection="0"/>
    <xf numFmtId="0" fontId="75" fillId="45" borderId="0" applyNumberFormat="0" applyBorder="0" applyAlignment="0" applyProtection="0"/>
    <xf numFmtId="0" fontId="75" fillId="46" borderId="0" applyNumberFormat="0" applyBorder="0" applyAlignment="0" applyProtection="0"/>
    <xf numFmtId="0" fontId="75" fillId="47" borderId="0" applyNumberFormat="0" applyBorder="0" applyAlignment="0" applyProtection="0"/>
    <xf numFmtId="0" fontId="75" fillId="48" borderId="0" applyNumberFormat="0" applyBorder="0" applyAlignment="0" applyProtection="0"/>
    <xf numFmtId="0" fontId="75" fillId="49" borderId="0" applyNumberFormat="0" applyBorder="0" applyAlignment="0" applyProtection="0"/>
    <xf numFmtId="0" fontId="75" fillId="50" borderId="0" applyNumberFormat="0" applyBorder="0" applyAlignment="0" applyProtection="0"/>
    <xf numFmtId="0" fontId="75" fillId="45" borderId="0" applyNumberFormat="0" applyBorder="0" applyAlignment="0" applyProtection="0"/>
    <xf numFmtId="0" fontId="75" fillId="46" borderId="0" applyNumberFormat="0" applyBorder="0" applyAlignment="0" applyProtection="0"/>
    <xf numFmtId="0" fontId="75" fillId="51" borderId="0" applyNumberFormat="0" applyBorder="0" applyAlignment="0" applyProtection="0"/>
    <xf numFmtId="0" fontId="76" fillId="35" borderId="0" applyNumberFormat="0" applyBorder="0" applyAlignment="0" applyProtection="0"/>
    <xf numFmtId="0" fontId="77" fillId="52" borderId="31" applyNumberFormat="0" applyAlignment="0" applyProtection="0"/>
    <xf numFmtId="0" fontId="78" fillId="53" borderId="32" applyNumberFormat="0" applyAlignment="0" applyProtection="0"/>
    <xf numFmtId="0" fontId="79" fillId="0" borderId="0" applyNumberFormat="0" applyFill="0" applyBorder="0" applyAlignment="0" applyProtection="0"/>
    <xf numFmtId="0" fontId="80" fillId="36" borderId="0" applyNumberFormat="0" applyBorder="0" applyAlignment="0" applyProtection="0"/>
    <xf numFmtId="0" fontId="81" fillId="0" borderId="33" applyNumberFormat="0" applyFill="0" applyAlignment="0" applyProtection="0"/>
    <xf numFmtId="0" fontId="82" fillId="0" borderId="34" applyNumberFormat="0" applyFill="0" applyAlignment="0" applyProtection="0"/>
    <xf numFmtId="0" fontId="83" fillId="0" borderId="35" applyNumberFormat="0" applyFill="0" applyAlignment="0" applyProtection="0"/>
    <xf numFmtId="0" fontId="83" fillId="0" borderId="0" applyNumberFormat="0" applyFill="0" applyBorder="0" applyAlignment="0" applyProtection="0"/>
    <xf numFmtId="0" fontId="84" fillId="39" borderId="31" applyNumberFormat="0" applyAlignment="0" applyProtection="0"/>
    <xf numFmtId="0" fontId="85" fillId="0" borderId="36" applyNumberFormat="0" applyFill="0" applyAlignment="0" applyProtection="0"/>
    <xf numFmtId="0" fontId="86" fillId="54" borderId="0" applyNumberFormat="0" applyBorder="0" applyAlignment="0" applyProtection="0"/>
    <xf numFmtId="0" fontId="11" fillId="55" borderId="37" applyNumberFormat="0" applyFont="0" applyAlignment="0" applyProtection="0"/>
    <xf numFmtId="0" fontId="87" fillId="52" borderId="38" applyNumberFormat="0" applyAlignment="0" applyProtection="0"/>
    <xf numFmtId="0" fontId="69" fillId="0" borderId="0" applyNumberFormat="0" applyFill="0" applyBorder="0" applyAlignment="0" applyProtection="0"/>
    <xf numFmtId="0" fontId="88" fillId="0" borderId="39" applyNumberFormat="0" applyFill="0" applyAlignment="0" applyProtection="0"/>
    <xf numFmtId="0" fontId="89" fillId="0" borderId="0" applyNumberFormat="0" applyFill="0" applyBorder="0" applyAlignment="0" applyProtection="0"/>
    <xf numFmtId="0" fontId="7" fillId="0" borderId="0"/>
    <xf numFmtId="0" fontId="7" fillId="0" borderId="0"/>
    <xf numFmtId="0" fontId="7" fillId="0" borderId="0"/>
    <xf numFmtId="0" fontId="69" fillId="0" borderId="0" applyNumberFormat="0" applyFill="0" applyBorder="0" applyAlignment="0" applyProtection="0"/>
    <xf numFmtId="0" fontId="7" fillId="0" borderId="0"/>
    <xf numFmtId="0" fontId="7" fillId="0" borderId="0"/>
    <xf numFmtId="0" fontId="7" fillId="0" borderId="0"/>
    <xf numFmtId="0" fontId="74" fillId="34" borderId="0" applyNumberFormat="0" applyBorder="0" applyAlignment="0" applyProtection="0"/>
    <xf numFmtId="0" fontId="74" fillId="35" borderId="0" applyNumberFormat="0" applyBorder="0" applyAlignment="0" applyProtection="0"/>
    <xf numFmtId="0" fontId="74" fillId="36" borderId="0" applyNumberFormat="0" applyBorder="0" applyAlignment="0" applyProtection="0"/>
    <xf numFmtId="0" fontId="74" fillId="37" borderId="0" applyNumberFormat="0" applyBorder="0" applyAlignment="0" applyProtection="0"/>
    <xf numFmtId="0" fontId="74" fillId="38" borderId="0" applyNumberFormat="0" applyBorder="0" applyAlignment="0" applyProtection="0"/>
    <xf numFmtId="0" fontId="74" fillId="39" borderId="0" applyNumberFormat="0" applyBorder="0" applyAlignment="0" applyProtection="0"/>
    <xf numFmtId="0" fontId="74" fillId="40" borderId="0" applyNumberFormat="0" applyBorder="0" applyAlignment="0" applyProtection="0"/>
    <xf numFmtId="0" fontId="74" fillId="41" borderId="0" applyNumberFormat="0" applyBorder="0" applyAlignment="0" applyProtection="0"/>
    <xf numFmtId="0" fontId="74" fillId="42" borderId="0" applyNumberFormat="0" applyBorder="0" applyAlignment="0" applyProtection="0"/>
    <xf numFmtId="0" fontId="74" fillId="37" borderId="0" applyNumberFormat="0" applyBorder="0" applyAlignment="0" applyProtection="0"/>
    <xf numFmtId="0" fontId="74" fillId="40" borderId="0" applyNumberFormat="0" applyBorder="0" applyAlignment="0" applyProtection="0"/>
    <xf numFmtId="0" fontId="74" fillId="43" borderId="0" applyNumberFormat="0" applyBorder="0" applyAlignment="0" applyProtection="0"/>
    <xf numFmtId="0" fontId="75" fillId="44" borderId="0" applyNumberFormat="0" applyBorder="0" applyAlignment="0" applyProtection="0"/>
    <xf numFmtId="0" fontId="75" fillId="41" borderId="0" applyNumberFormat="0" applyBorder="0" applyAlignment="0" applyProtection="0"/>
    <xf numFmtId="0" fontId="75" fillId="42" borderId="0" applyNumberFormat="0" applyBorder="0" applyAlignment="0" applyProtection="0"/>
    <xf numFmtId="0" fontId="75" fillId="45" borderId="0" applyNumberFormat="0" applyBorder="0" applyAlignment="0" applyProtection="0"/>
    <xf numFmtId="0" fontId="75" fillId="46" borderId="0" applyNumberFormat="0" applyBorder="0" applyAlignment="0" applyProtection="0"/>
    <xf numFmtId="0" fontId="75" fillId="47" borderId="0" applyNumberFormat="0" applyBorder="0" applyAlignment="0" applyProtection="0"/>
    <xf numFmtId="0" fontId="75" fillId="48" borderId="0" applyNumberFormat="0" applyBorder="0" applyAlignment="0" applyProtection="0"/>
    <xf numFmtId="0" fontId="75" fillId="49" borderId="0" applyNumberFormat="0" applyBorder="0" applyAlignment="0" applyProtection="0"/>
    <xf numFmtId="0" fontId="75" fillId="50" borderId="0" applyNumberFormat="0" applyBorder="0" applyAlignment="0" applyProtection="0"/>
    <xf numFmtId="0" fontId="75" fillId="45" borderId="0" applyNumberFormat="0" applyBorder="0" applyAlignment="0" applyProtection="0"/>
    <xf numFmtId="0" fontId="75" fillId="46" borderId="0" applyNumberFormat="0" applyBorder="0" applyAlignment="0" applyProtection="0"/>
    <xf numFmtId="0" fontId="75" fillId="51" borderId="0" applyNumberFormat="0" applyBorder="0" applyAlignment="0" applyProtection="0"/>
    <xf numFmtId="0" fontId="76" fillId="35" borderId="0" applyNumberFormat="0" applyBorder="0" applyAlignment="0" applyProtection="0"/>
    <xf numFmtId="0" fontId="77" fillId="52" borderId="31" applyNumberFormat="0" applyAlignment="0" applyProtection="0"/>
    <xf numFmtId="0" fontId="78" fillId="53" borderId="32" applyNumberFormat="0" applyAlignment="0" applyProtection="0"/>
    <xf numFmtId="0" fontId="79" fillId="0" borderId="0" applyNumberFormat="0" applyFill="0" applyBorder="0" applyAlignment="0" applyProtection="0"/>
    <xf numFmtId="0" fontId="80" fillId="36" borderId="0" applyNumberFormat="0" applyBorder="0" applyAlignment="0" applyProtection="0"/>
    <xf numFmtId="0" fontId="81" fillId="0" borderId="33" applyNumberFormat="0" applyFill="0" applyAlignment="0" applyProtection="0"/>
    <xf numFmtId="0" fontId="82" fillId="0" borderId="34" applyNumberFormat="0" applyFill="0" applyAlignment="0" applyProtection="0"/>
    <xf numFmtId="0" fontId="83" fillId="0" borderId="35" applyNumberFormat="0" applyFill="0" applyAlignment="0" applyProtection="0"/>
    <xf numFmtId="0" fontId="83" fillId="0" borderId="0" applyNumberFormat="0" applyFill="0" applyBorder="0" applyAlignment="0" applyProtection="0"/>
    <xf numFmtId="0" fontId="84" fillId="39" borderId="31" applyNumberFormat="0" applyAlignment="0" applyProtection="0"/>
    <xf numFmtId="0" fontId="85" fillId="0" borderId="36" applyNumberFormat="0" applyFill="0" applyAlignment="0" applyProtection="0"/>
    <xf numFmtId="0" fontId="86" fillId="54" borderId="0" applyNumberFormat="0" applyBorder="0" applyAlignment="0" applyProtection="0"/>
    <xf numFmtId="0" fontId="11" fillId="55" borderId="37" applyNumberFormat="0" applyFont="0" applyAlignment="0" applyProtection="0"/>
    <xf numFmtId="0" fontId="87" fillId="52" borderId="38" applyNumberFormat="0" applyAlignment="0" applyProtection="0"/>
    <xf numFmtId="0" fontId="69" fillId="0" borderId="0" applyNumberFormat="0" applyFill="0" applyBorder="0" applyAlignment="0" applyProtection="0"/>
    <xf numFmtId="0" fontId="88" fillId="0" borderId="39" applyNumberFormat="0" applyFill="0" applyAlignment="0" applyProtection="0"/>
    <xf numFmtId="0" fontId="89" fillId="0" borderId="0" applyNumberFormat="0" applyFill="0" applyBorder="0" applyAlignment="0" applyProtection="0"/>
    <xf numFmtId="0" fontId="7" fillId="0" borderId="0"/>
    <xf numFmtId="0" fontId="7" fillId="0" borderId="0"/>
    <xf numFmtId="0" fontId="7" fillId="0" borderId="0"/>
    <xf numFmtId="0" fontId="11" fillId="0" borderId="0"/>
    <xf numFmtId="0" fontId="69" fillId="0" borderId="0" applyNumberFormat="0" applyFill="0" applyBorder="0" applyAlignment="0" applyProtection="0"/>
    <xf numFmtId="0" fontId="7" fillId="0" borderId="0"/>
    <xf numFmtId="0" fontId="7" fillId="0" borderId="0"/>
    <xf numFmtId="0" fontId="7" fillId="0" borderId="0"/>
    <xf numFmtId="0" fontId="31" fillId="0" borderId="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0" borderId="0"/>
    <xf numFmtId="0" fontId="7" fillId="9" borderId="29" applyNumberFormat="0" applyFont="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0" borderId="0"/>
    <xf numFmtId="0" fontId="7" fillId="9" borderId="29" applyNumberFormat="0" applyFont="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9" borderId="29" applyNumberFormat="0" applyFont="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43" fontId="31" fillId="0" borderId="0" applyFont="0" applyFill="0" applyBorder="0" applyAlignment="0" applyProtection="0"/>
    <xf numFmtId="0" fontId="31" fillId="0" borderId="0"/>
    <xf numFmtId="43" fontId="31" fillId="0" borderId="0" applyFont="0" applyFill="0" applyBorder="0" applyAlignment="0" applyProtection="0"/>
    <xf numFmtId="0" fontId="31" fillId="0" borderId="0"/>
    <xf numFmtId="43" fontId="31" fillId="0" borderId="0" applyFont="0" applyFill="0" applyBorder="0" applyAlignment="0" applyProtection="0"/>
    <xf numFmtId="0" fontId="31" fillId="0" borderId="0"/>
    <xf numFmtId="43" fontId="31" fillId="0" borderId="0" applyFont="0" applyFill="0" applyBorder="0" applyAlignment="0" applyProtection="0"/>
    <xf numFmtId="0" fontId="31" fillId="0" borderId="0"/>
    <xf numFmtId="43" fontId="31" fillId="0" borderId="0" applyFont="0" applyFill="0" applyBorder="0" applyAlignment="0" applyProtection="0"/>
    <xf numFmtId="0" fontId="31" fillId="0" borderId="0"/>
    <xf numFmtId="43" fontId="31" fillId="0" borderId="0" applyFont="0" applyFill="0" applyBorder="0" applyAlignment="0" applyProtection="0"/>
    <xf numFmtId="0" fontId="31" fillId="0" borderId="0"/>
    <xf numFmtId="43" fontId="31" fillId="0" borderId="0" applyFont="0" applyFill="0" applyBorder="0" applyAlignment="0" applyProtection="0"/>
    <xf numFmtId="0" fontId="31" fillId="0" borderId="0"/>
    <xf numFmtId="0" fontId="31" fillId="0" borderId="0"/>
    <xf numFmtId="43" fontId="31" fillId="0" borderId="0" applyFont="0" applyFill="0" applyBorder="0" applyAlignment="0" applyProtection="0"/>
    <xf numFmtId="0" fontId="31" fillId="0" borderId="0"/>
    <xf numFmtId="43" fontId="31" fillId="0" borderId="0" applyFont="0" applyFill="0" applyBorder="0" applyAlignment="0" applyProtection="0"/>
    <xf numFmtId="0" fontId="31" fillId="0" borderId="0"/>
    <xf numFmtId="43" fontId="31" fillId="0" borderId="0" applyFont="0" applyFill="0" applyBorder="0" applyAlignment="0" applyProtection="0"/>
    <xf numFmtId="0" fontId="31" fillId="0" borderId="0"/>
    <xf numFmtId="43" fontId="31" fillId="0" borderId="0" applyFont="0" applyFill="0" applyBorder="0" applyAlignment="0" applyProtection="0"/>
    <xf numFmtId="0" fontId="31" fillId="0" borderId="0"/>
    <xf numFmtId="43" fontId="31" fillId="0" borderId="0" applyFont="0" applyFill="0" applyBorder="0" applyAlignment="0" applyProtection="0"/>
    <xf numFmtId="0" fontId="31" fillId="0" borderId="0"/>
    <xf numFmtId="43" fontId="31" fillId="0" borderId="0" applyFont="0" applyFill="0" applyBorder="0" applyAlignment="0" applyProtection="0"/>
    <xf numFmtId="0" fontId="31" fillId="0" borderId="0"/>
    <xf numFmtId="43" fontId="31" fillId="0" borderId="0" applyFont="0" applyFill="0" applyBorder="0" applyAlignment="0" applyProtection="0"/>
    <xf numFmtId="0" fontId="31" fillId="0" borderId="0"/>
    <xf numFmtId="43" fontId="31" fillId="0" borderId="0" applyFont="0" applyFill="0" applyBorder="0" applyAlignment="0" applyProtection="0"/>
    <xf numFmtId="0" fontId="31" fillId="0" borderId="0"/>
    <xf numFmtId="43" fontId="31" fillId="0" borderId="0" applyFont="0" applyFill="0" applyBorder="0" applyAlignment="0" applyProtection="0"/>
    <xf numFmtId="0" fontId="31" fillId="0" borderId="0"/>
    <xf numFmtId="43" fontId="31" fillId="0" borderId="0" applyFont="0" applyFill="0" applyBorder="0" applyAlignment="0" applyProtection="0"/>
    <xf numFmtId="0" fontId="31" fillId="0" borderId="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0" fontId="31" fillId="0" borderId="0"/>
    <xf numFmtId="0" fontId="31" fillId="0" borderId="0"/>
    <xf numFmtId="0" fontId="31" fillId="0" borderId="0"/>
    <xf numFmtId="43" fontId="31" fillId="0" borderId="0" applyFont="0" applyFill="0" applyBorder="0" applyAlignment="0" applyProtection="0"/>
    <xf numFmtId="0" fontId="31" fillId="0" borderId="0"/>
    <xf numFmtId="43" fontId="31" fillId="0" borderId="0" applyFont="0" applyFill="0" applyBorder="0" applyAlignment="0" applyProtection="0"/>
    <xf numFmtId="0" fontId="31" fillId="0" borderId="0"/>
    <xf numFmtId="43" fontId="31" fillId="0" borderId="0" applyFont="0" applyFill="0" applyBorder="0" applyAlignment="0" applyProtection="0"/>
    <xf numFmtId="0" fontId="31" fillId="0" borderId="0"/>
    <xf numFmtId="0" fontId="31" fillId="0" borderId="0"/>
    <xf numFmtId="0" fontId="31" fillId="0" borderId="0"/>
    <xf numFmtId="43" fontId="31" fillId="0" borderId="0" applyFont="0" applyFill="0" applyBorder="0" applyAlignment="0" applyProtection="0"/>
    <xf numFmtId="0" fontId="31" fillId="0" borderId="0"/>
    <xf numFmtId="43" fontId="31" fillId="0" borderId="0" applyFont="0" applyFill="0" applyBorder="0" applyAlignment="0" applyProtection="0"/>
    <xf numFmtId="43" fontId="31" fillId="0" borderId="0" applyFont="0" applyFill="0" applyBorder="0" applyAlignment="0" applyProtection="0"/>
    <xf numFmtId="0" fontId="31" fillId="0" borderId="0"/>
    <xf numFmtId="43" fontId="31"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43" fontId="31"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43" fontId="31" fillId="0" borderId="0" applyFont="0" applyFill="0" applyBorder="0" applyAlignment="0" applyProtection="0"/>
    <xf numFmtId="43" fontId="31" fillId="0" borderId="0" applyFont="0" applyFill="0" applyBorder="0" applyAlignment="0" applyProtection="0"/>
    <xf numFmtId="0" fontId="31" fillId="0" borderId="0"/>
    <xf numFmtId="0" fontId="31" fillId="0" borderId="0"/>
    <xf numFmtId="43" fontId="31"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43" fontId="31" fillId="0" borderId="0" applyFont="0" applyFill="0" applyBorder="0" applyAlignment="0" applyProtection="0"/>
    <xf numFmtId="43" fontId="31" fillId="0" borderId="0" applyFont="0" applyFill="0" applyBorder="0" applyAlignment="0" applyProtection="0"/>
    <xf numFmtId="0" fontId="31" fillId="0" borderId="0"/>
    <xf numFmtId="0" fontId="31" fillId="0" borderId="0"/>
    <xf numFmtId="43" fontId="31"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43" fontId="31" fillId="0" borderId="0" applyFont="0" applyFill="0" applyBorder="0" applyAlignment="0" applyProtection="0"/>
    <xf numFmtId="43" fontId="31" fillId="0" borderId="0" applyFont="0" applyFill="0" applyBorder="0" applyAlignment="0" applyProtection="0"/>
    <xf numFmtId="0" fontId="31" fillId="0" borderId="0"/>
    <xf numFmtId="0" fontId="31" fillId="0" borderId="0"/>
    <xf numFmtId="43" fontId="31"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43" fontId="31" fillId="0" borderId="0" applyFont="0" applyFill="0" applyBorder="0" applyAlignment="0" applyProtection="0"/>
    <xf numFmtId="43" fontId="31" fillId="0" borderId="0" applyFont="0" applyFill="0" applyBorder="0" applyAlignment="0" applyProtection="0"/>
    <xf numFmtId="0" fontId="31" fillId="0" borderId="0"/>
    <xf numFmtId="0" fontId="31" fillId="0" borderId="0"/>
    <xf numFmtId="43" fontId="31"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43" fontId="31" fillId="0" borderId="0" applyFont="0" applyFill="0" applyBorder="0" applyAlignment="0" applyProtection="0"/>
    <xf numFmtId="43" fontId="31" fillId="0" borderId="0" applyFont="0" applyFill="0" applyBorder="0" applyAlignment="0" applyProtection="0"/>
    <xf numFmtId="0" fontId="31" fillId="0" borderId="0"/>
    <xf numFmtId="0" fontId="31" fillId="0" borderId="0"/>
    <xf numFmtId="43" fontId="31"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43" fontId="31" fillId="0" borderId="0" applyFont="0" applyFill="0" applyBorder="0" applyAlignment="0" applyProtection="0"/>
    <xf numFmtId="43" fontId="31" fillId="0" borderId="0" applyFont="0" applyFill="0" applyBorder="0" applyAlignment="0" applyProtection="0"/>
    <xf numFmtId="0" fontId="31" fillId="0" borderId="0"/>
    <xf numFmtId="0" fontId="31" fillId="0" borderId="0"/>
    <xf numFmtId="43" fontId="31"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43" fontId="31" fillId="0" borderId="0" applyFont="0" applyFill="0" applyBorder="0" applyAlignment="0" applyProtection="0"/>
    <xf numFmtId="43" fontId="31" fillId="0" borderId="0" applyFont="0" applyFill="0" applyBorder="0" applyAlignment="0" applyProtection="0"/>
    <xf numFmtId="0" fontId="31" fillId="0" borderId="0"/>
    <xf numFmtId="0" fontId="31" fillId="0" borderId="0"/>
    <xf numFmtId="43" fontId="31"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43" fontId="31" fillId="0" borderId="0" applyFont="0" applyFill="0" applyBorder="0" applyAlignment="0" applyProtection="0"/>
    <xf numFmtId="43" fontId="31" fillId="0" borderId="0" applyFont="0" applyFill="0" applyBorder="0" applyAlignment="0" applyProtection="0"/>
    <xf numFmtId="0" fontId="31" fillId="0" borderId="0"/>
    <xf numFmtId="0" fontId="31" fillId="0" borderId="0"/>
    <xf numFmtId="43" fontId="31"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0" fontId="31" fillId="0" borderId="0"/>
    <xf numFmtId="43" fontId="31"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43" fontId="31" fillId="0" borderId="0" applyFont="0" applyFill="0" applyBorder="0" applyAlignment="0" applyProtection="0"/>
    <xf numFmtId="0" fontId="31" fillId="0" borderId="0"/>
    <xf numFmtId="43" fontId="31"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43" fontId="31" fillId="0" borderId="0" applyFont="0" applyFill="0" applyBorder="0" applyAlignment="0" applyProtection="0"/>
    <xf numFmtId="43" fontId="31" fillId="0" borderId="0" applyFont="0" applyFill="0" applyBorder="0" applyAlignment="0" applyProtection="0"/>
    <xf numFmtId="0" fontId="31" fillId="0" borderId="0"/>
    <xf numFmtId="0" fontId="31" fillId="0" borderId="0"/>
    <xf numFmtId="0" fontId="31" fillId="0" borderId="0"/>
    <xf numFmtId="0" fontId="31" fillId="0" borderId="0"/>
    <xf numFmtId="43" fontId="31"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43" fontId="31" fillId="0" borderId="0" applyFont="0" applyFill="0" applyBorder="0" applyAlignment="0" applyProtection="0"/>
    <xf numFmtId="43" fontId="31" fillId="0" borderId="0" applyFont="0" applyFill="0" applyBorder="0" applyAlignment="0" applyProtection="0"/>
    <xf numFmtId="0" fontId="31" fillId="0" borderId="0"/>
    <xf numFmtId="0" fontId="31" fillId="0" borderId="0"/>
    <xf numFmtId="43" fontId="31"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43" fontId="31" fillId="0" borderId="0" applyFont="0" applyFill="0" applyBorder="0" applyAlignment="0" applyProtection="0"/>
    <xf numFmtId="43" fontId="31" fillId="0" borderId="0" applyFont="0" applyFill="0" applyBorder="0" applyAlignment="0" applyProtection="0"/>
    <xf numFmtId="0" fontId="31" fillId="0" borderId="0"/>
    <xf numFmtId="0" fontId="31" fillId="0" borderId="0"/>
    <xf numFmtId="43" fontId="31"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43" fontId="31" fillId="0" borderId="0" applyFont="0" applyFill="0" applyBorder="0" applyAlignment="0" applyProtection="0"/>
    <xf numFmtId="43" fontId="31" fillId="0" borderId="0" applyFont="0" applyFill="0" applyBorder="0" applyAlignment="0" applyProtection="0"/>
    <xf numFmtId="0" fontId="31" fillId="0" borderId="0"/>
    <xf numFmtId="0" fontId="31" fillId="0" borderId="0"/>
    <xf numFmtId="43" fontId="31"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43" fontId="31" fillId="0" borderId="0" applyFont="0" applyFill="0" applyBorder="0" applyAlignment="0" applyProtection="0"/>
    <xf numFmtId="43" fontId="31" fillId="0" borderId="0" applyFont="0" applyFill="0" applyBorder="0" applyAlignment="0" applyProtection="0"/>
    <xf numFmtId="0" fontId="31" fillId="0" borderId="0"/>
    <xf numFmtId="0" fontId="31" fillId="0" borderId="0"/>
    <xf numFmtId="43" fontId="31"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43" fontId="31" fillId="0" borderId="0" applyFont="0" applyFill="0" applyBorder="0" applyAlignment="0" applyProtection="0"/>
    <xf numFmtId="43" fontId="31" fillId="0" borderId="0" applyFont="0" applyFill="0" applyBorder="0" applyAlignment="0" applyProtection="0"/>
    <xf numFmtId="0" fontId="31" fillId="0" borderId="0"/>
    <xf numFmtId="0" fontId="31" fillId="0" borderId="0"/>
    <xf numFmtId="43" fontId="31"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43" fontId="31" fillId="0" borderId="0" applyFont="0" applyFill="0" applyBorder="0" applyAlignment="0" applyProtection="0"/>
    <xf numFmtId="43" fontId="31" fillId="0" borderId="0" applyFont="0" applyFill="0" applyBorder="0" applyAlignment="0" applyProtection="0"/>
    <xf numFmtId="0" fontId="31" fillId="0" borderId="0"/>
    <xf numFmtId="0" fontId="31" fillId="0" borderId="0"/>
    <xf numFmtId="43" fontId="31"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43" fontId="31" fillId="0" borderId="0" applyFont="0" applyFill="0" applyBorder="0" applyAlignment="0" applyProtection="0"/>
    <xf numFmtId="43" fontId="31" fillId="0" borderId="0" applyFont="0" applyFill="0" applyBorder="0" applyAlignment="0" applyProtection="0"/>
    <xf numFmtId="0" fontId="31" fillId="0" borderId="0"/>
    <xf numFmtId="0" fontId="31" fillId="0" borderId="0"/>
    <xf numFmtId="43" fontId="31"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43" fontId="31" fillId="0" borderId="0" applyFont="0" applyFill="0" applyBorder="0" applyAlignment="0" applyProtection="0"/>
    <xf numFmtId="43" fontId="31" fillId="0" borderId="0" applyFont="0" applyFill="0" applyBorder="0" applyAlignment="0" applyProtection="0"/>
    <xf numFmtId="0" fontId="31" fillId="0" borderId="0"/>
    <xf numFmtId="0" fontId="31" fillId="0" borderId="0"/>
    <xf numFmtId="43" fontId="31"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43" fontId="31" fillId="0" borderId="0" applyFont="0" applyFill="0" applyBorder="0" applyAlignment="0" applyProtection="0"/>
    <xf numFmtId="43" fontId="31" fillId="0" borderId="0" applyFont="0" applyFill="0" applyBorder="0" applyAlignment="0" applyProtection="0"/>
    <xf numFmtId="0" fontId="31" fillId="0" borderId="0"/>
    <xf numFmtId="0" fontId="31" fillId="0" borderId="0"/>
    <xf numFmtId="43" fontId="31"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43" fontId="31" fillId="0" borderId="0" applyFont="0" applyFill="0" applyBorder="0" applyAlignment="0" applyProtection="0"/>
    <xf numFmtId="43" fontId="31" fillId="0" borderId="0" applyFont="0" applyFill="0" applyBorder="0" applyAlignment="0" applyProtection="0"/>
    <xf numFmtId="0" fontId="31" fillId="0" borderId="0"/>
    <xf numFmtId="43" fontId="31" fillId="0" borderId="0" applyFont="0" applyFill="0" applyBorder="0" applyAlignment="0" applyProtection="0"/>
    <xf numFmtId="0" fontId="31" fillId="0" borderId="0"/>
    <xf numFmtId="0" fontId="31" fillId="0" borderId="0"/>
    <xf numFmtId="0" fontId="31" fillId="0" borderId="0"/>
    <xf numFmtId="0" fontId="31" fillId="0" borderId="0"/>
    <xf numFmtId="43" fontId="31" fillId="0" borderId="0" applyFont="0" applyFill="0" applyBorder="0" applyAlignment="0" applyProtection="0"/>
    <xf numFmtId="0" fontId="31" fillId="0" borderId="0"/>
    <xf numFmtId="0" fontId="31" fillId="0" borderId="0"/>
    <xf numFmtId="0" fontId="31" fillId="0" borderId="0"/>
    <xf numFmtId="0" fontId="7" fillId="0" borderId="0"/>
    <xf numFmtId="0" fontId="7" fillId="9" borderId="29" applyNumberFormat="0" applyFont="0" applyAlignment="0" applyProtection="0"/>
    <xf numFmtId="0" fontId="7" fillId="11"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12"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20" borderId="0" applyNumberFormat="0" applyBorder="0" applyAlignment="0" applyProtection="0"/>
    <xf numFmtId="0" fontId="7" fillId="9" borderId="29" applyNumberFormat="0" applyFont="0" applyAlignment="0" applyProtection="0"/>
    <xf numFmtId="0" fontId="7" fillId="19" borderId="0" applyNumberFormat="0" applyBorder="0" applyAlignment="0" applyProtection="0"/>
    <xf numFmtId="0" fontId="7" fillId="0" borderId="0"/>
    <xf numFmtId="0" fontId="7" fillId="16" borderId="0" applyNumberFormat="0" applyBorder="0" applyAlignment="0" applyProtection="0"/>
    <xf numFmtId="0" fontId="7" fillId="32" borderId="0" applyNumberFormat="0" applyBorder="0" applyAlignment="0" applyProtection="0"/>
    <xf numFmtId="0" fontId="7" fillId="31" borderId="0" applyNumberFormat="0" applyBorder="0" applyAlignment="0" applyProtection="0"/>
    <xf numFmtId="0" fontId="7" fillId="24" borderId="0" applyNumberFormat="0" applyBorder="0" applyAlignment="0" applyProtection="0"/>
    <xf numFmtId="0" fontId="7" fillId="23" borderId="0" applyNumberFormat="0" applyBorder="0" applyAlignment="0" applyProtection="0"/>
    <xf numFmtId="0" fontId="7" fillId="28" borderId="0" applyNumberFormat="0" applyBorder="0" applyAlignment="0" applyProtection="0"/>
    <xf numFmtId="0" fontId="7" fillId="27" borderId="0" applyNumberFormat="0" applyBorder="0" applyAlignment="0" applyProtection="0"/>
    <xf numFmtId="0" fontId="7" fillId="0" borderId="0"/>
    <xf numFmtId="0" fontId="7" fillId="9" borderId="29" applyNumberFormat="0" applyFont="0" applyAlignment="0" applyProtection="0"/>
    <xf numFmtId="0" fontId="7" fillId="11"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6" fillId="11" borderId="0" applyNumberFormat="0" applyBorder="0" applyAlignment="0" applyProtection="0"/>
    <xf numFmtId="0" fontId="74" fillId="34"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6" fillId="11"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74" fillId="34"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74" fillId="34"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6" fillId="15" borderId="0" applyNumberFormat="0" applyBorder="0" applyAlignment="0" applyProtection="0"/>
    <xf numFmtId="0" fontId="74" fillId="3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6" fillId="1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74" fillId="3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74" fillId="35" borderId="0" applyNumberFormat="0" applyBorder="0" applyAlignment="0" applyProtection="0"/>
    <xf numFmtId="0" fontId="74" fillId="36" borderId="0" applyNumberFormat="0" applyBorder="0" applyAlignment="0" applyProtection="0"/>
    <xf numFmtId="0" fontId="74" fillId="36" borderId="0" applyNumberFormat="0" applyBorder="0" applyAlignment="0" applyProtection="0"/>
    <xf numFmtId="0" fontId="74" fillId="36" borderId="0" applyNumberFormat="0" applyBorder="0" applyAlignment="0" applyProtection="0"/>
    <xf numFmtId="0" fontId="74" fillId="36" borderId="0" applyNumberFormat="0" applyBorder="0" applyAlignment="0" applyProtection="0"/>
    <xf numFmtId="0" fontId="74" fillId="36" borderId="0" applyNumberFormat="0" applyBorder="0" applyAlignment="0" applyProtection="0"/>
    <xf numFmtId="0" fontId="74" fillId="36" borderId="0" applyNumberFormat="0" applyBorder="0" applyAlignment="0" applyProtection="0"/>
    <xf numFmtId="0" fontId="74" fillId="36" borderId="0" applyNumberFormat="0" applyBorder="0" applyAlignment="0" applyProtection="0"/>
    <xf numFmtId="0" fontId="74" fillId="36" borderId="0" applyNumberFormat="0" applyBorder="0" applyAlignment="0" applyProtection="0"/>
    <xf numFmtId="0" fontId="74" fillId="36" borderId="0" applyNumberFormat="0" applyBorder="0" applyAlignment="0" applyProtection="0"/>
    <xf numFmtId="0" fontId="74" fillId="36" borderId="0" applyNumberFormat="0" applyBorder="0" applyAlignment="0" applyProtection="0"/>
    <xf numFmtId="0" fontId="74" fillId="36" borderId="0" applyNumberFormat="0" applyBorder="0" applyAlignment="0" applyProtection="0"/>
    <xf numFmtId="0" fontId="74" fillId="36" borderId="0" applyNumberFormat="0" applyBorder="0" applyAlignment="0" applyProtection="0"/>
    <xf numFmtId="0" fontId="74" fillId="36" borderId="0" applyNumberFormat="0" applyBorder="0" applyAlignment="0" applyProtection="0"/>
    <xf numFmtId="0" fontId="74" fillId="36" borderId="0" applyNumberFormat="0" applyBorder="0" applyAlignment="0" applyProtection="0"/>
    <xf numFmtId="0" fontId="6" fillId="19" borderId="0" applyNumberFormat="0" applyBorder="0" applyAlignment="0" applyProtection="0"/>
    <xf numFmtId="0" fontId="74" fillId="36"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74" fillId="36" borderId="0" applyNumberFormat="0" applyBorder="0" applyAlignment="0" applyProtection="0"/>
    <xf numFmtId="0" fontId="74" fillId="36" borderId="0" applyNumberFormat="0" applyBorder="0" applyAlignment="0" applyProtection="0"/>
    <xf numFmtId="0" fontId="74" fillId="36" borderId="0" applyNumberFormat="0" applyBorder="0" applyAlignment="0" applyProtection="0"/>
    <xf numFmtId="0" fontId="74" fillId="36" borderId="0" applyNumberFormat="0" applyBorder="0" applyAlignment="0" applyProtection="0"/>
    <xf numFmtId="0" fontId="6" fillId="19" borderId="0" applyNumberFormat="0" applyBorder="0" applyAlignment="0" applyProtection="0"/>
    <xf numFmtId="0" fontId="74" fillId="36" borderId="0" applyNumberFormat="0" applyBorder="0" applyAlignment="0" applyProtection="0"/>
    <xf numFmtId="0" fontId="74" fillId="36" borderId="0" applyNumberFormat="0" applyBorder="0" applyAlignment="0" applyProtection="0"/>
    <xf numFmtId="0" fontId="74" fillId="36" borderId="0" applyNumberFormat="0" applyBorder="0" applyAlignment="0" applyProtection="0"/>
    <xf numFmtId="0" fontId="74" fillId="36" borderId="0" applyNumberFormat="0" applyBorder="0" applyAlignment="0" applyProtection="0"/>
    <xf numFmtId="0" fontId="74" fillId="36" borderId="0" applyNumberFormat="0" applyBorder="0" applyAlignment="0" applyProtection="0"/>
    <xf numFmtId="0" fontId="74" fillId="36"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74" fillId="36"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74" fillId="36"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6" fillId="23" borderId="0" applyNumberFormat="0" applyBorder="0" applyAlignment="0" applyProtection="0"/>
    <xf numFmtId="0" fontId="74" fillId="37"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6" fillId="23"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74" fillId="37"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74" fillId="37" borderId="0" applyNumberFormat="0" applyBorder="0" applyAlignment="0" applyProtection="0"/>
    <xf numFmtId="0" fontId="74" fillId="38" borderId="0" applyNumberFormat="0" applyBorder="0" applyAlignment="0" applyProtection="0"/>
    <xf numFmtId="0" fontId="74" fillId="38" borderId="0" applyNumberFormat="0" applyBorder="0" applyAlignment="0" applyProtection="0"/>
    <xf numFmtId="0" fontId="74" fillId="38" borderId="0" applyNumberFormat="0" applyBorder="0" applyAlignment="0" applyProtection="0"/>
    <xf numFmtId="0" fontId="74" fillId="38" borderId="0" applyNumberFormat="0" applyBorder="0" applyAlignment="0" applyProtection="0"/>
    <xf numFmtId="0" fontId="74" fillId="38" borderId="0" applyNumberFormat="0" applyBorder="0" applyAlignment="0" applyProtection="0"/>
    <xf numFmtId="0" fontId="74" fillId="38" borderId="0" applyNumberFormat="0" applyBorder="0" applyAlignment="0" applyProtection="0"/>
    <xf numFmtId="0" fontId="74" fillId="38" borderId="0" applyNumberFormat="0" applyBorder="0" applyAlignment="0" applyProtection="0"/>
    <xf numFmtId="0" fontId="74" fillId="38" borderId="0" applyNumberFormat="0" applyBorder="0" applyAlignment="0" applyProtection="0"/>
    <xf numFmtId="0" fontId="74" fillId="38" borderId="0" applyNumberFormat="0" applyBorder="0" applyAlignment="0" applyProtection="0"/>
    <xf numFmtId="0" fontId="74" fillId="38" borderId="0" applyNumberFormat="0" applyBorder="0" applyAlignment="0" applyProtection="0"/>
    <xf numFmtId="0" fontId="74" fillId="38" borderId="0" applyNumberFormat="0" applyBorder="0" applyAlignment="0" applyProtection="0"/>
    <xf numFmtId="0" fontId="74" fillId="38" borderId="0" applyNumberFormat="0" applyBorder="0" applyAlignment="0" applyProtection="0"/>
    <xf numFmtId="0" fontId="74" fillId="38" borderId="0" applyNumberFormat="0" applyBorder="0" applyAlignment="0" applyProtection="0"/>
    <xf numFmtId="0" fontId="74" fillId="38" borderId="0" applyNumberFormat="0" applyBorder="0" applyAlignment="0" applyProtection="0"/>
    <xf numFmtId="0" fontId="6" fillId="27" borderId="0" applyNumberFormat="0" applyBorder="0" applyAlignment="0" applyProtection="0"/>
    <xf numFmtId="0" fontId="74" fillId="38"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74" fillId="38" borderId="0" applyNumberFormat="0" applyBorder="0" applyAlignment="0" applyProtection="0"/>
    <xf numFmtId="0" fontId="74" fillId="38" borderId="0" applyNumberFormat="0" applyBorder="0" applyAlignment="0" applyProtection="0"/>
    <xf numFmtId="0" fontId="74" fillId="38" borderId="0" applyNumberFormat="0" applyBorder="0" applyAlignment="0" applyProtection="0"/>
    <xf numFmtId="0" fontId="74" fillId="38" borderId="0" applyNumberFormat="0" applyBorder="0" applyAlignment="0" applyProtection="0"/>
    <xf numFmtId="0" fontId="6" fillId="27" borderId="0" applyNumberFormat="0" applyBorder="0" applyAlignment="0" applyProtection="0"/>
    <xf numFmtId="0" fontId="74" fillId="38" borderId="0" applyNumberFormat="0" applyBorder="0" applyAlignment="0" applyProtection="0"/>
    <xf numFmtId="0" fontId="74" fillId="38" borderId="0" applyNumberFormat="0" applyBorder="0" applyAlignment="0" applyProtection="0"/>
    <xf numFmtId="0" fontId="74" fillId="38" borderId="0" applyNumberFormat="0" applyBorder="0" applyAlignment="0" applyProtection="0"/>
    <xf numFmtId="0" fontId="74" fillId="38" borderId="0" applyNumberFormat="0" applyBorder="0" applyAlignment="0" applyProtection="0"/>
    <xf numFmtId="0" fontId="74" fillId="38" borderId="0" applyNumberFormat="0" applyBorder="0" applyAlignment="0" applyProtection="0"/>
    <xf numFmtId="0" fontId="74" fillId="38"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74" fillId="38"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74" fillId="38"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6" fillId="31" borderId="0" applyNumberFormat="0" applyBorder="0" applyAlignment="0" applyProtection="0"/>
    <xf numFmtId="0" fontId="74" fillId="39"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6" fillId="31"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74" fillId="39"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74" fillId="39"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6" fillId="12" borderId="0" applyNumberFormat="0" applyBorder="0" applyAlignment="0" applyProtection="0"/>
    <xf numFmtId="0" fontId="74" fillId="40"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6" fillId="12"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74" fillId="40"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74" fillId="40"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6" fillId="16" borderId="0" applyNumberFormat="0" applyBorder="0" applyAlignment="0" applyProtection="0"/>
    <xf numFmtId="0" fontId="74" fillId="41"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6" fillId="16"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74" fillId="41"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74" fillId="41"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6" fillId="20" borderId="0" applyNumberFormat="0" applyBorder="0" applyAlignment="0" applyProtection="0"/>
    <xf numFmtId="0" fontId="74" fillId="42"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6" fillId="20"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74" fillId="42"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74" fillId="42"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6" fillId="24" borderId="0" applyNumberFormat="0" applyBorder="0" applyAlignment="0" applyProtection="0"/>
    <xf numFmtId="0" fontId="74" fillId="37"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6" fillId="24"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74" fillId="37"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74" fillId="37"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6" fillId="28" borderId="0" applyNumberFormat="0" applyBorder="0" applyAlignment="0" applyProtection="0"/>
    <xf numFmtId="0" fontId="74" fillId="40"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6" fillId="28"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74" fillId="40"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74" fillId="40" borderId="0" applyNumberFormat="0" applyBorder="0" applyAlignment="0" applyProtection="0"/>
    <xf numFmtId="0" fontId="74" fillId="43" borderId="0" applyNumberFormat="0" applyBorder="0" applyAlignment="0" applyProtection="0"/>
    <xf numFmtId="0" fontId="74" fillId="43" borderId="0" applyNumberFormat="0" applyBorder="0" applyAlignment="0" applyProtection="0"/>
    <xf numFmtId="0" fontId="74" fillId="43" borderId="0" applyNumberFormat="0" applyBorder="0" applyAlignment="0" applyProtection="0"/>
    <xf numFmtId="0" fontId="74" fillId="43" borderId="0" applyNumberFormat="0" applyBorder="0" applyAlignment="0" applyProtection="0"/>
    <xf numFmtId="0" fontId="74" fillId="43" borderId="0" applyNumberFormat="0" applyBorder="0" applyAlignment="0" applyProtection="0"/>
    <xf numFmtId="0" fontId="74" fillId="43" borderId="0" applyNumberFormat="0" applyBorder="0" applyAlignment="0" applyProtection="0"/>
    <xf numFmtId="0" fontId="74" fillId="43" borderId="0" applyNumberFormat="0" applyBorder="0" applyAlignment="0" applyProtection="0"/>
    <xf numFmtId="0" fontId="74" fillId="43" borderId="0" applyNumberFormat="0" applyBorder="0" applyAlignment="0" applyProtection="0"/>
    <xf numFmtId="0" fontId="74" fillId="43" borderId="0" applyNumberFormat="0" applyBorder="0" applyAlignment="0" applyProtection="0"/>
    <xf numFmtId="0" fontId="74" fillId="43" borderId="0" applyNumberFormat="0" applyBorder="0" applyAlignment="0" applyProtection="0"/>
    <xf numFmtId="0" fontId="74" fillId="43" borderId="0" applyNumberFormat="0" applyBorder="0" applyAlignment="0" applyProtection="0"/>
    <xf numFmtId="0" fontId="74" fillId="43" borderId="0" applyNumberFormat="0" applyBorder="0" applyAlignment="0" applyProtection="0"/>
    <xf numFmtId="0" fontId="74" fillId="43" borderId="0" applyNumberFormat="0" applyBorder="0" applyAlignment="0" applyProtection="0"/>
    <xf numFmtId="0" fontId="74" fillId="43" borderId="0" applyNumberFormat="0" applyBorder="0" applyAlignment="0" applyProtection="0"/>
    <xf numFmtId="0" fontId="6" fillId="32" borderId="0" applyNumberFormat="0" applyBorder="0" applyAlignment="0" applyProtection="0"/>
    <xf numFmtId="0" fontId="74" fillId="43"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74" fillId="43" borderId="0" applyNumberFormat="0" applyBorder="0" applyAlignment="0" applyProtection="0"/>
    <xf numFmtId="0" fontId="74" fillId="43" borderId="0" applyNumberFormat="0" applyBorder="0" applyAlignment="0" applyProtection="0"/>
    <xf numFmtId="0" fontId="74" fillId="43" borderId="0" applyNumberFormat="0" applyBorder="0" applyAlignment="0" applyProtection="0"/>
    <xf numFmtId="0" fontId="74" fillId="43" borderId="0" applyNumberFormat="0" applyBorder="0" applyAlignment="0" applyProtection="0"/>
    <xf numFmtId="0" fontId="6" fillId="32" borderId="0" applyNumberFormat="0" applyBorder="0" applyAlignment="0" applyProtection="0"/>
    <xf numFmtId="0" fontId="74" fillId="43" borderId="0" applyNumberFormat="0" applyBorder="0" applyAlignment="0" applyProtection="0"/>
    <xf numFmtId="0" fontId="74" fillId="43" borderId="0" applyNumberFormat="0" applyBorder="0" applyAlignment="0" applyProtection="0"/>
    <xf numFmtId="0" fontId="74" fillId="43" borderId="0" applyNumberFormat="0" applyBorder="0" applyAlignment="0" applyProtection="0"/>
    <xf numFmtId="0" fontId="74" fillId="43" borderId="0" applyNumberFormat="0" applyBorder="0" applyAlignment="0" applyProtection="0"/>
    <xf numFmtId="0" fontId="74" fillId="43" borderId="0" applyNumberFormat="0" applyBorder="0" applyAlignment="0" applyProtection="0"/>
    <xf numFmtId="0" fontId="74" fillId="43"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74" fillId="43"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74" fillId="43" borderId="0" applyNumberFormat="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4" fontId="31" fillId="0" borderId="0" applyFont="0" applyFill="0" applyBorder="0" applyAlignment="0" applyProtection="0"/>
    <xf numFmtId="0" fontId="11" fillId="0" borderId="0"/>
    <xf numFmtId="0" fontId="11" fillId="0" borderId="0"/>
    <xf numFmtId="0" fontId="11" fillId="0" borderId="0"/>
    <xf numFmtId="0" fontId="22" fillId="0" borderId="0"/>
    <xf numFmtId="0" fontId="31" fillId="0" borderId="0"/>
    <xf numFmtId="0" fontId="3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 fillId="0" borderId="0"/>
    <xf numFmtId="0" fontId="1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 fillId="0" borderId="0"/>
    <xf numFmtId="0" fontId="11" fillId="0" borderId="0"/>
    <xf numFmtId="0" fontId="74" fillId="9" borderId="29" applyNumberFormat="0" applyFont="0" applyAlignment="0" applyProtection="0"/>
    <xf numFmtId="0" fontId="74" fillId="9" borderId="29" applyNumberFormat="0" applyFont="0" applyAlignment="0" applyProtection="0"/>
    <xf numFmtId="0" fontId="74" fillId="9" borderId="29" applyNumberFormat="0" applyFont="0" applyAlignment="0" applyProtection="0"/>
    <xf numFmtId="0" fontId="74" fillId="9" borderId="29" applyNumberFormat="0" applyFont="0" applyAlignment="0" applyProtection="0"/>
    <xf numFmtId="0" fontId="74" fillId="9" borderId="29" applyNumberFormat="0" applyFont="0" applyAlignment="0" applyProtection="0"/>
    <xf numFmtId="0" fontId="74" fillId="9" borderId="29" applyNumberFormat="0" applyFont="0" applyAlignment="0" applyProtection="0"/>
    <xf numFmtId="0" fontId="74" fillId="9" borderId="29" applyNumberFormat="0" applyFont="0" applyAlignment="0" applyProtection="0"/>
    <xf numFmtId="0" fontId="74" fillId="9" borderId="29" applyNumberFormat="0" applyFont="0" applyAlignment="0" applyProtection="0"/>
    <xf numFmtId="0" fontId="74" fillId="9" borderId="29" applyNumberFormat="0" applyFont="0" applyAlignment="0" applyProtection="0"/>
    <xf numFmtId="0" fontId="74" fillId="9" borderId="29" applyNumberFormat="0" applyFont="0" applyAlignment="0" applyProtection="0"/>
    <xf numFmtId="0" fontId="74" fillId="9" borderId="29" applyNumberFormat="0" applyFont="0" applyAlignment="0" applyProtection="0"/>
    <xf numFmtId="0" fontId="74" fillId="9" borderId="29" applyNumberFormat="0" applyFont="0" applyAlignment="0" applyProtection="0"/>
    <xf numFmtId="0" fontId="74" fillId="9" borderId="29" applyNumberFormat="0" applyFont="0" applyAlignment="0" applyProtection="0"/>
    <xf numFmtId="0" fontId="74" fillId="9" borderId="29" applyNumberFormat="0" applyFont="0" applyAlignment="0" applyProtection="0"/>
    <xf numFmtId="0" fontId="74" fillId="9" borderId="29" applyNumberFormat="0" applyFont="0" applyAlignment="0" applyProtection="0"/>
    <xf numFmtId="0" fontId="74" fillId="9" borderId="29" applyNumberFormat="0" applyFont="0" applyAlignment="0" applyProtection="0"/>
    <xf numFmtId="0" fontId="74" fillId="9" borderId="29" applyNumberFormat="0" applyFont="0" applyAlignment="0" applyProtection="0"/>
    <xf numFmtId="0" fontId="74" fillId="9" borderId="29" applyNumberFormat="0" applyFont="0" applyAlignment="0" applyProtection="0"/>
    <xf numFmtId="0" fontId="74" fillId="9" borderId="29" applyNumberFormat="0" applyFont="0" applyAlignment="0" applyProtection="0"/>
    <xf numFmtId="0" fontId="74" fillId="9" borderId="29" applyNumberFormat="0" applyFont="0" applyAlignment="0" applyProtection="0"/>
    <xf numFmtId="0" fontId="74" fillId="9" borderId="29" applyNumberFormat="0" applyFont="0" applyAlignment="0" applyProtection="0"/>
    <xf numFmtId="0" fontId="74" fillId="9" borderId="29" applyNumberFormat="0" applyFont="0" applyAlignment="0" applyProtection="0"/>
    <xf numFmtId="0" fontId="74" fillId="9" borderId="29" applyNumberFormat="0" applyFont="0" applyAlignment="0" applyProtection="0"/>
    <xf numFmtId="0" fontId="74" fillId="9" borderId="29" applyNumberFormat="0" applyFont="0" applyAlignment="0" applyProtection="0"/>
    <xf numFmtId="0" fontId="74" fillId="9" borderId="29" applyNumberFormat="0" applyFont="0" applyAlignment="0" applyProtection="0"/>
    <xf numFmtId="0" fontId="74" fillId="9" borderId="29" applyNumberFormat="0" applyFont="0" applyAlignment="0" applyProtection="0"/>
    <xf numFmtId="0" fontId="74" fillId="9" borderId="29" applyNumberFormat="0" applyFont="0" applyAlignment="0" applyProtection="0"/>
    <xf numFmtId="0" fontId="74" fillId="9" borderId="29" applyNumberFormat="0" applyFont="0" applyAlignment="0" applyProtection="0"/>
    <xf numFmtId="0" fontId="74" fillId="9" borderId="29" applyNumberFormat="0" applyFont="0" applyAlignment="0" applyProtection="0"/>
    <xf numFmtId="0" fontId="74" fillId="9" borderId="29" applyNumberFormat="0" applyFont="0" applyAlignment="0" applyProtection="0"/>
    <xf numFmtId="0" fontId="74" fillId="9" borderId="29" applyNumberFormat="0" applyFont="0" applyAlignment="0" applyProtection="0"/>
    <xf numFmtId="0" fontId="74" fillId="9" borderId="29" applyNumberFormat="0" applyFont="0" applyAlignment="0" applyProtection="0"/>
    <xf numFmtId="0" fontId="74" fillId="9" borderId="29" applyNumberFormat="0" applyFont="0" applyAlignment="0" applyProtection="0"/>
    <xf numFmtId="0" fontId="74" fillId="9" borderId="29" applyNumberFormat="0" applyFont="0" applyAlignment="0" applyProtection="0"/>
    <xf numFmtId="0" fontId="74" fillId="9" borderId="29" applyNumberFormat="0" applyFont="0" applyAlignment="0" applyProtection="0"/>
    <xf numFmtId="0" fontId="74" fillId="9" borderId="29" applyNumberFormat="0" applyFont="0" applyAlignment="0" applyProtection="0"/>
    <xf numFmtId="0" fontId="74" fillId="9" borderId="29" applyNumberFormat="0" applyFont="0" applyAlignment="0" applyProtection="0"/>
    <xf numFmtId="0" fontId="74" fillId="9" borderId="29" applyNumberFormat="0" applyFont="0" applyAlignment="0" applyProtection="0"/>
    <xf numFmtId="0" fontId="74" fillId="9" borderId="29" applyNumberFormat="0" applyFont="0" applyAlignment="0" applyProtection="0"/>
    <xf numFmtId="0" fontId="74" fillId="9" borderId="29" applyNumberFormat="0" applyFont="0" applyAlignment="0" applyProtection="0"/>
    <xf numFmtId="0" fontId="74" fillId="9" borderId="29" applyNumberFormat="0" applyFont="0" applyAlignment="0" applyProtection="0"/>
    <xf numFmtId="0" fontId="74" fillId="9" borderId="29" applyNumberFormat="0" applyFont="0" applyAlignment="0" applyProtection="0"/>
    <xf numFmtId="0" fontId="74" fillId="9" borderId="29" applyNumberFormat="0" applyFont="0" applyAlignment="0" applyProtection="0"/>
    <xf numFmtId="0" fontId="74" fillId="9" borderId="29" applyNumberFormat="0" applyFont="0" applyAlignment="0" applyProtection="0"/>
    <xf numFmtId="0" fontId="74" fillId="9" borderId="29" applyNumberFormat="0" applyFont="0" applyAlignment="0" applyProtection="0"/>
    <xf numFmtId="0" fontId="74" fillId="9" borderId="29" applyNumberFormat="0" applyFont="0" applyAlignment="0" applyProtection="0"/>
    <xf numFmtId="0" fontId="74" fillId="9" borderId="29" applyNumberFormat="0" applyFont="0" applyAlignment="0" applyProtection="0"/>
    <xf numFmtId="0" fontId="74" fillId="9" borderId="29" applyNumberFormat="0" applyFont="0" applyAlignment="0" applyProtection="0"/>
    <xf numFmtId="0" fontId="74" fillId="9" borderId="29" applyNumberFormat="0" applyFont="0" applyAlignment="0" applyProtection="0"/>
    <xf numFmtId="0" fontId="74" fillId="9" borderId="29" applyNumberFormat="0" applyFont="0" applyAlignment="0" applyProtection="0"/>
    <xf numFmtId="0" fontId="74" fillId="9" borderId="29" applyNumberFormat="0" applyFont="0" applyAlignment="0" applyProtection="0"/>
    <xf numFmtId="0" fontId="74" fillId="9" borderId="29" applyNumberFormat="0" applyFont="0" applyAlignment="0" applyProtection="0"/>
    <xf numFmtId="0" fontId="74" fillId="9" borderId="29" applyNumberFormat="0" applyFont="0" applyAlignment="0" applyProtection="0"/>
    <xf numFmtId="0" fontId="74" fillId="9" borderId="29" applyNumberFormat="0" applyFont="0" applyAlignment="0" applyProtection="0"/>
    <xf numFmtId="0" fontId="26" fillId="9" borderId="29" applyNumberFormat="0" applyFont="0" applyAlignment="0" applyProtection="0"/>
    <xf numFmtId="0" fontId="26" fillId="9" borderId="29" applyNumberFormat="0" applyFont="0" applyAlignment="0" applyProtection="0"/>
    <xf numFmtId="0" fontId="26" fillId="9" borderId="29" applyNumberFormat="0" applyFont="0" applyAlignment="0" applyProtection="0"/>
    <xf numFmtId="0" fontId="26" fillId="9" borderId="29" applyNumberFormat="0" applyFont="0" applyAlignment="0" applyProtection="0"/>
    <xf numFmtId="0" fontId="26" fillId="9" borderId="29" applyNumberFormat="0" applyFont="0" applyAlignment="0" applyProtection="0"/>
    <xf numFmtId="0" fontId="26" fillId="9" borderId="29" applyNumberFormat="0" applyFont="0" applyAlignment="0" applyProtection="0"/>
    <xf numFmtId="0" fontId="26" fillId="9" borderId="29" applyNumberFormat="0" applyFont="0" applyAlignment="0" applyProtection="0"/>
    <xf numFmtId="0" fontId="26" fillId="9" borderId="29" applyNumberFormat="0" applyFont="0" applyAlignment="0" applyProtection="0"/>
    <xf numFmtId="0" fontId="26" fillId="9" borderId="29" applyNumberFormat="0" applyFont="0" applyAlignment="0" applyProtection="0"/>
    <xf numFmtId="0" fontId="26" fillId="9" borderId="29" applyNumberFormat="0" applyFont="0" applyAlignment="0" applyProtection="0"/>
    <xf numFmtId="0" fontId="26" fillId="9" borderId="29" applyNumberFormat="0" applyFont="0" applyAlignment="0" applyProtection="0"/>
    <xf numFmtId="0" fontId="26" fillId="9" borderId="29" applyNumberFormat="0" applyFont="0" applyAlignment="0" applyProtection="0"/>
    <xf numFmtId="0" fontId="26" fillId="9" borderId="29" applyNumberFormat="0" applyFont="0" applyAlignment="0" applyProtection="0"/>
    <xf numFmtId="0" fontId="26" fillId="9" borderId="29" applyNumberFormat="0" applyFont="0" applyAlignment="0" applyProtection="0"/>
    <xf numFmtId="0" fontId="26" fillId="9" borderId="29" applyNumberFormat="0" applyFont="0" applyAlignment="0" applyProtection="0"/>
    <xf numFmtId="0" fontId="26" fillId="9" borderId="29" applyNumberFormat="0" applyFont="0" applyAlignment="0" applyProtection="0"/>
    <xf numFmtId="0" fontId="26" fillId="9" borderId="29" applyNumberFormat="0" applyFont="0" applyAlignment="0" applyProtection="0"/>
    <xf numFmtId="0" fontId="26" fillId="9" borderId="29" applyNumberFormat="0" applyFont="0" applyAlignment="0" applyProtection="0"/>
    <xf numFmtId="0" fontId="26" fillId="9" borderId="29" applyNumberFormat="0" applyFont="0" applyAlignment="0" applyProtection="0"/>
    <xf numFmtId="0" fontId="26" fillId="9" borderId="29" applyNumberFormat="0" applyFont="0" applyAlignment="0" applyProtection="0"/>
    <xf numFmtId="0" fontId="26" fillId="9" borderId="29" applyNumberFormat="0" applyFont="0" applyAlignment="0" applyProtection="0"/>
    <xf numFmtId="0" fontId="26" fillId="9" borderId="29" applyNumberFormat="0" applyFont="0" applyAlignment="0" applyProtection="0"/>
    <xf numFmtId="0" fontId="26" fillId="9" borderId="29" applyNumberFormat="0" applyFont="0" applyAlignment="0" applyProtection="0"/>
    <xf numFmtId="0" fontId="26" fillId="9" borderId="29" applyNumberFormat="0" applyFont="0" applyAlignment="0" applyProtection="0"/>
    <xf numFmtId="9" fontId="3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88" fillId="0" borderId="39" applyNumberFormat="0" applyFill="0" applyAlignment="0" applyProtection="0"/>
    <xf numFmtId="0" fontId="88" fillId="0" borderId="39" applyNumberFormat="0" applyFill="0" applyAlignment="0" applyProtection="0"/>
    <xf numFmtId="0" fontId="70" fillId="0" borderId="39" applyNumberFormat="0" applyFill="0" applyAlignment="0" applyProtection="0"/>
    <xf numFmtId="0" fontId="70" fillId="0" borderId="39" applyNumberFormat="0" applyFill="0" applyAlignment="0" applyProtection="0"/>
    <xf numFmtId="0" fontId="70" fillId="0" borderId="39" applyNumberFormat="0" applyFill="0" applyAlignment="0" applyProtection="0"/>
    <xf numFmtId="0" fontId="70" fillId="0" borderId="39" applyNumberFormat="0" applyFill="0" applyAlignment="0" applyProtection="0"/>
    <xf numFmtId="0" fontId="70" fillId="0" borderId="39" applyNumberFormat="0" applyFill="0" applyAlignment="0" applyProtection="0"/>
    <xf numFmtId="0" fontId="52" fillId="0" borderId="30"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52" fillId="0" borderId="30" applyNumberFormat="0" applyFill="0" applyAlignment="0" applyProtection="0"/>
    <xf numFmtId="0" fontId="88" fillId="0" borderId="39" applyNumberFormat="0" applyFill="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71"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89"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7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50"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50" fillId="0" borderId="0" applyNumberFormat="0" applyFill="0" applyBorder="0" applyAlignment="0" applyProtection="0"/>
    <xf numFmtId="0" fontId="89" fillId="0" borderId="0" applyNumberFormat="0" applyFill="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9" borderId="29" applyNumberFormat="0" applyFont="0" applyAlignment="0" applyProtection="0"/>
    <xf numFmtId="0" fontId="5" fillId="9" borderId="29" applyNumberFormat="0" applyFont="0" applyAlignment="0" applyProtection="0"/>
    <xf numFmtId="0" fontId="5" fillId="9" borderId="29" applyNumberFormat="0" applyFont="0" applyAlignment="0" applyProtection="0"/>
    <xf numFmtId="0" fontId="5" fillId="9" borderId="29" applyNumberFormat="0" applyFont="0" applyAlignment="0" applyProtection="0"/>
    <xf numFmtId="0" fontId="5" fillId="9" borderId="29" applyNumberFormat="0" applyFont="0" applyAlignment="0" applyProtection="0"/>
    <xf numFmtId="0" fontId="5" fillId="9" borderId="29" applyNumberFormat="0" applyFont="0" applyAlignment="0" applyProtection="0"/>
    <xf numFmtId="0" fontId="5" fillId="9" borderId="29" applyNumberFormat="0" applyFont="0" applyAlignment="0" applyProtection="0"/>
    <xf numFmtId="0" fontId="5" fillId="9" borderId="29" applyNumberFormat="0" applyFont="0" applyAlignment="0" applyProtection="0"/>
    <xf numFmtId="0" fontId="5" fillId="9" borderId="29" applyNumberFormat="0" applyFont="0" applyAlignment="0" applyProtection="0"/>
    <xf numFmtId="0" fontId="5" fillId="9" borderId="29" applyNumberFormat="0" applyFont="0" applyAlignment="0" applyProtection="0"/>
    <xf numFmtId="0" fontId="5" fillId="9" borderId="29" applyNumberFormat="0" applyFont="0" applyAlignment="0" applyProtection="0"/>
    <xf numFmtId="0" fontId="5" fillId="9" borderId="29" applyNumberFormat="0" applyFont="0" applyAlignment="0" applyProtection="0"/>
    <xf numFmtId="0" fontId="105" fillId="0" borderId="0"/>
    <xf numFmtId="43" fontId="106" fillId="0" borderId="0" applyFont="0" applyFill="0" applyBorder="0" applyAlignment="0" applyProtection="0"/>
    <xf numFmtId="0" fontId="107" fillId="0" borderId="0"/>
    <xf numFmtId="8" fontId="19" fillId="0" borderId="0" applyFont="0" applyFill="0" applyBorder="0" applyAlignment="0" applyProtection="0"/>
    <xf numFmtId="9" fontId="19" fillId="0" borderId="0" applyFont="0" applyFill="0" applyBorder="0" applyAlignment="0" applyProtection="0"/>
    <xf numFmtId="0" fontId="19" fillId="0" borderId="0"/>
    <xf numFmtId="9" fontId="22" fillId="0" borderId="0" applyFont="0" applyFill="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11" fillId="0" borderId="0"/>
    <xf numFmtId="0" fontId="22" fillId="0" borderId="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4" fillId="34"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4" fillId="34"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4" fillId="34"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4" fillId="34"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4" fillId="34"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4" fillId="34"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4" fillId="34" borderId="0" applyNumberFormat="0" applyBorder="0" applyAlignment="0" applyProtection="0"/>
    <xf numFmtId="0" fontId="72" fillId="11" borderId="0" applyNumberFormat="0" applyBorder="0" applyAlignment="0" applyProtection="0"/>
    <xf numFmtId="0" fontId="74" fillId="34" borderId="0" applyNumberFormat="0" applyBorder="0" applyAlignment="0" applyProtection="0"/>
    <xf numFmtId="0" fontId="72" fillId="11" borderId="0" applyNumberFormat="0" applyBorder="0" applyAlignment="0" applyProtection="0"/>
    <xf numFmtId="0" fontId="74" fillId="34"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4" fillId="34"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4" fillId="34"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4" fillId="34" borderId="0" applyNumberFormat="0" applyBorder="0" applyAlignment="0" applyProtection="0"/>
    <xf numFmtId="0" fontId="72"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109"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72"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4" fillId="34"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4" fillId="34"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4" fillId="34" borderId="0" applyNumberFormat="0" applyBorder="0" applyAlignment="0" applyProtection="0"/>
    <xf numFmtId="0" fontId="4"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4" fillId="34"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4" fillId="34"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4" fillId="34"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4" fillId="34"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4" fillId="34"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4"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4" fillId="34"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4" fillId="34"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4" fillId="34"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4" fillId="34"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4" fillId="34"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4" fillId="34"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4" fillId="34"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4" fillId="34"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4" fillId="3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4" fillId="3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4" fillId="3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4" fillId="3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4" fillId="3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4" fillId="3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4" fillId="35" borderId="0" applyNumberFormat="0" applyBorder="0" applyAlignment="0" applyProtection="0"/>
    <xf numFmtId="0" fontId="72" fillId="15" borderId="0" applyNumberFormat="0" applyBorder="0" applyAlignment="0" applyProtection="0"/>
    <xf numFmtId="0" fontId="74" fillId="35" borderId="0" applyNumberFormat="0" applyBorder="0" applyAlignment="0" applyProtection="0"/>
    <xf numFmtId="0" fontId="72" fillId="15" borderId="0" applyNumberFormat="0" applyBorder="0" applyAlignment="0" applyProtection="0"/>
    <xf numFmtId="0" fontId="74" fillId="3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4" fillId="3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4" fillId="3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4" fillId="35" borderId="0" applyNumberFormat="0" applyBorder="0" applyAlignment="0" applyProtection="0"/>
    <xf numFmtId="0" fontId="72"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109"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72"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4" fillId="3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4" fillId="3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4" fillId="35" borderId="0" applyNumberFormat="0" applyBorder="0" applyAlignment="0" applyProtection="0"/>
    <xf numFmtId="0" fontId="4"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4" fillId="3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4" fillId="3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4" fillId="3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4" fillId="3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4" fillId="3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4"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4" fillId="3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4" fillId="3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4" fillId="3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4" fillId="3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4" fillId="3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4" fillId="3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4" fillId="3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4" fillId="35"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4" fillId="36"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4" fillId="36"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4" fillId="36"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4" fillId="36"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4" fillId="36"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4" fillId="36"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4" fillId="36" borderId="0" applyNumberFormat="0" applyBorder="0" applyAlignment="0" applyProtection="0"/>
    <xf numFmtId="0" fontId="72" fillId="19" borderId="0" applyNumberFormat="0" applyBorder="0" applyAlignment="0" applyProtection="0"/>
    <xf numFmtId="0" fontId="74" fillId="36" borderId="0" applyNumberFormat="0" applyBorder="0" applyAlignment="0" applyProtection="0"/>
    <xf numFmtId="0" fontId="72" fillId="19" borderId="0" applyNumberFormat="0" applyBorder="0" applyAlignment="0" applyProtection="0"/>
    <xf numFmtId="0" fontId="74" fillId="36"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4" fillId="36"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4" fillId="36"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4" fillId="36" borderId="0" applyNumberFormat="0" applyBorder="0" applyAlignment="0" applyProtection="0"/>
    <xf numFmtId="0" fontId="72"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109"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72"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4" fillId="36"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4" fillId="36"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4" fillId="36" borderId="0" applyNumberFormat="0" applyBorder="0" applyAlignment="0" applyProtection="0"/>
    <xf numFmtId="0" fontId="4"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4" fillId="36"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4" fillId="36"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4" fillId="36"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4" fillId="36"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4" fillId="36"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4"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4" fillId="36"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4" fillId="36"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4" fillId="36"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4" fillId="36"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4" fillId="36"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4" fillId="36"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4" fillId="36"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4" fillId="36"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4" fillId="3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4" fillId="3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4" fillId="3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4" fillId="3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4" fillId="3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4" fillId="3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4" fillId="37" borderId="0" applyNumberFormat="0" applyBorder="0" applyAlignment="0" applyProtection="0"/>
    <xf numFmtId="0" fontId="72" fillId="23" borderId="0" applyNumberFormat="0" applyBorder="0" applyAlignment="0" applyProtection="0"/>
    <xf numFmtId="0" fontId="74" fillId="37" borderId="0" applyNumberFormat="0" applyBorder="0" applyAlignment="0" applyProtection="0"/>
    <xf numFmtId="0" fontId="72" fillId="23" borderId="0" applyNumberFormat="0" applyBorder="0" applyAlignment="0" applyProtection="0"/>
    <xf numFmtId="0" fontId="74" fillId="3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4" fillId="3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4" fillId="3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4" fillId="37" borderId="0" applyNumberFormat="0" applyBorder="0" applyAlignment="0" applyProtection="0"/>
    <xf numFmtId="0" fontId="72"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109"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72"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4" fillId="3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4" fillId="3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4" fillId="37" borderId="0" applyNumberFormat="0" applyBorder="0" applyAlignment="0" applyProtection="0"/>
    <xf numFmtId="0" fontId="4"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4" fillId="37"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4" fillId="3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4" fillId="3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4" fillId="3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4" fillId="3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4"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4" fillId="3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4" fillId="3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4" fillId="3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4" fillId="3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4" fillId="3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4" fillId="37"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4" fillId="3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4" fillId="3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4" fillId="38"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4" fillId="38"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4" fillId="38"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4" fillId="38"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4" fillId="38"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4" fillId="38"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4" fillId="38" borderId="0" applyNumberFormat="0" applyBorder="0" applyAlignment="0" applyProtection="0"/>
    <xf numFmtId="0" fontId="72" fillId="27" borderId="0" applyNumberFormat="0" applyBorder="0" applyAlignment="0" applyProtection="0"/>
    <xf numFmtId="0" fontId="74" fillId="38" borderId="0" applyNumberFormat="0" applyBorder="0" applyAlignment="0" applyProtection="0"/>
    <xf numFmtId="0" fontId="72" fillId="27" borderId="0" applyNumberFormat="0" applyBorder="0" applyAlignment="0" applyProtection="0"/>
    <xf numFmtId="0" fontId="74" fillId="38"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4" fillId="38"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4" fillId="38"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4" fillId="38" borderId="0" applyNumberFormat="0" applyBorder="0" applyAlignment="0" applyProtection="0"/>
    <xf numFmtId="0" fontId="72"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109"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72"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4" fillId="38"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4" fillId="38"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4" fillId="38" borderId="0" applyNumberFormat="0" applyBorder="0" applyAlignment="0" applyProtection="0"/>
    <xf numFmtId="0" fontId="4"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4" fillId="3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4" fillId="38"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4" fillId="38"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4" fillId="38"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4" fillId="38"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4"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4" fillId="38"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4" fillId="38"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4" fillId="38"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4" fillId="38"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4" fillId="38"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4" fillId="3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4" fillId="38"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4" fillId="38"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4" fillId="39"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4" fillId="39"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4" fillId="39"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4" fillId="39"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4" fillId="39"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4" fillId="39"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4" fillId="39" borderId="0" applyNumberFormat="0" applyBorder="0" applyAlignment="0" applyProtection="0"/>
    <xf numFmtId="0" fontId="72" fillId="31" borderId="0" applyNumberFormat="0" applyBorder="0" applyAlignment="0" applyProtection="0"/>
    <xf numFmtId="0" fontId="74" fillId="39" borderId="0" applyNumberFormat="0" applyBorder="0" applyAlignment="0" applyProtection="0"/>
    <xf numFmtId="0" fontId="72" fillId="31" borderId="0" applyNumberFormat="0" applyBorder="0" applyAlignment="0" applyProtection="0"/>
    <xf numFmtId="0" fontId="74" fillId="39"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4" fillId="39"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4" fillId="39"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4" fillId="39" borderId="0" applyNumberFormat="0" applyBorder="0" applyAlignment="0" applyProtection="0"/>
    <xf numFmtId="0" fontId="72"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109"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72"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4" fillId="39"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4" fillId="39"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4" fillId="39" borderId="0" applyNumberFormat="0" applyBorder="0" applyAlignment="0" applyProtection="0"/>
    <xf numFmtId="0" fontId="4"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4" fillId="39"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4" fillId="39"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4" fillId="39"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4" fillId="39"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4" fillId="39"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4"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4" fillId="39"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4" fillId="39"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4" fillId="39"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4" fillId="39"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4" fillId="39"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4" fillId="39"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4" fillId="39"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4" fillId="39"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4" fillId="40"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4" fillId="40"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4" fillId="40"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4" fillId="40"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4" fillId="40"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4" fillId="40"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4" fillId="40" borderId="0" applyNumberFormat="0" applyBorder="0" applyAlignment="0" applyProtection="0"/>
    <xf numFmtId="0" fontId="72" fillId="12" borderId="0" applyNumberFormat="0" applyBorder="0" applyAlignment="0" applyProtection="0"/>
    <xf numFmtId="0" fontId="74" fillId="40" borderId="0" applyNumberFormat="0" applyBorder="0" applyAlignment="0" applyProtection="0"/>
    <xf numFmtId="0" fontId="72" fillId="12" borderId="0" applyNumberFormat="0" applyBorder="0" applyAlignment="0" applyProtection="0"/>
    <xf numFmtId="0" fontId="74" fillId="40"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4" fillId="40"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4" fillId="40"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4" fillId="40" borderId="0" applyNumberFormat="0" applyBorder="0" applyAlignment="0" applyProtection="0"/>
    <xf numFmtId="0" fontId="72"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109"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72"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4" fillId="40"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4" fillId="40"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4" fillId="40" borderId="0" applyNumberFormat="0" applyBorder="0" applyAlignment="0" applyProtection="0"/>
    <xf numFmtId="0" fontId="4"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4" fillId="40"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4" fillId="40"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4" fillId="40"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4" fillId="40"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4" fillId="40"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4"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4" fillId="40"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4" fillId="40"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4" fillId="40"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4" fillId="40"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4" fillId="40"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4" fillId="40"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4" fillId="40"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4" fillId="40"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4" fillId="41"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4" fillId="41"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4" fillId="41"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4" fillId="41"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4" fillId="41"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4" fillId="41"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4" fillId="41" borderId="0" applyNumberFormat="0" applyBorder="0" applyAlignment="0" applyProtection="0"/>
    <xf numFmtId="0" fontId="72" fillId="16" borderId="0" applyNumberFormat="0" applyBorder="0" applyAlignment="0" applyProtection="0"/>
    <xf numFmtId="0" fontId="74" fillId="41" borderId="0" applyNumberFormat="0" applyBorder="0" applyAlignment="0" applyProtection="0"/>
    <xf numFmtId="0" fontId="72" fillId="16" borderId="0" applyNumberFormat="0" applyBorder="0" applyAlignment="0" applyProtection="0"/>
    <xf numFmtId="0" fontId="74" fillId="41"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4" fillId="41"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5" fillId="53" borderId="32" applyNumberForma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6" fillId="40"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2" fillId="0" borderId="0"/>
    <xf numFmtId="0" fontId="19" fillId="2" borderId="0" applyNumberFormat="0" applyFont="0" applyBorder="0" applyAlignment="0" applyProtection="0"/>
    <xf numFmtId="3" fontId="19" fillId="0" borderId="0" applyFont="0" applyFill="0" applyBorder="0" applyAlignment="0" applyProtection="0"/>
    <xf numFmtId="0" fontId="18" fillId="0" borderId="1">
      <alignment horizontal="center"/>
    </xf>
    <xf numFmtId="4" fontId="19" fillId="0" borderId="0" applyFont="0" applyFill="0" applyBorder="0" applyAlignment="0" applyProtection="0"/>
    <xf numFmtId="15" fontId="19" fillId="0" borderId="0" applyFont="0" applyFill="0" applyBorder="0" applyAlignment="0" applyProtection="0"/>
    <xf numFmtId="0" fontId="19" fillId="0" borderId="0" applyNumberFormat="0" applyFont="0" applyFill="0" applyBorder="0" applyAlignment="0" applyProtection="0">
      <alignment horizontal="left"/>
    </xf>
    <xf numFmtId="0" fontId="22" fillId="0" borderId="0"/>
    <xf numFmtId="0" fontId="111" fillId="0" borderId="0"/>
    <xf numFmtId="43" fontId="111" fillId="0" borderId="0" applyFont="0" applyFill="0" applyBorder="0" applyAlignment="0" applyProtection="0"/>
    <xf numFmtId="0" fontId="26" fillId="34" borderId="0" applyNumberFormat="0" applyBorder="0" applyAlignment="0" applyProtection="0"/>
    <xf numFmtId="0" fontId="26" fillId="35" borderId="0" applyNumberFormat="0" applyBorder="0" applyAlignment="0" applyProtection="0"/>
    <xf numFmtId="0" fontId="26" fillId="36" borderId="0" applyNumberFormat="0" applyBorder="0" applyAlignment="0" applyProtection="0"/>
    <xf numFmtId="0" fontId="26" fillId="37" borderId="0" applyNumberFormat="0" applyBorder="0" applyAlignment="0" applyProtection="0"/>
    <xf numFmtId="0" fontId="26" fillId="38" borderId="0" applyNumberFormat="0" applyBorder="0" applyAlignment="0" applyProtection="0"/>
    <xf numFmtId="0" fontId="26" fillId="39" borderId="0" applyNumberFormat="0" applyBorder="0" applyAlignment="0" applyProtection="0"/>
    <xf numFmtId="0" fontId="26" fillId="40" borderId="0" applyNumberFormat="0" applyBorder="0" applyAlignment="0" applyProtection="0"/>
    <xf numFmtId="0" fontId="26" fillId="41" borderId="0" applyNumberFormat="0" applyBorder="0" applyAlignment="0" applyProtection="0"/>
    <xf numFmtId="0" fontId="26" fillId="42" borderId="0" applyNumberFormat="0" applyBorder="0" applyAlignment="0" applyProtection="0"/>
    <xf numFmtId="0" fontId="26" fillId="37" borderId="0" applyNumberFormat="0" applyBorder="0" applyAlignment="0" applyProtection="0"/>
    <xf numFmtId="0" fontId="26" fillId="43" borderId="0" applyNumberFormat="0" applyBorder="0" applyAlignment="0" applyProtection="0"/>
    <xf numFmtId="0" fontId="112" fillId="44" borderId="0" applyNumberFormat="0" applyBorder="0" applyAlignment="0" applyProtection="0"/>
    <xf numFmtId="0" fontId="112" fillId="41" borderId="0" applyNumberFormat="0" applyBorder="0" applyAlignment="0" applyProtection="0"/>
    <xf numFmtId="0" fontId="112" fillId="42" borderId="0" applyNumberFormat="0" applyBorder="0" applyAlignment="0" applyProtection="0"/>
    <xf numFmtId="0" fontId="112" fillId="45" borderId="0" applyNumberFormat="0" applyBorder="0" applyAlignment="0" applyProtection="0"/>
    <xf numFmtId="0" fontId="112" fillId="46" borderId="0" applyNumberFormat="0" applyBorder="0" applyAlignment="0" applyProtection="0"/>
    <xf numFmtId="0" fontId="112" fillId="47" borderId="0" applyNumberFormat="0" applyBorder="0" applyAlignment="0" applyProtection="0"/>
    <xf numFmtId="0" fontId="112" fillId="48" borderId="0" applyNumberFormat="0" applyBorder="0" applyAlignment="0" applyProtection="0"/>
    <xf numFmtId="0" fontId="112" fillId="49" borderId="0" applyNumberFormat="0" applyBorder="0" applyAlignment="0" applyProtection="0"/>
    <xf numFmtId="0" fontId="112" fillId="50" borderId="0" applyNumberFormat="0" applyBorder="0" applyAlignment="0" applyProtection="0"/>
    <xf numFmtId="0" fontId="112" fillId="45" borderId="0" applyNumberFormat="0" applyBorder="0" applyAlignment="0" applyProtection="0"/>
    <xf numFmtId="0" fontId="112" fillId="46" borderId="0" applyNumberFormat="0" applyBorder="0" applyAlignment="0" applyProtection="0"/>
    <xf numFmtId="0" fontId="112" fillId="51" borderId="0" applyNumberFormat="0" applyBorder="0" applyAlignment="0" applyProtection="0"/>
    <xf numFmtId="0" fontId="113" fillId="35" borderId="0" applyNumberFormat="0" applyBorder="0" applyAlignment="0" applyProtection="0"/>
    <xf numFmtId="0" fontId="114" fillId="52" borderId="31" applyNumberFormat="0" applyAlignment="0" applyProtection="0"/>
    <xf numFmtId="41" fontId="11" fillId="0" borderId="0" applyFont="0" applyFill="0" applyBorder="0" applyAlignment="0" applyProtection="0"/>
    <xf numFmtId="0" fontId="116" fillId="0" borderId="0" applyNumberFormat="0" applyFill="0" applyBorder="0" applyAlignment="0" applyProtection="0"/>
    <xf numFmtId="0" fontId="117" fillId="36" borderId="0" applyNumberFormat="0" applyBorder="0" applyAlignment="0" applyProtection="0"/>
    <xf numFmtId="0" fontId="118" fillId="0" borderId="33" applyNumberFormat="0" applyFill="0" applyAlignment="0" applyProtection="0"/>
    <xf numFmtId="0" fontId="119" fillId="0" borderId="34" applyNumberFormat="0" applyFill="0" applyAlignment="0" applyProtection="0"/>
    <xf numFmtId="0" fontId="120" fillId="0" borderId="35" applyNumberFormat="0" applyFill="0" applyAlignment="0" applyProtection="0"/>
    <xf numFmtId="0" fontId="120" fillId="0" borderId="0" applyNumberFormat="0" applyFill="0" applyBorder="0" applyAlignment="0" applyProtection="0"/>
    <xf numFmtId="0" fontId="121" fillId="39" borderId="31" applyNumberFormat="0" applyAlignment="0" applyProtection="0"/>
    <xf numFmtId="0" fontId="122" fillId="0" borderId="36" applyNumberFormat="0" applyFill="0" applyAlignment="0" applyProtection="0"/>
    <xf numFmtId="0" fontId="123" fillId="54" borderId="0" applyNumberFormat="0" applyBorder="0" applyAlignment="0" applyProtection="0"/>
    <xf numFmtId="0" fontId="124" fillId="52" borderId="38" applyNumberFormat="0" applyAlignment="0" applyProtection="0"/>
    <xf numFmtId="0" fontId="125" fillId="0" borderId="39" applyNumberFormat="0" applyFill="0" applyAlignment="0" applyProtection="0"/>
    <xf numFmtId="0" fontId="126" fillId="0" borderId="0" applyNumberFormat="0" applyFill="0" applyBorder="0" applyAlignment="0" applyProtection="0"/>
    <xf numFmtId="0" fontId="4" fillId="0" borderId="0"/>
    <xf numFmtId="43" fontId="4" fillId="0" borderId="0" applyFont="0" applyFill="0" applyBorder="0" applyAlignment="0" applyProtection="0"/>
    <xf numFmtId="0" fontId="26" fillId="39" borderId="0" applyNumberFormat="0" applyBorder="0" applyAlignment="0" applyProtection="0"/>
    <xf numFmtId="41" fontId="11" fillId="0" borderId="0" applyFont="0" applyFill="0" applyBorder="0" applyAlignment="0" applyProtection="0"/>
    <xf numFmtId="41"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4" fillId="0" borderId="0" applyFont="0" applyFill="0" applyBorder="0" applyAlignment="0" applyProtection="0"/>
    <xf numFmtId="43" fontId="11" fillId="0" borderId="0" applyFont="0" applyFill="0" applyBorder="0" applyAlignment="0" applyProtection="0"/>
    <xf numFmtId="43" fontId="4" fillId="0" borderId="0" applyFont="0" applyFill="0" applyBorder="0" applyAlignment="0" applyProtection="0"/>
    <xf numFmtId="43" fontId="108"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27" fillId="0" borderId="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08" fillId="0" borderId="0" applyFont="0" applyFill="0" applyBorder="0" applyAlignment="0" applyProtection="0"/>
    <xf numFmtId="44" fontId="11" fillId="0" borderId="0" applyFont="0" applyFill="0" applyBorder="0" applyAlignment="0" applyProtection="0"/>
    <xf numFmtId="0" fontId="121" fillId="39" borderId="31" applyNumberFormat="0" applyAlignment="0" applyProtection="0"/>
    <xf numFmtId="0" fontId="108" fillId="0" borderId="0"/>
    <xf numFmtId="0" fontId="22" fillId="0" borderId="0"/>
    <xf numFmtId="0" fontId="22" fillId="0" borderId="0"/>
    <xf numFmtId="0" fontId="108" fillId="0" borderId="0"/>
    <xf numFmtId="0" fontId="22" fillId="0" borderId="0"/>
    <xf numFmtId="0" fontId="128" fillId="0" borderId="0"/>
    <xf numFmtId="181" fontId="127" fillId="0" borderId="0"/>
    <xf numFmtId="181" fontId="127" fillId="0" borderId="0"/>
    <xf numFmtId="0" fontId="128" fillId="0" borderId="0"/>
    <xf numFmtId="0" fontId="22" fillId="0" borderId="0"/>
    <xf numFmtId="0" fontId="22" fillId="0" borderId="0"/>
    <xf numFmtId="0" fontId="22" fillId="0" borderId="0"/>
    <xf numFmtId="0" fontId="22" fillId="0" borderId="0"/>
    <xf numFmtId="0" fontId="4" fillId="0" borderId="0"/>
    <xf numFmtId="0" fontId="11" fillId="55" borderId="37" applyNumberFormat="0" applyFont="0" applyAlignment="0" applyProtection="0"/>
    <xf numFmtId="0" fontId="11" fillId="55" borderId="37" applyNumberFormat="0" applyFont="0" applyAlignment="0" applyProtection="0"/>
    <xf numFmtId="0" fontId="11" fillId="55" borderId="37" applyNumberFormat="0" applyFont="0" applyAlignment="0" applyProtection="0"/>
    <xf numFmtId="0" fontId="11" fillId="55" borderId="37" applyNumberFormat="0" applyFont="0" applyAlignment="0" applyProtection="0"/>
    <xf numFmtId="43" fontId="1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28"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28"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08" fillId="0" borderId="0" applyFont="0" applyFill="0" applyBorder="0" applyAlignment="0" applyProtection="0"/>
    <xf numFmtId="43" fontId="11" fillId="0" borderId="0" applyFont="0" applyFill="0" applyBorder="0" applyAlignment="0" applyProtection="0"/>
    <xf numFmtId="0" fontId="4" fillId="0" borderId="0"/>
    <xf numFmtId="43" fontId="4" fillId="0" borderId="0" applyFont="0" applyFill="0" applyBorder="0" applyAlignment="0" applyProtection="0"/>
    <xf numFmtId="0" fontId="26" fillId="39" borderId="0" applyNumberFormat="0" applyBorder="0" applyAlignment="0" applyProtection="0"/>
    <xf numFmtId="41" fontId="11" fillId="0" borderId="0" applyFont="0" applyFill="0" applyBorder="0" applyAlignment="0" applyProtection="0"/>
    <xf numFmtId="41" fontId="11"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1" fillId="0" borderId="0" applyFont="0" applyFill="0" applyBorder="0" applyAlignment="0" applyProtection="0"/>
    <xf numFmtId="43" fontId="4" fillId="0" borderId="0" applyFont="0" applyFill="0" applyBorder="0" applyAlignment="0" applyProtection="0"/>
    <xf numFmtId="43" fontId="11" fillId="0" borderId="0" applyFont="0" applyFill="0" applyBorder="0" applyAlignment="0" applyProtection="0"/>
    <xf numFmtId="43" fontId="1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1" fillId="0" borderId="0" applyFont="0" applyFill="0" applyBorder="0" applyAlignment="0" applyProtection="0"/>
    <xf numFmtId="43" fontId="4" fillId="0" borderId="0" applyFont="0" applyFill="0" applyBorder="0" applyAlignment="0" applyProtection="0"/>
    <xf numFmtId="43" fontId="1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1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4" fillId="0" borderId="0" applyFont="0" applyFill="0" applyBorder="0" applyAlignment="0" applyProtection="0"/>
    <xf numFmtId="43" fontId="11" fillId="0" borderId="0" applyFont="0" applyFill="0" applyBorder="0" applyAlignment="0" applyProtection="0"/>
    <xf numFmtId="43" fontId="4"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29"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4" fillId="0" borderId="0" applyFont="0" applyFill="0" applyBorder="0" applyAlignment="0" applyProtection="0"/>
    <xf numFmtId="43" fontId="11" fillId="0" borderId="0" applyFont="0" applyFill="0" applyBorder="0" applyAlignment="0" applyProtection="0"/>
    <xf numFmtId="43" fontId="1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9" fillId="0" borderId="0" applyFont="0" applyFill="0" applyBorder="0" applyAlignment="0" applyProtection="0"/>
    <xf numFmtId="43" fontId="1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1" fillId="0" borderId="0" applyFont="0" applyFill="0" applyBorder="0" applyAlignment="0" applyProtection="0"/>
    <xf numFmtId="43" fontId="19"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08" fillId="0" borderId="0" applyFont="0" applyFill="0" applyBorder="0" applyAlignment="0" applyProtection="0"/>
    <xf numFmtId="43" fontId="1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1" fillId="0" borderId="0" applyFont="0" applyFill="0" applyBorder="0" applyAlignment="0" applyProtection="0"/>
    <xf numFmtId="43" fontId="4" fillId="0" borderId="0" applyFont="0" applyFill="0" applyBorder="0" applyAlignment="0" applyProtection="0"/>
    <xf numFmtId="3" fontId="11" fillId="0" borderId="0" applyFont="0" applyFill="0" applyBorder="0" applyAlignment="0" applyProtection="0"/>
    <xf numFmtId="3" fontId="11" fillId="0" borderId="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1" fillId="0" borderId="0" applyFont="0" applyFill="0" applyBorder="0" applyAlignment="0" applyProtection="0"/>
    <xf numFmtId="44" fontId="4" fillId="0" borderId="0" applyFont="0" applyFill="0" applyBorder="0" applyAlignment="0" applyProtection="0"/>
    <xf numFmtId="199" fontId="11" fillId="0" borderId="0" applyFont="0" applyFill="0" applyBorder="0" applyAlignment="0" applyProtection="0"/>
    <xf numFmtId="5" fontId="11" fillId="0" borderId="0" applyFill="0" applyBorder="0" applyAlignment="0" applyProtection="0"/>
    <xf numFmtId="0" fontId="11" fillId="0" borderId="0" applyFont="0" applyFill="0" applyBorder="0" applyAlignment="0" applyProtection="0"/>
    <xf numFmtId="198" fontId="11" fillId="0" borderId="0" applyFill="0" applyBorder="0" applyAlignment="0" applyProtection="0"/>
    <xf numFmtId="3" fontId="130" fillId="0" borderId="0" applyFill="0" applyBorder="0" applyAlignment="0" applyProtection="0"/>
    <xf numFmtId="3" fontId="131" fillId="0" borderId="0" applyFill="0" applyBorder="0" applyAlignment="0" applyProtection="0"/>
    <xf numFmtId="3" fontId="132" fillId="0" borderId="0" applyFill="0" applyBorder="0" applyAlignment="0" applyProtection="0"/>
    <xf numFmtId="3" fontId="110" fillId="0" borderId="0" applyFill="0" applyBorder="0" applyAlignment="0" applyProtection="0"/>
    <xf numFmtId="3" fontId="133" fillId="0" borderId="0" applyFill="0" applyBorder="0" applyAlignment="0" applyProtection="0"/>
    <xf numFmtId="3" fontId="16" fillId="0" borderId="0" applyFill="0" applyBorder="0" applyAlignment="0" applyProtection="0"/>
    <xf numFmtId="3" fontId="134" fillId="0" borderId="0" applyFill="0" applyBorder="0" applyAlignment="0" applyProtection="0"/>
    <xf numFmtId="2" fontId="11" fillId="0" borderId="0" applyFill="0" applyBorder="0" applyAlignment="0" applyProtection="0"/>
    <xf numFmtId="0" fontId="121" fillId="39" borderId="31" applyNumberFormat="0" applyAlignment="0" applyProtection="0"/>
    <xf numFmtId="0" fontId="108" fillId="0" borderId="0"/>
    <xf numFmtId="0" fontId="4" fillId="0" borderId="0"/>
    <xf numFmtId="0" fontId="22" fillId="0" borderId="0"/>
    <xf numFmtId="0" fontId="4" fillId="0" borderId="0"/>
    <xf numFmtId="0" fontId="22" fillId="0" borderId="0"/>
    <xf numFmtId="0" fontId="22" fillId="0" borderId="0"/>
    <xf numFmtId="0" fontId="4" fillId="0" borderId="0"/>
    <xf numFmtId="0" fontId="22" fillId="0" borderId="0"/>
    <xf numFmtId="0" fontId="22" fillId="0" borderId="0"/>
    <xf numFmtId="0" fontId="22" fillId="0" borderId="0"/>
    <xf numFmtId="0" fontId="22" fillId="0" borderId="0"/>
    <xf numFmtId="0" fontId="22" fillId="0" borderId="0"/>
    <xf numFmtId="0" fontId="4" fillId="0" borderId="0"/>
    <xf numFmtId="0" fontId="4" fillId="0" borderId="0"/>
    <xf numFmtId="0" fontId="4" fillId="0" borderId="0"/>
    <xf numFmtId="0" fontId="22" fillId="0" borderId="0"/>
    <xf numFmtId="0" fontId="4" fillId="0" borderId="0"/>
    <xf numFmtId="0" fontId="4" fillId="0" borderId="0"/>
    <xf numFmtId="0" fontId="4" fillId="0" borderId="0"/>
    <xf numFmtId="0" fontId="4" fillId="0" borderId="0"/>
    <xf numFmtId="0" fontId="4" fillId="0" borderId="0"/>
    <xf numFmtId="0" fontId="22" fillId="0" borderId="0"/>
    <xf numFmtId="0" fontId="4" fillId="0" borderId="0"/>
    <xf numFmtId="0" fontId="4" fillId="0" borderId="0"/>
    <xf numFmtId="0" fontId="4" fillId="0" borderId="0"/>
    <xf numFmtId="0" fontId="4" fillId="0" borderId="0"/>
    <xf numFmtId="0" fontId="22" fillId="0" borderId="0"/>
    <xf numFmtId="0" fontId="4" fillId="0" borderId="0"/>
    <xf numFmtId="0" fontId="4" fillId="0" borderId="0"/>
    <xf numFmtId="0" fontId="4" fillId="0" borderId="0"/>
    <xf numFmtId="0" fontId="4" fillId="0" borderId="0"/>
    <xf numFmtId="0" fontId="22" fillId="0" borderId="0"/>
    <xf numFmtId="0" fontId="4" fillId="0" borderId="0"/>
    <xf numFmtId="0" fontId="4" fillId="0" borderId="0"/>
    <xf numFmtId="0" fontId="4" fillId="0" borderId="0"/>
    <xf numFmtId="0" fontId="4" fillId="0" borderId="0"/>
    <xf numFmtId="0" fontId="22" fillId="0" borderId="0"/>
    <xf numFmtId="0" fontId="4" fillId="0" borderId="0"/>
    <xf numFmtId="0" fontId="4" fillId="0" borderId="0"/>
    <xf numFmtId="0" fontId="4" fillId="0" borderId="0"/>
    <xf numFmtId="0" fontId="4" fillId="0" borderId="0"/>
    <xf numFmtId="43" fontId="111" fillId="0" borderId="0" applyFont="0" applyFill="0" applyBorder="0" applyAlignment="0" applyProtection="0"/>
    <xf numFmtId="0" fontId="135" fillId="0" borderId="0"/>
    <xf numFmtId="43" fontId="31" fillId="0" borderId="0" applyFont="0" applyFill="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0" borderId="0"/>
    <xf numFmtId="0" fontId="3" fillId="9" borderId="29" applyNumberFormat="0" applyFont="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0" borderId="0"/>
    <xf numFmtId="0" fontId="3" fillId="9" borderId="29" applyNumberFormat="0" applyFont="0" applyAlignment="0" applyProtection="0"/>
    <xf numFmtId="43" fontId="31" fillId="0" borderId="0" applyFont="0" applyFill="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9" borderId="29" applyNumberFormat="0" applyFont="0" applyAlignment="0" applyProtection="0"/>
    <xf numFmtId="43" fontId="31" fillId="0" borderId="0" applyFont="0" applyFill="0" applyBorder="0" applyAlignment="0" applyProtection="0"/>
    <xf numFmtId="0" fontId="3" fillId="0" borderId="0"/>
    <xf numFmtId="0" fontId="3" fillId="9" borderId="29"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20" borderId="0" applyNumberFormat="0" applyBorder="0" applyAlignment="0" applyProtection="0"/>
    <xf numFmtId="0" fontId="3" fillId="9" borderId="29" applyNumberFormat="0" applyFont="0" applyAlignment="0" applyProtection="0"/>
    <xf numFmtId="0" fontId="3" fillId="19" borderId="0" applyNumberFormat="0" applyBorder="0" applyAlignment="0" applyProtection="0"/>
    <xf numFmtId="0" fontId="3" fillId="0" borderId="0"/>
    <xf numFmtId="0" fontId="3" fillId="16" borderId="0" applyNumberFormat="0" applyBorder="0" applyAlignment="0" applyProtection="0"/>
    <xf numFmtId="0" fontId="3" fillId="32" borderId="0" applyNumberFormat="0" applyBorder="0" applyAlignment="0" applyProtection="0"/>
    <xf numFmtId="0" fontId="3" fillId="31" borderId="0" applyNumberFormat="0" applyBorder="0" applyAlignment="0" applyProtection="0"/>
    <xf numFmtId="0" fontId="3" fillId="24" borderId="0" applyNumberFormat="0" applyBorder="0" applyAlignment="0" applyProtection="0"/>
    <xf numFmtId="0" fontId="3" fillId="23" borderId="0" applyNumberFormat="0" applyBorder="0" applyAlignment="0" applyProtection="0"/>
    <xf numFmtId="0" fontId="3" fillId="28" borderId="0" applyNumberFormat="0" applyBorder="0" applyAlignment="0" applyProtection="0"/>
    <xf numFmtId="0" fontId="3" fillId="27" borderId="0" applyNumberFormat="0" applyBorder="0" applyAlignment="0" applyProtection="0"/>
    <xf numFmtId="0" fontId="3" fillId="0" borderId="0"/>
    <xf numFmtId="0" fontId="3" fillId="9" borderId="29"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0" borderId="0"/>
    <xf numFmtId="0" fontId="3" fillId="9" borderId="29" applyNumberFormat="0" applyFont="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0" borderId="0"/>
    <xf numFmtId="0" fontId="3" fillId="9" borderId="29" applyNumberFormat="0" applyFont="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9" borderId="29" applyNumberFormat="0" applyFont="0" applyAlignment="0" applyProtection="0"/>
    <xf numFmtId="0" fontId="3" fillId="0" borderId="0"/>
    <xf numFmtId="0" fontId="3" fillId="9" borderId="29"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20" borderId="0" applyNumberFormat="0" applyBorder="0" applyAlignment="0" applyProtection="0"/>
    <xf numFmtId="0" fontId="3" fillId="9" borderId="29" applyNumberFormat="0" applyFont="0" applyAlignment="0" applyProtection="0"/>
    <xf numFmtId="0" fontId="3" fillId="19" borderId="0" applyNumberFormat="0" applyBorder="0" applyAlignment="0" applyProtection="0"/>
    <xf numFmtId="0" fontId="3" fillId="0" borderId="0"/>
    <xf numFmtId="0" fontId="3" fillId="16" borderId="0" applyNumberFormat="0" applyBorder="0" applyAlignment="0" applyProtection="0"/>
    <xf numFmtId="0" fontId="3" fillId="32" borderId="0" applyNumberFormat="0" applyBorder="0" applyAlignment="0" applyProtection="0"/>
    <xf numFmtId="0" fontId="3" fillId="31" borderId="0" applyNumberFormat="0" applyBorder="0" applyAlignment="0" applyProtection="0"/>
    <xf numFmtId="0" fontId="3" fillId="24" borderId="0" applyNumberFormat="0" applyBorder="0" applyAlignment="0" applyProtection="0"/>
    <xf numFmtId="0" fontId="3" fillId="23" borderId="0" applyNumberFormat="0" applyBorder="0" applyAlignment="0" applyProtection="0"/>
    <xf numFmtId="0" fontId="3" fillId="28" borderId="0" applyNumberFormat="0" applyBorder="0" applyAlignment="0" applyProtection="0"/>
    <xf numFmtId="0" fontId="3" fillId="27" borderId="0" applyNumberFormat="0" applyBorder="0" applyAlignment="0" applyProtection="0"/>
    <xf numFmtId="0" fontId="3" fillId="0" borderId="0"/>
    <xf numFmtId="0" fontId="3" fillId="9" borderId="29"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9" borderId="29" applyNumberFormat="0" applyFont="0" applyAlignment="0" applyProtection="0"/>
    <xf numFmtId="0" fontId="2" fillId="9" borderId="29" applyNumberFormat="0" applyFont="0" applyAlignment="0" applyProtection="0"/>
    <xf numFmtId="0" fontId="2" fillId="9" borderId="29" applyNumberFormat="0" applyFont="0" applyAlignment="0" applyProtection="0"/>
    <xf numFmtId="0" fontId="2" fillId="9" borderId="29" applyNumberFormat="0" applyFont="0" applyAlignment="0" applyProtection="0"/>
    <xf numFmtId="0" fontId="2" fillId="9" borderId="29" applyNumberFormat="0" applyFont="0" applyAlignment="0" applyProtection="0"/>
    <xf numFmtId="0" fontId="2" fillId="9" borderId="29" applyNumberFormat="0" applyFont="0" applyAlignment="0" applyProtection="0"/>
    <xf numFmtId="0" fontId="2" fillId="9" borderId="29" applyNumberFormat="0" applyFont="0" applyAlignment="0" applyProtection="0"/>
    <xf numFmtId="0" fontId="2" fillId="9" borderId="29" applyNumberFormat="0" applyFont="0" applyAlignment="0" applyProtection="0"/>
    <xf numFmtId="0" fontId="2" fillId="9" borderId="29" applyNumberFormat="0" applyFont="0" applyAlignment="0" applyProtection="0"/>
    <xf numFmtId="0" fontId="2" fillId="9" borderId="29" applyNumberFormat="0" applyFont="0" applyAlignment="0" applyProtection="0"/>
    <xf numFmtId="0" fontId="2" fillId="9" borderId="29" applyNumberFormat="0" applyFont="0" applyAlignment="0" applyProtection="0"/>
    <xf numFmtId="0" fontId="2" fillId="9" borderId="29" applyNumberFormat="0" applyFont="0" applyAlignment="0" applyProtection="0"/>
    <xf numFmtId="0" fontId="2" fillId="9" borderId="29" applyNumberFormat="0" applyFont="0" applyAlignment="0" applyProtection="0"/>
    <xf numFmtId="0" fontId="2" fillId="9" borderId="29" applyNumberFormat="0" applyFont="0" applyAlignment="0" applyProtection="0"/>
    <xf numFmtId="0" fontId="2" fillId="9" borderId="29" applyNumberFormat="0" applyFont="0" applyAlignment="0" applyProtection="0"/>
    <xf numFmtId="0" fontId="2" fillId="9" borderId="29" applyNumberFormat="0" applyFont="0" applyAlignment="0" applyProtection="0"/>
    <xf numFmtId="0" fontId="2" fillId="9" borderId="29" applyNumberFormat="0" applyFont="0" applyAlignment="0" applyProtection="0"/>
    <xf numFmtId="0" fontId="2" fillId="9" borderId="29" applyNumberFormat="0" applyFont="0" applyAlignment="0" applyProtection="0"/>
    <xf numFmtId="0" fontId="2" fillId="9" borderId="29" applyNumberFormat="0" applyFont="0" applyAlignment="0" applyProtection="0"/>
    <xf numFmtId="0" fontId="2" fillId="9" borderId="29" applyNumberFormat="0" applyFont="0" applyAlignment="0" applyProtection="0"/>
    <xf numFmtId="0" fontId="2" fillId="9" borderId="29" applyNumberFormat="0" applyFont="0" applyAlignment="0" applyProtection="0"/>
    <xf numFmtId="0" fontId="2" fillId="9" borderId="29" applyNumberFormat="0" applyFont="0" applyAlignment="0" applyProtection="0"/>
    <xf numFmtId="0" fontId="2" fillId="9" borderId="29" applyNumberFormat="0" applyFont="0" applyAlignment="0" applyProtection="0"/>
    <xf numFmtId="0" fontId="2" fillId="9" borderId="29" applyNumberFormat="0" applyFont="0" applyAlignment="0" applyProtection="0"/>
    <xf numFmtId="0" fontId="137" fillId="0" borderId="0"/>
    <xf numFmtId="0" fontId="1" fillId="0" borderId="0"/>
    <xf numFmtId="43" fontId="1" fillId="0" borderId="0" applyFont="0" applyFill="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2" fillId="0" borderId="0"/>
    <xf numFmtId="0" fontId="16" fillId="0" borderId="0"/>
    <xf numFmtId="0" fontId="16" fillId="0" borderId="0"/>
    <xf numFmtId="43" fontId="28" fillId="0" borderId="0" applyFont="0" applyFill="0" applyBorder="0" applyAlignment="0" applyProtection="0"/>
    <xf numFmtId="0" fontId="1" fillId="0" borderId="0"/>
    <xf numFmtId="0" fontId="16" fillId="0" borderId="0"/>
    <xf numFmtId="9"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678">
    <xf numFmtId="0" fontId="0" fillId="0" borderId="0" xfId="0"/>
    <xf numFmtId="0" fontId="14" fillId="0" borderId="0" xfId="0" applyFont="1" applyFill="1"/>
    <xf numFmtId="0" fontId="14" fillId="0" borderId="0" xfId="0" applyFont="1" applyFill="1" applyAlignment="1">
      <alignment horizontal="center"/>
    </xf>
    <xf numFmtId="176" fontId="11" fillId="0" borderId="0" xfId="0" applyNumberFormat="1" applyFont="1" applyFill="1"/>
    <xf numFmtId="0" fontId="13" fillId="0" borderId="0" xfId="0" applyFont="1" applyFill="1"/>
    <xf numFmtId="0" fontId="10" fillId="0" borderId="0" xfId="0" applyFont="1" applyFill="1" applyAlignment="1"/>
    <xf numFmtId="174" fontId="11" fillId="0" borderId="0" xfId="0" applyNumberFormat="1" applyFont="1" applyFill="1"/>
    <xf numFmtId="167" fontId="11" fillId="0" borderId="0" xfId="0" applyNumberFormat="1" applyFont="1" applyFill="1"/>
    <xf numFmtId="14" fontId="12" fillId="0" borderId="0" xfId="0" applyNumberFormat="1" applyFont="1" applyFill="1"/>
    <xf numFmtId="14" fontId="12" fillId="0" borderId="0" xfId="0" applyNumberFormat="1" applyFont="1" applyFill="1" applyAlignment="1">
      <alignment horizontal="left"/>
    </xf>
    <xf numFmtId="0" fontId="12" fillId="0" borderId="0" xfId="0" applyFont="1" applyFill="1"/>
    <xf numFmtId="0" fontId="23" fillId="0" borderId="0" xfId="0" applyFont="1" applyFill="1"/>
    <xf numFmtId="188" fontId="23" fillId="0" borderId="0" xfId="0" applyNumberFormat="1" applyFont="1" applyFill="1"/>
    <xf numFmtId="0" fontId="24" fillId="0" borderId="0" xfId="0" applyFont="1" applyFill="1"/>
    <xf numFmtId="0" fontId="12" fillId="0" borderId="0" xfId="0" applyFont="1" applyFill="1" applyAlignment="1"/>
    <xf numFmtId="49" fontId="12" fillId="0" borderId="0" xfId="0" applyNumberFormat="1" applyFont="1" applyFill="1" applyAlignment="1"/>
    <xf numFmtId="5" fontId="11" fillId="0" borderId="0" xfId="0" applyNumberFormat="1" applyFont="1" applyFill="1"/>
    <xf numFmtId="0" fontId="10" fillId="0" borderId="7" xfId="0" applyFont="1" applyFill="1" applyBorder="1" applyAlignment="1">
      <alignment horizontal="center"/>
    </xf>
    <xf numFmtId="0" fontId="11" fillId="0" borderId="4" xfId="0" applyFont="1" applyFill="1" applyBorder="1" applyAlignment="1">
      <alignment vertical="justify"/>
    </xf>
    <xf numFmtId="5" fontId="11" fillId="0" borderId="4" xfId="0" applyNumberFormat="1" applyFont="1" applyFill="1" applyBorder="1"/>
    <xf numFmtId="5" fontId="11" fillId="0" borderId="4" xfId="0" applyNumberFormat="1" applyFont="1" applyFill="1" applyBorder="1" applyAlignment="1">
      <alignment wrapText="1"/>
    </xf>
    <xf numFmtId="0" fontId="11" fillId="0" borderId="0" xfId="0" applyFont="1" applyFill="1" applyBorder="1"/>
    <xf numFmtId="3" fontId="11" fillId="0" borderId="0" xfId="22" applyNumberFormat="1" applyFont="1" applyFill="1"/>
    <xf numFmtId="164" fontId="11" fillId="0" borderId="0" xfId="1" applyNumberFormat="1" applyFont="1" applyFill="1" applyBorder="1"/>
    <xf numFmtId="0" fontId="11" fillId="0" borderId="0" xfId="0" quotePrefix="1" applyFont="1" applyFill="1" applyAlignment="1">
      <alignment horizontal="right"/>
    </xf>
    <xf numFmtId="0" fontId="11" fillId="0" borderId="0" xfId="0" applyFont="1" applyFill="1" applyBorder="1" applyAlignment="1">
      <alignment horizontal="right"/>
    </xf>
    <xf numFmtId="0" fontId="21" fillId="0" borderId="0" xfId="0" applyFont="1" applyFill="1"/>
    <xf numFmtId="0" fontId="21" fillId="0" borderId="0" xfId="0" applyFont="1" applyFill="1" applyAlignment="1">
      <alignment horizontal="center"/>
    </xf>
    <xf numFmtId="0" fontId="11" fillId="0" borderId="3" xfId="0" applyFont="1" applyFill="1" applyBorder="1" applyAlignment="1">
      <alignment horizontal="center" wrapText="1"/>
    </xf>
    <xf numFmtId="0" fontId="10" fillId="0" borderId="0" xfId="0" applyFont="1" applyFill="1"/>
    <xf numFmtId="1" fontId="10" fillId="0" borderId="4" xfId="0" applyNumberFormat="1" applyFont="1" applyFill="1" applyBorder="1" applyAlignment="1">
      <alignment horizontal="left" vertical="center"/>
    </xf>
    <xf numFmtId="0" fontId="10" fillId="0" borderId="6" xfId="0" applyFont="1" applyFill="1" applyBorder="1" applyAlignment="1">
      <alignment horizontal="center"/>
    </xf>
    <xf numFmtId="0" fontId="11" fillId="0" borderId="0" xfId="0" applyFont="1" applyFill="1" applyBorder="1" applyAlignment="1">
      <alignment horizontal="center" vertical="top"/>
    </xf>
    <xf numFmtId="0" fontId="11" fillId="0" borderId="14" xfId="0" applyFont="1" applyFill="1" applyBorder="1" applyAlignment="1">
      <alignment horizontal="center" vertical="justify"/>
    </xf>
    <xf numFmtId="1" fontId="11" fillId="0" borderId="0" xfId="0" applyNumberFormat="1" applyFont="1" applyFill="1" applyAlignment="1">
      <alignment horizontal="center"/>
    </xf>
    <xf numFmtId="0" fontId="11" fillId="0" borderId="0" xfId="0" applyFont="1" applyFill="1" applyBorder="1" applyAlignment="1">
      <alignment horizontal="center" vertical="justify"/>
    </xf>
    <xf numFmtId="0" fontId="10" fillId="0" borderId="17" xfId="0" applyFont="1" applyFill="1" applyBorder="1" applyAlignment="1">
      <alignment horizontal="left"/>
    </xf>
    <xf numFmtId="0" fontId="11" fillId="0" borderId="6" xfId="0" applyFont="1" applyFill="1" applyBorder="1" applyAlignment="1"/>
    <xf numFmtId="1" fontId="11" fillId="0" borderId="0" xfId="0" applyNumberFormat="1" applyFont="1" applyFill="1" applyAlignment="1">
      <alignment horizontal="center" vertical="center" wrapText="1"/>
    </xf>
    <xf numFmtId="164" fontId="11" fillId="0" borderId="0" xfId="1" applyNumberFormat="1" applyFont="1" applyFill="1"/>
    <xf numFmtId="0" fontId="11" fillId="0" borderId="0" xfId="0" quotePrefix="1" applyFont="1" applyFill="1"/>
    <xf numFmtId="0" fontId="11" fillId="0" borderId="0" xfId="14" applyFont="1" applyFill="1" applyBorder="1"/>
    <xf numFmtId="0" fontId="11" fillId="0" borderId="0" xfId="14" applyFont="1" applyFill="1" applyBorder="1" applyAlignment="1">
      <alignment horizontal="center"/>
    </xf>
    <xf numFmtId="1" fontId="11" fillId="0" borderId="0" xfId="14" applyNumberFormat="1" applyFont="1" applyFill="1" applyBorder="1" applyAlignment="1">
      <alignment horizontal="center"/>
    </xf>
    <xf numFmtId="0" fontId="11" fillId="0" borderId="0" xfId="18" applyFont="1" applyFill="1" applyAlignment="1"/>
    <xf numFmtId="1" fontId="11" fillId="0" borderId="0" xfId="18" applyNumberFormat="1" applyFont="1" applyFill="1" applyAlignment="1">
      <alignment horizontal="center"/>
    </xf>
    <xf numFmtId="0" fontId="11" fillId="0" borderId="0" xfId="18" applyNumberFormat="1" applyFont="1" applyFill="1" applyAlignment="1">
      <alignment horizontal="center"/>
    </xf>
    <xf numFmtId="164" fontId="11" fillId="0" borderId="0" xfId="1" applyNumberFormat="1" applyFont="1" applyFill="1" applyAlignment="1">
      <alignment horizontal="center"/>
    </xf>
    <xf numFmtId="0" fontId="11" fillId="0" borderId="0" xfId="18" applyFont="1" applyFill="1" applyAlignment="1">
      <alignment horizontal="center"/>
    </xf>
    <xf numFmtId="3" fontId="11" fillId="0" borderId="0" xfId="22" applyNumberFormat="1" applyFont="1" applyFill="1" applyBorder="1"/>
    <xf numFmtId="176" fontId="11" fillId="0" borderId="0" xfId="0" applyNumberFormat="1" applyFont="1" applyFill="1" applyAlignment="1"/>
    <xf numFmtId="176" fontId="11" fillId="0" borderId="0" xfId="0" applyNumberFormat="1" applyFont="1" applyFill="1" applyAlignment="1">
      <alignment horizontal="right"/>
    </xf>
    <xf numFmtId="0" fontId="11" fillId="0" borderId="3" xfId="0" applyFont="1" applyFill="1" applyBorder="1" applyAlignment="1">
      <alignment horizontal="center"/>
    </xf>
    <xf numFmtId="0" fontId="11" fillId="0" borderId="0" xfId="0" quotePrefix="1" applyFont="1" applyFill="1" applyAlignment="1">
      <alignment horizontal="center"/>
    </xf>
    <xf numFmtId="176" fontId="11" fillId="0" borderId="0" xfId="0" applyNumberFormat="1" applyFont="1" applyFill="1" applyBorder="1" applyAlignment="1"/>
    <xf numFmtId="37" fontId="11" fillId="0" borderId="0" xfId="0" applyNumberFormat="1" applyFont="1" applyFill="1" applyAlignment="1">
      <alignment horizontal="center"/>
    </xf>
    <xf numFmtId="7" fontId="11" fillId="0" borderId="0" xfId="0" applyNumberFormat="1" applyFont="1" applyFill="1" applyAlignment="1">
      <alignment horizontal="center"/>
    </xf>
    <xf numFmtId="2" fontId="11" fillId="0" borderId="0" xfId="0" applyNumberFormat="1" applyFont="1" applyFill="1" applyAlignment="1">
      <alignment horizontal="center"/>
    </xf>
    <xf numFmtId="41" fontId="11" fillId="0" borderId="0" xfId="0" applyNumberFormat="1" applyFont="1" applyFill="1" applyAlignment="1"/>
    <xf numFmtId="186" fontId="11" fillId="0" borderId="0" xfId="0" applyNumberFormat="1" applyFont="1" applyFill="1" applyAlignment="1">
      <alignment horizontal="center"/>
    </xf>
    <xf numFmtId="189" fontId="11" fillId="0" borderId="0" xfId="0" applyNumberFormat="1" applyFont="1" applyFill="1"/>
    <xf numFmtId="186" fontId="11" fillId="0" borderId="0" xfId="0" applyNumberFormat="1" applyFont="1" applyFill="1"/>
    <xf numFmtId="0" fontId="14" fillId="0" borderId="0" xfId="0" applyFont="1" applyFill="1" applyAlignment="1">
      <alignment horizontal="left"/>
    </xf>
    <xf numFmtId="176" fontId="11" fillId="0" borderId="0" xfId="0" quotePrefix="1" applyNumberFormat="1" applyFont="1" applyFill="1" applyAlignment="1">
      <alignment horizontal="center"/>
    </xf>
    <xf numFmtId="5" fontId="11" fillId="0" borderId="0" xfId="0" applyNumberFormat="1" applyFont="1" applyFill="1" applyAlignment="1">
      <alignment horizontal="center"/>
    </xf>
    <xf numFmtId="0" fontId="11" fillId="0" borderId="0" xfId="0" applyFont="1" applyFill="1" applyAlignment="1">
      <alignment wrapText="1"/>
    </xf>
    <xf numFmtId="5" fontId="11" fillId="0" borderId="0" xfId="5" applyNumberFormat="1" applyFont="1" applyFill="1" applyBorder="1" applyAlignment="1">
      <alignment horizontal="right"/>
    </xf>
    <xf numFmtId="0" fontId="10" fillId="0" borderId="0" xfId="0" applyNumberFormat="1" applyFont="1" applyFill="1" applyBorder="1" applyProtection="1">
      <protection locked="0"/>
    </xf>
    <xf numFmtId="5" fontId="10" fillId="0" borderId="0" xfId="5" applyNumberFormat="1" applyFont="1" applyFill="1" applyBorder="1" applyAlignment="1">
      <alignment horizontal="right"/>
    </xf>
    <xf numFmtId="0" fontId="11" fillId="0" borderId="0" xfId="0" applyNumberFormat="1" applyFont="1" applyFill="1" applyBorder="1" applyProtection="1">
      <protection locked="0"/>
    </xf>
    <xf numFmtId="0" fontId="11" fillId="0" borderId="0" xfId="0" applyNumberFormat="1" applyFont="1" applyFill="1" applyBorder="1" applyAlignment="1" applyProtection="1">
      <alignment horizontal="right"/>
      <protection locked="0"/>
    </xf>
    <xf numFmtId="0" fontId="11" fillId="0" borderId="0" xfId="0" applyFont="1" applyFill="1" applyAlignment="1">
      <alignment horizontal="center" vertical="top" wrapText="1"/>
    </xf>
    <xf numFmtId="44" fontId="11" fillId="0" borderId="0" xfId="5" applyFont="1" applyFill="1"/>
    <xf numFmtId="0" fontId="11" fillId="0" borderId="0" xfId="0" applyFont="1" applyFill="1" applyAlignment="1">
      <alignment vertical="top"/>
    </xf>
    <xf numFmtId="0" fontId="11" fillId="0" borderId="0" xfId="0" applyFont="1" applyFill="1" applyAlignment="1">
      <alignment horizontal="left" vertical="top"/>
    </xf>
    <xf numFmtId="10" fontId="11" fillId="0" borderId="4" xfId="0" applyNumberFormat="1" applyFont="1" applyFill="1" applyBorder="1"/>
    <xf numFmtId="181" fontId="11" fillId="0" borderId="0" xfId="13" applyFont="1" applyFill="1" applyAlignment="1" applyProtection="1">
      <alignment horizontal="left"/>
    </xf>
    <xf numFmtId="14" fontId="11" fillId="0" borderId="0" xfId="13" applyNumberFormat="1" applyFont="1" applyFill="1" applyAlignment="1" applyProtection="1">
      <alignment horizontal="center"/>
    </xf>
    <xf numFmtId="37" fontId="11" fillId="0" borderId="0" xfId="13" applyNumberFormat="1" applyFont="1" applyFill="1" applyBorder="1" applyProtection="1"/>
    <xf numFmtId="177" fontId="11" fillId="0" borderId="0" xfId="13" applyNumberFormat="1" applyFont="1" applyFill="1" applyBorder="1" applyProtection="1"/>
    <xf numFmtId="172" fontId="11" fillId="0" borderId="0" xfId="13" applyNumberFormat="1" applyFont="1" applyFill="1" applyAlignment="1" applyProtection="1">
      <alignment horizontal="center"/>
    </xf>
    <xf numFmtId="172" fontId="11" fillId="0" borderId="0" xfId="13" applyNumberFormat="1" applyFont="1" applyFill="1" applyProtection="1"/>
    <xf numFmtId="182" fontId="11" fillId="0" borderId="0" xfId="13" applyNumberFormat="1" applyFont="1" applyFill="1" applyBorder="1" applyProtection="1"/>
    <xf numFmtId="182" fontId="11" fillId="0" borderId="0" xfId="13" applyNumberFormat="1" applyFont="1" applyFill="1" applyProtection="1"/>
    <xf numFmtId="180" fontId="11" fillId="0" borderId="0" xfId="13" applyNumberFormat="1" applyFont="1" applyFill="1" applyProtection="1"/>
    <xf numFmtId="166" fontId="11" fillId="0" borderId="4" xfId="5" applyNumberFormat="1" applyFont="1" applyFill="1" applyBorder="1"/>
    <xf numFmtId="0" fontId="14" fillId="0" borderId="7" xfId="0" applyFont="1" applyFill="1" applyBorder="1" applyAlignment="1">
      <alignment horizontal="left"/>
    </xf>
    <xf numFmtId="176" fontId="11" fillId="0" borderId="0" xfId="0" applyNumberFormat="1" applyFont="1" applyFill="1" applyProtection="1"/>
    <xf numFmtId="176" fontId="11" fillId="0" borderId="0" xfId="0" applyNumberFormat="1" applyFont="1" applyFill="1" applyAlignment="1" applyProtection="1">
      <alignment horizontal="left"/>
    </xf>
    <xf numFmtId="176" fontId="11" fillId="0" borderId="8" xfId="0" applyNumberFormat="1" applyFont="1" applyFill="1" applyBorder="1" applyProtection="1"/>
    <xf numFmtId="176" fontId="11" fillId="0" borderId="10" xfId="0" applyNumberFormat="1" applyFont="1" applyFill="1" applyBorder="1" applyProtection="1"/>
    <xf numFmtId="176" fontId="11" fillId="0" borderId="0" xfId="0" applyNumberFormat="1" applyFont="1" applyFill="1" applyBorder="1" applyProtection="1"/>
    <xf numFmtId="164" fontId="11" fillId="0" borderId="8" xfId="1" applyNumberFormat="1" applyFont="1" applyFill="1" applyBorder="1" applyProtection="1"/>
    <xf numFmtId="164" fontId="11" fillId="0" borderId="0" xfId="1" applyNumberFormat="1" applyFont="1" applyFill="1" applyProtection="1"/>
    <xf numFmtId="164" fontId="11" fillId="0" borderId="10" xfId="1" applyNumberFormat="1" applyFont="1" applyFill="1" applyBorder="1" applyProtection="1"/>
    <xf numFmtId="191" fontId="11" fillId="0" borderId="0" xfId="0" applyNumberFormat="1" applyFont="1" applyFill="1" applyProtection="1"/>
    <xf numFmtId="176" fontId="11" fillId="0" borderId="3" xfId="0" applyNumberFormat="1" applyFont="1" applyFill="1" applyBorder="1" applyProtection="1"/>
    <xf numFmtId="176" fontId="11" fillId="0" borderId="9" xfId="0" applyNumberFormat="1" applyFont="1" applyFill="1" applyBorder="1" applyProtection="1"/>
    <xf numFmtId="0" fontId="11" fillId="0" borderId="3" xfId="0" applyFont="1" applyFill="1" applyBorder="1"/>
    <xf numFmtId="176" fontId="11" fillId="0" borderId="0" xfId="1" applyNumberFormat="1" applyFont="1" applyFill="1" applyAlignment="1"/>
    <xf numFmtId="176" fontId="11" fillId="0" borderId="0" xfId="1" applyNumberFormat="1" applyFont="1" applyFill="1" applyBorder="1" applyAlignment="1"/>
    <xf numFmtId="164" fontId="11" fillId="0" borderId="0" xfId="1" applyNumberFormat="1" applyFont="1" applyFill="1" applyAlignment="1"/>
    <xf numFmtId="164" fontId="11" fillId="0" borderId="0" xfId="1" applyNumberFormat="1" applyFont="1" applyFill="1" applyBorder="1" applyAlignment="1"/>
    <xf numFmtId="187" fontId="11" fillId="0" borderId="0" xfId="0" applyNumberFormat="1" applyFont="1" applyFill="1" applyAlignment="1">
      <alignment horizontal="center"/>
    </xf>
    <xf numFmtId="44" fontId="11" fillId="0" borderId="0" xfId="5" applyFont="1" applyFill="1" applyAlignment="1">
      <alignment horizontal="center"/>
    </xf>
    <xf numFmtId="0" fontId="11" fillId="0" borderId="0" xfId="0" quotePrefix="1" applyFont="1" applyFill="1" applyAlignment="1"/>
    <xf numFmtId="0" fontId="11" fillId="0" borderId="0" xfId="0" applyFont="1" applyFill="1" applyAlignment="1">
      <alignment horizontal="center" wrapText="1"/>
    </xf>
    <xf numFmtId="176" fontId="13" fillId="0" borderId="0" xfId="0" applyNumberFormat="1" applyFont="1" applyFill="1" applyAlignment="1"/>
    <xf numFmtId="8" fontId="11" fillId="0" borderId="0" xfId="0" applyNumberFormat="1" applyFont="1" applyFill="1" applyAlignment="1">
      <alignment horizontal="center" vertical="top"/>
    </xf>
    <xf numFmtId="1" fontId="11" fillId="0" borderId="3" xfId="0" quotePrefix="1" applyNumberFormat="1" applyFont="1" applyFill="1" applyBorder="1"/>
    <xf numFmtId="8" fontId="11" fillId="0" borderId="3" xfId="0" quotePrefix="1" applyNumberFormat="1" applyFont="1" applyFill="1" applyBorder="1" applyAlignment="1">
      <alignment horizontal="left"/>
    </xf>
    <xf numFmtId="186" fontId="11" fillId="0" borderId="3" xfId="0" quotePrefix="1" applyNumberFormat="1" applyFont="1" applyFill="1" applyBorder="1" applyAlignment="1">
      <alignment horizontal="left"/>
    </xf>
    <xf numFmtId="1" fontId="11" fillId="0" borderId="0" xfId="0" applyNumberFormat="1" applyFont="1" applyFill="1" applyAlignment="1">
      <alignment horizontal="right"/>
    </xf>
    <xf numFmtId="0" fontId="11" fillId="0" borderId="0" xfId="0" applyFont="1" applyFill="1" applyAlignment="1">
      <alignment horizontal="left" indent="1"/>
    </xf>
    <xf numFmtId="0" fontId="11" fillId="0" borderId="0" xfId="0" applyFont="1" applyFill="1" applyAlignment="1">
      <alignment horizontal="left" wrapText="1" indent="1"/>
    </xf>
    <xf numFmtId="0" fontId="11" fillId="0" borderId="0" xfId="7" applyFont="1" applyFill="1"/>
    <xf numFmtId="40" fontId="11" fillId="0" borderId="0" xfId="2" applyFont="1" applyFill="1"/>
    <xf numFmtId="0" fontId="11" fillId="0" borderId="0" xfId="7" applyFont="1" applyFill="1" applyAlignment="1">
      <alignment horizontal="center"/>
    </xf>
    <xf numFmtId="0" fontId="11" fillId="0" borderId="0" xfId="7" applyFont="1" applyFill="1" applyAlignment="1"/>
    <xf numFmtId="0" fontId="10" fillId="0" borderId="1" xfId="24" applyFont="1" applyFill="1" applyAlignment="1">
      <alignment horizontal="center" wrapText="1"/>
    </xf>
    <xf numFmtId="10" fontId="11" fillId="0" borderId="0" xfId="22" applyNumberFormat="1" applyFont="1" applyFill="1"/>
    <xf numFmtId="40" fontId="11" fillId="0" borderId="0" xfId="2" applyFont="1" applyFill="1" applyAlignment="1">
      <alignment horizontal="center"/>
    </xf>
    <xf numFmtId="43" fontId="11" fillId="0" borderId="0" xfId="1" applyNumberFormat="1" applyFont="1" applyFill="1" applyAlignment="1">
      <alignment horizontal="center"/>
    </xf>
    <xf numFmtId="4" fontId="11" fillId="0" borderId="0" xfId="7" applyNumberFormat="1" applyFont="1" applyFill="1"/>
    <xf numFmtId="164" fontId="11" fillId="0" borderId="4" xfId="1" applyNumberFormat="1" applyFont="1" applyFill="1" applyBorder="1"/>
    <xf numFmtId="176" fontId="11" fillId="0" borderId="0" xfId="0" quotePrefix="1" applyNumberFormat="1" applyFont="1" applyFill="1" applyAlignment="1" applyProtection="1">
      <alignment horizontal="left"/>
    </xf>
    <xf numFmtId="176" fontId="10" fillId="0" borderId="0" xfId="0" applyNumberFormat="1" applyFont="1" applyFill="1" applyAlignment="1" applyProtection="1">
      <alignment horizontal="left"/>
    </xf>
    <xf numFmtId="49" fontId="11" fillId="0" borderId="0" xfId="15" applyNumberFormat="1" applyFont="1" applyFill="1"/>
    <xf numFmtId="44" fontId="11" fillId="0" borderId="0" xfId="5" applyFont="1" applyFill="1" applyBorder="1"/>
    <xf numFmtId="49" fontId="11" fillId="0" borderId="0" xfId="15" applyNumberFormat="1" applyFont="1" applyFill="1" applyAlignment="1">
      <alignment wrapText="1"/>
    </xf>
    <xf numFmtId="1" fontId="10" fillId="0" borderId="1" xfId="24" applyNumberFormat="1" applyFont="1" applyFill="1" applyAlignment="1">
      <alignment horizontal="center" wrapText="1"/>
    </xf>
    <xf numFmtId="0" fontId="10" fillId="0" borderId="1" xfId="14" applyFont="1" applyFill="1" applyBorder="1" applyAlignment="1">
      <alignment horizontal="center" wrapText="1"/>
    </xf>
    <xf numFmtId="0" fontId="11" fillId="0" borderId="0" xfId="18" applyFont="1" applyFill="1" applyAlignment="1">
      <alignment horizontal="right"/>
    </xf>
    <xf numFmtId="0" fontId="10" fillId="0" borderId="0" xfId="7" applyFont="1" applyFill="1" applyAlignment="1">
      <alignment horizontal="left"/>
    </xf>
    <xf numFmtId="0" fontId="11" fillId="0" borderId="0" xfId="0" applyFont="1" applyFill="1" applyAlignment="1">
      <alignment horizontal="center" vertical="top"/>
    </xf>
    <xf numFmtId="0" fontId="11" fillId="0" borderId="0" xfId="0" applyFont="1" applyFill="1" applyBorder="1" applyAlignment="1">
      <alignment horizontal="center"/>
    </xf>
    <xf numFmtId="0" fontId="34" fillId="0" borderId="0" xfId="0" applyFont="1" applyFill="1"/>
    <xf numFmtId="0" fontId="10" fillId="0" borderId="0" xfId="7" applyFont="1" applyFill="1" applyBorder="1" applyAlignment="1">
      <alignment horizontal="center"/>
    </xf>
    <xf numFmtId="40" fontId="10" fillId="0" borderId="1" xfId="2" applyFont="1" applyFill="1" applyBorder="1" applyAlignment="1">
      <alignment horizontal="center" wrapText="1"/>
    </xf>
    <xf numFmtId="43" fontId="11" fillId="0" borderId="0" xfId="1" applyNumberFormat="1" applyFont="1" applyFill="1" applyAlignment="1"/>
    <xf numFmtId="164" fontId="15" fillId="0" borderId="0" xfId="1" applyNumberFormat="1" applyFont="1" applyFill="1"/>
    <xf numFmtId="0" fontId="11" fillId="0" borderId="0" xfId="0" applyFont="1" applyFill="1" applyAlignment="1"/>
    <xf numFmtId="0" fontId="11" fillId="0" borderId="0" xfId="0" applyFont="1" applyFill="1" applyAlignment="1">
      <alignment horizontal="right"/>
    </xf>
    <xf numFmtId="192" fontId="11" fillId="0" borderId="0" xfId="0" applyNumberFormat="1" applyFont="1" applyFill="1" applyAlignment="1" applyProtection="1">
      <alignment horizontal="right"/>
    </xf>
    <xf numFmtId="6" fontId="11" fillId="0" borderId="4" xfId="0" applyNumberFormat="1" applyFont="1" applyFill="1" applyBorder="1" applyAlignment="1">
      <alignment vertical="justify"/>
    </xf>
    <xf numFmtId="6" fontId="11" fillId="0" borderId="4" xfId="0" applyNumberFormat="1" applyFont="1" applyFill="1" applyBorder="1"/>
    <xf numFmtId="38" fontId="11" fillId="0" borderId="4" xfId="0" applyNumberFormat="1" applyFont="1" applyFill="1" applyBorder="1" applyAlignment="1">
      <alignment vertical="justify"/>
    </xf>
    <xf numFmtId="166" fontId="11" fillId="0" borderId="0" xfId="5" applyNumberFormat="1" applyFont="1" applyFill="1" applyBorder="1" applyProtection="1"/>
    <xf numFmtId="49" fontId="11" fillId="0" borderId="0" xfId="15" applyNumberFormat="1" applyFont="1" applyFill="1" applyProtection="1">
      <protection locked="0"/>
    </xf>
    <xf numFmtId="44" fontId="11" fillId="0" borderId="0" xfId="5" applyFont="1" applyFill="1" applyProtection="1">
      <protection locked="0"/>
    </xf>
    <xf numFmtId="0" fontId="10" fillId="0" borderId="1" xfId="24" applyFont="1" applyFill="1" applyAlignment="1" applyProtection="1">
      <alignment horizontal="center" wrapText="1"/>
      <protection locked="0"/>
    </xf>
    <xf numFmtId="40" fontId="11" fillId="0" borderId="0" xfId="2" applyFont="1" applyFill="1" applyAlignment="1" applyProtection="1">
      <alignment horizontal="center"/>
      <protection locked="0"/>
    </xf>
    <xf numFmtId="0" fontId="11" fillId="0" borderId="0" xfId="0" applyFont="1" applyFill="1" applyAlignment="1" applyProtection="1">
      <alignment wrapText="1"/>
      <protection locked="0"/>
    </xf>
    <xf numFmtId="0" fontId="11" fillId="0" borderId="0" xfId="0" applyFont="1" applyFill="1" applyProtection="1"/>
    <xf numFmtId="0" fontId="11" fillId="0" borderId="0" xfId="0" applyFont="1" applyFill="1" applyAlignment="1" applyProtection="1">
      <alignment horizontal="left"/>
    </xf>
    <xf numFmtId="0" fontId="10" fillId="0" borderId="0" xfId="0" applyFont="1" applyFill="1" applyAlignment="1" applyProtection="1">
      <alignment horizontal="right"/>
    </xf>
    <xf numFmtId="164" fontId="10" fillId="0" borderId="0" xfId="1" applyNumberFormat="1" applyFont="1" applyFill="1" applyAlignment="1" applyProtection="1">
      <alignment horizontal="right"/>
    </xf>
    <xf numFmtId="0" fontId="10" fillId="0" borderId="0" xfId="0" applyFont="1" applyFill="1" applyProtection="1"/>
    <xf numFmtId="164" fontId="11" fillId="0" borderId="0" xfId="1" applyNumberFormat="1" applyFont="1" applyFill="1" applyAlignment="1" applyProtection="1">
      <alignment horizontal="right"/>
    </xf>
    <xf numFmtId="0" fontId="11" fillId="0" borderId="0" xfId="0" applyFont="1" applyFill="1" applyAlignment="1" applyProtection="1">
      <alignment horizontal="right"/>
    </xf>
    <xf numFmtId="170" fontId="11" fillId="0" borderId="0" xfId="1" applyNumberFormat="1" applyFont="1" applyFill="1" applyAlignment="1" applyProtection="1">
      <alignment horizontal="right"/>
    </xf>
    <xf numFmtId="0" fontId="11" fillId="0" borderId="0" xfId="0" quotePrefix="1" applyFont="1" applyFill="1" applyAlignment="1" applyProtection="1">
      <alignment horizontal="right"/>
    </xf>
    <xf numFmtId="175" fontId="11" fillId="0" borderId="0" xfId="1" applyNumberFormat="1" applyFont="1" applyFill="1" applyAlignment="1" applyProtection="1">
      <alignment horizontal="right"/>
    </xf>
    <xf numFmtId="164" fontId="11" fillId="0" borderId="0" xfId="0" applyNumberFormat="1" applyFont="1" applyFill="1" applyProtection="1"/>
    <xf numFmtId="37" fontId="11" fillId="0" borderId="0" xfId="0" applyNumberFormat="1" applyFont="1" applyFill="1" applyAlignment="1" applyProtection="1">
      <alignment horizontal="right"/>
    </xf>
    <xf numFmtId="3" fontId="11" fillId="0" borderId="0" xfId="0" applyNumberFormat="1" applyFont="1" applyFill="1" applyProtection="1"/>
    <xf numFmtId="37" fontId="11" fillId="0" borderId="0" xfId="0" applyNumberFormat="1" applyFont="1" applyFill="1" applyProtection="1"/>
    <xf numFmtId="173" fontId="11" fillId="0" borderId="0" xfId="0" applyNumberFormat="1" applyFont="1" applyFill="1" applyProtection="1"/>
    <xf numFmtId="41" fontId="11" fillId="0" borderId="0" xfId="0" applyNumberFormat="1" applyFont="1" applyFill="1" applyProtection="1"/>
    <xf numFmtId="37" fontId="13" fillId="0" borderId="0" xfId="0" applyNumberFormat="1" applyFont="1" applyFill="1" applyProtection="1"/>
    <xf numFmtId="164" fontId="11" fillId="0" borderId="0" xfId="0" applyNumberFormat="1" applyFont="1" applyFill="1" applyBorder="1" applyProtection="1"/>
    <xf numFmtId="0" fontId="14" fillId="0" borderId="0" xfId="0" applyFont="1" applyFill="1" applyProtection="1"/>
    <xf numFmtId="0" fontId="10" fillId="0" borderId="0" xfId="0" applyNumberFormat="1" applyFont="1" applyFill="1" applyBorder="1" applyProtection="1"/>
    <xf numFmtId="5" fontId="10" fillId="0" borderId="0" xfId="5" applyNumberFormat="1" applyFont="1" applyFill="1" applyBorder="1" applyAlignment="1" applyProtection="1">
      <alignment horizontal="right"/>
    </xf>
    <xf numFmtId="0" fontId="11" fillId="0" borderId="0" xfId="0" applyNumberFormat="1" applyFont="1" applyFill="1" applyBorder="1" applyProtection="1"/>
    <xf numFmtId="176" fontId="13" fillId="0" borderId="0" xfId="0" applyNumberFormat="1" applyFont="1" applyFill="1" applyBorder="1" applyProtection="1"/>
    <xf numFmtId="0" fontId="11" fillId="0" borderId="0" xfId="0" applyNumberFormat="1" applyFont="1" applyFill="1" applyBorder="1" applyAlignment="1" applyProtection="1">
      <alignment horizontal="right"/>
    </xf>
    <xf numFmtId="5" fontId="11" fillId="0" borderId="0" xfId="5" applyNumberFormat="1" applyFont="1" applyFill="1" applyBorder="1" applyAlignment="1" applyProtection="1">
      <alignment horizontal="right"/>
    </xf>
    <xf numFmtId="0" fontId="11" fillId="0" borderId="0" xfId="0" applyFont="1" applyFill="1" applyBorder="1" applyProtection="1"/>
    <xf numFmtId="0" fontId="11" fillId="0" borderId="0" xfId="0" applyFont="1" applyFill="1" applyBorder="1" applyAlignment="1" applyProtection="1">
      <alignment horizontal="right"/>
    </xf>
    <xf numFmtId="5" fontId="11" fillId="0" borderId="4" xfId="5" applyNumberFormat="1" applyFont="1" applyFill="1" applyBorder="1" applyAlignment="1" applyProtection="1">
      <alignment horizontal="right"/>
    </xf>
    <xf numFmtId="10" fontId="11" fillId="0" borderId="0" xfId="17" applyNumberFormat="1" applyFont="1" applyFill="1" applyBorder="1" applyProtection="1"/>
    <xf numFmtId="0" fontId="11" fillId="0" borderId="0" xfId="0" applyFont="1" applyFill="1" applyBorder="1" applyAlignment="1" applyProtection="1">
      <alignment horizontal="left"/>
    </xf>
    <xf numFmtId="176" fontId="54" fillId="0" borderId="0" xfId="0" applyNumberFormat="1" applyFont="1" applyFill="1" applyProtection="1"/>
    <xf numFmtId="0" fontId="10" fillId="0" borderId="0" xfId="0" applyFont="1" applyFill="1" applyAlignment="1" applyProtection="1"/>
    <xf numFmtId="0" fontId="11" fillId="0" borderId="0" xfId="24" applyFont="1" applyFill="1" applyBorder="1" applyAlignment="1" applyProtection="1">
      <alignment horizontal="center" wrapText="1"/>
    </xf>
    <xf numFmtId="0" fontId="11" fillId="0" borderId="1" xfId="24" applyFont="1" applyFill="1" applyAlignment="1" applyProtection="1">
      <alignment horizontal="center" wrapText="1"/>
    </xf>
    <xf numFmtId="43" fontId="11" fillId="0" borderId="1" xfId="1" applyFont="1" applyFill="1" applyBorder="1" applyAlignment="1" applyProtection="1">
      <alignment horizontal="center" wrapText="1"/>
    </xf>
    <xf numFmtId="0" fontId="11" fillId="0" borderId="0" xfId="18" applyFont="1" applyFill="1" applyAlignment="1" applyProtection="1"/>
    <xf numFmtId="0" fontId="11" fillId="0" borderId="0" xfId="18" applyFont="1" applyFill="1" applyBorder="1" applyAlignment="1" applyProtection="1"/>
    <xf numFmtId="166" fontId="11" fillId="0" borderId="21" xfId="1" applyNumberFormat="1" applyFont="1" applyFill="1" applyBorder="1" applyProtection="1"/>
    <xf numFmtId="43" fontId="11" fillId="0" borderId="0" xfId="1" applyFont="1" applyFill="1" applyBorder="1" applyProtection="1"/>
    <xf numFmtId="43" fontId="11" fillId="0" borderId="0" xfId="1" applyFont="1" applyFill="1" applyProtection="1"/>
    <xf numFmtId="10" fontId="11" fillId="0" borderId="0" xfId="0" applyNumberFormat="1" applyFont="1" applyFill="1" applyAlignment="1" applyProtection="1">
      <alignment horizontal="left"/>
    </xf>
    <xf numFmtId="166" fontId="11" fillId="0" borderId="0" xfId="0" applyNumberFormat="1" applyFont="1" applyFill="1" applyProtection="1"/>
    <xf numFmtId="10" fontId="11" fillId="0" borderId="0" xfId="0" applyNumberFormat="1" applyFont="1" applyFill="1" applyProtection="1"/>
    <xf numFmtId="0" fontId="11" fillId="0" borderId="0" xfId="0" quotePrefix="1" applyFont="1" applyFill="1" applyAlignment="1" applyProtection="1">
      <alignment horizontal="center"/>
    </xf>
    <xf numFmtId="166" fontId="11" fillId="0" borderId="4" xfId="0" applyNumberFormat="1" applyFont="1" applyFill="1" applyBorder="1" applyProtection="1"/>
    <xf numFmtId="0" fontId="11" fillId="0" borderId="0" xfId="0" applyFont="1" applyFill="1"/>
    <xf numFmtId="0" fontId="11" fillId="0" borderId="0" xfId="0" applyFont="1" applyFill="1" applyAlignment="1">
      <alignment horizontal="left"/>
    </xf>
    <xf numFmtId="164" fontId="11" fillId="0" borderId="3" xfId="1" applyNumberFormat="1" applyFont="1" applyFill="1" applyBorder="1"/>
    <xf numFmtId="41" fontId="10" fillId="0" borderId="0" xfId="0" applyNumberFormat="1" applyFont="1" applyFill="1" applyAlignment="1" applyProtection="1">
      <alignment horizontal="center"/>
    </xf>
    <xf numFmtId="42" fontId="11" fillId="0" borderId="0" xfId="0" applyNumberFormat="1" applyFont="1" applyFill="1" applyProtection="1"/>
    <xf numFmtId="41" fontId="11" fillId="0" borderId="0" xfId="0" applyNumberFormat="1" applyFont="1" applyFill="1" applyBorder="1" applyProtection="1"/>
    <xf numFmtId="0" fontId="11" fillId="0" borderId="0" xfId="0" quotePrefix="1" applyFont="1" applyFill="1" applyBorder="1" applyAlignment="1" applyProtection="1">
      <alignment horizontal="right"/>
    </xf>
    <xf numFmtId="0" fontId="10" fillId="0" borderId="0" xfId="0" applyFont="1" applyFill="1" applyBorder="1" applyProtection="1"/>
    <xf numFmtId="42" fontId="11" fillId="0" borderId="0" xfId="0" applyNumberFormat="1" applyFont="1" applyFill="1" applyBorder="1" applyProtection="1"/>
    <xf numFmtId="0" fontId="10" fillId="0" borderId="0" xfId="0" applyFont="1" applyFill="1" applyAlignment="1" applyProtection="1">
      <alignment horizontal="centerContinuous"/>
    </xf>
    <xf numFmtId="164" fontId="10" fillId="0" borderId="0" xfId="1" applyNumberFormat="1" applyFont="1" applyFill="1" applyAlignment="1" applyProtection="1">
      <alignment horizontal="centerContinuous"/>
    </xf>
    <xf numFmtId="16" fontId="11" fillId="0" borderId="0" xfId="0" applyNumberFormat="1" applyFont="1" applyFill="1" applyProtection="1"/>
    <xf numFmtId="193" fontId="11" fillId="0" borderId="0" xfId="1" applyNumberFormat="1" applyFont="1" applyFill="1" applyAlignment="1" applyProtection="1">
      <alignment horizontal="right"/>
    </xf>
    <xf numFmtId="196" fontId="11" fillId="0" borderId="0" xfId="0" applyNumberFormat="1" applyFont="1" applyFill="1" applyProtection="1"/>
    <xf numFmtId="170" fontId="11" fillId="0" borderId="0" xfId="0" applyNumberFormat="1" applyFont="1" applyFill="1" applyProtection="1"/>
    <xf numFmtId="165" fontId="11" fillId="0" borderId="0" xfId="1" applyNumberFormat="1" applyFont="1" applyFill="1" applyAlignment="1" applyProtection="1">
      <alignment horizontal="right"/>
    </xf>
    <xf numFmtId="184" fontId="11" fillId="0" borderId="0" xfId="1" applyNumberFormat="1" applyFont="1" applyFill="1" applyAlignment="1" applyProtection="1">
      <alignment horizontal="right"/>
    </xf>
    <xf numFmtId="0" fontId="32" fillId="0" borderId="0" xfId="0" applyFont="1" applyFill="1" applyAlignment="1" applyProtection="1">
      <alignment horizontal="center"/>
    </xf>
    <xf numFmtId="0" fontId="11" fillId="0" borderId="3" xfId="0" applyFont="1" applyFill="1" applyBorder="1" applyAlignment="1" applyProtection="1">
      <alignment horizontal="right"/>
    </xf>
    <xf numFmtId="0" fontId="32" fillId="0" borderId="3" xfId="0" applyFont="1" applyFill="1" applyBorder="1" applyAlignment="1" applyProtection="1">
      <alignment horizontal="center"/>
    </xf>
    <xf numFmtId="0" fontId="11" fillId="0" borderId="11" xfId="0" applyFont="1" applyFill="1" applyBorder="1" applyAlignment="1" applyProtection="1">
      <alignment horizontal="right"/>
    </xf>
    <xf numFmtId="0" fontId="11" fillId="0" borderId="13" xfId="0" applyFont="1" applyFill="1" applyBorder="1" applyAlignment="1" applyProtection="1">
      <alignment horizontal="right"/>
    </xf>
    <xf numFmtId="0" fontId="11" fillId="0" borderId="14" xfId="0" applyFont="1" applyFill="1" applyBorder="1" applyProtection="1"/>
    <xf numFmtId="0" fontId="13" fillId="0" borderId="0" xfId="0" applyFont="1" applyFill="1" applyBorder="1" applyAlignment="1" applyProtection="1">
      <alignment horizontal="center"/>
    </xf>
    <xf numFmtId="0" fontId="13" fillId="0" borderId="14" xfId="0" applyFont="1" applyFill="1" applyBorder="1" applyAlignment="1" applyProtection="1">
      <alignment horizontal="center"/>
    </xf>
    <xf numFmtId="0" fontId="13" fillId="0" borderId="0" xfId="0" applyFont="1" applyFill="1" applyAlignment="1" applyProtection="1">
      <alignment horizontal="center"/>
    </xf>
    <xf numFmtId="0" fontId="11" fillId="0" borderId="13" xfId="0" applyFont="1" applyFill="1" applyBorder="1" applyAlignment="1" applyProtection="1">
      <alignment horizontal="right" vertical="center"/>
    </xf>
    <xf numFmtId="0" fontId="11" fillId="0" borderId="0" xfId="0" applyFont="1" applyFill="1" applyBorder="1" applyAlignment="1" applyProtection="1">
      <alignment horizontal="center" vertical="center" wrapText="1"/>
    </xf>
    <xf numFmtId="0" fontId="11" fillId="0" borderId="0" xfId="0" applyFont="1" applyFill="1" applyBorder="1" applyAlignment="1" applyProtection="1">
      <alignment vertical="center" wrapText="1"/>
    </xf>
    <xf numFmtId="0" fontId="11" fillId="0" borderId="14" xfId="0" applyFont="1" applyFill="1" applyBorder="1" applyAlignment="1" applyProtection="1">
      <alignment horizontal="center" vertical="center" wrapText="1"/>
    </xf>
    <xf numFmtId="0" fontId="11" fillId="0" borderId="0" xfId="0" applyFont="1" applyFill="1" applyAlignment="1" applyProtection="1">
      <alignment horizontal="center" vertical="center"/>
    </xf>
    <xf numFmtId="0" fontId="11" fillId="0" borderId="0" xfId="0" applyFont="1" applyFill="1" applyAlignment="1" applyProtection="1">
      <alignment vertical="center"/>
    </xf>
    <xf numFmtId="1" fontId="11" fillId="0" borderId="0" xfId="0" applyNumberFormat="1" applyFont="1" applyFill="1" applyBorder="1" applyAlignment="1" applyProtection="1">
      <alignment horizontal="center"/>
    </xf>
    <xf numFmtId="1" fontId="11" fillId="0" borderId="14" xfId="0" applyNumberFormat="1" applyFont="1" applyFill="1" applyBorder="1" applyAlignment="1" applyProtection="1">
      <alignment horizontal="center"/>
    </xf>
    <xf numFmtId="1" fontId="11" fillId="0" borderId="0" xfId="0" applyNumberFormat="1" applyFont="1" applyFill="1" applyAlignment="1" applyProtection="1">
      <alignment horizontal="left"/>
    </xf>
    <xf numFmtId="1" fontId="11" fillId="0" borderId="0" xfId="0" applyNumberFormat="1" applyFont="1" applyFill="1" applyAlignment="1" applyProtection="1">
      <alignment horizontal="center"/>
    </xf>
    <xf numFmtId="1" fontId="11" fillId="0" borderId="4" xfId="0" applyNumberFormat="1" applyFont="1" applyFill="1" applyBorder="1" applyAlignment="1" applyProtection="1">
      <alignment horizontal="center"/>
    </xf>
    <xf numFmtId="177" fontId="11" fillId="0" borderId="0" xfId="0" applyNumberFormat="1" applyFont="1" applyFill="1" applyBorder="1" applyAlignment="1" applyProtection="1">
      <alignment horizontal="center"/>
    </xf>
    <xf numFmtId="0" fontId="11" fillId="0" borderId="3" xfId="0" applyFont="1" applyFill="1" applyBorder="1" applyAlignment="1" applyProtection="1">
      <alignment horizontal="center"/>
    </xf>
    <xf numFmtId="0" fontId="13" fillId="0" borderId="13" xfId="0" applyFont="1" applyFill="1" applyBorder="1" applyAlignment="1" applyProtection="1">
      <alignment horizontal="center"/>
    </xf>
    <xf numFmtId="0" fontId="11" fillId="0" borderId="16" xfId="0" applyFont="1" applyFill="1" applyBorder="1" applyAlignment="1" applyProtection="1">
      <alignment horizontal="right"/>
    </xf>
    <xf numFmtId="1" fontId="11" fillId="0" borderId="3" xfId="0" applyNumberFormat="1" applyFont="1" applyFill="1" applyBorder="1" applyAlignment="1" applyProtection="1">
      <alignment horizontal="center"/>
    </xf>
    <xf numFmtId="1" fontId="11" fillId="0" borderId="15" xfId="0" applyNumberFormat="1" applyFont="1" applyFill="1" applyBorder="1" applyAlignment="1" applyProtection="1">
      <alignment horizontal="center"/>
    </xf>
    <xf numFmtId="0" fontId="11" fillId="0" borderId="0" xfId="0" applyFont="1" applyFill="1" applyBorder="1" applyAlignment="1" applyProtection="1"/>
    <xf numFmtId="0" fontId="10" fillId="0" borderId="13" xfId="0" applyFont="1" applyFill="1" applyBorder="1" applyAlignment="1" applyProtection="1">
      <alignment horizontal="right"/>
    </xf>
    <xf numFmtId="0" fontId="14" fillId="0" borderId="0" xfId="0" applyFont="1" applyFill="1" applyBorder="1" applyAlignment="1" applyProtection="1">
      <alignment horizontal="center"/>
    </xf>
    <xf numFmtId="0" fontId="10" fillId="0" borderId="13" xfId="0" applyFont="1" applyFill="1" applyBorder="1" applyAlignment="1" applyProtection="1">
      <alignment horizontal="right" vertical="center"/>
    </xf>
    <xf numFmtId="14" fontId="11" fillId="0" borderId="0" xfId="0" applyNumberFormat="1" applyFont="1" applyFill="1" applyBorder="1" applyAlignment="1" applyProtection="1">
      <alignment wrapText="1"/>
    </xf>
    <xf numFmtId="14" fontId="11" fillId="0" borderId="0" xfId="0" applyNumberFormat="1" applyFont="1" applyFill="1" applyAlignment="1" applyProtection="1">
      <alignment horizontal="center"/>
    </xf>
    <xf numFmtId="0" fontId="11" fillId="0" borderId="3" xfId="0" applyFont="1" applyFill="1" applyBorder="1" applyAlignment="1" applyProtection="1">
      <alignment horizontal="centerContinuous"/>
    </xf>
    <xf numFmtId="41" fontId="11" fillId="0" borderId="3" xfId="0" applyNumberFormat="1" applyFont="1" applyFill="1" applyBorder="1" applyAlignment="1" applyProtection="1">
      <alignment horizontal="centerContinuous"/>
    </xf>
    <xf numFmtId="41" fontId="11" fillId="0" borderId="3" xfId="0" applyNumberFormat="1" applyFont="1" applyFill="1" applyBorder="1" applyAlignment="1" applyProtection="1">
      <alignment horizontal="center"/>
    </xf>
    <xf numFmtId="0" fontId="13" fillId="0" borderId="0" xfId="0" applyFont="1" applyFill="1" applyAlignment="1" applyProtection="1">
      <alignment horizontal="right"/>
    </xf>
    <xf numFmtId="41" fontId="13" fillId="0" borderId="0" xfId="0" applyNumberFormat="1" applyFont="1" applyFill="1" applyAlignment="1" applyProtection="1">
      <alignment horizontal="right"/>
    </xf>
    <xf numFmtId="168" fontId="11" fillId="0" borderId="0" xfId="0" applyNumberFormat="1" applyFont="1" applyFill="1" applyProtection="1"/>
    <xf numFmtId="169" fontId="11" fillId="0" borderId="0" xfId="0" applyNumberFormat="1" applyFont="1" applyFill="1" applyProtection="1"/>
    <xf numFmtId="0" fontId="25" fillId="0" borderId="0" xfId="0" applyFont="1" applyFill="1" applyProtection="1"/>
    <xf numFmtId="168" fontId="10" fillId="0" borderId="0" xfId="0" applyNumberFormat="1" applyFont="1" applyFill="1" applyAlignment="1" applyProtection="1">
      <alignment horizontal="left"/>
    </xf>
    <xf numFmtId="168" fontId="11" fillId="0" borderId="0" xfId="0" applyNumberFormat="1" applyFont="1" applyFill="1" applyAlignment="1" applyProtection="1">
      <alignment horizontal="left"/>
    </xf>
    <xf numFmtId="0" fontId="14" fillId="0" borderId="0" xfId="0" applyFont="1" applyFill="1" applyBorder="1" applyProtection="1"/>
    <xf numFmtId="168" fontId="11" fillId="0" borderId="0" xfId="0" applyNumberFormat="1" applyFont="1" applyFill="1" applyBorder="1" applyAlignment="1" applyProtection="1">
      <alignment horizontal="right"/>
    </xf>
    <xf numFmtId="169" fontId="10" fillId="0" borderId="0" xfId="0" applyNumberFormat="1" applyFont="1" applyFill="1" applyBorder="1" applyProtection="1"/>
    <xf numFmtId="0" fontId="10" fillId="0" borderId="0" xfId="0" applyFont="1" applyFill="1" applyBorder="1" applyAlignment="1" applyProtection="1">
      <alignment horizontal="left"/>
    </xf>
    <xf numFmtId="1" fontId="11" fillId="0" borderId="0" xfId="17" applyNumberFormat="1" applyFont="1" applyFill="1" applyBorder="1" applyProtection="1"/>
    <xf numFmtId="3" fontId="11" fillId="0" borderId="0" xfId="0" applyNumberFormat="1" applyFont="1" applyFill="1" applyBorder="1" applyProtection="1"/>
    <xf numFmtId="171" fontId="11" fillId="0" borderId="0" xfId="0" applyNumberFormat="1" applyFont="1" applyFill="1" applyBorder="1" applyProtection="1"/>
    <xf numFmtId="169" fontId="11" fillId="0" borderId="0" xfId="0" applyNumberFormat="1" applyFont="1" applyFill="1" applyBorder="1" applyProtection="1"/>
    <xf numFmtId="10" fontId="11" fillId="0" borderId="0" xfId="17" applyNumberFormat="1" applyFont="1" applyFill="1" applyProtection="1"/>
    <xf numFmtId="0" fontId="11" fillId="0" borderId="0" xfId="14" applyFont="1" applyFill="1" applyBorder="1" applyProtection="1"/>
    <xf numFmtId="0" fontId="11" fillId="0" borderId="0" xfId="14" applyFont="1" applyFill="1" applyBorder="1" applyAlignment="1" applyProtection="1">
      <alignment horizontal="center"/>
    </xf>
    <xf numFmtId="0" fontId="10" fillId="0" borderId="0" xfId="14" applyFont="1" applyFill="1" applyBorder="1" applyProtection="1"/>
    <xf numFmtId="1" fontId="11" fillId="0" borderId="0" xfId="14" applyNumberFormat="1" applyFont="1" applyFill="1" applyBorder="1" applyAlignment="1" applyProtection="1">
      <alignment horizontal="center"/>
    </xf>
    <xf numFmtId="1" fontId="10" fillId="0" borderId="0" xfId="14" applyNumberFormat="1" applyFont="1" applyFill="1" applyBorder="1" applyAlignment="1" applyProtection="1">
      <alignment horizontal="center"/>
    </xf>
    <xf numFmtId="0" fontId="10" fillId="0" borderId="3" xfId="14" applyFont="1" applyFill="1" applyBorder="1" applyAlignment="1" applyProtection="1">
      <alignment horizontal="center"/>
    </xf>
    <xf numFmtId="0" fontId="10" fillId="0" borderId="0" xfId="24" applyFont="1" applyFill="1" applyBorder="1" applyAlignment="1" applyProtection="1">
      <alignment horizontal="center" wrapText="1"/>
    </xf>
    <xf numFmtId="1" fontId="10" fillId="0" borderId="0" xfId="24" applyNumberFormat="1" applyFont="1" applyFill="1" applyBorder="1" applyAlignment="1" applyProtection="1">
      <alignment horizontal="center" wrapText="1"/>
    </xf>
    <xf numFmtId="3" fontId="10" fillId="0" borderId="0" xfId="24" applyNumberFormat="1" applyFont="1" applyFill="1" applyBorder="1" applyAlignment="1" applyProtection="1">
      <alignment horizontal="center" wrapText="1"/>
    </xf>
    <xf numFmtId="0" fontId="10" fillId="0" borderId="3" xfId="14" applyFont="1" applyFill="1" applyBorder="1" applyAlignment="1" applyProtection="1">
      <alignment horizontal="center" wrapText="1"/>
    </xf>
    <xf numFmtId="1" fontId="11" fillId="0" borderId="0" xfId="18" applyNumberFormat="1" applyFont="1" applyFill="1" applyAlignment="1" applyProtection="1">
      <alignment horizontal="center"/>
    </xf>
    <xf numFmtId="0" fontId="11" fillId="0" borderId="0" xfId="18" applyNumberFormat="1" applyFont="1" applyFill="1" applyAlignment="1" applyProtection="1">
      <alignment horizontal="center"/>
    </xf>
    <xf numFmtId="0" fontId="10" fillId="0" borderId="0" xfId="18" applyFont="1" applyFill="1" applyAlignment="1" applyProtection="1">
      <alignment horizontal="right"/>
    </xf>
    <xf numFmtId="0" fontId="11" fillId="0" borderId="0" xfId="18" applyFont="1" applyFill="1" applyAlignment="1" applyProtection="1">
      <alignment horizontal="center"/>
    </xf>
    <xf numFmtId="3" fontId="11" fillId="0" borderId="0" xfId="22" applyNumberFormat="1" applyFont="1" applyFill="1" applyProtection="1"/>
    <xf numFmtId="3" fontId="11" fillId="0" borderId="0" xfId="14" applyNumberFormat="1" applyFont="1" applyFill="1" applyBorder="1" applyProtection="1"/>
    <xf numFmtId="0" fontId="10" fillId="0" borderId="0" xfId="18" applyFont="1" applyFill="1" applyAlignment="1" applyProtection="1">
      <alignment horizontal="center"/>
    </xf>
    <xf numFmtId="3" fontId="10" fillId="0" borderId="0" xfId="22" applyNumberFormat="1" applyFont="1" applyFill="1" applyAlignment="1" applyProtection="1">
      <alignment horizontal="center" wrapText="1"/>
    </xf>
    <xf numFmtId="3" fontId="11" fillId="0" borderId="0" xfId="18" applyNumberFormat="1" applyFont="1" applyFill="1" applyAlignment="1" applyProtection="1">
      <alignment horizontal="right"/>
    </xf>
    <xf numFmtId="3" fontId="11" fillId="0" borderId="0" xfId="18" applyNumberFormat="1" applyFont="1" applyFill="1" applyAlignment="1" applyProtection="1">
      <alignment horizontal="center"/>
    </xf>
    <xf numFmtId="3" fontId="11" fillId="0" borderId="0" xfId="18" applyNumberFormat="1" applyFont="1" applyFill="1" applyBorder="1" applyAlignment="1" applyProtection="1">
      <alignment horizontal="center"/>
    </xf>
    <xf numFmtId="0" fontId="10" fillId="0" borderId="1" xfId="18" applyFont="1" applyFill="1" applyBorder="1" applyAlignment="1" applyProtection="1">
      <alignment horizontal="center"/>
    </xf>
    <xf numFmtId="1" fontId="10" fillId="0" borderId="1" xfId="18" applyNumberFormat="1" applyFont="1" applyFill="1" applyBorder="1" applyAlignment="1" applyProtection="1">
      <alignment horizontal="center"/>
    </xf>
    <xf numFmtId="0" fontId="10" fillId="0" borderId="0" xfId="9" applyFont="1" applyFill="1" applyAlignment="1" applyProtection="1">
      <alignment horizontal="right"/>
    </xf>
    <xf numFmtId="3" fontId="11" fillId="0" borderId="4" xfId="22" applyNumberFormat="1" applyFont="1" applyFill="1" applyBorder="1" applyProtection="1"/>
    <xf numFmtId="3" fontId="11" fillId="0" borderId="0" xfId="22" applyNumberFormat="1" applyFont="1" applyFill="1" applyBorder="1" applyProtection="1"/>
    <xf numFmtId="3" fontId="11" fillId="0" borderId="4" xfId="14" applyNumberFormat="1" applyFont="1" applyFill="1" applyBorder="1" applyProtection="1"/>
    <xf numFmtId="0" fontId="11" fillId="0" borderId="0" xfId="14" applyFont="1" applyFill="1" applyBorder="1" applyAlignment="1" applyProtection="1">
      <alignment horizontal="right"/>
    </xf>
    <xf numFmtId="164" fontId="11" fillId="0" borderId="4" xfId="3" applyNumberFormat="1" applyFont="1" applyFill="1" applyBorder="1" applyAlignment="1" applyProtection="1">
      <alignment horizontal="center"/>
    </xf>
    <xf numFmtId="0" fontId="11" fillId="0" borderId="0" xfId="18" applyFont="1" applyFill="1" applyAlignment="1" applyProtection="1">
      <alignment horizontal="left"/>
    </xf>
    <xf numFmtId="0" fontId="11" fillId="0" borderId="0" xfId="9" applyFont="1" applyFill="1" applyBorder="1" applyAlignment="1" applyProtection="1">
      <alignment horizontal="center"/>
    </xf>
    <xf numFmtId="0" fontId="11" fillId="0" borderId="0" xfId="9" applyFont="1" applyFill="1" applyAlignment="1" applyProtection="1">
      <alignment horizontal="left"/>
    </xf>
    <xf numFmtId="0" fontId="11" fillId="0" borderId="0" xfId="18" applyNumberFormat="1" applyFont="1" applyFill="1" applyAlignment="1" applyProtection="1"/>
    <xf numFmtId="0" fontId="11" fillId="0" borderId="0" xfId="9" applyFont="1" applyFill="1" applyProtection="1"/>
    <xf numFmtId="0" fontId="11" fillId="0" borderId="0" xfId="9" applyFont="1" applyFill="1" applyAlignment="1" applyProtection="1">
      <alignment horizontal="center"/>
    </xf>
    <xf numFmtId="1" fontId="11" fillId="0" borderId="0" xfId="9" applyNumberFormat="1" applyFont="1" applyFill="1" applyAlignment="1" applyProtection="1">
      <alignment horizontal="center"/>
    </xf>
    <xf numFmtId="3" fontId="11" fillId="0" borderId="0" xfId="9" applyNumberFormat="1" applyFont="1" applyFill="1" applyAlignment="1" applyProtection="1"/>
    <xf numFmtId="166" fontId="11" fillId="0" borderId="0" xfId="6" applyNumberFormat="1" applyFont="1" applyFill="1" applyAlignment="1" applyProtection="1"/>
    <xf numFmtId="0" fontId="11" fillId="0" borderId="0" xfId="0" quotePrefix="1" applyFont="1" applyFill="1" applyProtection="1"/>
    <xf numFmtId="164" fontId="11" fillId="0" borderId="0" xfId="1" applyNumberFormat="1" applyFont="1" applyFill="1" applyAlignment="1" applyProtection="1"/>
    <xf numFmtId="0" fontId="11" fillId="0" borderId="0" xfId="0" applyFont="1" applyFill="1" applyAlignment="1" applyProtection="1"/>
    <xf numFmtId="0" fontId="13" fillId="0" borderId="0" xfId="0" applyFont="1" applyFill="1" applyProtection="1"/>
    <xf numFmtId="170" fontId="15" fillId="0" borderId="0" xfId="1" applyNumberFormat="1" applyFont="1" applyFill="1" applyBorder="1" applyAlignment="1" applyProtection="1"/>
    <xf numFmtId="193" fontId="15" fillId="0" borderId="0" xfId="1" applyNumberFormat="1" applyFont="1" applyFill="1" applyBorder="1" applyAlignment="1" applyProtection="1"/>
    <xf numFmtId="165" fontId="11" fillId="0" borderId="0" xfId="0" applyNumberFormat="1" applyFont="1" applyFill="1" applyAlignment="1" applyProtection="1">
      <alignment horizontal="right"/>
    </xf>
    <xf numFmtId="165" fontId="15" fillId="0" borderId="0" xfId="1" applyNumberFormat="1" applyFont="1" applyFill="1" applyBorder="1" applyAlignment="1" applyProtection="1"/>
    <xf numFmtId="165" fontId="11" fillId="0" borderId="0" xfId="1" applyNumberFormat="1" applyFont="1" applyFill="1" applyBorder="1" applyAlignment="1" applyProtection="1"/>
    <xf numFmtId="164" fontId="11" fillId="0" borderId="0" xfId="0" applyNumberFormat="1" applyFont="1" applyFill="1" applyAlignment="1" applyProtection="1">
      <alignment horizontal="right"/>
    </xf>
    <xf numFmtId="41" fontId="11" fillId="0" borderId="0" xfId="0" applyNumberFormat="1" applyFont="1" applyFill="1" applyAlignment="1" applyProtection="1"/>
    <xf numFmtId="0" fontId="11" fillId="0" borderId="0" xfId="0" quotePrefix="1" applyFont="1" applyFill="1" applyAlignment="1" applyProtection="1"/>
    <xf numFmtId="43" fontId="11" fillId="0" borderId="0" xfId="0" applyNumberFormat="1" applyFont="1" applyFill="1" applyAlignment="1" applyProtection="1"/>
    <xf numFmtId="185" fontId="11" fillId="0" borderId="0" xfId="0" applyNumberFormat="1" applyFont="1" applyFill="1" applyAlignment="1" applyProtection="1"/>
    <xf numFmtId="0" fontId="14" fillId="0" borderId="17" xfId="0" applyFont="1" applyFill="1" applyBorder="1" applyAlignment="1" applyProtection="1">
      <alignment horizontal="left"/>
    </xf>
    <xf numFmtId="0" fontId="14" fillId="0" borderId="7" xfId="0" applyFont="1" applyFill="1" applyBorder="1" applyAlignment="1" applyProtection="1">
      <alignment horizontal="left"/>
    </xf>
    <xf numFmtId="0" fontId="10" fillId="0" borderId="7" xfId="0" applyFont="1" applyFill="1" applyBorder="1" applyAlignment="1" applyProtection="1">
      <alignment horizontal="center"/>
    </xf>
    <xf numFmtId="0" fontId="10" fillId="0" borderId="6" xfId="0" applyFont="1" applyFill="1" applyBorder="1" applyAlignment="1" applyProtection="1">
      <alignment horizontal="center"/>
    </xf>
    <xf numFmtId="0" fontId="11" fillId="0" borderId="0" xfId="0" applyFont="1" applyFill="1" applyAlignment="1" applyProtection="1">
      <alignment horizontal="center" vertical="justify"/>
    </xf>
    <xf numFmtId="0" fontId="11" fillId="0" borderId="18" xfId="0" applyFont="1" applyFill="1" applyBorder="1" applyAlignment="1" applyProtection="1">
      <alignment horizontal="center" vertical="justify"/>
    </xf>
    <xf numFmtId="0" fontId="11" fillId="0" borderId="4" xfId="0" applyFont="1" applyFill="1" applyBorder="1" applyAlignment="1" applyProtection="1">
      <alignment vertical="justify"/>
    </xf>
    <xf numFmtId="5" fontId="11" fillId="0" borderId="6" xfId="0" applyNumberFormat="1" applyFont="1" applyFill="1" applyBorder="1" applyAlignment="1" applyProtection="1">
      <alignment vertical="justify"/>
    </xf>
    <xf numFmtId="5" fontId="11" fillId="0" borderId="4" xfId="0" applyNumberFormat="1" applyFont="1" applyFill="1" applyBorder="1" applyProtection="1"/>
    <xf numFmtId="5" fontId="11" fillId="0" borderId="4" xfId="0" applyNumberFormat="1" applyFont="1" applyFill="1" applyBorder="1" applyAlignment="1" applyProtection="1">
      <alignment wrapText="1"/>
    </xf>
    <xf numFmtId="0" fontId="11" fillId="0" borderId="19" xfId="0" applyFont="1" applyFill="1" applyBorder="1" applyAlignment="1" applyProtection="1">
      <alignment horizontal="center" vertical="justify"/>
    </xf>
    <xf numFmtId="164" fontId="11" fillId="0" borderId="4" xfId="0" applyNumberFormat="1" applyFont="1" applyFill="1" applyBorder="1" applyAlignment="1" applyProtection="1">
      <alignment vertical="justify"/>
    </xf>
    <xf numFmtId="0" fontId="11" fillId="0" borderId="20" xfId="0" applyFont="1" applyFill="1" applyBorder="1" applyAlignment="1" applyProtection="1">
      <alignment horizontal="center" vertical="justify"/>
    </xf>
    <xf numFmtId="5" fontId="11" fillId="0" borderId="4" xfId="0" applyNumberFormat="1" applyFont="1" applyFill="1" applyBorder="1" applyAlignment="1" applyProtection="1">
      <alignment vertical="justify"/>
    </xf>
    <xf numFmtId="0" fontId="11" fillId="0" borderId="0" xfId="0" applyFont="1" applyFill="1" applyBorder="1" applyAlignment="1" applyProtection="1">
      <alignment horizontal="center" vertical="justify"/>
    </xf>
    <xf numFmtId="0" fontId="11" fillId="0" borderId="0" xfId="0" applyFont="1" applyFill="1" applyBorder="1" applyAlignment="1" applyProtection="1">
      <alignment vertical="justify"/>
    </xf>
    <xf numFmtId="5" fontId="11" fillId="0" borderId="7" xfId="0" applyNumberFormat="1" applyFont="1" applyFill="1" applyBorder="1" applyAlignment="1" applyProtection="1">
      <alignment vertical="justify"/>
    </xf>
    <xf numFmtId="5" fontId="11" fillId="0" borderId="7" xfId="0" applyNumberFormat="1" applyFont="1" applyFill="1" applyBorder="1" applyProtection="1"/>
    <xf numFmtId="5" fontId="11" fillId="0" borderId="7" xfId="0" applyNumberFormat="1" applyFont="1" applyFill="1" applyBorder="1" applyAlignment="1" applyProtection="1">
      <alignment wrapText="1"/>
    </xf>
    <xf numFmtId="1" fontId="14" fillId="0" borderId="17" xfId="0" applyNumberFormat="1" applyFont="1" applyFill="1" applyBorder="1" applyAlignment="1" applyProtection="1">
      <alignment horizontal="left" vertical="center"/>
    </xf>
    <xf numFmtId="1" fontId="14" fillId="0" borderId="7" xfId="0" applyNumberFormat="1" applyFont="1" applyFill="1" applyBorder="1" applyAlignment="1" applyProtection="1">
      <alignment horizontal="left" vertical="center" wrapText="1"/>
    </xf>
    <xf numFmtId="5" fontId="11" fillId="0" borderId="6" xfId="0" applyNumberFormat="1" applyFont="1" applyFill="1" applyBorder="1" applyAlignment="1" applyProtection="1">
      <alignment wrapText="1"/>
    </xf>
    <xf numFmtId="5" fontId="11" fillId="0" borderId="4" xfId="0" applyNumberFormat="1" applyFont="1" applyFill="1" applyBorder="1" applyAlignment="1" applyProtection="1">
      <alignment vertical="justify" wrapText="1"/>
    </xf>
    <xf numFmtId="0" fontId="11" fillId="0" borderId="17" xfId="0" applyFont="1" applyFill="1" applyBorder="1" applyAlignment="1" applyProtection="1">
      <alignment vertical="justify"/>
    </xf>
    <xf numFmtId="5" fontId="11" fillId="0" borderId="5" xfId="0" applyNumberFormat="1" applyFont="1" applyFill="1" applyBorder="1" applyAlignment="1" applyProtection="1">
      <alignment vertical="justify"/>
    </xf>
    <xf numFmtId="5" fontId="11" fillId="0" borderId="7" xfId="0" applyNumberFormat="1" applyFont="1" applyFill="1" applyBorder="1" applyAlignment="1" applyProtection="1">
      <alignment vertical="justify" wrapText="1"/>
    </xf>
    <xf numFmtId="1" fontId="14" fillId="0" borderId="17" xfId="0" applyNumberFormat="1" applyFont="1" applyFill="1" applyBorder="1" applyAlignment="1" applyProtection="1">
      <alignment horizontal="left"/>
    </xf>
    <xf numFmtId="1" fontId="14" fillId="0" borderId="7" xfId="0" applyNumberFormat="1" applyFont="1" applyFill="1" applyBorder="1" applyAlignment="1" applyProtection="1">
      <alignment horizontal="left"/>
    </xf>
    <xf numFmtId="5" fontId="11" fillId="0" borderId="6" xfId="0" applyNumberFormat="1" applyFont="1" applyFill="1" applyBorder="1" applyAlignment="1" applyProtection="1">
      <alignment vertical="justify" wrapText="1"/>
    </xf>
    <xf numFmtId="0" fontId="11" fillId="0" borderId="20" xfId="0" applyFont="1" applyFill="1" applyBorder="1" applyAlignment="1" applyProtection="1">
      <alignment vertical="justify"/>
    </xf>
    <xf numFmtId="0" fontId="11" fillId="0" borderId="4" xfId="0" applyFont="1" applyFill="1" applyBorder="1" applyAlignment="1" applyProtection="1">
      <alignment vertical="top" wrapText="1"/>
    </xf>
    <xf numFmtId="0" fontId="11" fillId="0" borderId="7" xfId="0" applyFont="1" applyFill="1" applyBorder="1" applyProtection="1"/>
    <xf numFmtId="0" fontId="10" fillId="0" borderId="17" xfId="0" applyFont="1" applyFill="1" applyBorder="1" applyAlignment="1" applyProtection="1"/>
    <xf numFmtId="0" fontId="11" fillId="0" borderId="6" xfId="0" applyFont="1" applyFill="1" applyBorder="1" applyProtection="1"/>
    <xf numFmtId="0" fontId="10" fillId="0" borderId="0" xfId="0" applyFont="1" applyFill="1" applyBorder="1" applyAlignment="1" applyProtection="1"/>
    <xf numFmtId="0" fontId="10" fillId="0" borderId="17" xfId="0" applyFont="1" applyFill="1" applyBorder="1" applyAlignment="1" applyProtection="1">
      <alignment horizontal="left"/>
    </xf>
    <xf numFmtId="0" fontId="11" fillId="0" borderId="6" xfId="0" applyFont="1" applyFill="1" applyBorder="1" applyAlignment="1" applyProtection="1"/>
    <xf numFmtId="5" fontId="11" fillId="0" borderId="0" xfId="0" applyNumberFormat="1" applyFont="1" applyFill="1" applyProtection="1"/>
    <xf numFmtId="5" fontId="11" fillId="0" borderId="0" xfId="0" applyNumberFormat="1" applyFont="1" applyFill="1" applyBorder="1" applyAlignment="1" applyProtection="1">
      <alignment horizontal="center"/>
    </xf>
    <xf numFmtId="5" fontId="11" fillId="0" borderId="0" xfId="0" applyNumberFormat="1" applyFont="1" applyFill="1" applyBorder="1" applyProtection="1"/>
    <xf numFmtId="5" fontId="11" fillId="0" borderId="0" xfId="0" applyNumberFormat="1" applyFont="1" applyFill="1" applyBorder="1" applyAlignment="1" applyProtection="1">
      <alignment horizontal="left"/>
    </xf>
    <xf numFmtId="0" fontId="11" fillId="0" borderId="0" xfId="0" applyNumberFormat="1" applyFont="1" applyFill="1" applyBorder="1" applyAlignment="1" applyProtection="1">
      <alignment horizontal="left"/>
    </xf>
    <xf numFmtId="0" fontId="13" fillId="0" borderId="0" xfId="0" applyFont="1" applyFill="1" applyBorder="1" applyAlignment="1" applyProtection="1">
      <alignment horizontal="left"/>
    </xf>
    <xf numFmtId="0" fontId="11" fillId="0" borderId="0" xfId="0" quotePrefix="1" applyFont="1" applyFill="1" applyBorder="1" applyAlignment="1" applyProtection="1">
      <alignment horizontal="left"/>
    </xf>
    <xf numFmtId="0" fontId="11" fillId="0" borderId="0" xfId="0" applyFont="1" applyFill="1" applyBorder="1" applyAlignment="1" applyProtection="1">
      <alignment vertical="top" wrapText="1"/>
    </xf>
    <xf numFmtId="5" fontId="11" fillId="0" borderId="0" xfId="0" quotePrefix="1" applyNumberFormat="1" applyFont="1" applyFill="1" applyBorder="1" applyAlignment="1" applyProtection="1">
      <alignment horizontal="left"/>
    </xf>
    <xf numFmtId="1" fontId="11" fillId="0" borderId="0" xfId="0" applyNumberFormat="1" applyFont="1" applyFill="1" applyBorder="1" applyAlignment="1" applyProtection="1">
      <alignment horizontal="center" vertical="center" wrapText="1"/>
    </xf>
    <xf numFmtId="0" fontId="11" fillId="0" borderId="0" xfId="0" applyFont="1" applyFill="1" applyBorder="1" applyAlignment="1" applyProtection="1">
      <alignment vertical="top"/>
    </xf>
    <xf numFmtId="0" fontId="11" fillId="0" borderId="11" xfId="0" applyFont="1" applyFill="1" applyBorder="1" applyProtection="1"/>
    <xf numFmtId="0" fontId="11" fillId="0" borderId="5" xfId="0" applyFont="1" applyFill="1" applyBorder="1" applyProtection="1"/>
    <xf numFmtId="0" fontId="11" fillId="0" borderId="12" xfId="0" applyFont="1" applyFill="1" applyBorder="1" applyProtection="1"/>
    <xf numFmtId="0" fontId="11" fillId="0" borderId="13" xfId="0" applyFont="1" applyFill="1" applyBorder="1" applyProtection="1"/>
    <xf numFmtId="49" fontId="11" fillId="0" borderId="0" xfId="0" applyNumberFormat="1" applyFont="1" applyFill="1" applyBorder="1" applyAlignment="1" applyProtection="1">
      <alignment horizontal="center"/>
    </xf>
    <xf numFmtId="0" fontId="11" fillId="0" borderId="15" xfId="0" applyFont="1" applyFill="1" applyBorder="1" applyProtection="1"/>
    <xf numFmtId="0" fontId="11" fillId="0" borderId="13" xfId="0" applyFont="1" applyFill="1" applyBorder="1" applyAlignment="1" applyProtection="1"/>
    <xf numFmtId="186" fontId="10" fillId="0" borderId="3" xfId="0" applyNumberFormat="1" applyFont="1" applyFill="1" applyBorder="1" applyAlignment="1" applyProtection="1">
      <alignment horizontal="center" wrapText="1"/>
    </xf>
    <xf numFmtId="186" fontId="13" fillId="0" borderId="0" xfId="0" applyNumberFormat="1" applyFont="1" applyFill="1" applyProtection="1"/>
    <xf numFmtId="6" fontId="11" fillId="0" borderId="0" xfId="0" applyNumberFormat="1" applyFont="1" applyFill="1" applyProtection="1"/>
    <xf numFmtId="0" fontId="10" fillId="0" borderId="0" xfId="0" applyFont="1" applyFill="1" applyBorder="1" applyAlignment="1" applyProtection="1">
      <alignment horizontal="right"/>
    </xf>
    <xf numFmtId="176" fontId="10" fillId="0" borderId="0" xfId="5" applyNumberFormat="1" applyFont="1" applyFill="1" applyProtection="1"/>
    <xf numFmtId="176" fontId="10" fillId="0" borderId="0" xfId="0" applyNumberFormat="1" applyFont="1" applyFill="1" applyProtection="1"/>
    <xf numFmtId="186" fontId="10" fillId="0" borderId="0" xfId="0" applyNumberFormat="1" applyFont="1" applyFill="1" applyProtection="1"/>
    <xf numFmtId="176" fontId="10" fillId="0" borderId="4" xfId="0" applyNumberFormat="1" applyFont="1" applyFill="1" applyBorder="1" applyProtection="1"/>
    <xf numFmtId="10" fontId="10" fillId="0" borderId="4" xfId="17" applyNumberFormat="1" applyFont="1" applyFill="1" applyBorder="1" applyProtection="1"/>
    <xf numFmtId="186" fontId="10" fillId="0" borderId="0" xfId="0" quotePrefix="1" applyNumberFormat="1" applyFont="1" applyFill="1" applyProtection="1"/>
    <xf numFmtId="186" fontId="10" fillId="0" borderId="0" xfId="0" applyNumberFormat="1" applyFont="1" applyFill="1" applyAlignment="1" applyProtection="1">
      <alignment horizontal="right"/>
    </xf>
    <xf numFmtId="176" fontId="10" fillId="0" borderId="0" xfId="0" applyNumberFormat="1" applyFont="1" applyFill="1" applyBorder="1" applyProtection="1"/>
    <xf numFmtId="186" fontId="11" fillId="0" borderId="0" xfId="30" applyNumberFormat="1" applyFont="1" applyFill="1" applyProtection="1"/>
    <xf numFmtId="186" fontId="30" fillId="0" borderId="0" xfId="30" applyNumberFormat="1" applyFont="1" applyFill="1" applyAlignment="1" applyProtection="1">
      <alignment horizontal="right"/>
    </xf>
    <xf numFmtId="176" fontId="11" fillId="0" borderId="0" xfId="30" applyNumberFormat="1" applyFont="1" applyFill="1" applyProtection="1"/>
    <xf numFmtId="186" fontId="11" fillId="0" borderId="0" xfId="0" applyNumberFormat="1" applyFont="1" applyFill="1" applyProtection="1"/>
    <xf numFmtId="0" fontId="11" fillId="0" borderId="0" xfId="30" applyFont="1" applyFill="1" applyProtection="1"/>
    <xf numFmtId="186" fontId="11" fillId="0" borderId="0" xfId="30" applyNumberFormat="1" applyFont="1" applyFill="1" applyAlignment="1" applyProtection="1">
      <alignment horizontal="right"/>
    </xf>
    <xf numFmtId="176" fontId="11" fillId="0" borderId="0" xfId="30" applyNumberFormat="1" applyFont="1" applyFill="1" applyAlignment="1" applyProtection="1">
      <alignment horizontal="right"/>
    </xf>
    <xf numFmtId="176" fontId="10" fillId="0" borderId="21" xfId="30" applyNumberFormat="1" applyFont="1" applyFill="1" applyBorder="1" applyProtection="1"/>
    <xf numFmtId="0" fontId="11" fillId="0" borderId="0" xfId="15" applyNumberFormat="1" applyFont="1" applyFill="1"/>
    <xf numFmtId="10" fontId="11" fillId="0" borderId="0" xfId="17" applyNumberFormat="1" applyFont="1" applyFill="1"/>
    <xf numFmtId="0" fontId="11" fillId="0" borderId="0" xfId="14" applyFont="1" applyFill="1" applyBorder="1" applyAlignment="1" applyProtection="1">
      <alignment horizontal="center" vertical="center"/>
    </xf>
    <xf numFmtId="2" fontId="11" fillId="0" borderId="0" xfId="18" applyNumberFormat="1" applyFont="1" applyFill="1" applyBorder="1" applyAlignment="1" applyProtection="1">
      <alignment horizontal="center" vertical="center"/>
    </xf>
    <xf numFmtId="194" fontId="11" fillId="0" borderId="0" xfId="18" applyNumberFormat="1" applyFont="1" applyFill="1" applyBorder="1" applyAlignment="1" applyProtection="1">
      <alignment horizontal="center" vertical="center"/>
    </xf>
    <xf numFmtId="1" fontId="11" fillId="0" borderId="0" xfId="18" applyNumberFormat="1" applyFont="1" applyFill="1" applyBorder="1" applyAlignment="1" applyProtection="1">
      <alignment horizontal="center" vertical="center"/>
    </xf>
    <xf numFmtId="1" fontId="11" fillId="0" borderId="0" xfId="18" applyNumberFormat="1" applyFont="1" applyFill="1" applyAlignment="1" applyProtection="1">
      <alignment horizontal="center" vertical="center"/>
    </xf>
    <xf numFmtId="0" fontId="11" fillId="0" borderId="0" xfId="18" applyNumberFormat="1" applyFont="1" applyFill="1" applyAlignment="1" applyProtection="1">
      <alignment horizontal="center" vertical="center"/>
    </xf>
    <xf numFmtId="164" fontId="11" fillId="0" borderId="0" xfId="1" applyNumberFormat="1" applyFont="1" applyFill="1" applyBorder="1" applyAlignment="1" applyProtection="1">
      <alignment vertical="center"/>
    </xf>
    <xf numFmtId="164" fontId="11" fillId="0" borderId="0" xfId="1" applyNumberFormat="1" applyFont="1" applyFill="1" applyBorder="1" applyAlignment="1" applyProtection="1">
      <alignment horizontal="center" vertical="center"/>
    </xf>
    <xf numFmtId="164" fontId="11" fillId="0" borderId="3" xfId="1" applyNumberFormat="1" applyFont="1" applyFill="1" applyBorder="1" applyAlignment="1" applyProtection="1">
      <alignment vertical="center"/>
    </xf>
    <xf numFmtId="164" fontId="11" fillId="0" borderId="0" xfId="1" applyNumberFormat="1" applyFont="1" applyFill="1" applyAlignment="1" applyProtection="1">
      <alignment horizontal="center" vertical="center"/>
    </xf>
    <xf numFmtId="164" fontId="11" fillId="0" borderId="3" xfId="1" applyNumberFormat="1" applyFont="1" applyFill="1" applyBorder="1" applyAlignment="1" applyProtection="1">
      <alignment horizontal="center" vertical="center"/>
    </xf>
    <xf numFmtId="164" fontId="15" fillId="0" borderId="3" xfId="1" applyNumberFormat="1" applyFont="1" applyFill="1" applyBorder="1"/>
    <xf numFmtId="0" fontId="11" fillId="0" borderId="0" xfId="7" applyFont="1" applyFill="1" applyProtection="1"/>
    <xf numFmtId="0" fontId="10" fillId="0" borderId="0" xfId="14" applyNumberFormat="1" applyFont="1" applyFill="1" applyBorder="1" applyAlignment="1" applyProtection="1">
      <alignment horizontal="center"/>
    </xf>
    <xf numFmtId="40" fontId="11" fillId="0" borderId="0" xfId="2" applyFont="1" applyFill="1" applyProtection="1"/>
    <xf numFmtId="0" fontId="11" fillId="0" borderId="0" xfId="7" applyFont="1" applyFill="1" applyAlignment="1" applyProtection="1">
      <alignment horizontal="center"/>
    </xf>
    <xf numFmtId="0" fontId="11" fillId="0" borderId="0" xfId="7" applyNumberFormat="1" applyFont="1" applyFill="1" applyAlignment="1" applyProtection="1">
      <alignment horizontal="center"/>
    </xf>
    <xf numFmtId="0" fontId="10" fillId="0" borderId="0" xfId="7" applyFont="1" applyFill="1" applyBorder="1" applyAlignment="1" applyProtection="1">
      <alignment horizontal="center"/>
    </xf>
    <xf numFmtId="0" fontId="10" fillId="0" borderId="1" xfId="24" applyFont="1" applyFill="1" applyAlignment="1" applyProtection="1">
      <alignment horizontal="center" wrapText="1"/>
    </xf>
    <xf numFmtId="0" fontId="10" fillId="0" borderId="1" xfId="24" applyNumberFormat="1" applyFont="1" applyFill="1" applyAlignment="1" applyProtection="1">
      <alignment horizontal="center" wrapText="1"/>
    </xf>
    <xf numFmtId="40" fontId="10" fillId="0" borderId="1" xfId="2" applyFont="1" applyFill="1" applyBorder="1" applyAlignment="1" applyProtection="1">
      <alignment horizontal="center" wrapText="1"/>
    </xf>
    <xf numFmtId="40" fontId="11" fillId="0" borderId="0" xfId="0" applyNumberFormat="1" applyFont="1" applyFill="1" applyProtection="1"/>
    <xf numFmtId="40" fontId="11" fillId="0" borderId="0" xfId="7" applyNumberFormat="1" applyFont="1" applyFill="1" applyProtection="1"/>
    <xf numFmtId="10" fontId="11" fillId="0" borderId="0" xfId="22" applyNumberFormat="1" applyFont="1" applyFill="1" applyAlignment="1" applyProtection="1">
      <alignment horizontal="center"/>
    </xf>
    <xf numFmtId="43" fontId="11" fillId="0" borderId="0" xfId="1" applyNumberFormat="1" applyFont="1" applyFill="1" applyAlignment="1" applyProtection="1">
      <alignment horizontal="center"/>
    </xf>
    <xf numFmtId="40" fontId="11" fillId="0" borderId="0" xfId="2" applyFont="1" applyFill="1" applyAlignment="1" applyProtection="1">
      <alignment horizontal="center"/>
    </xf>
    <xf numFmtId="164" fontId="11" fillId="0" borderId="0" xfId="1" applyNumberFormat="1" applyFont="1" applyFill="1" applyAlignment="1" applyProtection="1">
      <alignment horizontal="center"/>
    </xf>
    <xf numFmtId="164" fontId="11" fillId="0" borderId="4" xfId="1" applyNumberFormat="1" applyFont="1" applyFill="1" applyBorder="1" applyProtection="1"/>
    <xf numFmtId="4" fontId="11" fillId="0" borderId="0" xfId="7" applyNumberFormat="1" applyFont="1" applyFill="1" applyAlignment="1" applyProtection="1">
      <alignment horizontal="center"/>
    </xf>
    <xf numFmtId="4" fontId="11" fillId="0" borderId="0" xfId="7" applyNumberFormat="1" applyFont="1" applyFill="1" applyProtection="1"/>
    <xf numFmtId="164" fontId="11" fillId="0" borderId="4" xfId="1" applyNumberFormat="1" applyFont="1" applyFill="1" applyBorder="1" applyAlignment="1" applyProtection="1">
      <alignment horizontal="center"/>
    </xf>
    <xf numFmtId="164" fontId="11" fillId="0" borderId="0" xfId="7" applyNumberFormat="1" applyFont="1" applyFill="1" applyProtection="1"/>
    <xf numFmtId="164" fontId="11" fillId="0" borderId="0" xfId="7" applyNumberFormat="1" applyFont="1" applyFill="1" applyAlignment="1" applyProtection="1">
      <alignment horizontal="center"/>
    </xf>
    <xf numFmtId="164" fontId="11" fillId="0" borderId="0" xfId="2" applyNumberFormat="1" applyFont="1" applyFill="1" applyProtection="1"/>
    <xf numFmtId="181" fontId="11" fillId="0" borderId="0" xfId="13" applyFont="1" applyFill="1" applyProtection="1"/>
    <xf numFmtId="181" fontId="22" fillId="0" borderId="0" xfId="13" applyFont="1" applyFill="1" applyProtection="1"/>
    <xf numFmtId="181" fontId="22" fillId="0" borderId="0" xfId="13" quotePrefix="1" applyFont="1" applyFill="1" applyAlignment="1" applyProtection="1">
      <alignment horizontal="center"/>
    </xf>
    <xf numFmtId="181" fontId="22" fillId="0" borderId="0" xfId="13" applyFont="1" applyFill="1" applyAlignment="1" applyProtection="1"/>
    <xf numFmtId="14" fontId="22" fillId="0" borderId="0" xfId="13" applyNumberFormat="1" applyFont="1" applyFill="1" applyAlignment="1" applyProtection="1"/>
    <xf numFmtId="181" fontId="22" fillId="0" borderId="0" xfId="13" applyFont="1" applyFill="1" applyAlignment="1" applyProtection="1">
      <alignment horizontal="center"/>
    </xf>
    <xf numFmtId="2" fontId="22" fillId="0" borderId="0" xfId="13" applyNumberFormat="1" applyFont="1" applyFill="1" applyAlignment="1" applyProtection="1">
      <alignment horizontal="center"/>
    </xf>
    <xf numFmtId="14" fontId="22" fillId="0" borderId="0" xfId="13" applyNumberFormat="1" applyFont="1" applyFill="1" applyAlignment="1" applyProtection="1">
      <alignment horizontal="center"/>
    </xf>
    <xf numFmtId="181" fontId="22" fillId="0" borderId="3" xfId="13" applyFont="1" applyFill="1" applyBorder="1" applyAlignment="1" applyProtection="1">
      <alignment horizontal="center"/>
    </xf>
    <xf numFmtId="14" fontId="22" fillId="0" borderId="3" xfId="13" applyNumberFormat="1" applyFont="1" applyFill="1" applyBorder="1" applyAlignment="1" applyProtection="1">
      <alignment horizontal="center"/>
    </xf>
    <xf numFmtId="181" fontId="35" fillId="0" borderId="0" xfId="13" applyFont="1" applyFill="1" applyAlignment="1" applyProtection="1">
      <alignment horizontal="left"/>
    </xf>
    <xf numFmtId="14" fontId="22" fillId="0" borderId="0" xfId="13" applyNumberFormat="1" applyFont="1" applyFill="1" applyProtection="1"/>
    <xf numFmtId="39" fontId="22" fillId="0" borderId="0" xfId="13" applyNumberFormat="1" applyFont="1" applyFill="1" applyProtection="1"/>
    <xf numFmtId="182" fontId="22" fillId="0" borderId="0" xfId="13" applyNumberFormat="1" applyFont="1" applyFill="1" applyProtection="1"/>
    <xf numFmtId="37" fontId="22" fillId="0" borderId="0" xfId="13" applyNumberFormat="1" applyFont="1" applyFill="1" applyProtection="1"/>
    <xf numFmtId="177" fontId="22" fillId="0" borderId="0" xfId="13" applyNumberFormat="1" applyFont="1" applyFill="1" applyProtection="1"/>
    <xf numFmtId="37" fontId="22" fillId="0" borderId="3" xfId="13" applyNumberFormat="1" applyFont="1" applyFill="1" applyBorder="1" applyProtection="1"/>
    <xf numFmtId="177" fontId="22" fillId="0" borderId="3" xfId="13" applyNumberFormat="1" applyFont="1" applyFill="1" applyBorder="1" applyProtection="1"/>
    <xf numFmtId="172" fontId="22" fillId="0" borderId="3" xfId="13" applyNumberFormat="1" applyFont="1" applyFill="1" applyBorder="1" applyProtection="1"/>
    <xf numFmtId="182" fontId="22" fillId="0" borderId="3" xfId="13" applyNumberFormat="1" applyFont="1" applyFill="1" applyBorder="1" applyProtection="1"/>
    <xf numFmtId="183" fontId="22" fillId="0" borderId="3" xfId="13" applyNumberFormat="1" applyFont="1" applyFill="1" applyBorder="1" applyAlignment="1" applyProtection="1">
      <alignment horizontal="center"/>
    </xf>
    <xf numFmtId="190" fontId="22" fillId="0" borderId="0" xfId="13" applyNumberFormat="1" applyFont="1" applyFill="1" applyProtection="1"/>
    <xf numFmtId="10" fontId="22" fillId="0" borderId="0" xfId="13" applyNumberFormat="1" applyFont="1" applyFill="1" applyProtection="1"/>
    <xf numFmtId="180" fontId="22" fillId="0" borderId="0" xfId="13" applyNumberFormat="1" applyFont="1" applyFill="1" applyAlignment="1" applyProtection="1">
      <alignment horizontal="center"/>
    </xf>
    <xf numFmtId="183" fontId="22" fillId="0" borderId="0" xfId="13" applyNumberFormat="1" applyFont="1" applyFill="1" applyAlignment="1" applyProtection="1">
      <alignment horizontal="center"/>
    </xf>
    <xf numFmtId="0" fontId="22" fillId="0" borderId="0" xfId="0" applyFont="1" applyFill="1" applyAlignment="1" applyProtection="1">
      <alignment horizontal="left"/>
    </xf>
    <xf numFmtId="180" fontId="22" fillId="0" borderId="3" xfId="13" applyNumberFormat="1" applyFont="1" applyFill="1" applyBorder="1" applyProtection="1"/>
    <xf numFmtId="172" fontId="22" fillId="0" borderId="0" xfId="13" applyNumberFormat="1" applyFont="1" applyFill="1" applyAlignment="1" applyProtection="1">
      <alignment horizontal="left"/>
    </xf>
    <xf numFmtId="182" fontId="22" fillId="0" borderId="0" xfId="13" applyNumberFormat="1" applyFont="1" applyFill="1" applyAlignment="1" applyProtection="1">
      <alignment horizontal="left"/>
    </xf>
    <xf numFmtId="194" fontId="22" fillId="0" borderId="0" xfId="13" applyNumberFormat="1" applyFont="1" applyFill="1" applyProtection="1"/>
    <xf numFmtId="183" fontId="22" fillId="0" borderId="0" xfId="13" applyNumberFormat="1" applyFont="1" applyFill="1" applyProtection="1"/>
    <xf numFmtId="5" fontId="22" fillId="0" borderId="9" xfId="13" applyNumberFormat="1" applyFont="1" applyFill="1" applyBorder="1" applyProtection="1"/>
    <xf numFmtId="179" fontId="22" fillId="0" borderId="9" xfId="13" applyNumberFormat="1" applyFont="1" applyFill="1" applyBorder="1" applyProtection="1"/>
    <xf numFmtId="179" fontId="22" fillId="0" borderId="0" xfId="13" applyNumberFormat="1" applyFont="1" applyFill="1" applyBorder="1" applyProtection="1"/>
    <xf numFmtId="178" fontId="22" fillId="0" borderId="9" xfId="13" applyNumberFormat="1" applyFont="1" applyFill="1" applyBorder="1" applyProtection="1"/>
    <xf numFmtId="180" fontId="22" fillId="0" borderId="9" xfId="13" applyNumberFormat="1" applyFont="1" applyFill="1" applyBorder="1" applyAlignment="1" applyProtection="1">
      <alignment horizontal="right"/>
    </xf>
    <xf numFmtId="5" fontId="22" fillId="0" borderId="0" xfId="13" applyNumberFormat="1" applyFont="1" applyFill="1" applyProtection="1"/>
    <xf numFmtId="179" fontId="22" fillId="0" borderId="0" xfId="13" applyNumberFormat="1" applyFont="1" applyFill="1" applyProtection="1"/>
    <xf numFmtId="180" fontId="22" fillId="0" borderId="0" xfId="13" applyNumberFormat="1" applyFont="1" applyFill="1" applyProtection="1"/>
    <xf numFmtId="14" fontId="11" fillId="0" borderId="0" xfId="13" applyNumberFormat="1" applyFont="1" applyFill="1" applyProtection="1"/>
    <xf numFmtId="3" fontId="13" fillId="0" borderId="0" xfId="0" applyNumberFormat="1" applyFont="1" applyFill="1" applyBorder="1" applyProtection="1"/>
    <xf numFmtId="0" fontId="11" fillId="0" borderId="0" xfId="0" applyFont="1" applyFill="1" applyBorder="1" applyAlignment="1" applyProtection="1">
      <alignment horizontal="center" wrapText="1"/>
    </xf>
    <xf numFmtId="0" fontId="11" fillId="0" borderId="3" xfId="0" applyFont="1" applyFill="1" applyBorder="1" applyAlignment="1" applyProtection="1">
      <alignment horizontal="center" wrapText="1"/>
    </xf>
    <xf numFmtId="166" fontId="11" fillId="0" borderId="0" xfId="5" applyNumberFormat="1" applyFont="1" applyFill="1" applyProtection="1"/>
    <xf numFmtId="6" fontId="11" fillId="0" borderId="0" xfId="5" applyNumberFormat="1" applyFont="1" applyFill="1" applyProtection="1"/>
    <xf numFmtId="38" fontId="11" fillId="0" borderId="0" xfId="5" applyNumberFormat="1" applyFont="1" applyFill="1" applyProtection="1"/>
    <xf numFmtId="166" fontId="11" fillId="0" borderId="4" xfId="5" applyNumberFormat="1" applyFont="1" applyFill="1" applyBorder="1" applyProtection="1"/>
    <xf numFmtId="44" fontId="13" fillId="0" borderId="0" xfId="5" applyFont="1" applyFill="1" applyBorder="1" applyAlignment="1" applyProtection="1">
      <alignment horizontal="center"/>
    </xf>
    <xf numFmtId="6" fontId="11" fillId="0" borderId="0" xfId="5" applyNumberFormat="1" applyFont="1" applyFill="1" applyBorder="1" applyAlignment="1" applyProtection="1">
      <alignment horizontal="right"/>
    </xf>
    <xf numFmtId="44" fontId="11" fillId="0" borderId="0" xfId="0" applyNumberFormat="1" applyFont="1" applyFill="1" applyBorder="1" applyProtection="1"/>
    <xf numFmtId="43" fontId="11" fillId="0" borderId="0" xfId="0" applyNumberFormat="1" applyFont="1" applyFill="1" applyAlignment="1" applyProtection="1">
      <alignment horizontal="center"/>
    </xf>
    <xf numFmtId="43" fontId="11" fillId="0" borderId="0" xfId="0" applyNumberFormat="1" applyFont="1" applyFill="1" applyProtection="1"/>
    <xf numFmtId="49" fontId="10" fillId="0" borderId="2" xfId="0" applyNumberFormat="1" applyFont="1" applyFill="1" applyBorder="1" applyAlignment="1" applyProtection="1">
      <alignment horizontal="center"/>
    </xf>
    <xf numFmtId="0" fontId="14" fillId="0" borderId="2" xfId="0" applyFont="1" applyFill="1" applyBorder="1" applyAlignment="1" applyProtection="1">
      <alignment horizontal="center" wrapText="1"/>
    </xf>
    <xf numFmtId="43" fontId="10" fillId="0" borderId="2" xfId="0" applyNumberFormat="1" applyFont="1" applyFill="1" applyBorder="1" applyAlignment="1" applyProtection="1">
      <alignment horizontal="center"/>
    </xf>
    <xf numFmtId="49" fontId="10" fillId="0" borderId="0" xfId="0" applyNumberFormat="1" applyFont="1" applyFill="1" applyBorder="1" applyAlignment="1" applyProtection="1">
      <alignment horizontal="center"/>
    </xf>
    <xf numFmtId="49" fontId="11" fillId="0" borderId="0" xfId="0" applyNumberFormat="1" applyFont="1" applyFill="1" applyProtection="1"/>
    <xf numFmtId="49" fontId="11" fillId="0" borderId="0" xfId="0" applyNumberFormat="1" applyFont="1" applyFill="1" applyAlignment="1" applyProtection="1">
      <alignment horizontal="center"/>
    </xf>
    <xf numFmtId="39" fontId="11" fillId="0" borderId="0" xfId="0" applyNumberFormat="1" applyFont="1" applyFill="1" applyProtection="1"/>
    <xf numFmtId="43" fontId="11" fillId="0" borderId="5" xfId="0" applyNumberFormat="1" applyFont="1" applyFill="1" applyBorder="1" applyProtection="1"/>
    <xf numFmtId="166" fontId="15" fillId="0" borderId="0" xfId="5" applyNumberFormat="1" applyFont="1" applyFill="1" applyBorder="1" applyProtection="1"/>
    <xf numFmtId="0" fontId="11" fillId="0" borderId="16" xfId="0" applyFont="1" applyFill="1" applyBorder="1" applyProtection="1"/>
    <xf numFmtId="43" fontId="11" fillId="0" borderId="3" xfId="0" applyNumberFormat="1" applyFont="1" applyFill="1" applyBorder="1" applyProtection="1"/>
    <xf numFmtId="164" fontId="11" fillId="0" borderId="20" xfId="0" applyNumberFormat="1" applyFont="1" applyFill="1" applyBorder="1" applyAlignment="1" applyProtection="1">
      <alignment vertical="justify"/>
    </xf>
    <xf numFmtId="41" fontId="10" fillId="0" borderId="0" xfId="14" applyNumberFormat="1" applyFont="1" applyFill="1" applyBorder="1" applyAlignment="1" applyProtection="1">
      <alignment horizontal="center"/>
    </xf>
    <xf numFmtId="1" fontId="10" fillId="0" borderId="1" xfId="24" applyNumberFormat="1" applyFont="1" applyFill="1" applyAlignment="1" applyProtection="1">
      <alignment horizontal="center" wrapText="1"/>
    </xf>
    <xf numFmtId="41" fontId="10" fillId="0" borderId="1" xfId="24" applyNumberFormat="1" applyFont="1" applyFill="1" applyAlignment="1" applyProtection="1">
      <alignment horizontal="center" wrapText="1"/>
    </xf>
    <xf numFmtId="41" fontId="10" fillId="0" borderId="1" xfId="0" applyNumberFormat="1" applyFont="1" applyFill="1" applyBorder="1" applyAlignment="1" applyProtection="1">
      <alignment horizontal="center" wrapText="1"/>
    </xf>
    <xf numFmtId="41" fontId="10" fillId="0" borderId="1" xfId="14" applyNumberFormat="1" applyFont="1" applyFill="1" applyBorder="1" applyAlignment="1" applyProtection="1">
      <alignment horizontal="center" wrapText="1"/>
    </xf>
    <xf numFmtId="1" fontId="11" fillId="0" borderId="0" xfId="16" applyNumberFormat="1" applyFont="1" applyFill="1" applyAlignment="1" applyProtection="1">
      <alignment horizontal="center"/>
    </xf>
    <xf numFmtId="41" fontId="11" fillId="0" borderId="0" xfId="22" applyNumberFormat="1" applyFont="1" applyFill="1" applyProtection="1"/>
    <xf numFmtId="41" fontId="11" fillId="0" borderId="0" xfId="22" applyNumberFormat="1" applyFont="1" applyFill="1" applyBorder="1" applyProtection="1"/>
    <xf numFmtId="41" fontId="11" fillId="0" borderId="0" xfId="14" applyNumberFormat="1" applyFont="1" applyFill="1" applyBorder="1" applyProtection="1"/>
    <xf numFmtId="41" fontId="11" fillId="0" borderId="4" xfId="5" applyNumberFormat="1" applyFont="1" applyFill="1" applyBorder="1" applyAlignment="1" applyProtection="1"/>
    <xf numFmtId="41" fontId="54" fillId="0" borderId="0" xfId="14" applyNumberFormat="1" applyFont="1" applyFill="1" applyBorder="1" applyProtection="1"/>
    <xf numFmtId="5" fontId="11" fillId="0" borderId="0" xfId="1" applyNumberFormat="1" applyFont="1" applyFill="1" applyProtection="1"/>
    <xf numFmtId="38" fontId="11" fillId="0" borderId="0" xfId="0" applyNumberFormat="1" applyFont="1" applyFill="1" applyProtection="1"/>
    <xf numFmtId="38" fontId="11" fillId="0" borderId="0" xfId="1" applyNumberFormat="1" applyFont="1" applyFill="1" applyProtection="1"/>
    <xf numFmtId="38" fontId="13" fillId="0" borderId="0" xfId="1" applyNumberFormat="1" applyFont="1" applyFill="1" applyProtection="1"/>
    <xf numFmtId="43" fontId="11" fillId="0" borderId="0" xfId="1" applyFont="1" applyFill="1" applyAlignment="1" applyProtection="1">
      <alignment horizontal="left"/>
    </xf>
    <xf numFmtId="6" fontId="11" fillId="0" borderId="0" xfId="1" applyNumberFormat="1" applyFont="1" applyFill="1" applyProtection="1"/>
    <xf numFmtId="38" fontId="13" fillId="0" borderId="0" xfId="1" applyNumberFormat="1" applyFont="1" applyFill="1" applyBorder="1" applyProtection="1"/>
    <xf numFmtId="176" fontId="11" fillId="0" borderId="0" xfId="1" applyNumberFormat="1" applyFont="1" applyFill="1" applyProtection="1"/>
    <xf numFmtId="0" fontId="10" fillId="0" borderId="0" xfId="0" applyFont="1" applyFill="1" applyAlignment="1" applyProtection="1">
      <alignment horizontal="left"/>
    </xf>
    <xf numFmtId="5" fontId="11" fillId="0" borderId="0" xfId="5" applyNumberFormat="1" applyFont="1" applyFill="1" applyAlignment="1" applyProtection="1">
      <alignment horizontal="right"/>
    </xf>
    <xf numFmtId="5" fontId="11" fillId="0" borderId="3" xfId="5" applyNumberFormat="1" applyFont="1" applyFill="1" applyBorder="1" applyAlignment="1" applyProtection="1">
      <alignment horizontal="right"/>
    </xf>
    <xf numFmtId="177" fontId="22" fillId="0" borderId="0" xfId="13" applyNumberFormat="1" applyFont="1" applyFill="1" applyBorder="1" applyProtection="1"/>
    <xf numFmtId="172" fontId="22" fillId="0" borderId="0" xfId="13" applyNumberFormat="1" applyFont="1" applyFill="1" applyProtection="1"/>
    <xf numFmtId="182" fontId="22" fillId="0" borderId="0" xfId="13" applyNumberFormat="1" applyFont="1" applyFill="1" applyBorder="1" applyProtection="1"/>
    <xf numFmtId="183" fontId="22" fillId="0" borderId="0" xfId="13" applyNumberFormat="1" applyFont="1" applyFill="1" applyBorder="1" applyAlignment="1" applyProtection="1">
      <alignment horizontal="center"/>
    </xf>
    <xf numFmtId="181" fontId="22" fillId="0" borderId="0" xfId="13" applyFont="1" applyFill="1" applyAlignment="1" applyProtection="1">
      <alignment horizontal="left"/>
    </xf>
    <xf numFmtId="180" fontId="36" fillId="0" borderId="0" xfId="7102" applyNumberFormat="1" applyFont="1" applyFill="1"/>
    <xf numFmtId="190" fontId="22" fillId="0" borderId="0" xfId="13" applyNumberFormat="1" applyFont="1" applyFill="1" applyAlignment="1" applyProtection="1">
      <alignment horizontal="center"/>
    </xf>
    <xf numFmtId="37" fontId="22" fillId="0" borderId="0" xfId="13" applyNumberFormat="1" applyFont="1" applyFill="1" applyBorder="1" applyProtection="1"/>
    <xf numFmtId="180" fontId="22" fillId="0" borderId="0" xfId="7102" applyNumberFormat="1" applyFont="1" applyFill="1" applyProtection="1"/>
    <xf numFmtId="172" fontId="22" fillId="0" borderId="0" xfId="13" applyNumberFormat="1" applyFont="1" applyFill="1" applyBorder="1" applyProtection="1"/>
    <xf numFmtId="3" fontId="11" fillId="0" borderId="0" xfId="22" applyNumberFormat="1" applyFont="1" applyFill="1" applyBorder="1" applyAlignment="1" applyProtection="1">
      <alignment horizontal="right"/>
    </xf>
    <xf numFmtId="3" fontId="11" fillId="0" borderId="4" xfId="18" applyNumberFormat="1" applyFont="1" applyFill="1" applyBorder="1" applyAlignment="1" applyProtection="1">
      <alignment horizontal="right"/>
    </xf>
    <xf numFmtId="3" fontId="11" fillId="0" borderId="0" xfId="5" applyNumberFormat="1" applyFont="1" applyFill="1" applyProtection="1"/>
    <xf numFmtId="186" fontId="11" fillId="0" borderId="0" xfId="0" applyNumberFormat="1" applyFont="1" applyFill="1" applyAlignment="1">
      <alignment horizontal="right"/>
    </xf>
    <xf numFmtId="186" fontId="10" fillId="0" borderId="0" xfId="0" applyNumberFormat="1" applyFont="1" applyFill="1"/>
    <xf numFmtId="186" fontId="108" fillId="0" borderId="0" xfId="0" applyNumberFormat="1" applyFont="1" applyFill="1" applyAlignment="1">
      <alignment horizontal="right"/>
    </xf>
    <xf numFmtId="176" fontId="11" fillId="0" borderId="0" xfId="0" applyNumberFormat="1" applyFont="1" applyFill="1" applyBorder="1"/>
    <xf numFmtId="176" fontId="11" fillId="0" borderId="21" xfId="0" applyNumberFormat="1" applyFont="1" applyFill="1" applyBorder="1"/>
    <xf numFmtId="14" fontId="111" fillId="0" borderId="0" xfId="7113" applyNumberFormat="1" applyFont="1" applyFill="1"/>
    <xf numFmtId="49" fontId="111" fillId="0" borderId="0" xfId="7113" applyNumberFormat="1" applyFont="1" applyFill="1"/>
    <xf numFmtId="49" fontId="111" fillId="0" borderId="0" xfId="7113" applyNumberFormat="1" applyFont="1" applyFill="1" applyAlignment="1">
      <alignment horizontal="center"/>
    </xf>
    <xf numFmtId="43" fontId="111" fillId="0" borderId="0" xfId="7114" applyFont="1" applyFill="1"/>
    <xf numFmtId="49" fontId="11" fillId="0" borderId="0" xfId="7098" applyNumberFormat="1" applyFont="1" applyFill="1" applyProtection="1"/>
    <xf numFmtId="0" fontId="11" fillId="0" borderId="0" xfId="18" quotePrefix="1" applyNumberFormat="1" applyFont="1" applyFill="1" applyAlignment="1" applyProtection="1"/>
    <xf numFmtId="49" fontId="108" fillId="0" borderId="0" xfId="28689" applyNumberFormat="1" applyFont="1" applyFill="1" applyAlignment="1">
      <alignment horizontal="center"/>
    </xf>
    <xf numFmtId="49" fontId="108" fillId="0" borderId="0" xfId="28689" applyNumberFormat="1" applyFont="1" applyFill="1"/>
    <xf numFmtId="14" fontId="108" fillId="0" borderId="0" xfId="28689" applyNumberFormat="1" applyFont="1" applyFill="1"/>
    <xf numFmtId="37" fontId="11" fillId="0" borderId="3" xfId="1" applyNumberFormat="1" applyFont="1" applyFill="1" applyBorder="1" applyAlignment="1" applyProtection="1"/>
    <xf numFmtId="37" fontId="11" fillId="0" borderId="0" xfId="1" applyNumberFormat="1" applyFont="1" applyFill="1" applyBorder="1" applyAlignment="1" applyProtection="1"/>
    <xf numFmtId="43" fontId="108" fillId="0" borderId="0" xfId="28680" applyFont="1" applyFill="1"/>
    <xf numFmtId="41" fontId="11" fillId="0" borderId="0" xfId="0" applyNumberFormat="1" applyFont="1" applyFill="1" applyAlignment="1" applyProtection="1">
      <alignment horizontal="right"/>
    </xf>
    <xf numFmtId="197" fontId="11" fillId="0" borderId="0" xfId="17" applyNumberFormat="1" applyFont="1" applyFill="1" applyProtection="1"/>
    <xf numFmtId="41" fontId="15" fillId="0" borderId="0" xfId="0" applyNumberFormat="1" applyFont="1" applyFill="1" applyProtection="1"/>
    <xf numFmtId="167" fontId="11" fillId="0" borderId="0" xfId="0" applyNumberFormat="1" applyFont="1" applyFill="1" applyBorder="1" applyProtection="1"/>
    <xf numFmtId="174" fontId="11" fillId="0" borderId="0" xfId="0" applyNumberFormat="1" applyFont="1" applyFill="1" applyBorder="1" applyProtection="1"/>
    <xf numFmtId="10" fontId="22" fillId="0" borderId="0" xfId="17" applyNumberFormat="1" applyFont="1" applyFill="1" applyAlignment="1" applyProtection="1">
      <alignment horizontal="center"/>
    </xf>
    <xf numFmtId="181" fontId="10" fillId="0" borderId="0" xfId="13" applyFont="1" applyFill="1" applyProtection="1"/>
    <xf numFmtId="42" fontId="11" fillId="0" borderId="0" xfId="5" applyNumberFormat="1" applyFont="1" applyFill="1" applyBorder="1" applyProtection="1"/>
    <xf numFmtId="49" fontId="22" fillId="0" borderId="0" xfId="28137" applyNumberFormat="1" applyFont="1" applyFill="1"/>
    <xf numFmtId="0" fontId="54" fillId="0" borderId="0" xfId="7" applyFont="1" applyFill="1"/>
    <xf numFmtId="43" fontId="54" fillId="0" borderId="0" xfId="7" applyNumberFormat="1" applyFont="1" applyFill="1"/>
    <xf numFmtId="0" fontId="11" fillId="0" borderId="3" xfId="14" applyFont="1" applyFill="1" applyBorder="1" applyProtection="1"/>
    <xf numFmtId="0" fontId="32" fillId="0" borderId="0" xfId="0" applyFont="1" applyFill="1" applyBorder="1" applyAlignment="1" applyProtection="1">
      <alignment horizontal="center"/>
    </xf>
    <xf numFmtId="0" fontId="11" fillId="0" borderId="0" xfId="0" applyFont="1" applyFill="1" applyBorder="1" applyAlignment="1" applyProtection="1">
      <alignment horizontal="left" wrapText="1"/>
    </xf>
    <xf numFmtId="0" fontId="11" fillId="0" borderId="13" xfId="0" applyFont="1" applyFill="1" applyBorder="1" applyAlignment="1" applyProtection="1">
      <alignment horizontal="left"/>
    </xf>
    <xf numFmtId="0" fontId="0" fillId="0" borderId="0" xfId="0" applyFill="1" applyBorder="1" applyAlignment="1">
      <alignment horizontal="center" vertical="center" wrapText="1"/>
    </xf>
    <xf numFmtId="3" fontId="11" fillId="0" borderId="0" xfId="0" applyNumberFormat="1" applyFont="1" applyFill="1" applyBorder="1" applyProtection="1">
      <protection locked="0"/>
    </xf>
    <xf numFmtId="0" fontId="12" fillId="0" borderId="0" xfId="0" applyFont="1" applyFill="1" applyAlignment="1">
      <alignment horizontal="center"/>
    </xf>
    <xf numFmtId="0" fontId="13" fillId="0" borderId="0" xfId="0" applyFont="1" applyFill="1" applyAlignment="1">
      <alignment horizontal="center"/>
    </xf>
    <xf numFmtId="0" fontId="11" fillId="0" borderId="0" xfId="0" applyFont="1" applyFill="1" applyAlignment="1">
      <alignment horizontal="center"/>
    </xf>
    <xf numFmtId="0" fontId="10" fillId="0" borderId="0" xfId="0" applyFont="1" applyFill="1" applyAlignment="1">
      <alignment horizontal="center"/>
    </xf>
    <xf numFmtId="176" fontId="11" fillId="0" borderId="0" xfId="0" applyNumberFormat="1" applyFont="1" applyFill="1" applyAlignment="1">
      <alignment horizontal="center"/>
    </xf>
    <xf numFmtId="176" fontId="11" fillId="0" borderId="3" xfId="0" applyNumberFormat="1" applyFont="1" applyFill="1" applyBorder="1" applyAlignment="1">
      <alignment horizontal="center"/>
    </xf>
    <xf numFmtId="0" fontId="11" fillId="0" borderId="0" xfId="0" applyFont="1" applyFill="1" applyAlignment="1" applyProtection="1">
      <alignment horizontal="center"/>
    </xf>
    <xf numFmtId="0" fontId="10" fillId="0" borderId="0" xfId="0" applyFont="1" applyFill="1" applyAlignment="1" applyProtection="1">
      <alignment horizontal="center"/>
    </xf>
    <xf numFmtId="0" fontId="11" fillId="0" borderId="5" xfId="0" applyFont="1" applyFill="1" applyBorder="1" applyAlignment="1" applyProtection="1">
      <alignment horizontal="center"/>
    </xf>
    <xf numFmtId="0" fontId="11" fillId="0" borderId="12" xfId="0" applyFont="1" applyFill="1" applyBorder="1" applyAlignment="1" applyProtection="1">
      <alignment horizontal="center"/>
    </xf>
    <xf numFmtId="0" fontId="10" fillId="0" borderId="0" xfId="14" applyFont="1" applyFill="1" applyBorder="1" applyAlignment="1" applyProtection="1">
      <alignment horizontal="center"/>
    </xf>
    <xf numFmtId="0" fontId="10" fillId="0" borderId="0" xfId="14" applyFont="1" applyFill="1" applyBorder="1" applyAlignment="1">
      <alignment horizontal="center"/>
    </xf>
    <xf numFmtId="0" fontId="11" fillId="0" borderId="0" xfId="0" applyFont="1" applyFill="1" applyBorder="1" applyAlignment="1" applyProtection="1">
      <alignment horizontal="center"/>
    </xf>
    <xf numFmtId="0" fontId="11" fillId="0" borderId="14" xfId="0" applyFont="1" applyFill="1" applyBorder="1" applyAlignment="1" applyProtection="1">
      <alignment horizontal="center"/>
    </xf>
    <xf numFmtId="0" fontId="10" fillId="0" borderId="0" xfId="7" applyFont="1" applyFill="1" applyAlignment="1" applyProtection="1">
      <alignment horizontal="center"/>
    </xf>
    <xf numFmtId="0" fontId="10" fillId="0" borderId="0" xfId="7" applyFont="1" applyFill="1" applyAlignment="1">
      <alignment horizontal="center"/>
    </xf>
    <xf numFmtId="0" fontId="11" fillId="0" borderId="0" xfId="15" applyNumberFormat="1" applyFont="1" applyFill="1" applyAlignment="1">
      <alignment vertical="center"/>
    </xf>
    <xf numFmtId="37" fontId="11" fillId="0" borderId="0" xfId="18" applyNumberFormat="1" applyFont="1" applyFill="1" applyAlignment="1" applyProtection="1">
      <alignment horizontal="right"/>
    </xf>
    <xf numFmtId="180" fontId="11" fillId="0" borderId="4" xfId="17" applyNumberFormat="1" applyFont="1" applyFill="1" applyBorder="1" applyProtection="1"/>
    <xf numFmtId="180" fontId="13" fillId="0" borderId="0" xfId="17" applyNumberFormat="1" applyFont="1" applyFill="1" applyAlignment="1" applyProtection="1">
      <alignment horizontal="right"/>
    </xf>
    <xf numFmtId="180" fontId="11" fillId="0" borderId="0" xfId="17" applyNumberFormat="1" applyFont="1" applyFill="1" applyProtection="1"/>
    <xf numFmtId="180" fontId="13" fillId="0" borderId="0" xfId="17" applyNumberFormat="1" applyFont="1" applyFill="1" applyProtection="1"/>
    <xf numFmtId="180" fontId="11" fillId="0" borderId="0" xfId="17" applyNumberFormat="1" applyFont="1" applyFill="1" applyBorder="1" applyProtection="1"/>
    <xf numFmtId="180" fontId="10" fillId="0" borderId="0" xfId="17" applyNumberFormat="1" applyFont="1" applyFill="1" applyBorder="1" applyProtection="1"/>
    <xf numFmtId="180" fontId="11" fillId="0" borderId="4" xfId="17" applyNumberFormat="1" applyFont="1" applyFill="1" applyBorder="1" applyAlignment="1" applyProtection="1">
      <alignment horizontal="right"/>
    </xf>
    <xf numFmtId="43" fontId="11" fillId="0" borderId="0" xfId="1" applyNumberFormat="1" applyFont="1" applyFill="1"/>
    <xf numFmtId="40" fontId="11" fillId="0" borderId="0" xfId="22" applyNumberFormat="1" applyFont="1" applyFill="1" applyProtection="1"/>
    <xf numFmtId="164" fontId="11" fillId="0" borderId="0" xfId="1" applyNumberFormat="1" applyFont="1" applyFill="1" applyBorder="1" applyAlignment="1" applyProtection="1">
      <alignment horizontal="center" wrapText="1"/>
    </xf>
    <xf numFmtId="0" fontId="0" fillId="0" borderId="0" xfId="0" applyFill="1" applyProtection="1"/>
    <xf numFmtId="37" fontId="11" fillId="0" borderId="0" xfId="0" applyNumberFormat="1" applyFont="1" applyFill="1" applyBorder="1" applyProtection="1">
      <protection locked="0"/>
    </xf>
    <xf numFmtId="0" fontId="11" fillId="0" borderId="0" xfId="56" applyFont="1" applyFill="1" applyProtection="1"/>
    <xf numFmtId="200" fontId="0" fillId="0" borderId="0" xfId="0" applyNumberFormat="1" applyFill="1" applyProtection="1"/>
    <xf numFmtId="37" fontId="108" fillId="0" borderId="0" xfId="28138" applyNumberFormat="1" applyFont="1" applyFill="1" applyBorder="1"/>
    <xf numFmtId="37" fontId="108" fillId="0" borderId="3" xfId="28138" applyNumberFormat="1" applyFont="1" applyFill="1" applyBorder="1"/>
    <xf numFmtId="176" fontId="21" fillId="0" borderId="0" xfId="28689" applyNumberFormat="1" applyFont="1" applyFill="1" applyAlignment="1">
      <alignment horizontal="right"/>
    </xf>
    <xf numFmtId="176" fontId="32" fillId="0" borderId="0" xfId="28689" applyNumberFormat="1" applyFont="1" applyFill="1" applyAlignment="1">
      <alignment horizontal="right"/>
    </xf>
    <xf numFmtId="176" fontId="11" fillId="0" borderId="0" xfId="28689" applyNumberFormat="1" applyFont="1" applyFill="1" applyAlignment="1">
      <alignment horizontal="right"/>
    </xf>
    <xf numFmtId="176" fontId="11" fillId="0" borderId="0" xfId="5" applyNumberFormat="1" applyFont="1" applyFill="1" applyProtection="1"/>
    <xf numFmtId="176" fontId="21" fillId="0" borderId="3" xfId="28689" applyNumberFormat="1" applyFont="1" applyFill="1" applyBorder="1" applyAlignment="1">
      <alignment horizontal="right"/>
    </xf>
    <xf numFmtId="176" fontId="32" fillId="0" borderId="3" xfId="28689" applyNumberFormat="1" applyFont="1" applyFill="1" applyBorder="1" applyAlignment="1">
      <alignment horizontal="right"/>
    </xf>
    <xf numFmtId="176" fontId="11" fillId="0" borderId="3" xfId="28689" applyNumberFormat="1" applyFont="1" applyFill="1" applyBorder="1" applyAlignment="1">
      <alignment horizontal="right"/>
    </xf>
    <xf numFmtId="176" fontId="11" fillId="0" borderId="3" xfId="0" applyNumberFormat="1" applyFont="1" applyFill="1" applyBorder="1"/>
    <xf numFmtId="0" fontId="0" fillId="0" borderId="0" xfId="0" applyFill="1"/>
    <xf numFmtId="0" fontId="136" fillId="0" borderId="0" xfId="7098" applyFont="1" applyFill="1" applyProtection="1"/>
    <xf numFmtId="0" fontId="11" fillId="0" borderId="0" xfId="7098" applyFont="1" applyFill="1" applyProtection="1"/>
    <xf numFmtId="0" fontId="32" fillId="0" borderId="0" xfId="7098" applyFont="1" applyFill="1" applyProtection="1"/>
    <xf numFmtId="44" fontId="11" fillId="0" borderId="3" xfId="5" applyFont="1" applyFill="1" applyBorder="1"/>
    <xf numFmtId="0" fontId="54" fillId="0" borderId="0" xfId="0" applyFont="1" applyFill="1" applyProtection="1"/>
    <xf numFmtId="164" fontId="15" fillId="0" borderId="0" xfId="1" applyNumberFormat="1" applyFont="1" applyFill="1" applyAlignment="1" applyProtection="1">
      <alignment horizontal="right"/>
    </xf>
    <xf numFmtId="164" fontId="11" fillId="0" borderId="3" xfId="1" applyNumberFormat="1" applyFont="1" applyFill="1" applyBorder="1" applyAlignment="1" applyProtection="1"/>
    <xf numFmtId="40" fontId="137" fillId="0" borderId="0" xfId="28137" applyNumberFormat="1" applyFill="1"/>
    <xf numFmtId="49" fontId="137" fillId="0" borderId="0" xfId="28137" applyNumberFormat="1" applyFill="1" applyAlignment="1">
      <alignment horizontal="center"/>
    </xf>
    <xf numFmtId="49" fontId="22" fillId="0" borderId="0" xfId="28137" applyNumberFormat="1" applyFont="1" applyFill="1" applyAlignment="1">
      <alignment wrapText="1"/>
    </xf>
    <xf numFmtId="40" fontId="137" fillId="0" borderId="3" xfId="28137" applyNumberFormat="1" applyFill="1" applyBorder="1"/>
    <xf numFmtId="40" fontId="137" fillId="0" borderId="0" xfId="28137" applyNumberFormat="1" applyFill="1" applyBorder="1"/>
    <xf numFmtId="0" fontId="11" fillId="0" borderId="0" xfId="24829" applyFont="1" applyFill="1"/>
    <xf numFmtId="37" fontId="11" fillId="0" borderId="0" xfId="22" applyNumberFormat="1" applyFont="1" applyFill="1" applyBorder="1" applyAlignment="1" applyProtection="1">
      <alignment horizontal="right"/>
    </xf>
    <xf numFmtId="3" fontId="11" fillId="0" borderId="0" xfId="22" applyNumberFormat="1" applyFont="1" applyFill="1" applyProtection="1">
      <protection locked="0"/>
    </xf>
    <xf numFmtId="42" fontId="11" fillId="0" borderId="3" xfId="0" applyNumberFormat="1" applyFont="1" applyFill="1" applyBorder="1" applyProtection="1"/>
    <xf numFmtId="185" fontId="11" fillId="0" borderId="0" xfId="28689" applyNumberFormat="1" applyFont="1" applyFill="1" applyAlignment="1">
      <alignment horizontal="center"/>
    </xf>
    <xf numFmtId="1" fontId="11" fillId="0" borderId="0" xfId="28689" applyNumberFormat="1" applyFont="1" applyFill="1" applyAlignment="1">
      <alignment horizontal="center"/>
    </xf>
    <xf numFmtId="43" fontId="11" fillId="0" borderId="0" xfId="1" applyNumberFormat="1" applyFont="1" applyFill="1" applyBorder="1" applyAlignment="1" applyProtection="1">
      <alignment vertical="center"/>
    </xf>
    <xf numFmtId="43" fontId="11" fillId="0" borderId="3" xfId="1" applyNumberFormat="1" applyFont="1" applyFill="1" applyBorder="1" applyAlignment="1" applyProtection="1">
      <alignment vertical="center"/>
    </xf>
    <xf numFmtId="164" fontId="11" fillId="0" borderId="5" xfId="1" applyNumberFormat="1" applyFont="1" applyFill="1" applyBorder="1" applyAlignment="1" applyProtection="1">
      <alignment horizontal="center" vertical="center"/>
    </xf>
    <xf numFmtId="0" fontId="10" fillId="0" borderId="0" xfId="14" applyFont="1" applyFill="1" applyBorder="1" applyAlignment="1" applyProtection="1"/>
    <xf numFmtId="0" fontId="10" fillId="0" borderId="0" xfId="14" applyFont="1" applyFill="1" applyBorder="1" applyAlignment="1" applyProtection="1">
      <alignment horizontal="center" wrapText="1"/>
    </xf>
    <xf numFmtId="0" fontId="11" fillId="0" borderId="0" xfId="14" applyFont="1" applyFill="1" applyBorder="1" applyAlignment="1" applyProtection="1">
      <alignment horizontal="left"/>
    </xf>
    <xf numFmtId="0" fontId="11" fillId="0" borderId="0" xfId="0" applyFont="1" applyFill="1" applyBorder="1" applyAlignment="1" applyProtection="1">
      <alignment horizontal="center"/>
    </xf>
    <xf numFmtId="0" fontId="33" fillId="0" borderId="0" xfId="0" applyFont="1" applyFill="1" applyAlignment="1">
      <alignment horizontal="center"/>
    </xf>
    <xf numFmtId="0" fontId="12" fillId="0" borderId="0" xfId="0" applyFont="1" applyFill="1" applyAlignment="1">
      <alignment horizontal="center"/>
    </xf>
    <xf numFmtId="188" fontId="12" fillId="0" borderId="0" xfId="0" applyNumberFormat="1" applyFont="1" applyFill="1" applyAlignment="1">
      <alignment horizontal="center"/>
    </xf>
    <xf numFmtId="0" fontId="12" fillId="0" borderId="0" xfId="0" applyFont="1" applyFill="1" applyAlignment="1" applyProtection="1">
      <alignment horizontal="center"/>
      <protection locked="0"/>
    </xf>
    <xf numFmtId="188" fontId="12" fillId="0" borderId="0" xfId="0" applyNumberFormat="1" applyFont="1" applyFill="1" applyAlignment="1" applyProtection="1">
      <alignment horizontal="center"/>
      <protection locked="0"/>
    </xf>
    <xf numFmtId="0" fontId="13" fillId="0" borderId="0" xfId="0" applyFont="1" applyFill="1" applyAlignment="1">
      <alignment horizontal="center"/>
    </xf>
    <xf numFmtId="0" fontId="11" fillId="0" borderId="0" xfId="0" applyFont="1" applyFill="1" applyAlignment="1">
      <alignment horizontal="center"/>
    </xf>
    <xf numFmtId="0" fontId="10" fillId="0" borderId="0" xfId="0" applyFont="1" applyFill="1" applyAlignment="1">
      <alignment horizontal="center"/>
    </xf>
    <xf numFmtId="176" fontId="11" fillId="0" borderId="0" xfId="0" applyNumberFormat="1" applyFont="1" applyFill="1" applyAlignment="1">
      <alignment horizontal="center"/>
    </xf>
    <xf numFmtId="176" fontId="11" fillId="0" borderId="0" xfId="0" applyNumberFormat="1" applyFont="1" applyFill="1" applyAlignment="1">
      <alignment horizontal="left"/>
    </xf>
    <xf numFmtId="176" fontId="11" fillId="0" borderId="0" xfId="0" applyNumberFormat="1" applyFont="1" applyFill="1" applyAlignment="1">
      <alignment horizontal="left" vertical="top"/>
    </xf>
    <xf numFmtId="176" fontId="11" fillId="0" borderId="3" xfId="0" applyNumberFormat="1" applyFont="1" applyFill="1" applyBorder="1" applyAlignment="1">
      <alignment horizontal="left"/>
    </xf>
    <xf numFmtId="176" fontId="11" fillId="0" borderId="3" xfId="0" applyNumberFormat="1" applyFont="1" applyFill="1" applyBorder="1" applyAlignment="1">
      <alignment horizontal="center"/>
    </xf>
    <xf numFmtId="0" fontId="11" fillId="0" borderId="0" xfId="0" applyFont="1" applyFill="1" applyAlignment="1" applyProtection="1">
      <alignment horizontal="center"/>
    </xf>
    <xf numFmtId="0" fontId="37" fillId="0" borderId="0" xfId="0" applyFont="1" applyFill="1" applyAlignment="1" applyProtection="1">
      <alignment horizontal="center"/>
    </xf>
    <xf numFmtId="0" fontId="10" fillId="0" borderId="0" xfId="0" applyFont="1" applyFill="1" applyAlignment="1" applyProtection="1">
      <alignment horizontal="center"/>
    </xf>
    <xf numFmtId="0" fontId="11" fillId="0" borderId="0" xfId="0" applyFont="1" applyFill="1" applyBorder="1" applyAlignment="1" applyProtection="1">
      <alignment horizontal="left" wrapText="1"/>
    </xf>
    <xf numFmtId="0" fontId="11" fillId="0" borderId="7" xfId="0" applyFont="1" applyFill="1" applyBorder="1" applyAlignment="1" applyProtection="1">
      <alignment horizontal="center"/>
    </xf>
    <xf numFmtId="0" fontId="11" fillId="0" borderId="16" xfId="0" applyFont="1" applyFill="1" applyBorder="1" applyAlignment="1" applyProtection="1">
      <alignment horizontal="left" wrapText="1"/>
    </xf>
    <xf numFmtId="0" fontId="11" fillId="0" borderId="3" xfId="0" applyFont="1" applyFill="1" applyBorder="1" applyAlignment="1" applyProtection="1">
      <alignment horizontal="left" wrapText="1"/>
    </xf>
    <xf numFmtId="0" fontId="11" fillId="0" borderId="15" xfId="0" applyFont="1" applyFill="1" applyBorder="1" applyAlignment="1" applyProtection="1">
      <alignment horizontal="left" wrapText="1"/>
    </xf>
    <xf numFmtId="0" fontId="11" fillId="0" borderId="11" xfId="0" applyFont="1" applyFill="1" applyBorder="1" applyAlignment="1" applyProtection="1">
      <alignment horizontal="center"/>
    </xf>
    <xf numFmtId="0" fontId="11" fillId="0" borderId="5" xfId="0" applyFont="1" applyFill="1" applyBorder="1" applyAlignment="1" applyProtection="1">
      <alignment horizontal="center"/>
    </xf>
    <xf numFmtId="0" fontId="11" fillId="0" borderId="12" xfId="0" applyFont="1" applyFill="1" applyBorder="1" applyAlignment="1" applyProtection="1">
      <alignment horizontal="center"/>
    </xf>
    <xf numFmtId="0" fontId="10" fillId="0" borderId="0" xfId="14" applyFont="1" applyFill="1" applyBorder="1" applyAlignment="1" applyProtection="1">
      <alignment horizontal="center"/>
    </xf>
    <xf numFmtId="0" fontId="10" fillId="0" borderId="0" xfId="14" applyFont="1" applyFill="1" applyBorder="1" applyAlignment="1">
      <alignment horizontal="center"/>
    </xf>
    <xf numFmtId="0" fontId="10" fillId="0" borderId="0" xfId="14" applyFont="1" applyFill="1" applyBorder="1" applyAlignment="1" applyProtection="1">
      <alignment horizontal="center" vertical="center"/>
    </xf>
    <xf numFmtId="0" fontId="32" fillId="0" borderId="0" xfId="0" applyFont="1" applyFill="1" applyAlignment="1">
      <alignment horizontal="left" vertical="top" wrapText="1"/>
    </xf>
    <xf numFmtId="0" fontId="11" fillId="0" borderId="0" xfId="0" applyFont="1" applyFill="1" applyAlignment="1" applyProtection="1">
      <alignment horizontal="left" vertical="top" wrapText="1" readingOrder="1"/>
      <protection locked="0"/>
    </xf>
    <xf numFmtId="0" fontId="11" fillId="0" borderId="0" xfId="0" applyFont="1" applyFill="1" applyAlignment="1" applyProtection="1">
      <alignment horizontal="center" vertical="center" wrapText="1" readingOrder="1"/>
    </xf>
    <xf numFmtId="176" fontId="10" fillId="0" borderId="0" xfId="0" applyNumberFormat="1" applyFont="1" applyFill="1" applyAlignment="1" applyProtection="1">
      <alignment horizontal="center"/>
    </xf>
    <xf numFmtId="0" fontId="10" fillId="0" borderId="0" xfId="0" applyFont="1" applyFill="1" applyBorder="1" applyAlignment="1" applyProtection="1">
      <alignment horizontal="center"/>
    </xf>
    <xf numFmtId="0" fontId="11" fillId="0" borderId="13" xfId="0" applyFont="1" applyFill="1" applyBorder="1" applyAlignment="1" applyProtection="1">
      <alignment horizontal="center"/>
    </xf>
    <xf numFmtId="0" fontId="11" fillId="0" borderId="0" xfId="0" applyFont="1" applyFill="1" applyBorder="1" applyAlignment="1" applyProtection="1">
      <alignment horizontal="center"/>
    </xf>
    <xf numFmtId="0" fontId="11" fillId="0" borderId="14" xfId="0" applyFont="1" applyFill="1" applyBorder="1" applyAlignment="1" applyProtection="1">
      <alignment horizontal="center"/>
    </xf>
    <xf numFmtId="0" fontId="11" fillId="0" borderId="17" xfId="0" applyFont="1" applyFill="1" applyBorder="1" applyAlignment="1" applyProtection="1">
      <alignment horizontal="center"/>
    </xf>
    <xf numFmtId="0" fontId="11" fillId="0" borderId="6" xfId="0" applyFont="1" applyFill="1" applyBorder="1" applyAlignment="1" applyProtection="1">
      <alignment horizontal="center"/>
    </xf>
    <xf numFmtId="0" fontId="11" fillId="0" borderId="13" xfId="0" applyNumberFormat="1" applyFont="1" applyFill="1" applyBorder="1" applyAlignment="1" applyProtection="1">
      <alignment horizontal="left" wrapText="1"/>
    </xf>
    <xf numFmtId="0" fontId="11" fillId="0" borderId="0" xfId="0" applyNumberFormat="1" applyFont="1" applyFill="1" applyBorder="1" applyAlignment="1" applyProtection="1">
      <alignment horizontal="left" wrapText="1"/>
    </xf>
    <xf numFmtId="181" fontId="35" fillId="0" borderId="0" xfId="13" applyFont="1" applyFill="1" applyAlignment="1" applyProtection="1">
      <alignment horizontal="center"/>
    </xf>
    <xf numFmtId="0" fontId="10" fillId="0" borderId="17" xfId="7" applyFont="1" applyFill="1" applyBorder="1" applyAlignment="1" applyProtection="1">
      <alignment horizontal="center"/>
    </xf>
    <xf numFmtId="0" fontId="10" fillId="0" borderId="7" xfId="7" applyFont="1" applyFill="1" applyBorder="1" applyAlignment="1" applyProtection="1">
      <alignment horizontal="center"/>
    </xf>
    <xf numFmtId="0" fontId="10" fillId="0" borderId="6" xfId="7" applyFont="1" applyFill="1" applyBorder="1" applyAlignment="1" applyProtection="1">
      <alignment horizontal="center"/>
    </xf>
    <xf numFmtId="0" fontId="10" fillId="0" borderId="0" xfId="7" applyFont="1" applyFill="1" applyAlignment="1" applyProtection="1">
      <alignment horizontal="center"/>
    </xf>
    <xf numFmtId="0" fontId="10" fillId="0" borderId="17" xfId="7" applyFont="1" applyFill="1" applyBorder="1" applyAlignment="1">
      <alignment horizontal="center"/>
    </xf>
    <xf numFmtId="0" fontId="10" fillId="0" borderId="7" xfId="7" applyFont="1" applyFill="1" applyBorder="1" applyAlignment="1">
      <alignment horizontal="center"/>
    </xf>
    <xf numFmtId="0" fontId="10" fillId="0" borderId="6" xfId="7" applyFont="1" applyFill="1" applyBorder="1" applyAlignment="1">
      <alignment horizontal="center"/>
    </xf>
    <xf numFmtId="0" fontId="10" fillId="0" borderId="0" xfId="7" applyFont="1" applyFill="1" applyAlignment="1">
      <alignment horizontal="center"/>
    </xf>
  </cellXfs>
  <cellStyles count="28699">
    <cellStyle name="20% - Accent1" xfId="7105" builtinId="30" customBuiltin="1"/>
    <cellStyle name="20% - Accent1 10" xfId="640"/>
    <cellStyle name="20% - Accent1 10 2" xfId="4221"/>
    <cellStyle name="20% - Accent1 10 2 2" xfId="7117"/>
    <cellStyle name="20% - Accent1 10 3" xfId="7118"/>
    <cellStyle name="20% - Accent1 10 4" xfId="7119"/>
    <cellStyle name="20% - Accent1 10 5" xfId="7120"/>
    <cellStyle name="20% - Accent1 11" xfId="641"/>
    <cellStyle name="20% - Accent1 11 2" xfId="4222"/>
    <cellStyle name="20% - Accent1 11 2 2" xfId="7121"/>
    <cellStyle name="20% - Accent1 11 3" xfId="7122"/>
    <cellStyle name="20% - Accent1 11 4" xfId="7123"/>
    <cellStyle name="20% - Accent1 11 5" xfId="7124"/>
    <cellStyle name="20% - Accent1 12" xfId="798"/>
    <cellStyle name="20% - Accent1 12 2" xfId="7126"/>
    <cellStyle name="20% - Accent1 12 3" xfId="7127"/>
    <cellStyle name="20% - Accent1 12 4" xfId="7125"/>
    <cellStyle name="20% - Accent1 13" xfId="799"/>
    <cellStyle name="20% - Accent1 13 2" xfId="3845"/>
    <cellStyle name="20% - Accent1 13 2 2" xfId="5925"/>
    <cellStyle name="20% - Accent1 13 2 2 2" xfId="25075"/>
    <cellStyle name="20% - Accent1 13 2 3" xfId="7129"/>
    <cellStyle name="20% - Accent1 13 2 4" xfId="24981"/>
    <cellStyle name="20% - Accent1 13 2 5" xfId="25074"/>
    <cellStyle name="20% - Accent1 13 3" xfId="5924"/>
    <cellStyle name="20% - Accent1 13 3 2" xfId="7130"/>
    <cellStyle name="20% - Accent1 13 3 3" xfId="25076"/>
    <cellStyle name="20% - Accent1 13 4" xfId="7128"/>
    <cellStyle name="20% - Accent1 13 5" xfId="24860"/>
    <cellStyle name="20% - Accent1 13 6" xfId="25073"/>
    <cellStyle name="20% - Accent1 14" xfId="921"/>
    <cellStyle name="20% - Accent1 14 2" xfId="7132"/>
    <cellStyle name="20% - Accent1 14 3" xfId="7133"/>
    <cellStyle name="20% - Accent1 14 4" xfId="7131"/>
    <cellStyle name="20% - Accent1 15" xfId="7134"/>
    <cellStyle name="20% - Accent1 15 2" xfId="7135"/>
    <cellStyle name="20% - Accent1 15 3" xfId="7136"/>
    <cellStyle name="20% - Accent1 16" xfId="7137"/>
    <cellStyle name="20% - Accent1 16 2" xfId="7138"/>
    <cellStyle name="20% - Accent1 16 3" xfId="7139"/>
    <cellStyle name="20% - Accent1 17" xfId="7140"/>
    <cellStyle name="20% - Accent1 17 2" xfId="7141"/>
    <cellStyle name="20% - Accent1 17 3" xfId="7142"/>
    <cellStyle name="20% - Accent1 18" xfId="7143"/>
    <cellStyle name="20% - Accent1 18 2" xfId="7144"/>
    <cellStyle name="20% - Accent1 18 3" xfId="7145"/>
    <cellStyle name="20% - Accent1 19" xfId="7146"/>
    <cellStyle name="20% - Accent1 19 2" xfId="7147"/>
    <cellStyle name="20% - Accent1 2" xfId="68"/>
    <cellStyle name="20% - Accent1 2 10" xfId="1667"/>
    <cellStyle name="20% - Accent1 2 10 2" xfId="4223"/>
    <cellStyle name="20% - Accent1 2 10 2 2" xfId="7148"/>
    <cellStyle name="20% - Accent1 2 10 3" xfId="7149"/>
    <cellStyle name="20% - Accent1 2 10 4" xfId="7150"/>
    <cellStyle name="20% - Accent1 2 10 5" xfId="7151"/>
    <cellStyle name="20% - Accent1 2 11" xfId="1666"/>
    <cellStyle name="20% - Accent1 2 11 2" xfId="4224"/>
    <cellStyle name="20% - Accent1 2 11 2 2" xfId="7152"/>
    <cellStyle name="20% - Accent1 2 11 3" xfId="7153"/>
    <cellStyle name="20% - Accent1 2 11 4" xfId="7154"/>
    <cellStyle name="20% - Accent1 2 11 5" xfId="7155"/>
    <cellStyle name="20% - Accent1 2 12" xfId="1876"/>
    <cellStyle name="20% - Accent1 2 12 2" xfId="4225"/>
    <cellStyle name="20% - Accent1 2 12 2 2" xfId="7156"/>
    <cellStyle name="20% - Accent1 2 12 3" xfId="7157"/>
    <cellStyle name="20% - Accent1 2 12 4" xfId="7158"/>
    <cellStyle name="20% - Accent1 2 12 5" xfId="7159"/>
    <cellStyle name="20% - Accent1 2 13" xfId="2251"/>
    <cellStyle name="20% - Accent1 2 13 2" xfId="4226"/>
    <cellStyle name="20% - Accent1 2 13 2 2" xfId="7160"/>
    <cellStyle name="20% - Accent1 2 13 3" xfId="7161"/>
    <cellStyle name="20% - Accent1 2 13 4" xfId="7162"/>
    <cellStyle name="20% - Accent1 2 13 5" xfId="7163"/>
    <cellStyle name="20% - Accent1 2 14" xfId="2414"/>
    <cellStyle name="20% - Accent1 2 14 2" xfId="4227"/>
    <cellStyle name="20% - Accent1 2 14 2 2" xfId="7164"/>
    <cellStyle name="20% - Accent1 2 14 3" xfId="7165"/>
    <cellStyle name="20% - Accent1 2 14 4" xfId="7166"/>
    <cellStyle name="20% - Accent1 2 14 5" xfId="7167"/>
    <cellStyle name="20% - Accent1 2 15" xfId="2997"/>
    <cellStyle name="20% - Accent1 2 15 2" xfId="4228"/>
    <cellStyle name="20% - Accent1 2 15 2 2" xfId="7168"/>
    <cellStyle name="20% - Accent1 2 15 3" xfId="7169"/>
    <cellStyle name="20% - Accent1 2 16" xfId="3632"/>
    <cellStyle name="20% - Accent1 2 16 2" xfId="4229"/>
    <cellStyle name="20% - Accent1 2 16 2 2" xfId="7170"/>
    <cellStyle name="20% - Accent1 2 16 3" xfId="7171"/>
    <cellStyle name="20% - Accent1 2 17" xfId="24467"/>
    <cellStyle name="20% - Accent1 2 2" xfId="112"/>
    <cellStyle name="20% - Accent1 2 2 10" xfId="7172"/>
    <cellStyle name="20% - Accent1 2 2 10 2" xfId="7173"/>
    <cellStyle name="20% - Accent1 2 2 10 3" xfId="7174"/>
    <cellStyle name="20% - Accent1 2 2 11" xfId="7175"/>
    <cellStyle name="20% - Accent1 2 2 11 2" xfId="7176"/>
    <cellStyle name="20% - Accent1 2 2 11 3" xfId="7177"/>
    <cellStyle name="20% - Accent1 2 2 12" xfId="7178"/>
    <cellStyle name="20% - Accent1 2 2 12 2" xfId="7179"/>
    <cellStyle name="20% - Accent1 2 2 12 3" xfId="7180"/>
    <cellStyle name="20% - Accent1 2 2 13" xfId="7181"/>
    <cellStyle name="20% - Accent1 2 2 14" xfId="7182"/>
    <cellStyle name="20% - Accent1 2 2 15" xfId="7183"/>
    <cellStyle name="20% - Accent1 2 2 2" xfId="171"/>
    <cellStyle name="20% - Accent1 2 2 2 2" xfId="7184"/>
    <cellStyle name="20% - Accent1 2 2 2 3" xfId="7185"/>
    <cellStyle name="20% - Accent1 2 2 3" xfId="335"/>
    <cellStyle name="20% - Accent1 2 2 3 2" xfId="7186"/>
    <cellStyle name="20% - Accent1 2 2 3 3" xfId="7187"/>
    <cellStyle name="20% - Accent1 2 2 4" xfId="2157"/>
    <cellStyle name="20% - Accent1 2 2 4 2" xfId="7188"/>
    <cellStyle name="20% - Accent1 2 2 4 3" xfId="7189"/>
    <cellStyle name="20% - Accent1 2 2 5" xfId="2531"/>
    <cellStyle name="20% - Accent1 2 2 5 2" xfId="7190"/>
    <cellStyle name="20% - Accent1 2 2 5 3" xfId="7191"/>
    <cellStyle name="20% - Accent1 2 2 6" xfId="2903"/>
    <cellStyle name="20% - Accent1 2 2 6 2" xfId="7192"/>
    <cellStyle name="20% - Accent1 2 2 6 3" xfId="7193"/>
    <cellStyle name="20% - Accent1 2 2 7" xfId="3275"/>
    <cellStyle name="20% - Accent1 2 2 7 2" xfId="7194"/>
    <cellStyle name="20% - Accent1 2 2 7 3" xfId="7195"/>
    <cellStyle name="20% - Accent1 2 2 8" xfId="4230"/>
    <cellStyle name="20% - Accent1 2 2 8 2" xfId="7197"/>
    <cellStyle name="20% - Accent1 2 2 8 3" xfId="7198"/>
    <cellStyle name="20% - Accent1 2 2 8 4" xfId="7196"/>
    <cellStyle name="20% - Accent1 2 2 9" xfId="7199"/>
    <cellStyle name="20% - Accent1 2 2 9 2" xfId="7200"/>
    <cellStyle name="20% - Accent1 2 2 9 3" xfId="7201"/>
    <cellStyle name="20% - Accent1 2 3" xfId="277"/>
    <cellStyle name="20% - Accent1 2 3 2" xfId="1333"/>
    <cellStyle name="20% - Accent1 2 3 2 2" xfId="7202"/>
    <cellStyle name="20% - Accent1 2 3 2 3" xfId="7203"/>
    <cellStyle name="20% - Accent1 2 3 3" xfId="7204"/>
    <cellStyle name="20% - Accent1 2 3 4" xfId="7205"/>
    <cellStyle name="20% - Accent1 2 4" xfId="358"/>
    <cellStyle name="20% - Accent1 2 4 2" xfId="7206"/>
    <cellStyle name="20% - Accent1 2 4 2 2" xfId="7207"/>
    <cellStyle name="20% - Accent1 2 4 2 3" xfId="7208"/>
    <cellStyle name="20% - Accent1 2 4 3" xfId="7209"/>
    <cellStyle name="20% - Accent1 2 4 4" xfId="7210"/>
    <cellStyle name="20% - Accent1 2 5" xfId="519"/>
    <cellStyle name="20% - Accent1 2 5 2" xfId="7211"/>
    <cellStyle name="20% - Accent1 2 5 3" xfId="7212"/>
    <cellStyle name="20% - Accent1 2 6" xfId="642"/>
    <cellStyle name="20% - Accent1 2 6 2" xfId="7213"/>
    <cellStyle name="20% - Accent1 2 6 3" xfId="7214"/>
    <cellStyle name="20% - Accent1 2 7" xfId="643"/>
    <cellStyle name="20% - Accent1 2 7 2" xfId="7215"/>
    <cellStyle name="20% - Accent1 2 7 3" xfId="7216"/>
    <cellStyle name="20% - Accent1 2 8" xfId="800"/>
    <cellStyle name="20% - Accent1 2 8 2" xfId="1396"/>
    <cellStyle name="20% - Accent1 2 8 2 2" xfId="7217"/>
    <cellStyle name="20% - Accent1 2 8 3" xfId="7218"/>
    <cellStyle name="20% - Accent1 2 8 4" xfId="7219"/>
    <cellStyle name="20% - Accent1 2 8 5" xfId="7220"/>
    <cellStyle name="20% - Accent1 2 9" xfId="922"/>
    <cellStyle name="20% - Accent1 2 9 2" xfId="1387"/>
    <cellStyle name="20% - Accent1 2 9 2 2" xfId="7221"/>
    <cellStyle name="20% - Accent1 2 9 3" xfId="7222"/>
    <cellStyle name="20% - Accent1 2 9 4" xfId="7223"/>
    <cellStyle name="20% - Accent1 2 9 5" xfId="7224"/>
    <cellStyle name="20% - Accent1 20" xfId="7225"/>
    <cellStyle name="20% - Accent1 21" xfId="7226"/>
    <cellStyle name="20% - Accent1 21 2" xfId="7227"/>
    <cellStyle name="20% - Accent1 21 2 2" xfId="7228"/>
    <cellStyle name="20% - Accent1 21 2 2 2" xfId="25079"/>
    <cellStyle name="20% - Accent1 21 2 2 3" xfId="28150"/>
    <cellStyle name="20% - Accent1 21 2 3" xfId="7229"/>
    <cellStyle name="20% - Accent1 21 2 3 2" xfId="25080"/>
    <cellStyle name="20% - Accent1 21 2 3 3" xfId="28151"/>
    <cellStyle name="20% - Accent1 21 2 4" xfId="25078"/>
    <cellStyle name="20% - Accent1 21 2 5" xfId="28149"/>
    <cellStyle name="20% - Accent1 21 3" xfId="7230"/>
    <cellStyle name="20% - Accent1 21 3 2" xfId="25081"/>
    <cellStyle name="20% - Accent1 21 3 3" xfId="28152"/>
    <cellStyle name="20% - Accent1 21 4" xfId="7231"/>
    <cellStyle name="20% - Accent1 21 4 2" xfId="25082"/>
    <cellStyle name="20% - Accent1 21 4 3" xfId="28153"/>
    <cellStyle name="20% - Accent1 21 5" xfId="25077"/>
    <cellStyle name="20% - Accent1 21 6" xfId="28148"/>
    <cellStyle name="20% - Accent1 22" xfId="7232"/>
    <cellStyle name="20% - Accent1 22 2" xfId="7233"/>
    <cellStyle name="20% - Accent1 22 2 2" xfId="7234"/>
    <cellStyle name="20% - Accent1 22 2 2 2" xfId="25085"/>
    <cellStyle name="20% - Accent1 22 2 2 3" xfId="28156"/>
    <cellStyle name="20% - Accent1 22 2 3" xfId="7235"/>
    <cellStyle name="20% - Accent1 22 2 3 2" xfId="25086"/>
    <cellStyle name="20% - Accent1 22 2 3 3" xfId="28157"/>
    <cellStyle name="20% - Accent1 22 2 4" xfId="25084"/>
    <cellStyle name="20% - Accent1 22 2 5" xfId="28155"/>
    <cellStyle name="20% - Accent1 22 3" xfId="7236"/>
    <cellStyle name="20% - Accent1 22 3 2" xfId="25087"/>
    <cellStyle name="20% - Accent1 22 3 3" xfId="28158"/>
    <cellStyle name="20% - Accent1 22 4" xfId="7237"/>
    <cellStyle name="20% - Accent1 22 4 2" xfId="25088"/>
    <cellStyle name="20% - Accent1 22 4 3" xfId="28159"/>
    <cellStyle name="20% - Accent1 22 5" xfId="25083"/>
    <cellStyle name="20% - Accent1 22 6" xfId="28154"/>
    <cellStyle name="20% - Accent1 23" xfId="7238"/>
    <cellStyle name="20% - Accent1 24" xfId="7239"/>
    <cellStyle name="20% - Accent1 24 2" xfId="7240"/>
    <cellStyle name="20% - Accent1 24 2 2" xfId="7241"/>
    <cellStyle name="20% - Accent1 24 2 2 2" xfId="25091"/>
    <cellStyle name="20% - Accent1 24 2 2 3" xfId="28162"/>
    <cellStyle name="20% - Accent1 24 2 3" xfId="7242"/>
    <cellStyle name="20% - Accent1 24 2 3 2" xfId="25092"/>
    <cellStyle name="20% - Accent1 24 2 3 3" xfId="28163"/>
    <cellStyle name="20% - Accent1 24 2 4" xfId="25090"/>
    <cellStyle name="20% - Accent1 24 2 5" xfId="28161"/>
    <cellStyle name="20% - Accent1 24 3" xfId="7243"/>
    <cellStyle name="20% - Accent1 24 3 2" xfId="25093"/>
    <cellStyle name="20% - Accent1 24 3 3" xfId="28164"/>
    <cellStyle name="20% - Accent1 24 4" xfId="7244"/>
    <cellStyle name="20% - Accent1 24 4 2" xfId="25094"/>
    <cellStyle name="20% - Accent1 24 4 3" xfId="28165"/>
    <cellStyle name="20% - Accent1 24 5" xfId="25089"/>
    <cellStyle name="20% - Accent1 24 6" xfId="28160"/>
    <cellStyle name="20% - Accent1 25" xfId="7245"/>
    <cellStyle name="20% - Accent1 25 2" xfId="7246"/>
    <cellStyle name="20% - Accent1 25 2 2" xfId="7247"/>
    <cellStyle name="20% - Accent1 25 2 2 2" xfId="25097"/>
    <cellStyle name="20% - Accent1 25 2 2 3" xfId="28168"/>
    <cellStyle name="20% - Accent1 25 2 3" xfId="7248"/>
    <cellStyle name="20% - Accent1 25 2 3 2" xfId="25098"/>
    <cellStyle name="20% - Accent1 25 2 3 3" xfId="28169"/>
    <cellStyle name="20% - Accent1 25 2 4" xfId="25096"/>
    <cellStyle name="20% - Accent1 25 2 5" xfId="28167"/>
    <cellStyle name="20% - Accent1 25 3" xfId="7249"/>
    <cellStyle name="20% - Accent1 25 3 2" xfId="25099"/>
    <cellStyle name="20% - Accent1 25 3 3" xfId="28170"/>
    <cellStyle name="20% - Accent1 25 4" xfId="7250"/>
    <cellStyle name="20% - Accent1 25 4 2" xfId="25100"/>
    <cellStyle name="20% - Accent1 25 4 3" xfId="28171"/>
    <cellStyle name="20% - Accent1 25 5" xfId="25095"/>
    <cellStyle name="20% - Accent1 25 6" xfId="28166"/>
    <cellStyle name="20% - Accent1 26" xfId="7251"/>
    <cellStyle name="20% - Accent1 27" xfId="7252"/>
    <cellStyle name="20% - Accent1 27 2" xfId="7253"/>
    <cellStyle name="20% - Accent1 27 2 2" xfId="7254"/>
    <cellStyle name="20% - Accent1 27 2 2 2" xfId="25103"/>
    <cellStyle name="20% - Accent1 27 2 2 3" xfId="28174"/>
    <cellStyle name="20% - Accent1 27 2 3" xfId="7255"/>
    <cellStyle name="20% - Accent1 27 2 3 2" xfId="25104"/>
    <cellStyle name="20% - Accent1 27 2 3 3" xfId="28175"/>
    <cellStyle name="20% - Accent1 27 2 4" xfId="25102"/>
    <cellStyle name="20% - Accent1 27 2 5" xfId="28173"/>
    <cellStyle name="20% - Accent1 27 3" xfId="7256"/>
    <cellStyle name="20% - Accent1 27 3 2" xfId="25105"/>
    <cellStyle name="20% - Accent1 27 3 3" xfId="28176"/>
    <cellStyle name="20% - Accent1 27 4" xfId="7257"/>
    <cellStyle name="20% - Accent1 27 4 2" xfId="25106"/>
    <cellStyle name="20% - Accent1 27 4 3" xfId="28177"/>
    <cellStyle name="20% - Accent1 27 5" xfId="25101"/>
    <cellStyle name="20% - Accent1 27 6" xfId="28172"/>
    <cellStyle name="20% - Accent1 28" xfId="7258"/>
    <cellStyle name="20% - Accent1 28 2" xfId="7259"/>
    <cellStyle name="20% - Accent1 28 2 2" xfId="25108"/>
    <cellStyle name="20% - Accent1 28 2 3" xfId="28179"/>
    <cellStyle name="20% - Accent1 28 3" xfId="7260"/>
    <cellStyle name="20% - Accent1 28 3 2" xfId="25109"/>
    <cellStyle name="20% - Accent1 28 3 3" xfId="28180"/>
    <cellStyle name="20% - Accent1 28 4" xfId="25107"/>
    <cellStyle name="20% - Accent1 28 5" xfId="28178"/>
    <cellStyle name="20% - Accent1 29" xfId="7261"/>
    <cellStyle name="20% - Accent1 29 2" xfId="25110"/>
    <cellStyle name="20% - Accent1 29 3" xfId="28181"/>
    <cellStyle name="20% - Accent1 3" xfId="212"/>
    <cellStyle name="20% - Accent1 3 10" xfId="3675"/>
    <cellStyle name="20% - Accent1 3 10 2" xfId="4231"/>
    <cellStyle name="20% - Accent1 3 10 2 2" xfId="7262"/>
    <cellStyle name="20% - Accent1 3 10 3" xfId="7263"/>
    <cellStyle name="20% - Accent1 3 10 4" xfId="7264"/>
    <cellStyle name="20% - Accent1 3 10 5" xfId="7265"/>
    <cellStyle name="20% - Accent1 3 11" xfId="7266"/>
    <cellStyle name="20% - Accent1 3 11 2" xfId="7267"/>
    <cellStyle name="20% - Accent1 3 11 3" xfId="7268"/>
    <cellStyle name="20% - Accent1 3 12" xfId="7269"/>
    <cellStyle name="20% - Accent1 3 12 2" xfId="7270"/>
    <cellStyle name="20% - Accent1 3 12 3" xfId="7271"/>
    <cellStyle name="20% - Accent1 3 13" xfId="7272"/>
    <cellStyle name="20% - Accent1 3 13 2" xfId="7273"/>
    <cellStyle name="20% - Accent1 3 13 3" xfId="7274"/>
    <cellStyle name="20% - Accent1 3 14" xfId="7275"/>
    <cellStyle name="20% - Accent1 3 15" xfId="7276"/>
    <cellStyle name="20% - Accent1 3 2" xfId="1448"/>
    <cellStyle name="20% - Accent1 3 2 10" xfId="7277"/>
    <cellStyle name="20% - Accent1 3 2 10 2" xfId="7278"/>
    <cellStyle name="20% - Accent1 3 2 10 3" xfId="7279"/>
    <cellStyle name="20% - Accent1 3 2 11" xfId="7280"/>
    <cellStyle name="20% - Accent1 3 2 11 2" xfId="7281"/>
    <cellStyle name="20% - Accent1 3 2 11 3" xfId="7282"/>
    <cellStyle name="20% - Accent1 3 2 12" xfId="7283"/>
    <cellStyle name="20% - Accent1 3 2 12 2" xfId="7284"/>
    <cellStyle name="20% - Accent1 3 2 12 3" xfId="7285"/>
    <cellStyle name="20% - Accent1 3 2 13" xfId="7286"/>
    <cellStyle name="20% - Accent1 3 2 14" xfId="7287"/>
    <cellStyle name="20% - Accent1 3 2 15" xfId="7288"/>
    <cellStyle name="20% - Accent1 3 2 2" xfId="1823"/>
    <cellStyle name="20% - Accent1 3 2 2 2" xfId="7289"/>
    <cellStyle name="20% - Accent1 3 2 2 3" xfId="7290"/>
    <cellStyle name="20% - Accent1 3 2 3" xfId="2198"/>
    <cellStyle name="20% - Accent1 3 2 3 2" xfId="7291"/>
    <cellStyle name="20% - Accent1 3 2 3 3" xfId="7292"/>
    <cellStyle name="20% - Accent1 3 2 4" xfId="2572"/>
    <cellStyle name="20% - Accent1 3 2 4 2" xfId="7293"/>
    <cellStyle name="20% - Accent1 3 2 4 3" xfId="7294"/>
    <cellStyle name="20% - Accent1 3 2 5" xfId="2944"/>
    <cellStyle name="20% - Accent1 3 2 5 2" xfId="7295"/>
    <cellStyle name="20% - Accent1 3 2 5 3" xfId="7296"/>
    <cellStyle name="20% - Accent1 3 2 6" xfId="3316"/>
    <cellStyle name="20% - Accent1 3 2 6 2" xfId="7297"/>
    <cellStyle name="20% - Accent1 3 2 6 3" xfId="7298"/>
    <cellStyle name="20% - Accent1 3 2 7" xfId="4232"/>
    <cellStyle name="20% - Accent1 3 2 7 2" xfId="7300"/>
    <cellStyle name="20% - Accent1 3 2 7 3" xfId="7301"/>
    <cellStyle name="20% - Accent1 3 2 7 4" xfId="7299"/>
    <cellStyle name="20% - Accent1 3 2 8" xfId="7302"/>
    <cellStyle name="20% - Accent1 3 2 8 2" xfId="7303"/>
    <cellStyle name="20% - Accent1 3 2 8 3" xfId="7304"/>
    <cellStyle name="20% - Accent1 3 2 9" xfId="7305"/>
    <cellStyle name="20% - Accent1 3 2 9 2" xfId="7306"/>
    <cellStyle name="20% - Accent1 3 2 9 3" xfId="7307"/>
    <cellStyle name="20% - Accent1 3 3" xfId="1575"/>
    <cellStyle name="20% - Accent1 3 3 2" xfId="1900"/>
    <cellStyle name="20% - Accent1 3 3 3" xfId="2275"/>
    <cellStyle name="20% - Accent1 3 3 4" xfId="2648"/>
    <cellStyle name="20% - Accent1 3 3 5" xfId="3021"/>
    <cellStyle name="20% - Accent1 3 3 6" xfId="3392"/>
    <cellStyle name="20% - Accent1 3 3 7" xfId="4233"/>
    <cellStyle name="20% - Accent1 3 4" xfId="1712"/>
    <cellStyle name="20% - Accent1 3 4 2" xfId="1944"/>
    <cellStyle name="20% - Accent1 3 4 3" xfId="2319"/>
    <cellStyle name="20% - Accent1 3 4 4" xfId="2692"/>
    <cellStyle name="20% - Accent1 3 4 5" xfId="3065"/>
    <cellStyle name="20% - Accent1 3 4 6" xfId="3436"/>
    <cellStyle name="20% - Accent1 3 5" xfId="2047"/>
    <cellStyle name="20% - Accent1 3 5 2" xfId="7308"/>
    <cellStyle name="20% - Accent1 3 5 3" xfId="7309"/>
    <cellStyle name="20% - Accent1 3 5 4" xfId="7310"/>
    <cellStyle name="20% - Accent1 3 6" xfId="2421"/>
    <cellStyle name="20% - Accent1 3 6 2" xfId="7311"/>
    <cellStyle name="20% - Accent1 3 6 3" xfId="7312"/>
    <cellStyle name="20% - Accent1 3 6 4" xfId="7313"/>
    <cellStyle name="20% - Accent1 3 7" xfId="2793"/>
    <cellStyle name="20% - Accent1 3 7 2" xfId="7314"/>
    <cellStyle name="20% - Accent1 3 7 3" xfId="7315"/>
    <cellStyle name="20% - Accent1 3 7 4" xfId="7316"/>
    <cellStyle name="20% - Accent1 3 8" xfId="3164"/>
    <cellStyle name="20% - Accent1 3 8 2" xfId="7317"/>
    <cellStyle name="20% - Accent1 3 8 3" xfId="7318"/>
    <cellStyle name="20% - Accent1 3 8 4" xfId="7319"/>
    <cellStyle name="20% - Accent1 3 9" xfId="3539"/>
    <cellStyle name="20% - Accent1 3 9 2" xfId="4234"/>
    <cellStyle name="20% - Accent1 3 9 2 2" xfId="7320"/>
    <cellStyle name="20% - Accent1 3 9 3" xfId="7321"/>
    <cellStyle name="20% - Accent1 3 9 4" xfId="7322"/>
    <cellStyle name="20% - Accent1 3 9 5" xfId="7323"/>
    <cellStyle name="20% - Accent1 30" xfId="28140"/>
    <cellStyle name="20% - Accent1 4" xfId="235"/>
    <cellStyle name="20% - Accent1 4 10" xfId="3719"/>
    <cellStyle name="20% - Accent1 4 10 2" xfId="4236"/>
    <cellStyle name="20% - Accent1 4 10 2 2" xfId="7325"/>
    <cellStyle name="20% - Accent1 4 10 3" xfId="7326"/>
    <cellStyle name="20% - Accent1 4 10 4" xfId="7327"/>
    <cellStyle name="20% - Accent1 4 10 5" xfId="7328"/>
    <cellStyle name="20% - Accent1 4 11" xfId="1294"/>
    <cellStyle name="20% - Accent1 4 11 10" xfId="25111"/>
    <cellStyle name="20% - Accent1 4 11 11" xfId="28183"/>
    <cellStyle name="20% - Accent1 4 11 2" xfId="4144"/>
    <cellStyle name="20% - Accent1 4 11 2 2" xfId="5306"/>
    <cellStyle name="20% - Accent1 4 11 2 2 2" xfId="5928"/>
    <cellStyle name="20% - Accent1 4 11 2 2 2 2" xfId="25114"/>
    <cellStyle name="20% - Accent1 4 11 2 2 3" xfId="7331"/>
    <cellStyle name="20% - Accent1 4 11 2 2 4" xfId="25113"/>
    <cellStyle name="20% - Accent1 4 11 2 3" xfId="5616"/>
    <cellStyle name="20% - Accent1 4 11 2 3 2" xfId="5929"/>
    <cellStyle name="20% - Accent1 4 11 2 3 2 2" xfId="25116"/>
    <cellStyle name="20% - Accent1 4 11 2 3 3" xfId="25115"/>
    <cellStyle name="20% - Accent1 4 11 2 4" xfId="4238"/>
    <cellStyle name="20% - Accent1 4 11 2 4 2" xfId="5930"/>
    <cellStyle name="20% - Accent1 4 11 2 4 2 2" xfId="25118"/>
    <cellStyle name="20% - Accent1 4 11 2 4 3" xfId="25117"/>
    <cellStyle name="20% - Accent1 4 11 2 5" xfId="5927"/>
    <cellStyle name="20% - Accent1 4 11 2 5 2" xfId="25119"/>
    <cellStyle name="20% - Accent1 4 11 2 6" xfId="7330"/>
    <cellStyle name="20% - Accent1 4 11 2 6 2" xfId="25120"/>
    <cellStyle name="20% - Accent1 4 11 2 7" xfId="24996"/>
    <cellStyle name="20% - Accent1 4 11 2 8" xfId="25112"/>
    <cellStyle name="20% - Accent1 4 11 2 9" xfId="28184"/>
    <cellStyle name="20% - Accent1 4 11 3" xfId="5305"/>
    <cellStyle name="20% - Accent1 4 11 3 2" xfId="5931"/>
    <cellStyle name="20% - Accent1 4 11 3 2 2" xfId="25122"/>
    <cellStyle name="20% - Accent1 4 11 3 3" xfId="7332"/>
    <cellStyle name="20% - Accent1 4 11 3 4" xfId="25121"/>
    <cellStyle name="20% - Accent1 4 11 4" xfId="5615"/>
    <cellStyle name="20% - Accent1 4 11 4 2" xfId="5932"/>
    <cellStyle name="20% - Accent1 4 11 4 2 2" xfId="25124"/>
    <cellStyle name="20% - Accent1 4 11 4 3" xfId="7333"/>
    <cellStyle name="20% - Accent1 4 11 4 4" xfId="25123"/>
    <cellStyle name="20% - Accent1 4 11 5" xfId="4237"/>
    <cellStyle name="20% - Accent1 4 11 5 2" xfId="5933"/>
    <cellStyle name="20% - Accent1 4 11 5 2 2" xfId="7335"/>
    <cellStyle name="20% - Accent1 4 11 5 2 2 2" xfId="25127"/>
    <cellStyle name="20% - Accent1 4 11 5 2 3" xfId="25126"/>
    <cellStyle name="20% - Accent1 4 11 5 2 4" xfId="28186"/>
    <cellStyle name="20% - Accent1 4 11 5 3" xfId="7336"/>
    <cellStyle name="20% - Accent1 4 11 5 3 2" xfId="25128"/>
    <cellStyle name="20% - Accent1 4 11 5 3 3" xfId="28187"/>
    <cellStyle name="20% - Accent1 4 11 5 4" xfId="7334"/>
    <cellStyle name="20% - Accent1 4 11 5 4 2" xfId="25129"/>
    <cellStyle name="20% - Accent1 4 11 5 5" xfId="25125"/>
    <cellStyle name="20% - Accent1 4 11 5 6" xfId="28185"/>
    <cellStyle name="20% - Accent1 4 11 6" xfId="5926"/>
    <cellStyle name="20% - Accent1 4 11 6 2" xfId="7337"/>
    <cellStyle name="20% - Accent1 4 11 6 2 2" xfId="25131"/>
    <cellStyle name="20% - Accent1 4 11 6 3" xfId="25130"/>
    <cellStyle name="20% - Accent1 4 11 6 4" xfId="28188"/>
    <cellStyle name="20% - Accent1 4 11 7" xfId="7338"/>
    <cellStyle name="20% - Accent1 4 11 7 2" xfId="25132"/>
    <cellStyle name="20% - Accent1 4 11 7 3" xfId="28189"/>
    <cellStyle name="20% - Accent1 4 11 8" xfId="7329"/>
    <cellStyle name="20% - Accent1 4 11 8 2" xfId="25133"/>
    <cellStyle name="20% - Accent1 4 11 9" xfId="24876"/>
    <cellStyle name="20% - Accent1 4 12" xfId="4239"/>
    <cellStyle name="20% - Accent1 4 12 2" xfId="5307"/>
    <cellStyle name="20% - Accent1 4 12 2 2" xfId="5935"/>
    <cellStyle name="20% - Accent1 4 12 2 2 2" xfId="25136"/>
    <cellStyle name="20% - Accent1 4 12 2 3" xfId="7340"/>
    <cellStyle name="20% - Accent1 4 12 2 4" xfId="25135"/>
    <cellStyle name="20% - Accent1 4 12 3" xfId="5617"/>
    <cellStyle name="20% - Accent1 4 12 3 2" xfId="5936"/>
    <cellStyle name="20% - Accent1 4 12 3 2 2" xfId="25138"/>
    <cellStyle name="20% - Accent1 4 12 3 3" xfId="7341"/>
    <cellStyle name="20% - Accent1 4 12 3 4" xfId="25137"/>
    <cellStyle name="20% - Accent1 4 12 4" xfId="5934"/>
    <cellStyle name="20% - Accent1 4 12 4 2" xfId="7342"/>
    <cellStyle name="20% - Accent1 4 12 4 3" xfId="25139"/>
    <cellStyle name="20% - Accent1 4 12 5" xfId="7339"/>
    <cellStyle name="20% - Accent1 4 12 5 2" xfId="25140"/>
    <cellStyle name="20% - Accent1 4 12 6" xfId="25134"/>
    <cellStyle name="20% - Accent1 4 12 7" xfId="28190"/>
    <cellStyle name="20% - Accent1 4 13" xfId="5304"/>
    <cellStyle name="20% - Accent1 4 13 2" xfId="5937"/>
    <cellStyle name="20% - Accent1 4 13 2 2" xfId="7344"/>
    <cellStyle name="20% - Accent1 4 13 2 3" xfId="25142"/>
    <cellStyle name="20% - Accent1 4 13 3" xfId="7345"/>
    <cellStyle name="20% - Accent1 4 13 4" xfId="7343"/>
    <cellStyle name="20% - Accent1 4 13 5" xfId="25141"/>
    <cellStyle name="20% - Accent1 4 14" xfId="5614"/>
    <cellStyle name="20% - Accent1 4 14 2" xfId="5938"/>
    <cellStyle name="20% - Accent1 4 14 2 2" xfId="25144"/>
    <cellStyle name="20% - Accent1 4 14 3" xfId="7346"/>
    <cellStyle name="20% - Accent1 4 14 4" xfId="25143"/>
    <cellStyle name="20% - Accent1 4 15" xfId="4235"/>
    <cellStyle name="20% - Accent1 4 15 2" xfId="5939"/>
    <cellStyle name="20% - Accent1 4 15 2 2" xfId="25146"/>
    <cellStyle name="20% - Accent1 4 15 3" xfId="7347"/>
    <cellStyle name="20% - Accent1 4 15 4" xfId="25145"/>
    <cellStyle name="20% - Accent1 4 16" xfId="7348"/>
    <cellStyle name="20% - Accent1 4 17" xfId="7349"/>
    <cellStyle name="20% - Accent1 4 17 2" xfId="7350"/>
    <cellStyle name="20% - Accent1 4 17 2 2" xfId="25148"/>
    <cellStyle name="20% - Accent1 4 17 2 3" xfId="28192"/>
    <cellStyle name="20% - Accent1 4 17 3" xfId="7351"/>
    <cellStyle name="20% - Accent1 4 17 3 2" xfId="25149"/>
    <cellStyle name="20% - Accent1 4 17 3 3" xfId="28193"/>
    <cellStyle name="20% - Accent1 4 17 4" xfId="25147"/>
    <cellStyle name="20% - Accent1 4 17 5" xfId="28191"/>
    <cellStyle name="20% - Accent1 4 18" xfId="7352"/>
    <cellStyle name="20% - Accent1 4 18 2" xfId="25150"/>
    <cellStyle name="20% - Accent1 4 18 3" xfId="28194"/>
    <cellStyle name="20% - Accent1 4 19" xfId="7353"/>
    <cellStyle name="20% - Accent1 4 19 2" xfId="25151"/>
    <cellStyle name="20% - Accent1 4 19 3" xfId="28195"/>
    <cellStyle name="20% - Accent1 4 2" xfId="1493"/>
    <cellStyle name="20% - Accent1 4 2 10" xfId="7354"/>
    <cellStyle name="20% - Accent1 4 2 10 2" xfId="7355"/>
    <cellStyle name="20% - Accent1 4 2 10 3" xfId="7356"/>
    <cellStyle name="20% - Accent1 4 2 11" xfId="7357"/>
    <cellStyle name="20% - Accent1 4 2 11 2" xfId="7358"/>
    <cellStyle name="20% - Accent1 4 2 11 3" xfId="7359"/>
    <cellStyle name="20% - Accent1 4 2 12" xfId="7360"/>
    <cellStyle name="20% - Accent1 4 2 12 2" xfId="7361"/>
    <cellStyle name="20% - Accent1 4 2 12 3" xfId="7362"/>
    <cellStyle name="20% - Accent1 4 2 13" xfId="7363"/>
    <cellStyle name="20% - Accent1 4 2 14" xfId="7364"/>
    <cellStyle name="20% - Accent1 4 2 15" xfId="7365"/>
    <cellStyle name="20% - Accent1 4 2 16" xfId="7366"/>
    <cellStyle name="20% - Accent1 4 2 2" xfId="4240"/>
    <cellStyle name="20% - Accent1 4 2 2 2" xfId="7368"/>
    <cellStyle name="20% - Accent1 4 2 2 3" xfId="7369"/>
    <cellStyle name="20% - Accent1 4 2 2 4" xfId="7367"/>
    <cellStyle name="20% - Accent1 4 2 3" xfId="7370"/>
    <cellStyle name="20% - Accent1 4 2 3 2" xfId="7371"/>
    <cellStyle name="20% - Accent1 4 2 3 3" xfId="7372"/>
    <cellStyle name="20% - Accent1 4 2 4" xfId="7373"/>
    <cellStyle name="20% - Accent1 4 2 4 2" xfId="7374"/>
    <cellStyle name="20% - Accent1 4 2 4 3" xfId="7375"/>
    <cellStyle name="20% - Accent1 4 2 5" xfId="7376"/>
    <cellStyle name="20% - Accent1 4 2 5 2" xfId="7377"/>
    <cellStyle name="20% - Accent1 4 2 5 3" xfId="7378"/>
    <cellStyle name="20% - Accent1 4 2 6" xfId="7379"/>
    <cellStyle name="20% - Accent1 4 2 6 2" xfId="7380"/>
    <cellStyle name="20% - Accent1 4 2 6 3" xfId="7381"/>
    <cellStyle name="20% - Accent1 4 2 7" xfId="7382"/>
    <cellStyle name="20% - Accent1 4 2 7 2" xfId="7383"/>
    <cellStyle name="20% - Accent1 4 2 7 3" xfId="7384"/>
    <cellStyle name="20% - Accent1 4 2 8" xfId="7385"/>
    <cellStyle name="20% - Accent1 4 2 8 2" xfId="7386"/>
    <cellStyle name="20% - Accent1 4 2 8 3" xfId="7387"/>
    <cellStyle name="20% - Accent1 4 2 9" xfId="7388"/>
    <cellStyle name="20% - Accent1 4 2 9 2" xfId="7389"/>
    <cellStyle name="20% - Accent1 4 2 9 3" xfId="7390"/>
    <cellStyle name="20% - Accent1 4 20" xfId="7324"/>
    <cellStyle name="20% - Accent1 4 20 2" xfId="25152"/>
    <cellStyle name="20% - Accent1 4 21" xfId="28182"/>
    <cellStyle name="20% - Accent1 4 3" xfId="1618"/>
    <cellStyle name="20% - Accent1 4 3 2" xfId="4241"/>
    <cellStyle name="20% - Accent1 4 3 2 2" xfId="7391"/>
    <cellStyle name="20% - Accent1 4 3 3" xfId="7392"/>
    <cellStyle name="20% - Accent1 4 3 4" xfId="7393"/>
    <cellStyle name="20% - Accent1 4 3 5" xfId="7394"/>
    <cellStyle name="20% - Accent1 4 4" xfId="1804"/>
    <cellStyle name="20% - Accent1 4 4 2" xfId="7395"/>
    <cellStyle name="20% - Accent1 4 4 3" xfId="7396"/>
    <cellStyle name="20% - Accent1 4 4 4" xfId="7397"/>
    <cellStyle name="20% - Accent1 4 5" xfId="2140"/>
    <cellStyle name="20% - Accent1 4 5 2" xfId="7398"/>
    <cellStyle name="20% - Accent1 4 5 3" xfId="7399"/>
    <cellStyle name="20% - Accent1 4 5 4" xfId="7400"/>
    <cellStyle name="20% - Accent1 4 6" xfId="2514"/>
    <cellStyle name="20% - Accent1 4 6 2" xfId="7401"/>
    <cellStyle name="20% - Accent1 4 6 3" xfId="7402"/>
    <cellStyle name="20% - Accent1 4 6 4" xfId="7403"/>
    <cellStyle name="20% - Accent1 4 7" xfId="2886"/>
    <cellStyle name="20% - Accent1 4 7 2" xfId="7404"/>
    <cellStyle name="20% - Accent1 4 7 3" xfId="7405"/>
    <cellStyle name="20% - Accent1 4 7 4" xfId="7406"/>
    <cellStyle name="20% - Accent1 4 8" xfId="3257"/>
    <cellStyle name="20% - Accent1 4 8 2" xfId="7407"/>
    <cellStyle name="20% - Accent1 4 8 3" xfId="7408"/>
    <cellStyle name="20% - Accent1 4 8 4" xfId="7409"/>
    <cellStyle name="20% - Accent1 4 9" xfId="3582"/>
    <cellStyle name="20% - Accent1 4 9 2" xfId="4242"/>
    <cellStyle name="20% - Accent1 4 9 2 2" xfId="7410"/>
    <cellStyle name="20% - Accent1 4 9 3" xfId="7411"/>
    <cellStyle name="20% - Accent1 4 9 4" xfId="7412"/>
    <cellStyle name="20% - Accent1 4 9 5" xfId="7413"/>
    <cellStyle name="20% - Accent1 5" xfId="359"/>
    <cellStyle name="20% - Accent1 5 10" xfId="7414"/>
    <cellStyle name="20% - Accent1 5 10 2" xfId="7415"/>
    <cellStyle name="20% - Accent1 5 10 3" xfId="7416"/>
    <cellStyle name="20% - Accent1 5 11" xfId="7417"/>
    <cellStyle name="20% - Accent1 5 11 2" xfId="7418"/>
    <cellStyle name="20% - Accent1 5 11 3" xfId="7419"/>
    <cellStyle name="20% - Accent1 5 12" xfId="7420"/>
    <cellStyle name="20% - Accent1 5 12 2" xfId="7421"/>
    <cellStyle name="20% - Accent1 5 12 3" xfId="7422"/>
    <cellStyle name="20% - Accent1 5 13" xfId="7423"/>
    <cellStyle name="20% - Accent1 5 13 2" xfId="7424"/>
    <cellStyle name="20% - Accent1 5 13 3" xfId="7425"/>
    <cellStyle name="20% - Accent1 5 14" xfId="7426"/>
    <cellStyle name="20% - Accent1 5 15" xfId="7427"/>
    <cellStyle name="20% - Accent1 5 16" xfId="7428"/>
    <cellStyle name="20% - Accent1 5 17" xfId="7429"/>
    <cellStyle name="20% - Accent1 5 2" xfId="1867"/>
    <cellStyle name="20% - Accent1 5 2 10" xfId="7430"/>
    <cellStyle name="20% - Accent1 5 2 10 2" xfId="7431"/>
    <cellStyle name="20% - Accent1 5 2 10 3" xfId="7432"/>
    <cellStyle name="20% - Accent1 5 2 11" xfId="7433"/>
    <cellStyle name="20% - Accent1 5 2 11 2" xfId="7434"/>
    <cellStyle name="20% - Accent1 5 2 11 3" xfId="7435"/>
    <cellStyle name="20% - Accent1 5 2 12" xfId="7436"/>
    <cellStyle name="20% - Accent1 5 2 12 2" xfId="7437"/>
    <cellStyle name="20% - Accent1 5 2 12 3" xfId="7438"/>
    <cellStyle name="20% - Accent1 5 2 13" xfId="7439"/>
    <cellStyle name="20% - Accent1 5 2 14" xfId="7440"/>
    <cellStyle name="20% - Accent1 5 2 15" xfId="7441"/>
    <cellStyle name="20% - Accent1 5 2 2" xfId="7442"/>
    <cellStyle name="20% - Accent1 5 2 2 2" xfId="7443"/>
    <cellStyle name="20% - Accent1 5 2 2 3" xfId="7444"/>
    <cellStyle name="20% - Accent1 5 2 3" xfId="7445"/>
    <cellStyle name="20% - Accent1 5 2 3 2" xfId="7446"/>
    <cellStyle name="20% - Accent1 5 2 3 3" xfId="7447"/>
    <cellStyle name="20% - Accent1 5 2 4" xfId="7448"/>
    <cellStyle name="20% - Accent1 5 2 4 2" xfId="7449"/>
    <cellStyle name="20% - Accent1 5 2 4 3" xfId="7450"/>
    <cellStyle name="20% - Accent1 5 2 5" xfId="7451"/>
    <cellStyle name="20% - Accent1 5 2 5 2" xfId="7452"/>
    <cellStyle name="20% - Accent1 5 2 5 3" xfId="7453"/>
    <cellStyle name="20% - Accent1 5 2 6" xfId="7454"/>
    <cellStyle name="20% - Accent1 5 2 6 2" xfId="7455"/>
    <cellStyle name="20% - Accent1 5 2 6 3" xfId="7456"/>
    <cellStyle name="20% - Accent1 5 2 7" xfId="7457"/>
    <cellStyle name="20% - Accent1 5 2 7 2" xfId="7458"/>
    <cellStyle name="20% - Accent1 5 2 7 3" xfId="7459"/>
    <cellStyle name="20% - Accent1 5 2 8" xfId="7460"/>
    <cellStyle name="20% - Accent1 5 2 8 2" xfId="7461"/>
    <cellStyle name="20% - Accent1 5 2 8 3" xfId="7462"/>
    <cellStyle name="20% - Accent1 5 2 9" xfId="7463"/>
    <cellStyle name="20% - Accent1 5 2 9 2" xfId="7464"/>
    <cellStyle name="20% - Accent1 5 2 9 3" xfId="7465"/>
    <cellStyle name="20% - Accent1 5 3" xfId="2242"/>
    <cellStyle name="20% - Accent1 5 3 2" xfId="7466"/>
    <cellStyle name="20% - Accent1 5 3 3" xfId="7467"/>
    <cellStyle name="20% - Accent1 5 3 4" xfId="7468"/>
    <cellStyle name="20% - Accent1 5 4" xfId="2616"/>
    <cellStyle name="20% - Accent1 5 4 2" xfId="7469"/>
    <cellStyle name="20% - Accent1 5 4 3" xfId="7470"/>
    <cellStyle name="20% - Accent1 5 4 4" xfId="7471"/>
    <cellStyle name="20% - Accent1 5 5" xfId="2988"/>
    <cellStyle name="20% - Accent1 5 5 2" xfId="7472"/>
    <cellStyle name="20% - Accent1 5 5 3" xfId="7473"/>
    <cellStyle name="20% - Accent1 5 5 4" xfId="7474"/>
    <cellStyle name="20% - Accent1 5 6" xfId="3360"/>
    <cellStyle name="20% - Accent1 5 6 2" xfId="7475"/>
    <cellStyle name="20% - Accent1 5 6 3" xfId="7476"/>
    <cellStyle name="20% - Accent1 5 6 4" xfId="7477"/>
    <cellStyle name="20% - Accent1 5 7" xfId="4243"/>
    <cellStyle name="20% - Accent1 5 7 2" xfId="7479"/>
    <cellStyle name="20% - Accent1 5 7 3" xfId="7480"/>
    <cellStyle name="20% - Accent1 5 7 4" xfId="7478"/>
    <cellStyle name="20% - Accent1 5 8" xfId="7481"/>
    <cellStyle name="20% - Accent1 5 8 2" xfId="7482"/>
    <cellStyle name="20% - Accent1 5 8 3" xfId="7483"/>
    <cellStyle name="20% - Accent1 5 9" xfId="7484"/>
    <cellStyle name="20% - Accent1 5 9 2" xfId="7485"/>
    <cellStyle name="20% - Accent1 5 9 3" xfId="7486"/>
    <cellStyle name="20% - Accent1 6" xfId="360"/>
    <cellStyle name="20% - Accent1 6 10" xfId="5308"/>
    <cellStyle name="20% - Accent1 6 10 2" xfId="5941"/>
    <cellStyle name="20% - Accent1 6 10 2 2" xfId="7489"/>
    <cellStyle name="20% - Accent1 6 10 2 3" xfId="25155"/>
    <cellStyle name="20% - Accent1 6 10 3" xfId="7490"/>
    <cellStyle name="20% - Accent1 6 10 4" xfId="7488"/>
    <cellStyle name="20% - Accent1 6 10 5" xfId="25154"/>
    <cellStyle name="20% - Accent1 6 11" xfId="5618"/>
    <cellStyle name="20% - Accent1 6 11 2" xfId="5942"/>
    <cellStyle name="20% - Accent1 6 11 2 2" xfId="7492"/>
    <cellStyle name="20% - Accent1 6 11 2 3" xfId="25157"/>
    <cellStyle name="20% - Accent1 6 11 3" xfId="7493"/>
    <cellStyle name="20% - Accent1 6 11 4" xfId="7491"/>
    <cellStyle name="20% - Accent1 6 11 5" xfId="25156"/>
    <cellStyle name="20% - Accent1 6 12" xfId="4244"/>
    <cellStyle name="20% - Accent1 6 12 2" xfId="5943"/>
    <cellStyle name="20% - Accent1 6 12 2 2" xfId="7495"/>
    <cellStyle name="20% - Accent1 6 12 2 3" xfId="25159"/>
    <cellStyle name="20% - Accent1 6 12 3" xfId="7496"/>
    <cellStyle name="20% - Accent1 6 12 4" xfId="7494"/>
    <cellStyle name="20% - Accent1 6 12 5" xfId="25158"/>
    <cellStyle name="20% - Accent1 6 13" xfId="5940"/>
    <cellStyle name="20% - Accent1 6 13 2" xfId="7497"/>
    <cellStyle name="20% - Accent1 6 13 3" xfId="25160"/>
    <cellStyle name="20% - Accent1 6 14" xfId="7498"/>
    <cellStyle name="20% - Accent1 6 15" xfId="7499"/>
    <cellStyle name="20% - Accent1 6 16" xfId="7500"/>
    <cellStyle name="20% - Accent1 6 16 2" xfId="7501"/>
    <cellStyle name="20% - Accent1 6 16 2 2" xfId="25162"/>
    <cellStyle name="20% - Accent1 6 16 2 3" xfId="28198"/>
    <cellStyle name="20% - Accent1 6 16 3" xfId="7502"/>
    <cellStyle name="20% - Accent1 6 16 3 2" xfId="25163"/>
    <cellStyle name="20% - Accent1 6 16 3 3" xfId="28199"/>
    <cellStyle name="20% - Accent1 6 16 4" xfId="25161"/>
    <cellStyle name="20% - Accent1 6 16 5" xfId="28197"/>
    <cellStyle name="20% - Accent1 6 17" xfId="7503"/>
    <cellStyle name="20% - Accent1 6 17 2" xfId="25164"/>
    <cellStyle name="20% - Accent1 6 17 3" xfId="28200"/>
    <cellStyle name="20% - Accent1 6 18" xfId="7504"/>
    <cellStyle name="20% - Accent1 6 18 2" xfId="25165"/>
    <cellStyle name="20% - Accent1 6 18 3" xfId="28201"/>
    <cellStyle name="20% - Accent1 6 19" xfId="7487"/>
    <cellStyle name="20% - Accent1 6 19 2" xfId="25166"/>
    <cellStyle name="20% - Accent1 6 2" xfId="1969"/>
    <cellStyle name="20% - Accent1 6 2 2" xfId="4245"/>
    <cellStyle name="20% - Accent1 6 2 2 2" xfId="7505"/>
    <cellStyle name="20% - Accent1 6 2 3" xfId="7506"/>
    <cellStyle name="20% - Accent1 6 2 4" xfId="7507"/>
    <cellStyle name="20% - Accent1 6 2 5" xfId="7508"/>
    <cellStyle name="20% - Accent1 6 20" xfId="24831"/>
    <cellStyle name="20% - Accent1 6 21" xfId="25153"/>
    <cellStyle name="20% - Accent1 6 22" xfId="28196"/>
    <cellStyle name="20% - Accent1 6 3" xfId="2344"/>
    <cellStyle name="20% - Accent1 6 3 2" xfId="4246"/>
    <cellStyle name="20% - Accent1 6 3 2 2" xfId="7509"/>
    <cellStyle name="20% - Accent1 6 3 3" xfId="7510"/>
    <cellStyle name="20% - Accent1 6 3 4" xfId="7511"/>
    <cellStyle name="20% - Accent1 6 3 5" xfId="7512"/>
    <cellStyle name="20% - Accent1 6 4" xfId="2717"/>
    <cellStyle name="20% - Accent1 6 4 2" xfId="4247"/>
    <cellStyle name="20% - Accent1 6 4 2 2" xfId="7513"/>
    <cellStyle name="20% - Accent1 6 4 3" xfId="7514"/>
    <cellStyle name="20% - Accent1 6 4 4" xfId="7515"/>
    <cellStyle name="20% - Accent1 6 4 5" xfId="7516"/>
    <cellStyle name="20% - Accent1 6 5" xfId="3090"/>
    <cellStyle name="20% - Accent1 6 5 2" xfId="4248"/>
    <cellStyle name="20% - Accent1 6 5 2 2" xfId="7517"/>
    <cellStyle name="20% - Accent1 6 5 3" xfId="7518"/>
    <cellStyle name="20% - Accent1 6 5 4" xfId="7519"/>
    <cellStyle name="20% - Accent1 6 5 5" xfId="7520"/>
    <cellStyle name="20% - Accent1 6 6" xfId="3461"/>
    <cellStyle name="20% - Accent1 6 6 2" xfId="4249"/>
    <cellStyle name="20% - Accent1 6 6 2 2" xfId="7521"/>
    <cellStyle name="20% - Accent1 6 6 3" xfId="7522"/>
    <cellStyle name="20% - Accent1 6 6 4" xfId="7523"/>
    <cellStyle name="20% - Accent1 6 6 5" xfId="7524"/>
    <cellStyle name="20% - Accent1 6 7" xfId="3767"/>
    <cellStyle name="20% - Accent1 6 7 2" xfId="4250"/>
    <cellStyle name="20% - Accent1 6 7 2 2" xfId="7525"/>
    <cellStyle name="20% - Accent1 6 7 3" xfId="7526"/>
    <cellStyle name="20% - Accent1 6 7 4" xfId="7527"/>
    <cellStyle name="20% - Accent1 6 7 5" xfId="7528"/>
    <cellStyle name="20% - Accent1 6 8" xfId="1357"/>
    <cellStyle name="20% - Accent1 6 8 10" xfId="25167"/>
    <cellStyle name="20% - Accent1 6 8 11" xfId="28202"/>
    <cellStyle name="20% - Accent1 6 8 2" xfId="4157"/>
    <cellStyle name="20% - Accent1 6 8 2 2" xfId="5310"/>
    <cellStyle name="20% - Accent1 6 8 2 2 2" xfId="5946"/>
    <cellStyle name="20% - Accent1 6 8 2 2 2 2" xfId="25170"/>
    <cellStyle name="20% - Accent1 6 8 2 2 3" xfId="7531"/>
    <cellStyle name="20% - Accent1 6 8 2 2 4" xfId="25169"/>
    <cellStyle name="20% - Accent1 6 8 2 3" xfId="5620"/>
    <cellStyle name="20% - Accent1 6 8 2 3 2" xfId="5947"/>
    <cellStyle name="20% - Accent1 6 8 2 3 2 2" xfId="25172"/>
    <cellStyle name="20% - Accent1 6 8 2 3 3" xfId="25171"/>
    <cellStyle name="20% - Accent1 6 8 2 4" xfId="4252"/>
    <cellStyle name="20% - Accent1 6 8 2 4 2" xfId="5948"/>
    <cellStyle name="20% - Accent1 6 8 2 4 2 2" xfId="25174"/>
    <cellStyle name="20% - Accent1 6 8 2 4 3" xfId="25173"/>
    <cellStyle name="20% - Accent1 6 8 2 5" xfId="5945"/>
    <cellStyle name="20% - Accent1 6 8 2 5 2" xfId="25175"/>
    <cellStyle name="20% - Accent1 6 8 2 6" xfId="7530"/>
    <cellStyle name="20% - Accent1 6 8 2 6 2" xfId="25176"/>
    <cellStyle name="20% - Accent1 6 8 2 7" xfId="25009"/>
    <cellStyle name="20% - Accent1 6 8 2 8" xfId="25168"/>
    <cellStyle name="20% - Accent1 6 8 2 9" xfId="28203"/>
    <cellStyle name="20% - Accent1 6 8 3" xfId="5309"/>
    <cellStyle name="20% - Accent1 6 8 3 2" xfId="5949"/>
    <cellStyle name="20% - Accent1 6 8 3 2 2" xfId="25178"/>
    <cellStyle name="20% - Accent1 6 8 3 3" xfId="7532"/>
    <cellStyle name="20% - Accent1 6 8 3 4" xfId="25177"/>
    <cellStyle name="20% - Accent1 6 8 4" xfId="5619"/>
    <cellStyle name="20% - Accent1 6 8 4 2" xfId="5950"/>
    <cellStyle name="20% - Accent1 6 8 4 2 2" xfId="25180"/>
    <cellStyle name="20% - Accent1 6 8 4 3" xfId="7533"/>
    <cellStyle name="20% - Accent1 6 8 4 4" xfId="25179"/>
    <cellStyle name="20% - Accent1 6 8 5" xfId="4251"/>
    <cellStyle name="20% - Accent1 6 8 5 2" xfId="5951"/>
    <cellStyle name="20% - Accent1 6 8 5 2 2" xfId="7535"/>
    <cellStyle name="20% - Accent1 6 8 5 2 2 2" xfId="25183"/>
    <cellStyle name="20% - Accent1 6 8 5 2 3" xfId="25182"/>
    <cellStyle name="20% - Accent1 6 8 5 2 4" xfId="28205"/>
    <cellStyle name="20% - Accent1 6 8 5 3" xfId="7536"/>
    <cellStyle name="20% - Accent1 6 8 5 3 2" xfId="25184"/>
    <cellStyle name="20% - Accent1 6 8 5 3 3" xfId="28206"/>
    <cellStyle name="20% - Accent1 6 8 5 4" xfId="7534"/>
    <cellStyle name="20% - Accent1 6 8 5 4 2" xfId="25185"/>
    <cellStyle name="20% - Accent1 6 8 5 5" xfId="25181"/>
    <cellStyle name="20% - Accent1 6 8 5 6" xfId="28204"/>
    <cellStyle name="20% - Accent1 6 8 6" xfId="5944"/>
    <cellStyle name="20% - Accent1 6 8 6 2" xfId="7537"/>
    <cellStyle name="20% - Accent1 6 8 6 2 2" xfId="25187"/>
    <cellStyle name="20% - Accent1 6 8 6 3" xfId="25186"/>
    <cellStyle name="20% - Accent1 6 8 6 4" xfId="28207"/>
    <cellStyle name="20% - Accent1 6 8 7" xfId="7538"/>
    <cellStyle name="20% - Accent1 6 8 7 2" xfId="25188"/>
    <cellStyle name="20% - Accent1 6 8 7 3" xfId="28208"/>
    <cellStyle name="20% - Accent1 6 8 8" xfId="7529"/>
    <cellStyle name="20% - Accent1 6 8 8 2" xfId="25189"/>
    <cellStyle name="20% - Accent1 6 8 9" xfId="24889"/>
    <cellStyle name="20% - Accent1 6 9" xfId="3817"/>
    <cellStyle name="20% - Accent1 6 9 2" xfId="5311"/>
    <cellStyle name="20% - Accent1 6 9 2 2" xfId="5953"/>
    <cellStyle name="20% - Accent1 6 9 2 2 2" xfId="25192"/>
    <cellStyle name="20% - Accent1 6 9 2 3" xfId="7540"/>
    <cellStyle name="20% - Accent1 6 9 2 4" xfId="25191"/>
    <cellStyle name="20% - Accent1 6 9 3" xfId="5621"/>
    <cellStyle name="20% - Accent1 6 9 3 2" xfId="5954"/>
    <cellStyle name="20% - Accent1 6 9 3 2 2" xfId="25194"/>
    <cellStyle name="20% - Accent1 6 9 3 3" xfId="7541"/>
    <cellStyle name="20% - Accent1 6 9 3 4" xfId="25193"/>
    <cellStyle name="20% - Accent1 6 9 4" xfId="4253"/>
    <cellStyle name="20% - Accent1 6 9 4 2" xfId="5955"/>
    <cellStyle name="20% - Accent1 6 9 4 2 2" xfId="25196"/>
    <cellStyle name="20% - Accent1 6 9 4 3" xfId="7542"/>
    <cellStyle name="20% - Accent1 6 9 4 4" xfId="25195"/>
    <cellStyle name="20% - Accent1 6 9 5" xfId="5952"/>
    <cellStyle name="20% - Accent1 6 9 5 2" xfId="25197"/>
    <cellStyle name="20% - Accent1 6 9 6" xfId="7539"/>
    <cellStyle name="20% - Accent1 6 9 6 2" xfId="25198"/>
    <cellStyle name="20% - Accent1 6 9 7" xfId="24953"/>
    <cellStyle name="20% - Accent1 6 9 8" xfId="25190"/>
    <cellStyle name="20% - Accent1 6 9 9" xfId="28209"/>
    <cellStyle name="20% - Accent1 7" xfId="361"/>
    <cellStyle name="20% - Accent1 7 10" xfId="7543"/>
    <cellStyle name="20% - Accent1 7 10 2" xfId="7544"/>
    <cellStyle name="20% - Accent1 7 10 3" xfId="7545"/>
    <cellStyle name="20% - Accent1 7 11" xfId="7546"/>
    <cellStyle name="20% - Accent1 7 11 2" xfId="7547"/>
    <cellStyle name="20% - Accent1 7 11 3" xfId="7548"/>
    <cellStyle name="20% - Accent1 7 12" xfId="7549"/>
    <cellStyle name="20% - Accent1 7 12 2" xfId="7550"/>
    <cellStyle name="20% - Accent1 7 12 3" xfId="7551"/>
    <cellStyle name="20% - Accent1 7 13" xfId="7552"/>
    <cellStyle name="20% - Accent1 7 14" xfId="7553"/>
    <cellStyle name="20% - Accent1 7 15" xfId="7554"/>
    <cellStyle name="20% - Accent1 7 16" xfId="7555"/>
    <cellStyle name="20% - Accent1 7 2" xfId="4254"/>
    <cellStyle name="20% - Accent1 7 2 2" xfId="7557"/>
    <cellStyle name="20% - Accent1 7 2 3" xfId="7558"/>
    <cellStyle name="20% - Accent1 7 2 4" xfId="7556"/>
    <cellStyle name="20% - Accent1 7 3" xfId="7559"/>
    <cellStyle name="20% - Accent1 7 3 2" xfId="7560"/>
    <cellStyle name="20% - Accent1 7 3 3" xfId="7561"/>
    <cellStyle name="20% - Accent1 7 4" xfId="7562"/>
    <cellStyle name="20% - Accent1 7 4 2" xfId="7563"/>
    <cellStyle name="20% - Accent1 7 4 3" xfId="7564"/>
    <cellStyle name="20% - Accent1 7 5" xfId="7565"/>
    <cellStyle name="20% - Accent1 7 5 2" xfId="7566"/>
    <cellStyle name="20% - Accent1 7 5 3" xfId="7567"/>
    <cellStyle name="20% - Accent1 7 6" xfId="7568"/>
    <cellStyle name="20% - Accent1 7 6 2" xfId="7569"/>
    <cellStyle name="20% - Accent1 7 6 3" xfId="7570"/>
    <cellStyle name="20% - Accent1 7 7" xfId="7571"/>
    <cellStyle name="20% - Accent1 7 7 2" xfId="7572"/>
    <cellStyle name="20% - Accent1 7 7 3" xfId="7573"/>
    <cellStyle name="20% - Accent1 7 8" xfId="7574"/>
    <cellStyle name="20% - Accent1 7 8 2" xfId="7575"/>
    <cellStyle name="20% - Accent1 7 8 3" xfId="7576"/>
    <cellStyle name="20% - Accent1 7 9" xfId="7577"/>
    <cellStyle name="20% - Accent1 7 9 2" xfId="7578"/>
    <cellStyle name="20% - Accent1 7 9 3" xfId="7579"/>
    <cellStyle name="20% - Accent1 8" xfId="520"/>
    <cellStyle name="20% - Accent1 8 10" xfId="24845"/>
    <cellStyle name="20% - Accent1 8 11" xfId="25199"/>
    <cellStyle name="20% - Accent1 8 12" xfId="28210"/>
    <cellStyle name="20% - Accent1 8 2" xfId="1372"/>
    <cellStyle name="20% - Accent1 8 2 10" xfId="25200"/>
    <cellStyle name="20% - Accent1 8 2 11" xfId="28211"/>
    <cellStyle name="20% - Accent1 8 2 2" xfId="4172"/>
    <cellStyle name="20% - Accent1 8 2 2 2" xfId="5314"/>
    <cellStyle name="20% - Accent1 8 2 2 2 2" xfId="5959"/>
    <cellStyle name="20% - Accent1 8 2 2 2 2 2" xfId="25203"/>
    <cellStyle name="20% - Accent1 8 2 2 2 3" xfId="7583"/>
    <cellStyle name="20% - Accent1 8 2 2 2 4" xfId="25202"/>
    <cellStyle name="20% - Accent1 8 2 2 3" xfId="5624"/>
    <cellStyle name="20% - Accent1 8 2 2 3 2" xfId="5960"/>
    <cellStyle name="20% - Accent1 8 2 2 3 2 2" xfId="25205"/>
    <cellStyle name="20% - Accent1 8 2 2 3 3" xfId="25204"/>
    <cellStyle name="20% - Accent1 8 2 2 4" xfId="4257"/>
    <cellStyle name="20% - Accent1 8 2 2 4 2" xfId="5961"/>
    <cellStyle name="20% - Accent1 8 2 2 4 2 2" xfId="25207"/>
    <cellStyle name="20% - Accent1 8 2 2 4 3" xfId="25206"/>
    <cellStyle name="20% - Accent1 8 2 2 5" xfId="5958"/>
    <cellStyle name="20% - Accent1 8 2 2 5 2" xfId="25208"/>
    <cellStyle name="20% - Accent1 8 2 2 6" xfId="7582"/>
    <cellStyle name="20% - Accent1 8 2 2 6 2" xfId="25209"/>
    <cellStyle name="20% - Accent1 8 2 2 7" xfId="25024"/>
    <cellStyle name="20% - Accent1 8 2 2 8" xfId="25201"/>
    <cellStyle name="20% - Accent1 8 2 2 9" xfId="28212"/>
    <cellStyle name="20% - Accent1 8 2 3" xfId="5313"/>
    <cellStyle name="20% - Accent1 8 2 3 2" xfId="5962"/>
    <cellStyle name="20% - Accent1 8 2 3 2 2" xfId="25211"/>
    <cellStyle name="20% - Accent1 8 2 3 3" xfId="7584"/>
    <cellStyle name="20% - Accent1 8 2 3 4" xfId="25210"/>
    <cellStyle name="20% - Accent1 8 2 4" xfId="5623"/>
    <cellStyle name="20% - Accent1 8 2 4 2" xfId="5963"/>
    <cellStyle name="20% - Accent1 8 2 4 2 2" xfId="25213"/>
    <cellStyle name="20% - Accent1 8 2 4 3" xfId="7585"/>
    <cellStyle name="20% - Accent1 8 2 4 4" xfId="25212"/>
    <cellStyle name="20% - Accent1 8 2 5" xfId="4256"/>
    <cellStyle name="20% - Accent1 8 2 5 2" xfId="5964"/>
    <cellStyle name="20% - Accent1 8 2 5 2 2" xfId="7587"/>
    <cellStyle name="20% - Accent1 8 2 5 2 2 2" xfId="25216"/>
    <cellStyle name="20% - Accent1 8 2 5 2 3" xfId="25215"/>
    <cellStyle name="20% - Accent1 8 2 5 2 4" xfId="28214"/>
    <cellStyle name="20% - Accent1 8 2 5 3" xfId="7588"/>
    <cellStyle name="20% - Accent1 8 2 5 3 2" xfId="25217"/>
    <cellStyle name="20% - Accent1 8 2 5 3 3" xfId="28215"/>
    <cellStyle name="20% - Accent1 8 2 5 4" xfId="7586"/>
    <cellStyle name="20% - Accent1 8 2 5 4 2" xfId="25218"/>
    <cellStyle name="20% - Accent1 8 2 5 5" xfId="25214"/>
    <cellStyle name="20% - Accent1 8 2 5 6" xfId="28213"/>
    <cellStyle name="20% - Accent1 8 2 6" xfId="5957"/>
    <cellStyle name="20% - Accent1 8 2 6 2" xfId="7589"/>
    <cellStyle name="20% - Accent1 8 2 6 2 2" xfId="25220"/>
    <cellStyle name="20% - Accent1 8 2 6 3" xfId="25219"/>
    <cellStyle name="20% - Accent1 8 2 6 4" xfId="28216"/>
    <cellStyle name="20% - Accent1 8 2 7" xfId="7590"/>
    <cellStyle name="20% - Accent1 8 2 7 2" xfId="25221"/>
    <cellStyle name="20% - Accent1 8 2 7 3" xfId="28217"/>
    <cellStyle name="20% - Accent1 8 2 8" xfId="7581"/>
    <cellStyle name="20% - Accent1 8 2 8 2" xfId="25222"/>
    <cellStyle name="20% - Accent1 8 2 9" xfId="24904"/>
    <cellStyle name="20% - Accent1 8 3" xfId="3831"/>
    <cellStyle name="20% - Accent1 8 3 2" xfId="5315"/>
    <cellStyle name="20% - Accent1 8 3 2 2" xfId="5966"/>
    <cellStyle name="20% - Accent1 8 3 2 2 2" xfId="25225"/>
    <cellStyle name="20% - Accent1 8 3 2 3" xfId="7592"/>
    <cellStyle name="20% - Accent1 8 3 2 4" xfId="25224"/>
    <cellStyle name="20% - Accent1 8 3 3" xfId="5625"/>
    <cellStyle name="20% - Accent1 8 3 3 2" xfId="5967"/>
    <cellStyle name="20% - Accent1 8 3 3 2 2" xfId="25227"/>
    <cellStyle name="20% - Accent1 8 3 3 3" xfId="25226"/>
    <cellStyle name="20% - Accent1 8 3 4" xfId="4258"/>
    <cellStyle name="20% - Accent1 8 3 4 2" xfId="5968"/>
    <cellStyle name="20% - Accent1 8 3 4 2 2" xfId="25229"/>
    <cellStyle name="20% - Accent1 8 3 4 3" xfId="25228"/>
    <cellStyle name="20% - Accent1 8 3 5" xfId="5965"/>
    <cellStyle name="20% - Accent1 8 3 5 2" xfId="25230"/>
    <cellStyle name="20% - Accent1 8 3 6" xfId="7591"/>
    <cellStyle name="20% - Accent1 8 3 6 2" xfId="25231"/>
    <cellStyle name="20% - Accent1 8 3 7" xfId="24967"/>
    <cellStyle name="20% - Accent1 8 3 8" xfId="25223"/>
    <cellStyle name="20% - Accent1 8 3 9" xfId="28218"/>
    <cellStyle name="20% - Accent1 8 4" xfId="5312"/>
    <cellStyle name="20% - Accent1 8 4 2" xfId="5969"/>
    <cellStyle name="20% - Accent1 8 4 2 2" xfId="25233"/>
    <cellStyle name="20% - Accent1 8 4 3" xfId="7593"/>
    <cellStyle name="20% - Accent1 8 4 4" xfId="25232"/>
    <cellStyle name="20% - Accent1 8 5" xfId="5622"/>
    <cellStyle name="20% - Accent1 8 5 2" xfId="5970"/>
    <cellStyle name="20% - Accent1 8 5 2 2" xfId="25235"/>
    <cellStyle name="20% - Accent1 8 5 3" xfId="7594"/>
    <cellStyle name="20% - Accent1 8 5 4" xfId="25234"/>
    <cellStyle name="20% - Accent1 8 6" xfId="4255"/>
    <cellStyle name="20% - Accent1 8 6 2" xfId="5971"/>
    <cellStyle name="20% - Accent1 8 6 2 2" xfId="7596"/>
    <cellStyle name="20% - Accent1 8 6 2 2 2" xfId="25238"/>
    <cellStyle name="20% - Accent1 8 6 2 3" xfId="25237"/>
    <cellStyle name="20% - Accent1 8 6 2 4" xfId="28220"/>
    <cellStyle name="20% - Accent1 8 6 3" xfId="7597"/>
    <cellStyle name="20% - Accent1 8 6 3 2" xfId="25239"/>
    <cellStyle name="20% - Accent1 8 6 3 3" xfId="28221"/>
    <cellStyle name="20% - Accent1 8 6 4" xfId="7595"/>
    <cellStyle name="20% - Accent1 8 6 4 2" xfId="25240"/>
    <cellStyle name="20% - Accent1 8 6 5" xfId="25236"/>
    <cellStyle name="20% - Accent1 8 6 6" xfId="28219"/>
    <cellStyle name="20% - Accent1 8 7" xfId="5956"/>
    <cellStyle name="20% - Accent1 8 7 2" xfId="7598"/>
    <cellStyle name="20% - Accent1 8 7 2 2" xfId="25242"/>
    <cellStyle name="20% - Accent1 8 7 3" xfId="25241"/>
    <cellStyle name="20% - Accent1 8 7 4" xfId="28222"/>
    <cellStyle name="20% - Accent1 8 8" xfId="7599"/>
    <cellStyle name="20% - Accent1 8 8 2" xfId="25243"/>
    <cellStyle name="20% - Accent1 8 8 3" xfId="28223"/>
    <cellStyle name="20% - Accent1 8 9" xfId="7580"/>
    <cellStyle name="20% - Accent1 8 9 2" xfId="25244"/>
    <cellStyle name="20% - Accent1 9" xfId="521"/>
    <cellStyle name="20% - Accent1 9 2" xfId="4259"/>
    <cellStyle name="20% - Accent1 9 2 2" xfId="7601"/>
    <cellStyle name="20% - Accent1 9 2 3" xfId="7602"/>
    <cellStyle name="20% - Accent1 9 2 4" xfId="7600"/>
    <cellStyle name="20% - Accent1 9 3" xfId="7603"/>
    <cellStyle name="20% - Accent1 9 4" xfId="7604"/>
    <cellStyle name="20% - Accent1 9 5" xfId="7605"/>
    <cellStyle name="20% - Accent1 9 6" xfId="7606"/>
    <cellStyle name="20% - Accent2" xfId="7107" builtinId="34" customBuiltin="1"/>
    <cellStyle name="20% - Accent2 10" xfId="644"/>
    <cellStyle name="20% - Accent2 10 2" xfId="4260"/>
    <cellStyle name="20% - Accent2 10 2 2" xfId="7607"/>
    <cellStyle name="20% - Accent2 10 3" xfId="7608"/>
    <cellStyle name="20% - Accent2 10 4" xfId="7609"/>
    <cellStyle name="20% - Accent2 10 5" xfId="7610"/>
    <cellStyle name="20% - Accent2 11" xfId="645"/>
    <cellStyle name="20% - Accent2 11 2" xfId="4261"/>
    <cellStyle name="20% - Accent2 11 2 2" xfId="7611"/>
    <cellStyle name="20% - Accent2 11 3" xfId="7612"/>
    <cellStyle name="20% - Accent2 11 4" xfId="7613"/>
    <cellStyle name="20% - Accent2 11 5" xfId="7614"/>
    <cellStyle name="20% - Accent2 12" xfId="801"/>
    <cellStyle name="20% - Accent2 12 2" xfId="7616"/>
    <cellStyle name="20% - Accent2 12 3" xfId="7617"/>
    <cellStyle name="20% - Accent2 12 4" xfId="7615"/>
    <cellStyle name="20% - Accent2 13" xfId="802"/>
    <cellStyle name="20% - Accent2 13 2" xfId="3846"/>
    <cellStyle name="20% - Accent2 13 2 2" xfId="5973"/>
    <cellStyle name="20% - Accent2 13 2 2 2" xfId="25247"/>
    <cellStyle name="20% - Accent2 13 2 3" xfId="7619"/>
    <cellStyle name="20% - Accent2 13 2 4" xfId="24982"/>
    <cellStyle name="20% - Accent2 13 2 5" xfId="25246"/>
    <cellStyle name="20% - Accent2 13 3" xfId="5972"/>
    <cellStyle name="20% - Accent2 13 3 2" xfId="7620"/>
    <cellStyle name="20% - Accent2 13 3 3" xfId="25248"/>
    <cellStyle name="20% - Accent2 13 4" xfId="7618"/>
    <cellStyle name="20% - Accent2 13 5" xfId="24861"/>
    <cellStyle name="20% - Accent2 13 6" xfId="25245"/>
    <cellStyle name="20% - Accent2 14" xfId="923"/>
    <cellStyle name="20% - Accent2 14 2" xfId="7622"/>
    <cellStyle name="20% - Accent2 14 3" xfId="7623"/>
    <cellStyle name="20% - Accent2 14 4" xfId="7621"/>
    <cellStyle name="20% - Accent2 15" xfId="7624"/>
    <cellStyle name="20% - Accent2 15 2" xfId="7625"/>
    <cellStyle name="20% - Accent2 15 3" xfId="7626"/>
    <cellStyle name="20% - Accent2 16" xfId="7627"/>
    <cellStyle name="20% - Accent2 16 2" xfId="7628"/>
    <cellStyle name="20% - Accent2 16 3" xfId="7629"/>
    <cellStyle name="20% - Accent2 17" xfId="7630"/>
    <cellStyle name="20% - Accent2 17 2" xfId="7631"/>
    <cellStyle name="20% - Accent2 17 3" xfId="7632"/>
    <cellStyle name="20% - Accent2 18" xfId="7633"/>
    <cellStyle name="20% - Accent2 18 2" xfId="7634"/>
    <cellStyle name="20% - Accent2 18 3" xfId="7635"/>
    <cellStyle name="20% - Accent2 19" xfId="7636"/>
    <cellStyle name="20% - Accent2 19 2" xfId="7637"/>
    <cellStyle name="20% - Accent2 2" xfId="69"/>
    <cellStyle name="20% - Accent2 2 10" xfId="1668"/>
    <cellStyle name="20% - Accent2 2 10 2" xfId="4262"/>
    <cellStyle name="20% - Accent2 2 10 2 2" xfId="7638"/>
    <cellStyle name="20% - Accent2 2 10 3" xfId="7639"/>
    <cellStyle name="20% - Accent2 2 10 4" xfId="7640"/>
    <cellStyle name="20% - Accent2 2 10 5" xfId="7641"/>
    <cellStyle name="20% - Accent2 2 11" xfId="1665"/>
    <cellStyle name="20% - Accent2 2 11 2" xfId="4263"/>
    <cellStyle name="20% - Accent2 2 11 2 2" xfId="7642"/>
    <cellStyle name="20% - Accent2 2 11 3" xfId="7643"/>
    <cellStyle name="20% - Accent2 2 11 4" xfId="7644"/>
    <cellStyle name="20% - Accent2 2 11 5" xfId="7645"/>
    <cellStyle name="20% - Accent2 2 12" xfId="1705"/>
    <cellStyle name="20% - Accent2 2 12 2" xfId="4264"/>
    <cellStyle name="20% - Accent2 2 12 2 2" xfId="7646"/>
    <cellStyle name="20% - Accent2 2 12 3" xfId="7647"/>
    <cellStyle name="20% - Accent2 2 12 4" xfId="7648"/>
    <cellStyle name="20% - Accent2 2 12 5" xfId="7649"/>
    <cellStyle name="20% - Accent2 2 13" xfId="2040"/>
    <cellStyle name="20% - Accent2 2 13 2" xfId="4265"/>
    <cellStyle name="20% - Accent2 2 13 2 2" xfId="7650"/>
    <cellStyle name="20% - Accent2 2 13 3" xfId="7651"/>
    <cellStyle name="20% - Accent2 2 13 4" xfId="7652"/>
    <cellStyle name="20% - Accent2 2 13 5" xfId="7653"/>
    <cellStyle name="20% - Accent2 2 14" xfId="2415"/>
    <cellStyle name="20% - Accent2 2 14 2" xfId="4266"/>
    <cellStyle name="20% - Accent2 2 14 2 2" xfId="7654"/>
    <cellStyle name="20% - Accent2 2 14 3" xfId="7655"/>
    <cellStyle name="20% - Accent2 2 14 4" xfId="7656"/>
    <cellStyle name="20% - Accent2 2 14 5" xfId="7657"/>
    <cellStyle name="20% - Accent2 2 15" xfId="2787"/>
    <cellStyle name="20% - Accent2 2 15 2" xfId="4267"/>
    <cellStyle name="20% - Accent2 2 15 2 2" xfId="7658"/>
    <cellStyle name="20% - Accent2 2 15 3" xfId="7659"/>
    <cellStyle name="20% - Accent2 2 16" xfId="3633"/>
    <cellStyle name="20% - Accent2 2 16 2" xfId="4268"/>
    <cellStyle name="20% - Accent2 2 16 2 2" xfId="7660"/>
    <cellStyle name="20% - Accent2 2 16 3" xfId="7661"/>
    <cellStyle name="20% - Accent2 2 17" xfId="24468"/>
    <cellStyle name="20% - Accent2 2 2" xfId="113"/>
    <cellStyle name="20% - Accent2 2 2 10" xfId="7662"/>
    <cellStyle name="20% - Accent2 2 2 10 2" xfId="7663"/>
    <cellStyle name="20% - Accent2 2 2 10 3" xfId="7664"/>
    <cellStyle name="20% - Accent2 2 2 11" xfId="7665"/>
    <cellStyle name="20% - Accent2 2 2 11 2" xfId="7666"/>
    <cellStyle name="20% - Accent2 2 2 11 3" xfId="7667"/>
    <cellStyle name="20% - Accent2 2 2 12" xfId="7668"/>
    <cellStyle name="20% - Accent2 2 2 12 2" xfId="7669"/>
    <cellStyle name="20% - Accent2 2 2 12 3" xfId="7670"/>
    <cellStyle name="20% - Accent2 2 2 13" xfId="7671"/>
    <cellStyle name="20% - Accent2 2 2 14" xfId="7672"/>
    <cellStyle name="20% - Accent2 2 2 15" xfId="7673"/>
    <cellStyle name="20% - Accent2 2 2 2" xfId="175"/>
    <cellStyle name="20% - Accent2 2 2 2 2" xfId="7674"/>
    <cellStyle name="20% - Accent2 2 2 2 3" xfId="7675"/>
    <cellStyle name="20% - Accent2 2 2 3" xfId="339"/>
    <cellStyle name="20% - Accent2 2 2 3 2" xfId="7676"/>
    <cellStyle name="20% - Accent2 2 2 3 3" xfId="7677"/>
    <cellStyle name="20% - Accent2 2 2 4" xfId="2161"/>
    <cellStyle name="20% - Accent2 2 2 4 2" xfId="7678"/>
    <cellStyle name="20% - Accent2 2 2 4 3" xfId="7679"/>
    <cellStyle name="20% - Accent2 2 2 5" xfId="2535"/>
    <cellStyle name="20% - Accent2 2 2 5 2" xfId="7680"/>
    <cellStyle name="20% - Accent2 2 2 5 3" xfId="7681"/>
    <cellStyle name="20% - Accent2 2 2 6" xfId="2907"/>
    <cellStyle name="20% - Accent2 2 2 6 2" xfId="7682"/>
    <cellStyle name="20% - Accent2 2 2 6 3" xfId="7683"/>
    <cellStyle name="20% - Accent2 2 2 7" xfId="3279"/>
    <cellStyle name="20% - Accent2 2 2 7 2" xfId="7684"/>
    <cellStyle name="20% - Accent2 2 2 7 3" xfId="7685"/>
    <cellStyle name="20% - Accent2 2 2 8" xfId="4269"/>
    <cellStyle name="20% - Accent2 2 2 8 2" xfId="7687"/>
    <cellStyle name="20% - Accent2 2 2 8 3" xfId="7688"/>
    <cellStyle name="20% - Accent2 2 2 8 4" xfId="7686"/>
    <cellStyle name="20% - Accent2 2 2 9" xfId="7689"/>
    <cellStyle name="20% - Accent2 2 2 9 2" xfId="7690"/>
    <cellStyle name="20% - Accent2 2 2 9 3" xfId="7691"/>
    <cellStyle name="20% - Accent2 2 3" xfId="278"/>
    <cellStyle name="20% - Accent2 2 3 2" xfId="1337"/>
    <cellStyle name="20% - Accent2 2 3 2 2" xfId="7692"/>
    <cellStyle name="20% - Accent2 2 3 2 3" xfId="7693"/>
    <cellStyle name="20% - Accent2 2 3 3" xfId="7694"/>
    <cellStyle name="20% - Accent2 2 3 4" xfId="7695"/>
    <cellStyle name="20% - Accent2 2 4" xfId="362"/>
    <cellStyle name="20% - Accent2 2 4 2" xfId="7696"/>
    <cellStyle name="20% - Accent2 2 4 2 2" xfId="7697"/>
    <cellStyle name="20% - Accent2 2 4 2 3" xfId="7698"/>
    <cellStyle name="20% - Accent2 2 4 3" xfId="7699"/>
    <cellStyle name="20% - Accent2 2 4 4" xfId="7700"/>
    <cellStyle name="20% - Accent2 2 5" xfId="522"/>
    <cellStyle name="20% - Accent2 2 5 2" xfId="7701"/>
    <cellStyle name="20% - Accent2 2 5 3" xfId="7702"/>
    <cellStyle name="20% - Accent2 2 6" xfId="646"/>
    <cellStyle name="20% - Accent2 2 6 2" xfId="7703"/>
    <cellStyle name="20% - Accent2 2 6 3" xfId="7704"/>
    <cellStyle name="20% - Accent2 2 7" xfId="647"/>
    <cellStyle name="20% - Accent2 2 7 2" xfId="7705"/>
    <cellStyle name="20% - Accent2 2 7 3" xfId="7706"/>
    <cellStyle name="20% - Accent2 2 8" xfId="803"/>
    <cellStyle name="20% - Accent2 2 8 2" xfId="1397"/>
    <cellStyle name="20% - Accent2 2 8 2 2" xfId="7707"/>
    <cellStyle name="20% - Accent2 2 8 3" xfId="7708"/>
    <cellStyle name="20% - Accent2 2 8 4" xfId="7709"/>
    <cellStyle name="20% - Accent2 2 8 5" xfId="7710"/>
    <cellStyle name="20% - Accent2 2 9" xfId="924"/>
    <cellStyle name="20% - Accent2 2 9 2" xfId="1392"/>
    <cellStyle name="20% - Accent2 2 9 2 2" xfId="7711"/>
    <cellStyle name="20% - Accent2 2 9 3" xfId="7712"/>
    <cellStyle name="20% - Accent2 2 9 4" xfId="7713"/>
    <cellStyle name="20% - Accent2 2 9 5" xfId="7714"/>
    <cellStyle name="20% - Accent2 20" xfId="7715"/>
    <cellStyle name="20% - Accent2 21" xfId="7716"/>
    <cellStyle name="20% - Accent2 21 2" xfId="7717"/>
    <cellStyle name="20% - Accent2 21 2 2" xfId="7718"/>
    <cellStyle name="20% - Accent2 21 2 2 2" xfId="25251"/>
    <cellStyle name="20% - Accent2 21 2 2 3" xfId="28226"/>
    <cellStyle name="20% - Accent2 21 2 3" xfId="7719"/>
    <cellStyle name="20% - Accent2 21 2 3 2" xfId="25252"/>
    <cellStyle name="20% - Accent2 21 2 3 3" xfId="28227"/>
    <cellStyle name="20% - Accent2 21 2 4" xfId="25250"/>
    <cellStyle name="20% - Accent2 21 2 5" xfId="28225"/>
    <cellStyle name="20% - Accent2 21 3" xfId="7720"/>
    <cellStyle name="20% - Accent2 21 3 2" xfId="25253"/>
    <cellStyle name="20% - Accent2 21 3 3" xfId="28228"/>
    <cellStyle name="20% - Accent2 21 4" xfId="7721"/>
    <cellStyle name="20% - Accent2 21 4 2" xfId="25254"/>
    <cellStyle name="20% - Accent2 21 4 3" xfId="28229"/>
    <cellStyle name="20% - Accent2 21 5" xfId="25249"/>
    <cellStyle name="20% - Accent2 21 6" xfId="28224"/>
    <cellStyle name="20% - Accent2 22" xfId="7722"/>
    <cellStyle name="20% - Accent2 22 2" xfId="7723"/>
    <cellStyle name="20% - Accent2 22 2 2" xfId="7724"/>
    <cellStyle name="20% - Accent2 22 2 2 2" xfId="25257"/>
    <cellStyle name="20% - Accent2 22 2 2 3" xfId="28232"/>
    <cellStyle name="20% - Accent2 22 2 3" xfId="7725"/>
    <cellStyle name="20% - Accent2 22 2 3 2" xfId="25258"/>
    <cellStyle name="20% - Accent2 22 2 3 3" xfId="28233"/>
    <cellStyle name="20% - Accent2 22 2 4" xfId="25256"/>
    <cellStyle name="20% - Accent2 22 2 5" xfId="28231"/>
    <cellStyle name="20% - Accent2 22 3" xfId="7726"/>
    <cellStyle name="20% - Accent2 22 3 2" xfId="25259"/>
    <cellStyle name="20% - Accent2 22 3 3" xfId="28234"/>
    <cellStyle name="20% - Accent2 22 4" xfId="7727"/>
    <cellStyle name="20% - Accent2 22 4 2" xfId="25260"/>
    <cellStyle name="20% - Accent2 22 4 3" xfId="28235"/>
    <cellStyle name="20% - Accent2 22 5" xfId="25255"/>
    <cellStyle name="20% - Accent2 22 6" xfId="28230"/>
    <cellStyle name="20% - Accent2 23" xfId="7728"/>
    <cellStyle name="20% - Accent2 24" xfId="7729"/>
    <cellStyle name="20% - Accent2 24 2" xfId="7730"/>
    <cellStyle name="20% - Accent2 24 2 2" xfId="7731"/>
    <cellStyle name="20% - Accent2 24 2 2 2" xfId="25263"/>
    <cellStyle name="20% - Accent2 24 2 2 3" xfId="28238"/>
    <cellStyle name="20% - Accent2 24 2 3" xfId="7732"/>
    <cellStyle name="20% - Accent2 24 2 3 2" xfId="25264"/>
    <cellStyle name="20% - Accent2 24 2 3 3" xfId="28239"/>
    <cellStyle name="20% - Accent2 24 2 4" xfId="25262"/>
    <cellStyle name="20% - Accent2 24 2 5" xfId="28237"/>
    <cellStyle name="20% - Accent2 24 3" xfId="7733"/>
    <cellStyle name="20% - Accent2 24 3 2" xfId="25265"/>
    <cellStyle name="20% - Accent2 24 3 3" xfId="28240"/>
    <cellStyle name="20% - Accent2 24 4" xfId="7734"/>
    <cellStyle name="20% - Accent2 24 4 2" xfId="25266"/>
    <cellStyle name="20% - Accent2 24 4 3" xfId="28241"/>
    <cellStyle name="20% - Accent2 24 5" xfId="25261"/>
    <cellStyle name="20% - Accent2 24 6" xfId="28236"/>
    <cellStyle name="20% - Accent2 25" xfId="7735"/>
    <cellStyle name="20% - Accent2 25 2" xfId="7736"/>
    <cellStyle name="20% - Accent2 25 2 2" xfId="7737"/>
    <cellStyle name="20% - Accent2 25 2 2 2" xfId="25269"/>
    <cellStyle name="20% - Accent2 25 2 2 3" xfId="28244"/>
    <cellStyle name="20% - Accent2 25 2 3" xfId="7738"/>
    <cellStyle name="20% - Accent2 25 2 3 2" xfId="25270"/>
    <cellStyle name="20% - Accent2 25 2 3 3" xfId="28245"/>
    <cellStyle name="20% - Accent2 25 2 4" xfId="25268"/>
    <cellStyle name="20% - Accent2 25 2 5" xfId="28243"/>
    <cellStyle name="20% - Accent2 25 3" xfId="7739"/>
    <cellStyle name="20% - Accent2 25 3 2" xfId="25271"/>
    <cellStyle name="20% - Accent2 25 3 3" xfId="28246"/>
    <cellStyle name="20% - Accent2 25 4" xfId="7740"/>
    <cellStyle name="20% - Accent2 25 4 2" xfId="25272"/>
    <cellStyle name="20% - Accent2 25 4 3" xfId="28247"/>
    <cellStyle name="20% - Accent2 25 5" xfId="25267"/>
    <cellStyle name="20% - Accent2 25 6" xfId="28242"/>
    <cellStyle name="20% - Accent2 26" xfId="7741"/>
    <cellStyle name="20% - Accent2 27" xfId="7742"/>
    <cellStyle name="20% - Accent2 27 2" xfId="7743"/>
    <cellStyle name="20% - Accent2 27 2 2" xfId="7744"/>
    <cellStyle name="20% - Accent2 27 2 2 2" xfId="25275"/>
    <cellStyle name="20% - Accent2 27 2 2 3" xfId="28250"/>
    <cellStyle name="20% - Accent2 27 2 3" xfId="7745"/>
    <cellStyle name="20% - Accent2 27 2 3 2" xfId="25276"/>
    <cellStyle name="20% - Accent2 27 2 3 3" xfId="28251"/>
    <cellStyle name="20% - Accent2 27 2 4" xfId="25274"/>
    <cellStyle name="20% - Accent2 27 2 5" xfId="28249"/>
    <cellStyle name="20% - Accent2 27 3" xfId="7746"/>
    <cellStyle name="20% - Accent2 27 3 2" xfId="25277"/>
    <cellStyle name="20% - Accent2 27 3 3" xfId="28252"/>
    <cellStyle name="20% - Accent2 27 4" xfId="7747"/>
    <cellStyle name="20% - Accent2 27 4 2" xfId="25278"/>
    <cellStyle name="20% - Accent2 27 4 3" xfId="28253"/>
    <cellStyle name="20% - Accent2 27 5" xfId="25273"/>
    <cellStyle name="20% - Accent2 27 6" xfId="28248"/>
    <cellStyle name="20% - Accent2 28" xfId="7748"/>
    <cellStyle name="20% - Accent2 28 2" xfId="7749"/>
    <cellStyle name="20% - Accent2 28 2 2" xfId="25280"/>
    <cellStyle name="20% - Accent2 28 2 3" xfId="28255"/>
    <cellStyle name="20% - Accent2 28 3" xfId="7750"/>
    <cellStyle name="20% - Accent2 28 3 2" xfId="25281"/>
    <cellStyle name="20% - Accent2 28 3 3" xfId="28256"/>
    <cellStyle name="20% - Accent2 28 4" xfId="25279"/>
    <cellStyle name="20% - Accent2 28 5" xfId="28254"/>
    <cellStyle name="20% - Accent2 29" xfId="7751"/>
    <cellStyle name="20% - Accent2 29 2" xfId="25282"/>
    <cellStyle name="20% - Accent2 29 3" xfId="28257"/>
    <cellStyle name="20% - Accent2 3" xfId="216"/>
    <cellStyle name="20% - Accent2 3 10" xfId="3676"/>
    <cellStyle name="20% - Accent2 3 10 2" xfId="4270"/>
    <cellStyle name="20% - Accent2 3 10 2 2" xfId="7752"/>
    <cellStyle name="20% - Accent2 3 10 3" xfId="7753"/>
    <cellStyle name="20% - Accent2 3 10 4" xfId="7754"/>
    <cellStyle name="20% - Accent2 3 10 5" xfId="7755"/>
    <cellStyle name="20% - Accent2 3 11" xfId="7756"/>
    <cellStyle name="20% - Accent2 3 11 2" xfId="7757"/>
    <cellStyle name="20% - Accent2 3 11 3" xfId="7758"/>
    <cellStyle name="20% - Accent2 3 12" xfId="7759"/>
    <cellStyle name="20% - Accent2 3 12 2" xfId="7760"/>
    <cellStyle name="20% - Accent2 3 12 3" xfId="7761"/>
    <cellStyle name="20% - Accent2 3 13" xfId="7762"/>
    <cellStyle name="20% - Accent2 3 13 2" xfId="7763"/>
    <cellStyle name="20% - Accent2 3 13 3" xfId="7764"/>
    <cellStyle name="20% - Accent2 3 14" xfId="7765"/>
    <cellStyle name="20% - Accent2 3 15" xfId="7766"/>
    <cellStyle name="20% - Accent2 3 2" xfId="1449"/>
    <cellStyle name="20% - Accent2 3 2 10" xfId="7767"/>
    <cellStyle name="20% - Accent2 3 2 10 2" xfId="7768"/>
    <cellStyle name="20% - Accent2 3 2 10 3" xfId="7769"/>
    <cellStyle name="20% - Accent2 3 2 11" xfId="7770"/>
    <cellStyle name="20% - Accent2 3 2 11 2" xfId="7771"/>
    <cellStyle name="20% - Accent2 3 2 11 3" xfId="7772"/>
    <cellStyle name="20% - Accent2 3 2 12" xfId="7773"/>
    <cellStyle name="20% - Accent2 3 2 12 2" xfId="7774"/>
    <cellStyle name="20% - Accent2 3 2 12 3" xfId="7775"/>
    <cellStyle name="20% - Accent2 3 2 13" xfId="7776"/>
    <cellStyle name="20% - Accent2 3 2 14" xfId="7777"/>
    <cellStyle name="20% - Accent2 3 2 15" xfId="7778"/>
    <cellStyle name="20% - Accent2 3 2 2" xfId="1827"/>
    <cellStyle name="20% - Accent2 3 2 2 2" xfId="7779"/>
    <cellStyle name="20% - Accent2 3 2 2 3" xfId="7780"/>
    <cellStyle name="20% - Accent2 3 2 3" xfId="2202"/>
    <cellStyle name="20% - Accent2 3 2 3 2" xfId="7781"/>
    <cellStyle name="20% - Accent2 3 2 3 3" xfId="7782"/>
    <cellStyle name="20% - Accent2 3 2 4" xfId="2576"/>
    <cellStyle name="20% - Accent2 3 2 4 2" xfId="7783"/>
    <cellStyle name="20% - Accent2 3 2 4 3" xfId="7784"/>
    <cellStyle name="20% - Accent2 3 2 5" xfId="2948"/>
    <cellStyle name="20% - Accent2 3 2 5 2" xfId="7785"/>
    <cellStyle name="20% - Accent2 3 2 5 3" xfId="7786"/>
    <cellStyle name="20% - Accent2 3 2 6" xfId="3320"/>
    <cellStyle name="20% - Accent2 3 2 6 2" xfId="7787"/>
    <cellStyle name="20% - Accent2 3 2 6 3" xfId="7788"/>
    <cellStyle name="20% - Accent2 3 2 7" xfId="4271"/>
    <cellStyle name="20% - Accent2 3 2 7 2" xfId="7790"/>
    <cellStyle name="20% - Accent2 3 2 7 3" xfId="7791"/>
    <cellStyle name="20% - Accent2 3 2 7 4" xfId="7789"/>
    <cellStyle name="20% - Accent2 3 2 8" xfId="7792"/>
    <cellStyle name="20% - Accent2 3 2 8 2" xfId="7793"/>
    <cellStyle name="20% - Accent2 3 2 8 3" xfId="7794"/>
    <cellStyle name="20% - Accent2 3 2 9" xfId="7795"/>
    <cellStyle name="20% - Accent2 3 2 9 2" xfId="7796"/>
    <cellStyle name="20% - Accent2 3 2 9 3" xfId="7797"/>
    <cellStyle name="20% - Accent2 3 3" xfId="1576"/>
    <cellStyle name="20% - Accent2 3 3 2" xfId="1904"/>
    <cellStyle name="20% - Accent2 3 3 3" xfId="2279"/>
    <cellStyle name="20% - Accent2 3 3 4" xfId="2652"/>
    <cellStyle name="20% - Accent2 3 3 5" xfId="3025"/>
    <cellStyle name="20% - Accent2 3 3 6" xfId="3396"/>
    <cellStyle name="20% - Accent2 3 3 7" xfId="4272"/>
    <cellStyle name="20% - Accent2 3 4" xfId="1713"/>
    <cellStyle name="20% - Accent2 3 4 2" xfId="1948"/>
    <cellStyle name="20% - Accent2 3 4 3" xfId="2323"/>
    <cellStyle name="20% - Accent2 3 4 4" xfId="2696"/>
    <cellStyle name="20% - Accent2 3 4 5" xfId="3069"/>
    <cellStyle name="20% - Accent2 3 4 6" xfId="3440"/>
    <cellStyle name="20% - Accent2 3 5" xfId="2048"/>
    <cellStyle name="20% - Accent2 3 5 2" xfId="7798"/>
    <cellStyle name="20% - Accent2 3 5 3" xfId="7799"/>
    <cellStyle name="20% - Accent2 3 5 4" xfId="7800"/>
    <cellStyle name="20% - Accent2 3 6" xfId="2422"/>
    <cellStyle name="20% - Accent2 3 6 2" xfId="7801"/>
    <cellStyle name="20% - Accent2 3 6 3" xfId="7802"/>
    <cellStyle name="20% - Accent2 3 6 4" xfId="7803"/>
    <cellStyle name="20% - Accent2 3 7" xfId="2794"/>
    <cellStyle name="20% - Accent2 3 7 2" xfId="7804"/>
    <cellStyle name="20% - Accent2 3 7 3" xfId="7805"/>
    <cellStyle name="20% - Accent2 3 7 4" xfId="7806"/>
    <cellStyle name="20% - Accent2 3 8" xfId="3165"/>
    <cellStyle name="20% - Accent2 3 8 2" xfId="7807"/>
    <cellStyle name="20% - Accent2 3 8 3" xfId="7808"/>
    <cellStyle name="20% - Accent2 3 8 4" xfId="7809"/>
    <cellStyle name="20% - Accent2 3 9" xfId="3540"/>
    <cellStyle name="20% - Accent2 3 9 2" xfId="4273"/>
    <cellStyle name="20% - Accent2 3 9 2 2" xfId="7810"/>
    <cellStyle name="20% - Accent2 3 9 3" xfId="7811"/>
    <cellStyle name="20% - Accent2 3 9 4" xfId="7812"/>
    <cellStyle name="20% - Accent2 3 9 5" xfId="7813"/>
    <cellStyle name="20% - Accent2 30" xfId="28142"/>
    <cellStyle name="20% - Accent2 4" xfId="236"/>
    <cellStyle name="20% - Accent2 4 10" xfId="3720"/>
    <cellStyle name="20% - Accent2 4 10 2" xfId="4275"/>
    <cellStyle name="20% - Accent2 4 10 2 2" xfId="7815"/>
    <cellStyle name="20% - Accent2 4 10 3" xfId="7816"/>
    <cellStyle name="20% - Accent2 4 10 4" xfId="7817"/>
    <cellStyle name="20% - Accent2 4 10 5" xfId="7818"/>
    <cellStyle name="20% - Accent2 4 11" xfId="1298"/>
    <cellStyle name="20% - Accent2 4 11 10" xfId="25283"/>
    <cellStyle name="20% - Accent2 4 11 11" xfId="28259"/>
    <cellStyle name="20% - Accent2 4 11 2" xfId="4146"/>
    <cellStyle name="20% - Accent2 4 11 2 2" xfId="5318"/>
    <cellStyle name="20% - Accent2 4 11 2 2 2" xfId="5976"/>
    <cellStyle name="20% - Accent2 4 11 2 2 2 2" xfId="25286"/>
    <cellStyle name="20% - Accent2 4 11 2 2 3" xfId="7821"/>
    <cellStyle name="20% - Accent2 4 11 2 2 4" xfId="25285"/>
    <cellStyle name="20% - Accent2 4 11 2 3" xfId="5628"/>
    <cellStyle name="20% - Accent2 4 11 2 3 2" xfId="5977"/>
    <cellStyle name="20% - Accent2 4 11 2 3 2 2" xfId="25288"/>
    <cellStyle name="20% - Accent2 4 11 2 3 3" xfId="25287"/>
    <cellStyle name="20% - Accent2 4 11 2 4" xfId="4277"/>
    <cellStyle name="20% - Accent2 4 11 2 4 2" xfId="5978"/>
    <cellStyle name="20% - Accent2 4 11 2 4 2 2" xfId="25290"/>
    <cellStyle name="20% - Accent2 4 11 2 4 3" xfId="25289"/>
    <cellStyle name="20% - Accent2 4 11 2 5" xfId="5975"/>
    <cellStyle name="20% - Accent2 4 11 2 5 2" xfId="25291"/>
    <cellStyle name="20% - Accent2 4 11 2 6" xfId="7820"/>
    <cellStyle name="20% - Accent2 4 11 2 6 2" xfId="25292"/>
    <cellStyle name="20% - Accent2 4 11 2 7" xfId="24998"/>
    <cellStyle name="20% - Accent2 4 11 2 8" xfId="25284"/>
    <cellStyle name="20% - Accent2 4 11 2 9" xfId="28260"/>
    <cellStyle name="20% - Accent2 4 11 3" xfId="5317"/>
    <cellStyle name="20% - Accent2 4 11 3 2" xfId="5979"/>
    <cellStyle name="20% - Accent2 4 11 3 2 2" xfId="25294"/>
    <cellStyle name="20% - Accent2 4 11 3 3" xfId="7822"/>
    <cellStyle name="20% - Accent2 4 11 3 4" xfId="25293"/>
    <cellStyle name="20% - Accent2 4 11 4" xfId="5627"/>
    <cellStyle name="20% - Accent2 4 11 4 2" xfId="5980"/>
    <cellStyle name="20% - Accent2 4 11 4 2 2" xfId="25296"/>
    <cellStyle name="20% - Accent2 4 11 4 3" xfId="7823"/>
    <cellStyle name="20% - Accent2 4 11 4 4" xfId="25295"/>
    <cellStyle name="20% - Accent2 4 11 5" xfId="4276"/>
    <cellStyle name="20% - Accent2 4 11 5 2" xfId="5981"/>
    <cellStyle name="20% - Accent2 4 11 5 2 2" xfId="7825"/>
    <cellStyle name="20% - Accent2 4 11 5 2 2 2" xfId="25299"/>
    <cellStyle name="20% - Accent2 4 11 5 2 3" xfId="25298"/>
    <cellStyle name="20% - Accent2 4 11 5 2 4" xfId="28262"/>
    <cellStyle name="20% - Accent2 4 11 5 3" xfId="7826"/>
    <cellStyle name="20% - Accent2 4 11 5 3 2" xfId="25300"/>
    <cellStyle name="20% - Accent2 4 11 5 3 3" xfId="28263"/>
    <cellStyle name="20% - Accent2 4 11 5 4" xfId="7824"/>
    <cellStyle name="20% - Accent2 4 11 5 4 2" xfId="25301"/>
    <cellStyle name="20% - Accent2 4 11 5 5" xfId="25297"/>
    <cellStyle name="20% - Accent2 4 11 5 6" xfId="28261"/>
    <cellStyle name="20% - Accent2 4 11 6" xfId="5974"/>
    <cellStyle name="20% - Accent2 4 11 6 2" xfId="7827"/>
    <cellStyle name="20% - Accent2 4 11 6 2 2" xfId="25303"/>
    <cellStyle name="20% - Accent2 4 11 6 3" xfId="25302"/>
    <cellStyle name="20% - Accent2 4 11 6 4" xfId="28264"/>
    <cellStyle name="20% - Accent2 4 11 7" xfId="7828"/>
    <cellStyle name="20% - Accent2 4 11 7 2" xfId="25304"/>
    <cellStyle name="20% - Accent2 4 11 7 3" xfId="28265"/>
    <cellStyle name="20% - Accent2 4 11 8" xfId="7819"/>
    <cellStyle name="20% - Accent2 4 11 8 2" xfId="25305"/>
    <cellStyle name="20% - Accent2 4 11 9" xfId="24878"/>
    <cellStyle name="20% - Accent2 4 12" xfId="4278"/>
    <cellStyle name="20% - Accent2 4 12 2" xfId="5319"/>
    <cellStyle name="20% - Accent2 4 12 2 2" xfId="5983"/>
    <cellStyle name="20% - Accent2 4 12 2 2 2" xfId="25308"/>
    <cellStyle name="20% - Accent2 4 12 2 3" xfId="7830"/>
    <cellStyle name="20% - Accent2 4 12 2 4" xfId="25307"/>
    <cellStyle name="20% - Accent2 4 12 3" xfId="5629"/>
    <cellStyle name="20% - Accent2 4 12 3 2" xfId="5984"/>
    <cellStyle name="20% - Accent2 4 12 3 2 2" xfId="25310"/>
    <cellStyle name="20% - Accent2 4 12 3 3" xfId="7831"/>
    <cellStyle name="20% - Accent2 4 12 3 4" xfId="25309"/>
    <cellStyle name="20% - Accent2 4 12 4" xfId="5982"/>
    <cellStyle name="20% - Accent2 4 12 4 2" xfId="7832"/>
    <cellStyle name="20% - Accent2 4 12 4 3" xfId="25311"/>
    <cellStyle name="20% - Accent2 4 12 5" xfId="7829"/>
    <cellStyle name="20% - Accent2 4 12 5 2" xfId="25312"/>
    <cellStyle name="20% - Accent2 4 12 6" xfId="25306"/>
    <cellStyle name="20% - Accent2 4 12 7" xfId="28266"/>
    <cellStyle name="20% - Accent2 4 13" xfId="5316"/>
    <cellStyle name="20% - Accent2 4 13 2" xfId="5985"/>
    <cellStyle name="20% - Accent2 4 13 2 2" xfId="7834"/>
    <cellStyle name="20% - Accent2 4 13 2 3" xfId="25314"/>
    <cellStyle name="20% - Accent2 4 13 3" xfId="7835"/>
    <cellStyle name="20% - Accent2 4 13 4" xfId="7833"/>
    <cellStyle name="20% - Accent2 4 13 5" xfId="25313"/>
    <cellStyle name="20% - Accent2 4 14" xfId="5626"/>
    <cellStyle name="20% - Accent2 4 14 2" xfId="5986"/>
    <cellStyle name="20% - Accent2 4 14 2 2" xfId="25316"/>
    <cellStyle name="20% - Accent2 4 14 3" xfId="7836"/>
    <cellStyle name="20% - Accent2 4 14 4" xfId="25315"/>
    <cellStyle name="20% - Accent2 4 15" xfId="4274"/>
    <cellStyle name="20% - Accent2 4 15 2" xfId="5987"/>
    <cellStyle name="20% - Accent2 4 15 2 2" xfId="25318"/>
    <cellStyle name="20% - Accent2 4 15 3" xfId="7837"/>
    <cellStyle name="20% - Accent2 4 15 4" xfId="25317"/>
    <cellStyle name="20% - Accent2 4 16" xfId="7838"/>
    <cellStyle name="20% - Accent2 4 17" xfId="7839"/>
    <cellStyle name="20% - Accent2 4 17 2" xfId="7840"/>
    <cellStyle name="20% - Accent2 4 17 2 2" xfId="25320"/>
    <cellStyle name="20% - Accent2 4 17 2 3" xfId="28268"/>
    <cellStyle name="20% - Accent2 4 17 3" xfId="7841"/>
    <cellStyle name="20% - Accent2 4 17 3 2" xfId="25321"/>
    <cellStyle name="20% - Accent2 4 17 3 3" xfId="28269"/>
    <cellStyle name="20% - Accent2 4 17 4" xfId="25319"/>
    <cellStyle name="20% - Accent2 4 17 5" xfId="28267"/>
    <cellStyle name="20% - Accent2 4 18" xfId="7842"/>
    <cellStyle name="20% - Accent2 4 18 2" xfId="25322"/>
    <cellStyle name="20% - Accent2 4 18 3" xfId="28270"/>
    <cellStyle name="20% - Accent2 4 19" xfId="7843"/>
    <cellStyle name="20% - Accent2 4 19 2" xfId="25323"/>
    <cellStyle name="20% - Accent2 4 19 3" xfId="28271"/>
    <cellStyle name="20% - Accent2 4 2" xfId="1494"/>
    <cellStyle name="20% - Accent2 4 2 10" xfId="7844"/>
    <cellStyle name="20% - Accent2 4 2 10 2" xfId="7845"/>
    <cellStyle name="20% - Accent2 4 2 10 3" xfId="7846"/>
    <cellStyle name="20% - Accent2 4 2 11" xfId="7847"/>
    <cellStyle name="20% - Accent2 4 2 11 2" xfId="7848"/>
    <cellStyle name="20% - Accent2 4 2 11 3" xfId="7849"/>
    <cellStyle name="20% - Accent2 4 2 12" xfId="7850"/>
    <cellStyle name="20% - Accent2 4 2 12 2" xfId="7851"/>
    <cellStyle name="20% - Accent2 4 2 12 3" xfId="7852"/>
    <cellStyle name="20% - Accent2 4 2 13" xfId="7853"/>
    <cellStyle name="20% - Accent2 4 2 14" xfId="7854"/>
    <cellStyle name="20% - Accent2 4 2 15" xfId="7855"/>
    <cellStyle name="20% - Accent2 4 2 16" xfId="7856"/>
    <cellStyle name="20% - Accent2 4 2 2" xfId="4279"/>
    <cellStyle name="20% - Accent2 4 2 2 2" xfId="7858"/>
    <cellStyle name="20% - Accent2 4 2 2 3" xfId="7859"/>
    <cellStyle name="20% - Accent2 4 2 2 4" xfId="7857"/>
    <cellStyle name="20% - Accent2 4 2 3" xfId="7860"/>
    <cellStyle name="20% - Accent2 4 2 3 2" xfId="7861"/>
    <cellStyle name="20% - Accent2 4 2 3 3" xfId="7862"/>
    <cellStyle name="20% - Accent2 4 2 4" xfId="7863"/>
    <cellStyle name="20% - Accent2 4 2 4 2" xfId="7864"/>
    <cellStyle name="20% - Accent2 4 2 4 3" xfId="7865"/>
    <cellStyle name="20% - Accent2 4 2 5" xfId="7866"/>
    <cellStyle name="20% - Accent2 4 2 5 2" xfId="7867"/>
    <cellStyle name="20% - Accent2 4 2 5 3" xfId="7868"/>
    <cellStyle name="20% - Accent2 4 2 6" xfId="7869"/>
    <cellStyle name="20% - Accent2 4 2 6 2" xfId="7870"/>
    <cellStyle name="20% - Accent2 4 2 6 3" xfId="7871"/>
    <cellStyle name="20% - Accent2 4 2 7" xfId="7872"/>
    <cellStyle name="20% - Accent2 4 2 7 2" xfId="7873"/>
    <cellStyle name="20% - Accent2 4 2 7 3" xfId="7874"/>
    <cellStyle name="20% - Accent2 4 2 8" xfId="7875"/>
    <cellStyle name="20% - Accent2 4 2 8 2" xfId="7876"/>
    <cellStyle name="20% - Accent2 4 2 8 3" xfId="7877"/>
    <cellStyle name="20% - Accent2 4 2 9" xfId="7878"/>
    <cellStyle name="20% - Accent2 4 2 9 2" xfId="7879"/>
    <cellStyle name="20% - Accent2 4 2 9 3" xfId="7880"/>
    <cellStyle name="20% - Accent2 4 20" xfId="7814"/>
    <cellStyle name="20% - Accent2 4 20 2" xfId="25324"/>
    <cellStyle name="20% - Accent2 4 21" xfId="28258"/>
    <cellStyle name="20% - Accent2 4 3" xfId="1619"/>
    <cellStyle name="20% - Accent2 4 3 2" xfId="4280"/>
    <cellStyle name="20% - Accent2 4 3 2 2" xfId="7881"/>
    <cellStyle name="20% - Accent2 4 3 3" xfId="7882"/>
    <cellStyle name="20% - Accent2 4 3 4" xfId="7883"/>
    <cellStyle name="20% - Accent2 4 3 5" xfId="7884"/>
    <cellStyle name="20% - Accent2 4 4" xfId="1803"/>
    <cellStyle name="20% - Accent2 4 4 2" xfId="7885"/>
    <cellStyle name="20% - Accent2 4 4 3" xfId="7886"/>
    <cellStyle name="20% - Accent2 4 4 4" xfId="7887"/>
    <cellStyle name="20% - Accent2 4 5" xfId="2139"/>
    <cellStyle name="20% - Accent2 4 5 2" xfId="7888"/>
    <cellStyle name="20% - Accent2 4 5 3" xfId="7889"/>
    <cellStyle name="20% - Accent2 4 5 4" xfId="7890"/>
    <cellStyle name="20% - Accent2 4 6" xfId="2513"/>
    <cellStyle name="20% - Accent2 4 6 2" xfId="7891"/>
    <cellStyle name="20% - Accent2 4 6 3" xfId="7892"/>
    <cellStyle name="20% - Accent2 4 6 4" xfId="7893"/>
    <cellStyle name="20% - Accent2 4 7" xfId="2885"/>
    <cellStyle name="20% - Accent2 4 7 2" xfId="7894"/>
    <cellStyle name="20% - Accent2 4 7 3" xfId="7895"/>
    <cellStyle name="20% - Accent2 4 7 4" xfId="7896"/>
    <cellStyle name="20% - Accent2 4 8" xfId="3256"/>
    <cellStyle name="20% - Accent2 4 8 2" xfId="7897"/>
    <cellStyle name="20% - Accent2 4 8 3" xfId="7898"/>
    <cellStyle name="20% - Accent2 4 8 4" xfId="7899"/>
    <cellStyle name="20% - Accent2 4 9" xfId="3583"/>
    <cellStyle name="20% - Accent2 4 9 2" xfId="4281"/>
    <cellStyle name="20% - Accent2 4 9 2 2" xfId="7900"/>
    <cellStyle name="20% - Accent2 4 9 3" xfId="7901"/>
    <cellStyle name="20% - Accent2 4 9 4" xfId="7902"/>
    <cellStyle name="20% - Accent2 4 9 5" xfId="7903"/>
    <cellStyle name="20% - Accent2 5" xfId="363"/>
    <cellStyle name="20% - Accent2 5 10" xfId="7904"/>
    <cellStyle name="20% - Accent2 5 10 2" xfId="7905"/>
    <cellStyle name="20% - Accent2 5 10 3" xfId="7906"/>
    <cellStyle name="20% - Accent2 5 11" xfId="7907"/>
    <cellStyle name="20% - Accent2 5 11 2" xfId="7908"/>
    <cellStyle name="20% - Accent2 5 11 3" xfId="7909"/>
    <cellStyle name="20% - Accent2 5 12" xfId="7910"/>
    <cellStyle name="20% - Accent2 5 12 2" xfId="7911"/>
    <cellStyle name="20% - Accent2 5 12 3" xfId="7912"/>
    <cellStyle name="20% - Accent2 5 13" xfId="7913"/>
    <cellStyle name="20% - Accent2 5 13 2" xfId="7914"/>
    <cellStyle name="20% - Accent2 5 13 3" xfId="7915"/>
    <cellStyle name="20% - Accent2 5 14" xfId="7916"/>
    <cellStyle name="20% - Accent2 5 15" xfId="7917"/>
    <cellStyle name="20% - Accent2 5 16" xfId="7918"/>
    <cellStyle name="20% - Accent2 5 17" xfId="7919"/>
    <cellStyle name="20% - Accent2 5 2" xfId="1880"/>
    <cellStyle name="20% - Accent2 5 2 10" xfId="7920"/>
    <cellStyle name="20% - Accent2 5 2 10 2" xfId="7921"/>
    <cellStyle name="20% - Accent2 5 2 10 3" xfId="7922"/>
    <cellStyle name="20% - Accent2 5 2 11" xfId="7923"/>
    <cellStyle name="20% - Accent2 5 2 11 2" xfId="7924"/>
    <cellStyle name="20% - Accent2 5 2 11 3" xfId="7925"/>
    <cellStyle name="20% - Accent2 5 2 12" xfId="7926"/>
    <cellStyle name="20% - Accent2 5 2 12 2" xfId="7927"/>
    <cellStyle name="20% - Accent2 5 2 12 3" xfId="7928"/>
    <cellStyle name="20% - Accent2 5 2 13" xfId="7929"/>
    <cellStyle name="20% - Accent2 5 2 14" xfId="7930"/>
    <cellStyle name="20% - Accent2 5 2 15" xfId="7931"/>
    <cellStyle name="20% - Accent2 5 2 2" xfId="7932"/>
    <cellStyle name="20% - Accent2 5 2 2 2" xfId="7933"/>
    <cellStyle name="20% - Accent2 5 2 2 3" xfId="7934"/>
    <cellStyle name="20% - Accent2 5 2 3" xfId="7935"/>
    <cellStyle name="20% - Accent2 5 2 3 2" xfId="7936"/>
    <cellStyle name="20% - Accent2 5 2 3 3" xfId="7937"/>
    <cellStyle name="20% - Accent2 5 2 4" xfId="7938"/>
    <cellStyle name="20% - Accent2 5 2 4 2" xfId="7939"/>
    <cellStyle name="20% - Accent2 5 2 4 3" xfId="7940"/>
    <cellStyle name="20% - Accent2 5 2 5" xfId="7941"/>
    <cellStyle name="20% - Accent2 5 2 5 2" xfId="7942"/>
    <cellStyle name="20% - Accent2 5 2 5 3" xfId="7943"/>
    <cellStyle name="20% - Accent2 5 2 6" xfId="7944"/>
    <cellStyle name="20% - Accent2 5 2 6 2" xfId="7945"/>
    <cellStyle name="20% - Accent2 5 2 6 3" xfId="7946"/>
    <cellStyle name="20% - Accent2 5 2 7" xfId="7947"/>
    <cellStyle name="20% - Accent2 5 2 7 2" xfId="7948"/>
    <cellStyle name="20% - Accent2 5 2 7 3" xfId="7949"/>
    <cellStyle name="20% - Accent2 5 2 8" xfId="7950"/>
    <cellStyle name="20% - Accent2 5 2 8 2" xfId="7951"/>
    <cellStyle name="20% - Accent2 5 2 8 3" xfId="7952"/>
    <cellStyle name="20% - Accent2 5 2 9" xfId="7953"/>
    <cellStyle name="20% - Accent2 5 2 9 2" xfId="7954"/>
    <cellStyle name="20% - Accent2 5 2 9 3" xfId="7955"/>
    <cellStyle name="20% - Accent2 5 3" xfId="2255"/>
    <cellStyle name="20% - Accent2 5 3 2" xfId="7956"/>
    <cellStyle name="20% - Accent2 5 3 3" xfId="7957"/>
    <cellStyle name="20% - Accent2 5 3 4" xfId="7958"/>
    <cellStyle name="20% - Accent2 5 4" xfId="2628"/>
    <cellStyle name="20% - Accent2 5 4 2" xfId="7959"/>
    <cellStyle name="20% - Accent2 5 4 3" xfId="7960"/>
    <cellStyle name="20% - Accent2 5 4 4" xfId="7961"/>
    <cellStyle name="20% - Accent2 5 5" xfId="3001"/>
    <cellStyle name="20% - Accent2 5 5 2" xfId="7962"/>
    <cellStyle name="20% - Accent2 5 5 3" xfId="7963"/>
    <cellStyle name="20% - Accent2 5 5 4" xfId="7964"/>
    <cellStyle name="20% - Accent2 5 6" xfId="3372"/>
    <cellStyle name="20% - Accent2 5 6 2" xfId="7965"/>
    <cellStyle name="20% - Accent2 5 6 3" xfId="7966"/>
    <cellStyle name="20% - Accent2 5 6 4" xfId="7967"/>
    <cellStyle name="20% - Accent2 5 7" xfId="4282"/>
    <cellStyle name="20% - Accent2 5 7 2" xfId="7969"/>
    <cellStyle name="20% - Accent2 5 7 3" xfId="7970"/>
    <cellStyle name="20% - Accent2 5 7 4" xfId="7968"/>
    <cellStyle name="20% - Accent2 5 8" xfId="7971"/>
    <cellStyle name="20% - Accent2 5 8 2" xfId="7972"/>
    <cellStyle name="20% - Accent2 5 8 3" xfId="7973"/>
    <cellStyle name="20% - Accent2 5 9" xfId="7974"/>
    <cellStyle name="20% - Accent2 5 9 2" xfId="7975"/>
    <cellStyle name="20% - Accent2 5 9 3" xfId="7976"/>
    <cellStyle name="20% - Accent2 6" xfId="364"/>
    <cellStyle name="20% - Accent2 6 10" xfId="5320"/>
    <cellStyle name="20% - Accent2 6 10 2" xfId="5989"/>
    <cellStyle name="20% - Accent2 6 10 2 2" xfId="7979"/>
    <cellStyle name="20% - Accent2 6 10 2 3" xfId="25327"/>
    <cellStyle name="20% - Accent2 6 10 3" xfId="7980"/>
    <cellStyle name="20% - Accent2 6 10 4" xfId="7978"/>
    <cellStyle name="20% - Accent2 6 10 5" xfId="25326"/>
    <cellStyle name="20% - Accent2 6 11" xfId="5630"/>
    <cellStyle name="20% - Accent2 6 11 2" xfId="5990"/>
    <cellStyle name="20% - Accent2 6 11 2 2" xfId="7982"/>
    <cellStyle name="20% - Accent2 6 11 2 3" xfId="25329"/>
    <cellStyle name="20% - Accent2 6 11 3" xfId="7983"/>
    <cellStyle name="20% - Accent2 6 11 4" xfId="7981"/>
    <cellStyle name="20% - Accent2 6 11 5" xfId="25328"/>
    <cellStyle name="20% - Accent2 6 12" xfId="4283"/>
    <cellStyle name="20% - Accent2 6 12 2" xfId="5991"/>
    <cellStyle name="20% - Accent2 6 12 2 2" xfId="7985"/>
    <cellStyle name="20% - Accent2 6 12 2 3" xfId="25331"/>
    <cellStyle name="20% - Accent2 6 12 3" xfId="7986"/>
    <cellStyle name="20% - Accent2 6 12 4" xfId="7984"/>
    <cellStyle name="20% - Accent2 6 12 5" xfId="25330"/>
    <cellStyle name="20% - Accent2 6 13" xfId="5988"/>
    <cellStyle name="20% - Accent2 6 13 2" xfId="7987"/>
    <cellStyle name="20% - Accent2 6 13 3" xfId="25332"/>
    <cellStyle name="20% - Accent2 6 14" xfId="7988"/>
    <cellStyle name="20% - Accent2 6 15" xfId="7989"/>
    <cellStyle name="20% - Accent2 6 16" xfId="7990"/>
    <cellStyle name="20% - Accent2 6 16 2" xfId="7991"/>
    <cellStyle name="20% - Accent2 6 16 2 2" xfId="25334"/>
    <cellStyle name="20% - Accent2 6 16 2 3" xfId="28274"/>
    <cellStyle name="20% - Accent2 6 16 3" xfId="7992"/>
    <cellStyle name="20% - Accent2 6 16 3 2" xfId="25335"/>
    <cellStyle name="20% - Accent2 6 16 3 3" xfId="28275"/>
    <cellStyle name="20% - Accent2 6 16 4" xfId="25333"/>
    <cellStyle name="20% - Accent2 6 16 5" xfId="28273"/>
    <cellStyle name="20% - Accent2 6 17" xfId="7993"/>
    <cellStyle name="20% - Accent2 6 17 2" xfId="25336"/>
    <cellStyle name="20% - Accent2 6 17 3" xfId="28276"/>
    <cellStyle name="20% - Accent2 6 18" xfId="7994"/>
    <cellStyle name="20% - Accent2 6 18 2" xfId="25337"/>
    <cellStyle name="20% - Accent2 6 18 3" xfId="28277"/>
    <cellStyle name="20% - Accent2 6 19" xfId="7977"/>
    <cellStyle name="20% - Accent2 6 19 2" xfId="25338"/>
    <cellStyle name="20% - Accent2 6 2" xfId="1970"/>
    <cellStyle name="20% - Accent2 6 2 2" xfId="4284"/>
    <cellStyle name="20% - Accent2 6 2 2 2" xfId="7995"/>
    <cellStyle name="20% - Accent2 6 2 3" xfId="7996"/>
    <cellStyle name="20% - Accent2 6 2 4" xfId="7997"/>
    <cellStyle name="20% - Accent2 6 2 5" xfId="7998"/>
    <cellStyle name="20% - Accent2 6 20" xfId="24832"/>
    <cellStyle name="20% - Accent2 6 21" xfId="25325"/>
    <cellStyle name="20% - Accent2 6 22" xfId="28272"/>
    <cellStyle name="20% - Accent2 6 3" xfId="2345"/>
    <cellStyle name="20% - Accent2 6 3 2" xfId="4285"/>
    <cellStyle name="20% - Accent2 6 3 2 2" xfId="7999"/>
    <cellStyle name="20% - Accent2 6 3 3" xfId="8000"/>
    <cellStyle name="20% - Accent2 6 3 4" xfId="8001"/>
    <cellStyle name="20% - Accent2 6 3 5" xfId="8002"/>
    <cellStyle name="20% - Accent2 6 4" xfId="2718"/>
    <cellStyle name="20% - Accent2 6 4 2" xfId="4286"/>
    <cellStyle name="20% - Accent2 6 4 2 2" xfId="8003"/>
    <cellStyle name="20% - Accent2 6 4 3" xfId="8004"/>
    <cellStyle name="20% - Accent2 6 4 4" xfId="8005"/>
    <cellStyle name="20% - Accent2 6 4 5" xfId="8006"/>
    <cellStyle name="20% - Accent2 6 5" xfId="3091"/>
    <cellStyle name="20% - Accent2 6 5 2" xfId="4287"/>
    <cellStyle name="20% - Accent2 6 5 2 2" xfId="8007"/>
    <cellStyle name="20% - Accent2 6 5 3" xfId="8008"/>
    <cellStyle name="20% - Accent2 6 5 4" xfId="8009"/>
    <cellStyle name="20% - Accent2 6 5 5" xfId="8010"/>
    <cellStyle name="20% - Accent2 6 6" xfId="3462"/>
    <cellStyle name="20% - Accent2 6 6 2" xfId="4288"/>
    <cellStyle name="20% - Accent2 6 6 2 2" xfId="8011"/>
    <cellStyle name="20% - Accent2 6 6 3" xfId="8012"/>
    <cellStyle name="20% - Accent2 6 6 4" xfId="8013"/>
    <cellStyle name="20% - Accent2 6 6 5" xfId="8014"/>
    <cellStyle name="20% - Accent2 6 7" xfId="3768"/>
    <cellStyle name="20% - Accent2 6 7 2" xfId="4289"/>
    <cellStyle name="20% - Accent2 6 7 2 2" xfId="8015"/>
    <cellStyle name="20% - Accent2 6 7 3" xfId="8016"/>
    <cellStyle name="20% - Accent2 6 7 4" xfId="8017"/>
    <cellStyle name="20% - Accent2 6 7 5" xfId="8018"/>
    <cellStyle name="20% - Accent2 6 8" xfId="1358"/>
    <cellStyle name="20% - Accent2 6 8 10" xfId="25339"/>
    <cellStyle name="20% - Accent2 6 8 11" xfId="28278"/>
    <cellStyle name="20% - Accent2 6 8 2" xfId="4158"/>
    <cellStyle name="20% - Accent2 6 8 2 2" xfId="5322"/>
    <cellStyle name="20% - Accent2 6 8 2 2 2" xfId="5994"/>
    <cellStyle name="20% - Accent2 6 8 2 2 2 2" xfId="25342"/>
    <cellStyle name="20% - Accent2 6 8 2 2 3" xfId="8021"/>
    <cellStyle name="20% - Accent2 6 8 2 2 4" xfId="25341"/>
    <cellStyle name="20% - Accent2 6 8 2 3" xfId="5632"/>
    <cellStyle name="20% - Accent2 6 8 2 3 2" xfId="5995"/>
    <cellStyle name="20% - Accent2 6 8 2 3 2 2" xfId="25344"/>
    <cellStyle name="20% - Accent2 6 8 2 3 3" xfId="25343"/>
    <cellStyle name="20% - Accent2 6 8 2 4" xfId="4291"/>
    <cellStyle name="20% - Accent2 6 8 2 4 2" xfId="5996"/>
    <cellStyle name="20% - Accent2 6 8 2 4 2 2" xfId="25346"/>
    <cellStyle name="20% - Accent2 6 8 2 4 3" xfId="25345"/>
    <cellStyle name="20% - Accent2 6 8 2 5" xfId="5993"/>
    <cellStyle name="20% - Accent2 6 8 2 5 2" xfId="25347"/>
    <cellStyle name="20% - Accent2 6 8 2 6" xfId="8020"/>
    <cellStyle name="20% - Accent2 6 8 2 6 2" xfId="25348"/>
    <cellStyle name="20% - Accent2 6 8 2 7" xfId="25010"/>
    <cellStyle name="20% - Accent2 6 8 2 8" xfId="25340"/>
    <cellStyle name="20% - Accent2 6 8 2 9" xfId="28279"/>
    <cellStyle name="20% - Accent2 6 8 3" xfId="5321"/>
    <cellStyle name="20% - Accent2 6 8 3 2" xfId="5997"/>
    <cellStyle name="20% - Accent2 6 8 3 2 2" xfId="25350"/>
    <cellStyle name="20% - Accent2 6 8 3 3" xfId="8022"/>
    <cellStyle name="20% - Accent2 6 8 3 4" xfId="25349"/>
    <cellStyle name="20% - Accent2 6 8 4" xfId="5631"/>
    <cellStyle name="20% - Accent2 6 8 4 2" xfId="5998"/>
    <cellStyle name="20% - Accent2 6 8 4 2 2" xfId="25352"/>
    <cellStyle name="20% - Accent2 6 8 4 3" xfId="8023"/>
    <cellStyle name="20% - Accent2 6 8 4 4" xfId="25351"/>
    <cellStyle name="20% - Accent2 6 8 5" xfId="4290"/>
    <cellStyle name="20% - Accent2 6 8 5 2" xfId="5999"/>
    <cellStyle name="20% - Accent2 6 8 5 2 2" xfId="8025"/>
    <cellStyle name="20% - Accent2 6 8 5 2 2 2" xfId="25355"/>
    <cellStyle name="20% - Accent2 6 8 5 2 3" xfId="25354"/>
    <cellStyle name="20% - Accent2 6 8 5 2 4" xfId="28281"/>
    <cellStyle name="20% - Accent2 6 8 5 3" xfId="8026"/>
    <cellStyle name="20% - Accent2 6 8 5 3 2" xfId="25356"/>
    <cellStyle name="20% - Accent2 6 8 5 3 3" xfId="28282"/>
    <cellStyle name="20% - Accent2 6 8 5 4" xfId="8024"/>
    <cellStyle name="20% - Accent2 6 8 5 4 2" xfId="25357"/>
    <cellStyle name="20% - Accent2 6 8 5 5" xfId="25353"/>
    <cellStyle name="20% - Accent2 6 8 5 6" xfId="28280"/>
    <cellStyle name="20% - Accent2 6 8 6" xfId="5992"/>
    <cellStyle name="20% - Accent2 6 8 6 2" xfId="8027"/>
    <cellStyle name="20% - Accent2 6 8 6 2 2" xfId="25359"/>
    <cellStyle name="20% - Accent2 6 8 6 3" xfId="25358"/>
    <cellStyle name="20% - Accent2 6 8 6 4" xfId="28283"/>
    <cellStyle name="20% - Accent2 6 8 7" xfId="8028"/>
    <cellStyle name="20% - Accent2 6 8 7 2" xfId="25360"/>
    <cellStyle name="20% - Accent2 6 8 7 3" xfId="28284"/>
    <cellStyle name="20% - Accent2 6 8 8" xfId="8019"/>
    <cellStyle name="20% - Accent2 6 8 8 2" xfId="25361"/>
    <cellStyle name="20% - Accent2 6 8 9" xfId="24890"/>
    <cellStyle name="20% - Accent2 6 9" xfId="3818"/>
    <cellStyle name="20% - Accent2 6 9 2" xfId="5323"/>
    <cellStyle name="20% - Accent2 6 9 2 2" xfId="6001"/>
    <cellStyle name="20% - Accent2 6 9 2 2 2" xfId="25364"/>
    <cellStyle name="20% - Accent2 6 9 2 3" xfId="8030"/>
    <cellStyle name="20% - Accent2 6 9 2 4" xfId="25363"/>
    <cellStyle name="20% - Accent2 6 9 3" xfId="5633"/>
    <cellStyle name="20% - Accent2 6 9 3 2" xfId="6002"/>
    <cellStyle name="20% - Accent2 6 9 3 2 2" xfId="25366"/>
    <cellStyle name="20% - Accent2 6 9 3 3" xfId="8031"/>
    <cellStyle name="20% - Accent2 6 9 3 4" xfId="25365"/>
    <cellStyle name="20% - Accent2 6 9 4" xfId="4292"/>
    <cellStyle name="20% - Accent2 6 9 4 2" xfId="6003"/>
    <cellStyle name="20% - Accent2 6 9 4 2 2" xfId="25368"/>
    <cellStyle name="20% - Accent2 6 9 4 3" xfId="8032"/>
    <cellStyle name="20% - Accent2 6 9 4 4" xfId="25367"/>
    <cellStyle name="20% - Accent2 6 9 5" xfId="6000"/>
    <cellStyle name="20% - Accent2 6 9 5 2" xfId="25369"/>
    <cellStyle name="20% - Accent2 6 9 6" xfId="8029"/>
    <cellStyle name="20% - Accent2 6 9 6 2" xfId="25370"/>
    <cellStyle name="20% - Accent2 6 9 7" xfId="24954"/>
    <cellStyle name="20% - Accent2 6 9 8" xfId="25362"/>
    <cellStyle name="20% - Accent2 6 9 9" xfId="28285"/>
    <cellStyle name="20% - Accent2 7" xfId="365"/>
    <cellStyle name="20% - Accent2 7 10" xfId="8033"/>
    <cellStyle name="20% - Accent2 7 10 2" xfId="8034"/>
    <cellStyle name="20% - Accent2 7 10 3" xfId="8035"/>
    <cellStyle name="20% - Accent2 7 11" xfId="8036"/>
    <cellStyle name="20% - Accent2 7 11 2" xfId="8037"/>
    <cellStyle name="20% - Accent2 7 11 3" xfId="8038"/>
    <cellStyle name="20% - Accent2 7 12" xfId="8039"/>
    <cellStyle name="20% - Accent2 7 12 2" xfId="8040"/>
    <cellStyle name="20% - Accent2 7 12 3" xfId="8041"/>
    <cellStyle name="20% - Accent2 7 13" xfId="8042"/>
    <cellStyle name="20% - Accent2 7 14" xfId="8043"/>
    <cellStyle name="20% - Accent2 7 15" xfId="8044"/>
    <cellStyle name="20% - Accent2 7 16" xfId="8045"/>
    <cellStyle name="20% - Accent2 7 2" xfId="4293"/>
    <cellStyle name="20% - Accent2 7 2 2" xfId="8047"/>
    <cellStyle name="20% - Accent2 7 2 3" xfId="8048"/>
    <cellStyle name="20% - Accent2 7 2 4" xfId="8046"/>
    <cellStyle name="20% - Accent2 7 3" xfId="8049"/>
    <cellStyle name="20% - Accent2 7 3 2" xfId="8050"/>
    <cellStyle name="20% - Accent2 7 3 3" xfId="8051"/>
    <cellStyle name="20% - Accent2 7 4" xfId="8052"/>
    <cellStyle name="20% - Accent2 7 4 2" xfId="8053"/>
    <cellStyle name="20% - Accent2 7 4 3" xfId="8054"/>
    <cellStyle name="20% - Accent2 7 5" xfId="8055"/>
    <cellStyle name="20% - Accent2 7 5 2" xfId="8056"/>
    <cellStyle name="20% - Accent2 7 5 3" xfId="8057"/>
    <cellStyle name="20% - Accent2 7 6" xfId="8058"/>
    <cellStyle name="20% - Accent2 7 6 2" xfId="8059"/>
    <cellStyle name="20% - Accent2 7 6 3" xfId="8060"/>
    <cellStyle name="20% - Accent2 7 7" xfId="8061"/>
    <cellStyle name="20% - Accent2 7 7 2" xfId="8062"/>
    <cellStyle name="20% - Accent2 7 7 3" xfId="8063"/>
    <cellStyle name="20% - Accent2 7 8" xfId="8064"/>
    <cellStyle name="20% - Accent2 7 8 2" xfId="8065"/>
    <cellStyle name="20% - Accent2 7 8 3" xfId="8066"/>
    <cellStyle name="20% - Accent2 7 9" xfId="8067"/>
    <cellStyle name="20% - Accent2 7 9 2" xfId="8068"/>
    <cellStyle name="20% - Accent2 7 9 3" xfId="8069"/>
    <cellStyle name="20% - Accent2 8" xfId="523"/>
    <cellStyle name="20% - Accent2 8 10" xfId="24846"/>
    <cellStyle name="20% - Accent2 8 11" xfId="25371"/>
    <cellStyle name="20% - Accent2 8 12" xfId="28286"/>
    <cellStyle name="20% - Accent2 8 2" xfId="1374"/>
    <cellStyle name="20% - Accent2 8 2 10" xfId="25372"/>
    <cellStyle name="20% - Accent2 8 2 11" xfId="28287"/>
    <cellStyle name="20% - Accent2 8 2 2" xfId="4174"/>
    <cellStyle name="20% - Accent2 8 2 2 2" xfId="5326"/>
    <cellStyle name="20% - Accent2 8 2 2 2 2" xfId="6007"/>
    <cellStyle name="20% - Accent2 8 2 2 2 2 2" xfId="25375"/>
    <cellStyle name="20% - Accent2 8 2 2 2 3" xfId="8073"/>
    <cellStyle name="20% - Accent2 8 2 2 2 4" xfId="25374"/>
    <cellStyle name="20% - Accent2 8 2 2 3" xfId="5636"/>
    <cellStyle name="20% - Accent2 8 2 2 3 2" xfId="6008"/>
    <cellStyle name="20% - Accent2 8 2 2 3 2 2" xfId="25377"/>
    <cellStyle name="20% - Accent2 8 2 2 3 3" xfId="25376"/>
    <cellStyle name="20% - Accent2 8 2 2 4" xfId="4296"/>
    <cellStyle name="20% - Accent2 8 2 2 4 2" xfId="6009"/>
    <cellStyle name="20% - Accent2 8 2 2 4 2 2" xfId="25379"/>
    <cellStyle name="20% - Accent2 8 2 2 4 3" xfId="25378"/>
    <cellStyle name="20% - Accent2 8 2 2 5" xfId="6006"/>
    <cellStyle name="20% - Accent2 8 2 2 5 2" xfId="25380"/>
    <cellStyle name="20% - Accent2 8 2 2 6" xfId="8072"/>
    <cellStyle name="20% - Accent2 8 2 2 6 2" xfId="25381"/>
    <cellStyle name="20% - Accent2 8 2 2 7" xfId="25026"/>
    <cellStyle name="20% - Accent2 8 2 2 8" xfId="25373"/>
    <cellStyle name="20% - Accent2 8 2 2 9" xfId="28288"/>
    <cellStyle name="20% - Accent2 8 2 3" xfId="5325"/>
    <cellStyle name="20% - Accent2 8 2 3 2" xfId="6010"/>
    <cellStyle name="20% - Accent2 8 2 3 2 2" xfId="25383"/>
    <cellStyle name="20% - Accent2 8 2 3 3" xfId="8074"/>
    <cellStyle name="20% - Accent2 8 2 3 4" xfId="25382"/>
    <cellStyle name="20% - Accent2 8 2 4" xfId="5635"/>
    <cellStyle name="20% - Accent2 8 2 4 2" xfId="6011"/>
    <cellStyle name="20% - Accent2 8 2 4 2 2" xfId="25385"/>
    <cellStyle name="20% - Accent2 8 2 4 3" xfId="8075"/>
    <cellStyle name="20% - Accent2 8 2 4 4" xfId="25384"/>
    <cellStyle name="20% - Accent2 8 2 5" xfId="4295"/>
    <cellStyle name="20% - Accent2 8 2 5 2" xfId="6012"/>
    <cellStyle name="20% - Accent2 8 2 5 2 2" xfId="8077"/>
    <cellStyle name="20% - Accent2 8 2 5 2 2 2" xfId="25388"/>
    <cellStyle name="20% - Accent2 8 2 5 2 3" xfId="25387"/>
    <cellStyle name="20% - Accent2 8 2 5 2 4" xfId="28290"/>
    <cellStyle name="20% - Accent2 8 2 5 3" xfId="8078"/>
    <cellStyle name="20% - Accent2 8 2 5 3 2" xfId="25389"/>
    <cellStyle name="20% - Accent2 8 2 5 3 3" xfId="28291"/>
    <cellStyle name="20% - Accent2 8 2 5 4" xfId="8076"/>
    <cellStyle name="20% - Accent2 8 2 5 4 2" xfId="25390"/>
    <cellStyle name="20% - Accent2 8 2 5 5" xfId="25386"/>
    <cellStyle name="20% - Accent2 8 2 5 6" xfId="28289"/>
    <cellStyle name="20% - Accent2 8 2 6" xfId="6005"/>
    <cellStyle name="20% - Accent2 8 2 6 2" xfId="8079"/>
    <cellStyle name="20% - Accent2 8 2 6 2 2" xfId="25392"/>
    <cellStyle name="20% - Accent2 8 2 6 3" xfId="25391"/>
    <cellStyle name="20% - Accent2 8 2 6 4" xfId="28292"/>
    <cellStyle name="20% - Accent2 8 2 7" xfId="8080"/>
    <cellStyle name="20% - Accent2 8 2 7 2" xfId="25393"/>
    <cellStyle name="20% - Accent2 8 2 7 3" xfId="28293"/>
    <cellStyle name="20% - Accent2 8 2 8" xfId="8071"/>
    <cellStyle name="20% - Accent2 8 2 8 2" xfId="25394"/>
    <cellStyle name="20% - Accent2 8 2 9" xfId="24906"/>
    <cellStyle name="20% - Accent2 8 3" xfId="3832"/>
    <cellStyle name="20% - Accent2 8 3 2" xfId="5327"/>
    <cellStyle name="20% - Accent2 8 3 2 2" xfId="6014"/>
    <cellStyle name="20% - Accent2 8 3 2 2 2" xfId="25397"/>
    <cellStyle name="20% - Accent2 8 3 2 3" xfId="8082"/>
    <cellStyle name="20% - Accent2 8 3 2 4" xfId="25396"/>
    <cellStyle name="20% - Accent2 8 3 3" xfId="5637"/>
    <cellStyle name="20% - Accent2 8 3 3 2" xfId="6015"/>
    <cellStyle name="20% - Accent2 8 3 3 2 2" xfId="25399"/>
    <cellStyle name="20% - Accent2 8 3 3 3" xfId="25398"/>
    <cellStyle name="20% - Accent2 8 3 4" xfId="4297"/>
    <cellStyle name="20% - Accent2 8 3 4 2" xfId="6016"/>
    <cellStyle name="20% - Accent2 8 3 4 2 2" xfId="25401"/>
    <cellStyle name="20% - Accent2 8 3 4 3" xfId="25400"/>
    <cellStyle name="20% - Accent2 8 3 5" xfId="6013"/>
    <cellStyle name="20% - Accent2 8 3 5 2" xfId="25402"/>
    <cellStyle name="20% - Accent2 8 3 6" xfId="8081"/>
    <cellStyle name="20% - Accent2 8 3 6 2" xfId="25403"/>
    <cellStyle name="20% - Accent2 8 3 7" xfId="24968"/>
    <cellStyle name="20% - Accent2 8 3 8" xfId="25395"/>
    <cellStyle name="20% - Accent2 8 3 9" xfId="28294"/>
    <cellStyle name="20% - Accent2 8 4" xfId="5324"/>
    <cellStyle name="20% - Accent2 8 4 2" xfId="6017"/>
    <cellStyle name="20% - Accent2 8 4 2 2" xfId="25405"/>
    <cellStyle name="20% - Accent2 8 4 3" xfId="8083"/>
    <cellStyle name="20% - Accent2 8 4 4" xfId="25404"/>
    <cellStyle name="20% - Accent2 8 5" xfId="5634"/>
    <cellStyle name="20% - Accent2 8 5 2" xfId="6018"/>
    <cellStyle name="20% - Accent2 8 5 2 2" xfId="25407"/>
    <cellStyle name="20% - Accent2 8 5 3" xfId="8084"/>
    <cellStyle name="20% - Accent2 8 5 4" xfId="25406"/>
    <cellStyle name="20% - Accent2 8 6" xfId="4294"/>
    <cellStyle name="20% - Accent2 8 6 2" xfId="6019"/>
    <cellStyle name="20% - Accent2 8 6 2 2" xfId="8086"/>
    <cellStyle name="20% - Accent2 8 6 2 2 2" xfId="25410"/>
    <cellStyle name="20% - Accent2 8 6 2 3" xfId="25409"/>
    <cellStyle name="20% - Accent2 8 6 2 4" xfId="28296"/>
    <cellStyle name="20% - Accent2 8 6 3" xfId="8087"/>
    <cellStyle name="20% - Accent2 8 6 3 2" xfId="25411"/>
    <cellStyle name="20% - Accent2 8 6 3 3" xfId="28297"/>
    <cellStyle name="20% - Accent2 8 6 4" xfId="8085"/>
    <cellStyle name="20% - Accent2 8 6 4 2" xfId="25412"/>
    <cellStyle name="20% - Accent2 8 6 5" xfId="25408"/>
    <cellStyle name="20% - Accent2 8 6 6" xfId="28295"/>
    <cellStyle name="20% - Accent2 8 7" xfId="6004"/>
    <cellStyle name="20% - Accent2 8 7 2" xfId="8088"/>
    <cellStyle name="20% - Accent2 8 7 2 2" xfId="25414"/>
    <cellStyle name="20% - Accent2 8 7 3" xfId="25413"/>
    <cellStyle name="20% - Accent2 8 7 4" xfId="28298"/>
    <cellStyle name="20% - Accent2 8 8" xfId="8089"/>
    <cellStyle name="20% - Accent2 8 8 2" xfId="25415"/>
    <cellStyle name="20% - Accent2 8 8 3" xfId="28299"/>
    <cellStyle name="20% - Accent2 8 9" xfId="8070"/>
    <cellStyle name="20% - Accent2 8 9 2" xfId="25416"/>
    <cellStyle name="20% - Accent2 9" xfId="524"/>
    <cellStyle name="20% - Accent2 9 2" xfId="4298"/>
    <cellStyle name="20% - Accent2 9 2 2" xfId="8091"/>
    <cellStyle name="20% - Accent2 9 2 3" xfId="8092"/>
    <cellStyle name="20% - Accent2 9 2 4" xfId="8090"/>
    <cellStyle name="20% - Accent2 9 3" xfId="8093"/>
    <cellStyle name="20% - Accent2 9 4" xfId="8094"/>
    <cellStyle name="20% - Accent2 9 5" xfId="8095"/>
    <cellStyle name="20% - Accent2 9 6" xfId="8096"/>
    <cellStyle name="20% - Accent3" xfId="7109" builtinId="38" customBuiltin="1"/>
    <cellStyle name="20% - Accent3 10" xfId="648"/>
    <cellStyle name="20% - Accent3 10 2" xfId="4299"/>
    <cellStyle name="20% - Accent3 10 2 2" xfId="8097"/>
    <cellStyle name="20% - Accent3 10 3" xfId="8098"/>
    <cellStyle name="20% - Accent3 10 4" xfId="8099"/>
    <cellStyle name="20% - Accent3 10 5" xfId="8100"/>
    <cellStyle name="20% - Accent3 11" xfId="649"/>
    <cellStyle name="20% - Accent3 11 2" xfId="4300"/>
    <cellStyle name="20% - Accent3 11 2 2" xfId="8101"/>
    <cellStyle name="20% - Accent3 11 3" xfId="8102"/>
    <cellStyle name="20% - Accent3 11 4" xfId="8103"/>
    <cellStyle name="20% - Accent3 11 5" xfId="8104"/>
    <cellStyle name="20% - Accent3 12" xfId="804"/>
    <cellStyle name="20% - Accent3 12 2" xfId="8106"/>
    <cellStyle name="20% - Accent3 12 3" xfId="8107"/>
    <cellStyle name="20% - Accent3 12 4" xfId="8105"/>
    <cellStyle name="20% - Accent3 13" xfId="805"/>
    <cellStyle name="20% - Accent3 13 2" xfId="3847"/>
    <cellStyle name="20% - Accent3 13 2 2" xfId="6021"/>
    <cellStyle name="20% - Accent3 13 2 2 2" xfId="25419"/>
    <cellStyle name="20% - Accent3 13 2 3" xfId="8109"/>
    <cellStyle name="20% - Accent3 13 2 4" xfId="24983"/>
    <cellStyle name="20% - Accent3 13 2 5" xfId="25418"/>
    <cellStyle name="20% - Accent3 13 3" xfId="6020"/>
    <cellStyle name="20% - Accent3 13 3 2" xfId="8110"/>
    <cellStyle name="20% - Accent3 13 3 3" xfId="25420"/>
    <cellStyle name="20% - Accent3 13 4" xfId="8108"/>
    <cellStyle name="20% - Accent3 13 5" xfId="24862"/>
    <cellStyle name="20% - Accent3 13 6" xfId="25417"/>
    <cellStyle name="20% - Accent3 14" xfId="925"/>
    <cellStyle name="20% - Accent3 14 2" xfId="8112"/>
    <cellStyle name="20% - Accent3 14 3" xfId="8113"/>
    <cellStyle name="20% - Accent3 14 4" xfId="8111"/>
    <cellStyle name="20% - Accent3 15" xfId="8114"/>
    <cellStyle name="20% - Accent3 15 2" xfId="8115"/>
    <cellStyle name="20% - Accent3 15 3" xfId="8116"/>
    <cellStyle name="20% - Accent3 16" xfId="8117"/>
    <cellStyle name="20% - Accent3 16 2" xfId="8118"/>
    <cellStyle name="20% - Accent3 16 3" xfId="8119"/>
    <cellStyle name="20% - Accent3 17" xfId="8120"/>
    <cellStyle name="20% - Accent3 17 2" xfId="8121"/>
    <cellStyle name="20% - Accent3 17 3" xfId="8122"/>
    <cellStyle name="20% - Accent3 18" xfId="8123"/>
    <cellStyle name="20% - Accent3 18 2" xfId="8124"/>
    <cellStyle name="20% - Accent3 18 3" xfId="8125"/>
    <cellStyle name="20% - Accent3 19" xfId="8126"/>
    <cellStyle name="20% - Accent3 19 2" xfId="8127"/>
    <cellStyle name="20% - Accent3 2" xfId="70"/>
    <cellStyle name="20% - Accent3 2 10" xfId="1669"/>
    <cellStyle name="20% - Accent3 2 10 2" xfId="4301"/>
    <cellStyle name="20% - Accent3 2 10 2 2" xfId="8128"/>
    <cellStyle name="20% - Accent3 2 10 3" xfId="8129"/>
    <cellStyle name="20% - Accent3 2 10 4" xfId="8130"/>
    <cellStyle name="20% - Accent3 2 10 5" xfId="8131"/>
    <cellStyle name="20% - Accent3 2 11" xfId="1664"/>
    <cellStyle name="20% - Accent3 2 11 2" xfId="4302"/>
    <cellStyle name="20% - Accent3 2 11 2 2" xfId="8132"/>
    <cellStyle name="20% - Accent3 2 11 3" xfId="8133"/>
    <cellStyle name="20% - Accent3 2 11 4" xfId="8134"/>
    <cellStyle name="20% - Accent3 2 11 5" xfId="8135"/>
    <cellStyle name="20% - Accent3 2 12" xfId="1706"/>
    <cellStyle name="20% - Accent3 2 12 2" xfId="4303"/>
    <cellStyle name="20% - Accent3 2 12 2 2" xfId="8136"/>
    <cellStyle name="20% - Accent3 2 12 3" xfId="8137"/>
    <cellStyle name="20% - Accent3 2 12 4" xfId="8138"/>
    <cellStyle name="20% - Accent3 2 12 5" xfId="8139"/>
    <cellStyle name="20% - Accent3 2 13" xfId="2041"/>
    <cellStyle name="20% - Accent3 2 13 2" xfId="4304"/>
    <cellStyle name="20% - Accent3 2 13 2 2" xfId="8140"/>
    <cellStyle name="20% - Accent3 2 13 3" xfId="8141"/>
    <cellStyle name="20% - Accent3 2 13 4" xfId="8142"/>
    <cellStyle name="20% - Accent3 2 13 5" xfId="8143"/>
    <cellStyle name="20% - Accent3 2 14" xfId="2416"/>
    <cellStyle name="20% - Accent3 2 14 2" xfId="4305"/>
    <cellStyle name="20% - Accent3 2 14 2 2" xfId="8144"/>
    <cellStyle name="20% - Accent3 2 14 3" xfId="8145"/>
    <cellStyle name="20% - Accent3 2 14 4" xfId="8146"/>
    <cellStyle name="20% - Accent3 2 14 5" xfId="8147"/>
    <cellStyle name="20% - Accent3 2 15" xfId="2788"/>
    <cellStyle name="20% - Accent3 2 15 2" xfId="4306"/>
    <cellStyle name="20% - Accent3 2 15 2 2" xfId="8148"/>
    <cellStyle name="20% - Accent3 2 15 3" xfId="8149"/>
    <cellStyle name="20% - Accent3 2 16" xfId="3634"/>
    <cellStyle name="20% - Accent3 2 16 2" xfId="4307"/>
    <cellStyle name="20% - Accent3 2 16 2 2" xfId="8150"/>
    <cellStyle name="20% - Accent3 2 16 3" xfId="8151"/>
    <cellStyle name="20% - Accent3 2 17" xfId="24469"/>
    <cellStyle name="20% - Accent3 2 2" xfId="114"/>
    <cellStyle name="20% - Accent3 2 2 10" xfId="8152"/>
    <cellStyle name="20% - Accent3 2 2 10 2" xfId="8153"/>
    <cellStyle name="20% - Accent3 2 2 10 3" xfId="8154"/>
    <cellStyle name="20% - Accent3 2 2 11" xfId="8155"/>
    <cellStyle name="20% - Accent3 2 2 11 2" xfId="8156"/>
    <cellStyle name="20% - Accent3 2 2 11 3" xfId="8157"/>
    <cellStyle name="20% - Accent3 2 2 12" xfId="8158"/>
    <cellStyle name="20% - Accent3 2 2 12 2" xfId="8159"/>
    <cellStyle name="20% - Accent3 2 2 12 3" xfId="8160"/>
    <cellStyle name="20% - Accent3 2 2 13" xfId="8161"/>
    <cellStyle name="20% - Accent3 2 2 14" xfId="8162"/>
    <cellStyle name="20% - Accent3 2 2 15" xfId="8163"/>
    <cellStyle name="20% - Accent3 2 2 2" xfId="179"/>
    <cellStyle name="20% - Accent3 2 2 2 2" xfId="8164"/>
    <cellStyle name="20% - Accent3 2 2 2 3" xfId="8165"/>
    <cellStyle name="20% - Accent3 2 2 3" xfId="343"/>
    <cellStyle name="20% - Accent3 2 2 3 2" xfId="8166"/>
    <cellStyle name="20% - Accent3 2 2 3 3" xfId="8167"/>
    <cellStyle name="20% - Accent3 2 2 4" xfId="2165"/>
    <cellStyle name="20% - Accent3 2 2 4 2" xfId="8168"/>
    <cellStyle name="20% - Accent3 2 2 4 3" xfId="8169"/>
    <cellStyle name="20% - Accent3 2 2 5" xfId="2539"/>
    <cellStyle name="20% - Accent3 2 2 5 2" xfId="8170"/>
    <cellStyle name="20% - Accent3 2 2 5 3" xfId="8171"/>
    <cellStyle name="20% - Accent3 2 2 6" xfId="2911"/>
    <cellStyle name="20% - Accent3 2 2 6 2" xfId="8172"/>
    <cellStyle name="20% - Accent3 2 2 6 3" xfId="8173"/>
    <cellStyle name="20% - Accent3 2 2 7" xfId="3283"/>
    <cellStyle name="20% - Accent3 2 2 7 2" xfId="8174"/>
    <cellStyle name="20% - Accent3 2 2 7 3" xfId="8175"/>
    <cellStyle name="20% - Accent3 2 2 8" xfId="4308"/>
    <cellStyle name="20% - Accent3 2 2 8 2" xfId="8177"/>
    <cellStyle name="20% - Accent3 2 2 8 3" xfId="8178"/>
    <cellStyle name="20% - Accent3 2 2 8 4" xfId="8176"/>
    <cellStyle name="20% - Accent3 2 2 9" xfId="8179"/>
    <cellStyle name="20% - Accent3 2 2 9 2" xfId="8180"/>
    <cellStyle name="20% - Accent3 2 2 9 3" xfId="8181"/>
    <cellStyle name="20% - Accent3 2 3" xfId="279"/>
    <cellStyle name="20% - Accent3 2 3 2" xfId="1341"/>
    <cellStyle name="20% - Accent3 2 3 2 2" xfId="8182"/>
    <cellStyle name="20% - Accent3 2 3 2 3" xfId="8183"/>
    <cellStyle name="20% - Accent3 2 3 3" xfId="8184"/>
    <cellStyle name="20% - Accent3 2 3 4" xfId="8185"/>
    <cellStyle name="20% - Accent3 2 4" xfId="366"/>
    <cellStyle name="20% - Accent3 2 4 2" xfId="8186"/>
    <cellStyle name="20% - Accent3 2 4 2 2" xfId="8187"/>
    <cellStyle name="20% - Accent3 2 4 2 3" xfId="8188"/>
    <cellStyle name="20% - Accent3 2 4 3" xfId="8189"/>
    <cellStyle name="20% - Accent3 2 4 4" xfId="8190"/>
    <cellStyle name="20% - Accent3 2 5" xfId="525"/>
    <cellStyle name="20% - Accent3 2 5 2" xfId="8191"/>
    <cellStyle name="20% - Accent3 2 5 3" xfId="8192"/>
    <cellStyle name="20% - Accent3 2 6" xfId="650"/>
    <cellStyle name="20% - Accent3 2 6 2" xfId="8193"/>
    <cellStyle name="20% - Accent3 2 6 3" xfId="8194"/>
    <cellStyle name="20% - Accent3 2 7" xfId="651"/>
    <cellStyle name="20% - Accent3 2 7 2" xfId="8195"/>
    <cellStyle name="20% - Accent3 2 7 3" xfId="8196"/>
    <cellStyle name="20% - Accent3 2 8" xfId="806"/>
    <cellStyle name="20% - Accent3 2 8 2" xfId="1398"/>
    <cellStyle name="20% - Accent3 2 8 2 2" xfId="8197"/>
    <cellStyle name="20% - Accent3 2 8 3" xfId="8198"/>
    <cellStyle name="20% - Accent3 2 8 4" xfId="8199"/>
    <cellStyle name="20% - Accent3 2 8 5" xfId="8200"/>
    <cellStyle name="20% - Accent3 2 9" xfId="926"/>
    <cellStyle name="20% - Accent3 2 9 2" xfId="1491"/>
    <cellStyle name="20% - Accent3 2 9 2 2" xfId="8201"/>
    <cellStyle name="20% - Accent3 2 9 3" xfId="8202"/>
    <cellStyle name="20% - Accent3 2 9 4" xfId="8203"/>
    <cellStyle name="20% - Accent3 2 9 5" xfId="8204"/>
    <cellStyle name="20% - Accent3 20" xfId="8205"/>
    <cellStyle name="20% - Accent3 21" xfId="8206"/>
    <cellStyle name="20% - Accent3 21 2" xfId="8207"/>
    <cellStyle name="20% - Accent3 21 2 2" xfId="8208"/>
    <cellStyle name="20% - Accent3 21 2 2 2" xfId="25423"/>
    <cellStyle name="20% - Accent3 21 2 2 3" xfId="28302"/>
    <cellStyle name="20% - Accent3 21 2 3" xfId="8209"/>
    <cellStyle name="20% - Accent3 21 2 3 2" xfId="25424"/>
    <cellStyle name="20% - Accent3 21 2 3 3" xfId="28303"/>
    <cellStyle name="20% - Accent3 21 2 4" xfId="25422"/>
    <cellStyle name="20% - Accent3 21 2 5" xfId="28301"/>
    <cellStyle name="20% - Accent3 21 3" xfId="8210"/>
    <cellStyle name="20% - Accent3 21 3 2" xfId="25425"/>
    <cellStyle name="20% - Accent3 21 3 3" xfId="28304"/>
    <cellStyle name="20% - Accent3 21 4" xfId="8211"/>
    <cellStyle name="20% - Accent3 21 4 2" xfId="25426"/>
    <cellStyle name="20% - Accent3 21 4 3" xfId="28305"/>
    <cellStyle name="20% - Accent3 21 5" xfId="25421"/>
    <cellStyle name="20% - Accent3 21 6" xfId="28300"/>
    <cellStyle name="20% - Accent3 22" xfId="8212"/>
    <cellStyle name="20% - Accent3 22 2" xfId="8213"/>
    <cellStyle name="20% - Accent3 22 2 2" xfId="8214"/>
    <cellStyle name="20% - Accent3 22 2 2 2" xfId="25429"/>
    <cellStyle name="20% - Accent3 22 2 2 3" xfId="28308"/>
    <cellStyle name="20% - Accent3 22 2 3" xfId="8215"/>
    <cellStyle name="20% - Accent3 22 2 3 2" xfId="25430"/>
    <cellStyle name="20% - Accent3 22 2 3 3" xfId="28309"/>
    <cellStyle name="20% - Accent3 22 2 4" xfId="25428"/>
    <cellStyle name="20% - Accent3 22 2 5" xfId="28307"/>
    <cellStyle name="20% - Accent3 22 3" xfId="8216"/>
    <cellStyle name="20% - Accent3 22 3 2" xfId="25431"/>
    <cellStyle name="20% - Accent3 22 3 3" xfId="28310"/>
    <cellStyle name="20% - Accent3 22 4" xfId="8217"/>
    <cellStyle name="20% - Accent3 22 4 2" xfId="25432"/>
    <cellStyle name="20% - Accent3 22 4 3" xfId="28311"/>
    <cellStyle name="20% - Accent3 22 5" xfId="25427"/>
    <cellStyle name="20% - Accent3 22 6" xfId="28306"/>
    <cellStyle name="20% - Accent3 23" xfId="8218"/>
    <cellStyle name="20% - Accent3 24" xfId="8219"/>
    <cellStyle name="20% - Accent3 24 2" xfId="8220"/>
    <cellStyle name="20% - Accent3 24 2 2" xfId="8221"/>
    <cellStyle name="20% - Accent3 24 2 2 2" xfId="25435"/>
    <cellStyle name="20% - Accent3 24 2 2 3" xfId="28314"/>
    <cellStyle name="20% - Accent3 24 2 3" xfId="8222"/>
    <cellStyle name="20% - Accent3 24 2 3 2" xfId="25436"/>
    <cellStyle name="20% - Accent3 24 2 3 3" xfId="28315"/>
    <cellStyle name="20% - Accent3 24 2 4" xfId="25434"/>
    <cellStyle name="20% - Accent3 24 2 5" xfId="28313"/>
    <cellStyle name="20% - Accent3 24 3" xfId="8223"/>
    <cellStyle name="20% - Accent3 24 3 2" xfId="25437"/>
    <cellStyle name="20% - Accent3 24 3 3" xfId="28316"/>
    <cellStyle name="20% - Accent3 24 4" xfId="8224"/>
    <cellStyle name="20% - Accent3 24 4 2" xfId="25438"/>
    <cellStyle name="20% - Accent3 24 4 3" xfId="28317"/>
    <cellStyle name="20% - Accent3 24 5" xfId="25433"/>
    <cellStyle name="20% - Accent3 24 6" xfId="28312"/>
    <cellStyle name="20% - Accent3 25" xfId="8225"/>
    <cellStyle name="20% - Accent3 25 2" xfId="8226"/>
    <cellStyle name="20% - Accent3 25 2 2" xfId="8227"/>
    <cellStyle name="20% - Accent3 25 2 2 2" xfId="25441"/>
    <cellStyle name="20% - Accent3 25 2 2 3" xfId="28320"/>
    <cellStyle name="20% - Accent3 25 2 3" xfId="8228"/>
    <cellStyle name="20% - Accent3 25 2 3 2" xfId="25442"/>
    <cellStyle name="20% - Accent3 25 2 3 3" xfId="28321"/>
    <cellStyle name="20% - Accent3 25 2 4" xfId="25440"/>
    <cellStyle name="20% - Accent3 25 2 5" xfId="28319"/>
    <cellStyle name="20% - Accent3 25 3" xfId="8229"/>
    <cellStyle name="20% - Accent3 25 3 2" xfId="25443"/>
    <cellStyle name="20% - Accent3 25 3 3" xfId="28322"/>
    <cellStyle name="20% - Accent3 25 4" xfId="8230"/>
    <cellStyle name="20% - Accent3 25 4 2" xfId="25444"/>
    <cellStyle name="20% - Accent3 25 4 3" xfId="28323"/>
    <cellStyle name="20% - Accent3 25 5" xfId="25439"/>
    <cellStyle name="20% - Accent3 25 6" xfId="28318"/>
    <cellStyle name="20% - Accent3 26" xfId="8231"/>
    <cellStyle name="20% - Accent3 27" xfId="8232"/>
    <cellStyle name="20% - Accent3 27 2" xfId="8233"/>
    <cellStyle name="20% - Accent3 27 2 2" xfId="8234"/>
    <cellStyle name="20% - Accent3 27 2 2 2" xfId="25447"/>
    <cellStyle name="20% - Accent3 27 2 2 3" xfId="28326"/>
    <cellStyle name="20% - Accent3 27 2 3" xfId="8235"/>
    <cellStyle name="20% - Accent3 27 2 3 2" xfId="25448"/>
    <cellStyle name="20% - Accent3 27 2 3 3" xfId="28327"/>
    <cellStyle name="20% - Accent3 27 2 4" xfId="25446"/>
    <cellStyle name="20% - Accent3 27 2 5" xfId="28325"/>
    <cellStyle name="20% - Accent3 27 3" xfId="8236"/>
    <cellStyle name="20% - Accent3 27 3 2" xfId="25449"/>
    <cellStyle name="20% - Accent3 27 3 3" xfId="28328"/>
    <cellStyle name="20% - Accent3 27 4" xfId="8237"/>
    <cellStyle name="20% - Accent3 27 4 2" xfId="25450"/>
    <cellStyle name="20% - Accent3 27 4 3" xfId="28329"/>
    <cellStyle name="20% - Accent3 27 5" xfId="25445"/>
    <cellStyle name="20% - Accent3 27 6" xfId="28324"/>
    <cellStyle name="20% - Accent3 28" xfId="8238"/>
    <cellStyle name="20% - Accent3 28 2" xfId="8239"/>
    <cellStyle name="20% - Accent3 28 2 2" xfId="25452"/>
    <cellStyle name="20% - Accent3 28 2 3" xfId="28331"/>
    <cellStyle name="20% - Accent3 28 3" xfId="8240"/>
    <cellStyle name="20% - Accent3 28 3 2" xfId="25453"/>
    <cellStyle name="20% - Accent3 28 3 3" xfId="28332"/>
    <cellStyle name="20% - Accent3 28 4" xfId="25451"/>
    <cellStyle name="20% - Accent3 28 5" xfId="28330"/>
    <cellStyle name="20% - Accent3 29" xfId="8241"/>
    <cellStyle name="20% - Accent3 29 2" xfId="25454"/>
    <cellStyle name="20% - Accent3 29 3" xfId="28333"/>
    <cellStyle name="20% - Accent3 3" xfId="220"/>
    <cellStyle name="20% - Accent3 3 10" xfId="3677"/>
    <cellStyle name="20% - Accent3 3 10 2" xfId="4309"/>
    <cellStyle name="20% - Accent3 3 10 2 2" xfId="8242"/>
    <cellStyle name="20% - Accent3 3 10 3" xfId="8243"/>
    <cellStyle name="20% - Accent3 3 10 4" xfId="8244"/>
    <cellStyle name="20% - Accent3 3 10 5" xfId="8245"/>
    <cellStyle name="20% - Accent3 3 11" xfId="8246"/>
    <cellStyle name="20% - Accent3 3 11 2" xfId="8247"/>
    <cellStyle name="20% - Accent3 3 11 3" xfId="8248"/>
    <cellStyle name="20% - Accent3 3 12" xfId="8249"/>
    <cellStyle name="20% - Accent3 3 12 2" xfId="8250"/>
    <cellStyle name="20% - Accent3 3 12 3" xfId="8251"/>
    <cellStyle name="20% - Accent3 3 13" xfId="8252"/>
    <cellStyle name="20% - Accent3 3 13 2" xfId="8253"/>
    <cellStyle name="20% - Accent3 3 13 3" xfId="8254"/>
    <cellStyle name="20% - Accent3 3 14" xfId="8255"/>
    <cellStyle name="20% - Accent3 3 15" xfId="8256"/>
    <cellStyle name="20% - Accent3 3 2" xfId="1450"/>
    <cellStyle name="20% - Accent3 3 2 10" xfId="8257"/>
    <cellStyle name="20% - Accent3 3 2 10 2" xfId="8258"/>
    <cellStyle name="20% - Accent3 3 2 10 3" xfId="8259"/>
    <cellStyle name="20% - Accent3 3 2 11" xfId="8260"/>
    <cellStyle name="20% - Accent3 3 2 11 2" xfId="8261"/>
    <cellStyle name="20% - Accent3 3 2 11 3" xfId="8262"/>
    <cellStyle name="20% - Accent3 3 2 12" xfId="8263"/>
    <cellStyle name="20% - Accent3 3 2 12 2" xfId="8264"/>
    <cellStyle name="20% - Accent3 3 2 12 3" xfId="8265"/>
    <cellStyle name="20% - Accent3 3 2 13" xfId="8266"/>
    <cellStyle name="20% - Accent3 3 2 14" xfId="8267"/>
    <cellStyle name="20% - Accent3 3 2 15" xfId="8268"/>
    <cellStyle name="20% - Accent3 3 2 2" xfId="1831"/>
    <cellStyle name="20% - Accent3 3 2 2 2" xfId="8269"/>
    <cellStyle name="20% - Accent3 3 2 2 3" xfId="8270"/>
    <cellStyle name="20% - Accent3 3 2 3" xfId="2206"/>
    <cellStyle name="20% - Accent3 3 2 3 2" xfId="8271"/>
    <cellStyle name="20% - Accent3 3 2 3 3" xfId="8272"/>
    <cellStyle name="20% - Accent3 3 2 4" xfId="2580"/>
    <cellStyle name="20% - Accent3 3 2 4 2" xfId="8273"/>
    <cellStyle name="20% - Accent3 3 2 4 3" xfId="8274"/>
    <cellStyle name="20% - Accent3 3 2 5" xfId="2952"/>
    <cellStyle name="20% - Accent3 3 2 5 2" xfId="8275"/>
    <cellStyle name="20% - Accent3 3 2 5 3" xfId="8276"/>
    <cellStyle name="20% - Accent3 3 2 6" xfId="3324"/>
    <cellStyle name="20% - Accent3 3 2 6 2" xfId="8277"/>
    <cellStyle name="20% - Accent3 3 2 6 3" xfId="8278"/>
    <cellStyle name="20% - Accent3 3 2 7" xfId="4310"/>
    <cellStyle name="20% - Accent3 3 2 7 2" xfId="8280"/>
    <cellStyle name="20% - Accent3 3 2 7 3" xfId="8281"/>
    <cellStyle name="20% - Accent3 3 2 7 4" xfId="8279"/>
    <cellStyle name="20% - Accent3 3 2 8" xfId="8282"/>
    <cellStyle name="20% - Accent3 3 2 8 2" xfId="8283"/>
    <cellStyle name="20% - Accent3 3 2 8 3" xfId="8284"/>
    <cellStyle name="20% - Accent3 3 2 9" xfId="8285"/>
    <cellStyle name="20% - Accent3 3 2 9 2" xfId="8286"/>
    <cellStyle name="20% - Accent3 3 2 9 3" xfId="8287"/>
    <cellStyle name="20% - Accent3 3 3" xfId="1577"/>
    <cellStyle name="20% - Accent3 3 3 2" xfId="1908"/>
    <cellStyle name="20% - Accent3 3 3 3" xfId="2283"/>
    <cellStyle name="20% - Accent3 3 3 4" xfId="2656"/>
    <cellStyle name="20% - Accent3 3 3 5" xfId="3029"/>
    <cellStyle name="20% - Accent3 3 3 6" xfId="3400"/>
    <cellStyle name="20% - Accent3 3 3 7" xfId="4311"/>
    <cellStyle name="20% - Accent3 3 4" xfId="1714"/>
    <cellStyle name="20% - Accent3 3 4 2" xfId="1952"/>
    <cellStyle name="20% - Accent3 3 4 3" xfId="2327"/>
    <cellStyle name="20% - Accent3 3 4 4" xfId="2700"/>
    <cellStyle name="20% - Accent3 3 4 5" xfId="3073"/>
    <cellStyle name="20% - Accent3 3 4 6" xfId="3444"/>
    <cellStyle name="20% - Accent3 3 5" xfId="2049"/>
    <cellStyle name="20% - Accent3 3 5 2" xfId="8288"/>
    <cellStyle name="20% - Accent3 3 5 3" xfId="8289"/>
    <cellStyle name="20% - Accent3 3 5 4" xfId="8290"/>
    <cellStyle name="20% - Accent3 3 6" xfId="2423"/>
    <cellStyle name="20% - Accent3 3 6 2" xfId="8291"/>
    <cellStyle name="20% - Accent3 3 6 3" xfId="8292"/>
    <cellStyle name="20% - Accent3 3 6 4" xfId="8293"/>
    <cellStyle name="20% - Accent3 3 7" xfId="2795"/>
    <cellStyle name="20% - Accent3 3 7 2" xfId="8294"/>
    <cellStyle name="20% - Accent3 3 7 3" xfId="8295"/>
    <cellStyle name="20% - Accent3 3 7 4" xfId="8296"/>
    <cellStyle name="20% - Accent3 3 8" xfId="3166"/>
    <cellStyle name="20% - Accent3 3 8 2" xfId="8297"/>
    <cellStyle name="20% - Accent3 3 8 3" xfId="8298"/>
    <cellStyle name="20% - Accent3 3 8 4" xfId="8299"/>
    <cellStyle name="20% - Accent3 3 9" xfId="3541"/>
    <cellStyle name="20% - Accent3 3 9 2" xfId="4312"/>
    <cellStyle name="20% - Accent3 3 9 2 2" xfId="8300"/>
    <cellStyle name="20% - Accent3 3 9 3" xfId="8301"/>
    <cellStyle name="20% - Accent3 3 9 4" xfId="8302"/>
    <cellStyle name="20% - Accent3 3 9 5" xfId="8303"/>
    <cellStyle name="20% - Accent3 30" xfId="28144"/>
    <cellStyle name="20% - Accent3 4" xfId="237"/>
    <cellStyle name="20% - Accent3 4 10" xfId="3721"/>
    <cellStyle name="20% - Accent3 4 10 2" xfId="4314"/>
    <cellStyle name="20% - Accent3 4 10 2 2" xfId="8305"/>
    <cellStyle name="20% - Accent3 4 10 3" xfId="8306"/>
    <cellStyle name="20% - Accent3 4 10 4" xfId="8307"/>
    <cellStyle name="20% - Accent3 4 10 5" xfId="8308"/>
    <cellStyle name="20% - Accent3 4 11" xfId="1302"/>
    <cellStyle name="20% - Accent3 4 11 10" xfId="25455"/>
    <cellStyle name="20% - Accent3 4 11 11" xfId="28335"/>
    <cellStyle name="20% - Accent3 4 11 2" xfId="4148"/>
    <cellStyle name="20% - Accent3 4 11 2 2" xfId="5330"/>
    <cellStyle name="20% - Accent3 4 11 2 2 2" xfId="6024"/>
    <cellStyle name="20% - Accent3 4 11 2 2 2 2" xfId="25458"/>
    <cellStyle name="20% - Accent3 4 11 2 2 3" xfId="8311"/>
    <cellStyle name="20% - Accent3 4 11 2 2 4" xfId="25457"/>
    <cellStyle name="20% - Accent3 4 11 2 3" xfId="5640"/>
    <cellStyle name="20% - Accent3 4 11 2 3 2" xfId="6025"/>
    <cellStyle name="20% - Accent3 4 11 2 3 2 2" xfId="25460"/>
    <cellStyle name="20% - Accent3 4 11 2 3 3" xfId="25459"/>
    <cellStyle name="20% - Accent3 4 11 2 4" xfId="4316"/>
    <cellStyle name="20% - Accent3 4 11 2 4 2" xfId="6026"/>
    <cellStyle name="20% - Accent3 4 11 2 4 2 2" xfId="25462"/>
    <cellStyle name="20% - Accent3 4 11 2 4 3" xfId="25461"/>
    <cellStyle name="20% - Accent3 4 11 2 5" xfId="6023"/>
    <cellStyle name="20% - Accent3 4 11 2 5 2" xfId="25463"/>
    <cellStyle name="20% - Accent3 4 11 2 6" xfId="8310"/>
    <cellStyle name="20% - Accent3 4 11 2 6 2" xfId="25464"/>
    <cellStyle name="20% - Accent3 4 11 2 7" xfId="25000"/>
    <cellStyle name="20% - Accent3 4 11 2 8" xfId="25456"/>
    <cellStyle name="20% - Accent3 4 11 2 9" xfId="28336"/>
    <cellStyle name="20% - Accent3 4 11 3" xfId="5329"/>
    <cellStyle name="20% - Accent3 4 11 3 2" xfId="6027"/>
    <cellStyle name="20% - Accent3 4 11 3 2 2" xfId="25466"/>
    <cellStyle name="20% - Accent3 4 11 3 3" xfId="8312"/>
    <cellStyle name="20% - Accent3 4 11 3 4" xfId="25465"/>
    <cellStyle name="20% - Accent3 4 11 4" xfId="5639"/>
    <cellStyle name="20% - Accent3 4 11 4 2" xfId="6028"/>
    <cellStyle name="20% - Accent3 4 11 4 2 2" xfId="25468"/>
    <cellStyle name="20% - Accent3 4 11 4 3" xfId="8313"/>
    <cellStyle name="20% - Accent3 4 11 4 4" xfId="25467"/>
    <cellStyle name="20% - Accent3 4 11 5" xfId="4315"/>
    <cellStyle name="20% - Accent3 4 11 5 2" xfId="6029"/>
    <cellStyle name="20% - Accent3 4 11 5 2 2" xfId="8315"/>
    <cellStyle name="20% - Accent3 4 11 5 2 2 2" xfId="25471"/>
    <cellStyle name="20% - Accent3 4 11 5 2 3" xfId="25470"/>
    <cellStyle name="20% - Accent3 4 11 5 2 4" xfId="28338"/>
    <cellStyle name="20% - Accent3 4 11 5 3" xfId="8316"/>
    <cellStyle name="20% - Accent3 4 11 5 3 2" xfId="25472"/>
    <cellStyle name="20% - Accent3 4 11 5 3 3" xfId="28339"/>
    <cellStyle name="20% - Accent3 4 11 5 4" xfId="8314"/>
    <cellStyle name="20% - Accent3 4 11 5 4 2" xfId="25473"/>
    <cellStyle name="20% - Accent3 4 11 5 5" xfId="25469"/>
    <cellStyle name="20% - Accent3 4 11 5 6" xfId="28337"/>
    <cellStyle name="20% - Accent3 4 11 6" xfId="6022"/>
    <cellStyle name="20% - Accent3 4 11 6 2" xfId="8317"/>
    <cellStyle name="20% - Accent3 4 11 6 2 2" xfId="25475"/>
    <cellStyle name="20% - Accent3 4 11 6 3" xfId="25474"/>
    <cellStyle name="20% - Accent3 4 11 6 4" xfId="28340"/>
    <cellStyle name="20% - Accent3 4 11 7" xfId="8318"/>
    <cellStyle name="20% - Accent3 4 11 7 2" xfId="25476"/>
    <cellStyle name="20% - Accent3 4 11 7 3" xfId="28341"/>
    <cellStyle name="20% - Accent3 4 11 8" xfId="8309"/>
    <cellStyle name="20% - Accent3 4 11 8 2" xfId="25477"/>
    <cellStyle name="20% - Accent3 4 11 9" xfId="24880"/>
    <cellStyle name="20% - Accent3 4 12" xfId="4317"/>
    <cellStyle name="20% - Accent3 4 12 2" xfId="5331"/>
    <cellStyle name="20% - Accent3 4 12 2 2" xfId="6031"/>
    <cellStyle name="20% - Accent3 4 12 2 2 2" xfId="25480"/>
    <cellStyle name="20% - Accent3 4 12 2 3" xfId="8320"/>
    <cellStyle name="20% - Accent3 4 12 2 4" xfId="25479"/>
    <cellStyle name="20% - Accent3 4 12 3" xfId="5641"/>
    <cellStyle name="20% - Accent3 4 12 3 2" xfId="6032"/>
    <cellStyle name="20% - Accent3 4 12 3 2 2" xfId="25482"/>
    <cellStyle name="20% - Accent3 4 12 3 3" xfId="8321"/>
    <cellStyle name="20% - Accent3 4 12 3 4" xfId="25481"/>
    <cellStyle name="20% - Accent3 4 12 4" xfId="6030"/>
    <cellStyle name="20% - Accent3 4 12 4 2" xfId="8322"/>
    <cellStyle name="20% - Accent3 4 12 4 3" xfId="25483"/>
    <cellStyle name="20% - Accent3 4 12 5" xfId="8319"/>
    <cellStyle name="20% - Accent3 4 12 5 2" xfId="25484"/>
    <cellStyle name="20% - Accent3 4 12 6" xfId="25478"/>
    <cellStyle name="20% - Accent3 4 12 7" xfId="28342"/>
    <cellStyle name="20% - Accent3 4 13" xfId="5328"/>
    <cellStyle name="20% - Accent3 4 13 2" xfId="6033"/>
    <cellStyle name="20% - Accent3 4 13 2 2" xfId="8324"/>
    <cellStyle name="20% - Accent3 4 13 2 3" xfId="25486"/>
    <cellStyle name="20% - Accent3 4 13 3" xfId="8325"/>
    <cellStyle name="20% - Accent3 4 13 4" xfId="8323"/>
    <cellStyle name="20% - Accent3 4 13 5" xfId="25485"/>
    <cellStyle name="20% - Accent3 4 14" xfId="5638"/>
    <cellStyle name="20% - Accent3 4 14 2" xfId="6034"/>
    <cellStyle name="20% - Accent3 4 14 2 2" xfId="25488"/>
    <cellStyle name="20% - Accent3 4 14 3" xfId="8326"/>
    <cellStyle name="20% - Accent3 4 14 4" xfId="25487"/>
    <cellStyle name="20% - Accent3 4 15" xfId="4313"/>
    <cellStyle name="20% - Accent3 4 15 2" xfId="6035"/>
    <cellStyle name="20% - Accent3 4 15 2 2" xfId="25490"/>
    <cellStyle name="20% - Accent3 4 15 3" xfId="8327"/>
    <cellStyle name="20% - Accent3 4 15 4" xfId="25489"/>
    <cellStyle name="20% - Accent3 4 16" xfId="8328"/>
    <cellStyle name="20% - Accent3 4 17" xfId="8329"/>
    <cellStyle name="20% - Accent3 4 17 2" xfId="8330"/>
    <cellStyle name="20% - Accent3 4 17 2 2" xfId="25492"/>
    <cellStyle name="20% - Accent3 4 17 2 3" xfId="28344"/>
    <cellStyle name="20% - Accent3 4 17 3" xfId="8331"/>
    <cellStyle name="20% - Accent3 4 17 3 2" xfId="25493"/>
    <cellStyle name="20% - Accent3 4 17 3 3" xfId="28345"/>
    <cellStyle name="20% - Accent3 4 17 4" xfId="25491"/>
    <cellStyle name="20% - Accent3 4 17 5" xfId="28343"/>
    <cellStyle name="20% - Accent3 4 18" xfId="8332"/>
    <cellStyle name="20% - Accent3 4 18 2" xfId="25494"/>
    <cellStyle name="20% - Accent3 4 18 3" xfId="28346"/>
    <cellStyle name="20% - Accent3 4 19" xfId="8333"/>
    <cellStyle name="20% - Accent3 4 19 2" xfId="25495"/>
    <cellStyle name="20% - Accent3 4 19 3" xfId="28347"/>
    <cellStyle name="20% - Accent3 4 2" xfId="1495"/>
    <cellStyle name="20% - Accent3 4 2 10" xfId="8334"/>
    <cellStyle name="20% - Accent3 4 2 10 2" xfId="8335"/>
    <cellStyle name="20% - Accent3 4 2 10 3" xfId="8336"/>
    <cellStyle name="20% - Accent3 4 2 11" xfId="8337"/>
    <cellStyle name="20% - Accent3 4 2 11 2" xfId="8338"/>
    <cellStyle name="20% - Accent3 4 2 11 3" xfId="8339"/>
    <cellStyle name="20% - Accent3 4 2 12" xfId="8340"/>
    <cellStyle name="20% - Accent3 4 2 12 2" xfId="8341"/>
    <cellStyle name="20% - Accent3 4 2 12 3" xfId="8342"/>
    <cellStyle name="20% - Accent3 4 2 13" xfId="8343"/>
    <cellStyle name="20% - Accent3 4 2 14" xfId="8344"/>
    <cellStyle name="20% - Accent3 4 2 15" xfId="8345"/>
    <cellStyle name="20% - Accent3 4 2 16" xfId="8346"/>
    <cellStyle name="20% - Accent3 4 2 2" xfId="4318"/>
    <cellStyle name="20% - Accent3 4 2 2 2" xfId="8348"/>
    <cellStyle name="20% - Accent3 4 2 2 3" xfId="8349"/>
    <cellStyle name="20% - Accent3 4 2 2 4" xfId="8347"/>
    <cellStyle name="20% - Accent3 4 2 3" xfId="8350"/>
    <cellStyle name="20% - Accent3 4 2 3 2" xfId="8351"/>
    <cellStyle name="20% - Accent3 4 2 3 3" xfId="8352"/>
    <cellStyle name="20% - Accent3 4 2 4" xfId="8353"/>
    <cellStyle name="20% - Accent3 4 2 4 2" xfId="8354"/>
    <cellStyle name="20% - Accent3 4 2 4 3" xfId="8355"/>
    <cellStyle name="20% - Accent3 4 2 5" xfId="8356"/>
    <cellStyle name="20% - Accent3 4 2 5 2" xfId="8357"/>
    <cellStyle name="20% - Accent3 4 2 5 3" xfId="8358"/>
    <cellStyle name="20% - Accent3 4 2 6" xfId="8359"/>
    <cellStyle name="20% - Accent3 4 2 6 2" xfId="8360"/>
    <cellStyle name="20% - Accent3 4 2 6 3" xfId="8361"/>
    <cellStyle name="20% - Accent3 4 2 7" xfId="8362"/>
    <cellStyle name="20% - Accent3 4 2 7 2" xfId="8363"/>
    <cellStyle name="20% - Accent3 4 2 7 3" xfId="8364"/>
    <cellStyle name="20% - Accent3 4 2 8" xfId="8365"/>
    <cellStyle name="20% - Accent3 4 2 8 2" xfId="8366"/>
    <cellStyle name="20% - Accent3 4 2 8 3" xfId="8367"/>
    <cellStyle name="20% - Accent3 4 2 9" xfId="8368"/>
    <cellStyle name="20% - Accent3 4 2 9 2" xfId="8369"/>
    <cellStyle name="20% - Accent3 4 2 9 3" xfId="8370"/>
    <cellStyle name="20% - Accent3 4 20" xfId="8304"/>
    <cellStyle name="20% - Accent3 4 20 2" xfId="25496"/>
    <cellStyle name="20% - Accent3 4 21" xfId="28334"/>
    <cellStyle name="20% - Accent3 4 3" xfId="1620"/>
    <cellStyle name="20% - Accent3 4 3 2" xfId="4319"/>
    <cellStyle name="20% - Accent3 4 3 2 2" xfId="8371"/>
    <cellStyle name="20% - Accent3 4 3 3" xfId="8372"/>
    <cellStyle name="20% - Accent3 4 3 4" xfId="8373"/>
    <cellStyle name="20% - Accent3 4 3 5" xfId="8374"/>
    <cellStyle name="20% - Accent3 4 4" xfId="1802"/>
    <cellStyle name="20% - Accent3 4 4 2" xfId="8375"/>
    <cellStyle name="20% - Accent3 4 4 3" xfId="8376"/>
    <cellStyle name="20% - Accent3 4 4 4" xfId="8377"/>
    <cellStyle name="20% - Accent3 4 5" xfId="2138"/>
    <cellStyle name="20% - Accent3 4 5 2" xfId="8378"/>
    <cellStyle name="20% - Accent3 4 5 3" xfId="8379"/>
    <cellStyle name="20% - Accent3 4 5 4" xfId="8380"/>
    <cellStyle name="20% - Accent3 4 6" xfId="2512"/>
    <cellStyle name="20% - Accent3 4 6 2" xfId="8381"/>
    <cellStyle name="20% - Accent3 4 6 3" xfId="8382"/>
    <cellStyle name="20% - Accent3 4 6 4" xfId="8383"/>
    <cellStyle name="20% - Accent3 4 7" xfId="2884"/>
    <cellStyle name="20% - Accent3 4 7 2" xfId="8384"/>
    <cellStyle name="20% - Accent3 4 7 3" xfId="8385"/>
    <cellStyle name="20% - Accent3 4 7 4" xfId="8386"/>
    <cellStyle name="20% - Accent3 4 8" xfId="3255"/>
    <cellStyle name="20% - Accent3 4 8 2" xfId="8387"/>
    <cellStyle name="20% - Accent3 4 8 3" xfId="8388"/>
    <cellStyle name="20% - Accent3 4 8 4" xfId="8389"/>
    <cellStyle name="20% - Accent3 4 9" xfId="3584"/>
    <cellStyle name="20% - Accent3 4 9 2" xfId="4320"/>
    <cellStyle name="20% - Accent3 4 9 2 2" xfId="8390"/>
    <cellStyle name="20% - Accent3 4 9 3" xfId="8391"/>
    <cellStyle name="20% - Accent3 4 9 4" xfId="8392"/>
    <cellStyle name="20% - Accent3 4 9 5" xfId="8393"/>
    <cellStyle name="20% - Accent3 5" xfId="367"/>
    <cellStyle name="20% - Accent3 5 10" xfId="8394"/>
    <cellStyle name="20% - Accent3 5 10 2" xfId="8395"/>
    <cellStyle name="20% - Accent3 5 10 3" xfId="8396"/>
    <cellStyle name="20% - Accent3 5 11" xfId="8397"/>
    <cellStyle name="20% - Accent3 5 11 2" xfId="8398"/>
    <cellStyle name="20% - Accent3 5 11 3" xfId="8399"/>
    <cellStyle name="20% - Accent3 5 12" xfId="8400"/>
    <cellStyle name="20% - Accent3 5 12 2" xfId="8401"/>
    <cellStyle name="20% - Accent3 5 12 3" xfId="8402"/>
    <cellStyle name="20% - Accent3 5 13" xfId="8403"/>
    <cellStyle name="20% - Accent3 5 13 2" xfId="8404"/>
    <cellStyle name="20% - Accent3 5 13 3" xfId="8405"/>
    <cellStyle name="20% - Accent3 5 14" xfId="8406"/>
    <cellStyle name="20% - Accent3 5 15" xfId="8407"/>
    <cellStyle name="20% - Accent3 5 16" xfId="8408"/>
    <cellStyle name="20% - Accent3 5 17" xfId="8409"/>
    <cellStyle name="20% - Accent3 5 2" xfId="1866"/>
    <cellStyle name="20% - Accent3 5 2 10" xfId="8410"/>
    <cellStyle name="20% - Accent3 5 2 10 2" xfId="8411"/>
    <cellStyle name="20% - Accent3 5 2 10 3" xfId="8412"/>
    <cellStyle name="20% - Accent3 5 2 11" xfId="8413"/>
    <cellStyle name="20% - Accent3 5 2 11 2" xfId="8414"/>
    <cellStyle name="20% - Accent3 5 2 11 3" xfId="8415"/>
    <cellStyle name="20% - Accent3 5 2 12" xfId="8416"/>
    <cellStyle name="20% - Accent3 5 2 12 2" xfId="8417"/>
    <cellStyle name="20% - Accent3 5 2 12 3" xfId="8418"/>
    <cellStyle name="20% - Accent3 5 2 13" xfId="8419"/>
    <cellStyle name="20% - Accent3 5 2 14" xfId="8420"/>
    <cellStyle name="20% - Accent3 5 2 15" xfId="8421"/>
    <cellStyle name="20% - Accent3 5 2 2" xfId="8422"/>
    <cellStyle name="20% - Accent3 5 2 2 2" xfId="8423"/>
    <cellStyle name="20% - Accent3 5 2 2 3" xfId="8424"/>
    <cellStyle name="20% - Accent3 5 2 3" xfId="8425"/>
    <cellStyle name="20% - Accent3 5 2 3 2" xfId="8426"/>
    <cellStyle name="20% - Accent3 5 2 3 3" xfId="8427"/>
    <cellStyle name="20% - Accent3 5 2 4" xfId="8428"/>
    <cellStyle name="20% - Accent3 5 2 4 2" xfId="8429"/>
    <cellStyle name="20% - Accent3 5 2 4 3" xfId="8430"/>
    <cellStyle name="20% - Accent3 5 2 5" xfId="8431"/>
    <cellStyle name="20% - Accent3 5 2 5 2" xfId="8432"/>
    <cellStyle name="20% - Accent3 5 2 5 3" xfId="8433"/>
    <cellStyle name="20% - Accent3 5 2 6" xfId="8434"/>
    <cellStyle name="20% - Accent3 5 2 6 2" xfId="8435"/>
    <cellStyle name="20% - Accent3 5 2 6 3" xfId="8436"/>
    <cellStyle name="20% - Accent3 5 2 7" xfId="8437"/>
    <cellStyle name="20% - Accent3 5 2 7 2" xfId="8438"/>
    <cellStyle name="20% - Accent3 5 2 7 3" xfId="8439"/>
    <cellStyle name="20% - Accent3 5 2 8" xfId="8440"/>
    <cellStyle name="20% - Accent3 5 2 8 2" xfId="8441"/>
    <cellStyle name="20% - Accent3 5 2 8 3" xfId="8442"/>
    <cellStyle name="20% - Accent3 5 2 9" xfId="8443"/>
    <cellStyle name="20% - Accent3 5 2 9 2" xfId="8444"/>
    <cellStyle name="20% - Accent3 5 2 9 3" xfId="8445"/>
    <cellStyle name="20% - Accent3 5 3" xfId="2241"/>
    <cellStyle name="20% - Accent3 5 3 2" xfId="8446"/>
    <cellStyle name="20% - Accent3 5 3 3" xfId="8447"/>
    <cellStyle name="20% - Accent3 5 3 4" xfId="8448"/>
    <cellStyle name="20% - Accent3 5 4" xfId="2615"/>
    <cellStyle name="20% - Accent3 5 4 2" xfId="8449"/>
    <cellStyle name="20% - Accent3 5 4 3" xfId="8450"/>
    <cellStyle name="20% - Accent3 5 4 4" xfId="8451"/>
    <cellStyle name="20% - Accent3 5 5" xfId="2987"/>
    <cellStyle name="20% - Accent3 5 5 2" xfId="8452"/>
    <cellStyle name="20% - Accent3 5 5 3" xfId="8453"/>
    <cellStyle name="20% - Accent3 5 5 4" xfId="8454"/>
    <cellStyle name="20% - Accent3 5 6" xfId="3359"/>
    <cellStyle name="20% - Accent3 5 6 2" xfId="8455"/>
    <cellStyle name="20% - Accent3 5 6 3" xfId="8456"/>
    <cellStyle name="20% - Accent3 5 6 4" xfId="8457"/>
    <cellStyle name="20% - Accent3 5 7" xfId="4321"/>
    <cellStyle name="20% - Accent3 5 7 2" xfId="8459"/>
    <cellStyle name="20% - Accent3 5 7 3" xfId="8460"/>
    <cellStyle name="20% - Accent3 5 7 4" xfId="8458"/>
    <cellStyle name="20% - Accent3 5 8" xfId="8461"/>
    <cellStyle name="20% - Accent3 5 8 2" xfId="8462"/>
    <cellStyle name="20% - Accent3 5 8 3" xfId="8463"/>
    <cellStyle name="20% - Accent3 5 9" xfId="8464"/>
    <cellStyle name="20% - Accent3 5 9 2" xfId="8465"/>
    <cellStyle name="20% - Accent3 5 9 3" xfId="8466"/>
    <cellStyle name="20% - Accent3 6" xfId="368"/>
    <cellStyle name="20% - Accent3 6 10" xfId="5332"/>
    <cellStyle name="20% - Accent3 6 10 2" xfId="6037"/>
    <cellStyle name="20% - Accent3 6 10 2 2" xfId="8469"/>
    <cellStyle name="20% - Accent3 6 10 2 3" xfId="25499"/>
    <cellStyle name="20% - Accent3 6 10 3" xfId="8470"/>
    <cellStyle name="20% - Accent3 6 10 4" xfId="8468"/>
    <cellStyle name="20% - Accent3 6 10 5" xfId="25498"/>
    <cellStyle name="20% - Accent3 6 11" xfId="5642"/>
    <cellStyle name="20% - Accent3 6 11 2" xfId="6038"/>
    <cellStyle name="20% - Accent3 6 11 2 2" xfId="8472"/>
    <cellStyle name="20% - Accent3 6 11 2 3" xfId="25501"/>
    <cellStyle name="20% - Accent3 6 11 3" xfId="8473"/>
    <cellStyle name="20% - Accent3 6 11 4" xfId="8471"/>
    <cellStyle name="20% - Accent3 6 11 5" xfId="25500"/>
    <cellStyle name="20% - Accent3 6 12" xfId="4322"/>
    <cellStyle name="20% - Accent3 6 12 2" xfId="6039"/>
    <cellStyle name="20% - Accent3 6 12 2 2" xfId="8475"/>
    <cellStyle name="20% - Accent3 6 12 2 3" xfId="25503"/>
    <cellStyle name="20% - Accent3 6 12 3" xfId="8476"/>
    <cellStyle name="20% - Accent3 6 12 4" xfId="8474"/>
    <cellStyle name="20% - Accent3 6 12 5" xfId="25502"/>
    <cellStyle name="20% - Accent3 6 13" xfId="6036"/>
    <cellStyle name="20% - Accent3 6 13 2" xfId="8477"/>
    <cellStyle name="20% - Accent3 6 13 3" xfId="25504"/>
    <cellStyle name="20% - Accent3 6 14" xfId="8478"/>
    <cellStyle name="20% - Accent3 6 15" xfId="8479"/>
    <cellStyle name="20% - Accent3 6 16" xfId="8480"/>
    <cellStyle name="20% - Accent3 6 16 2" xfId="8481"/>
    <cellStyle name="20% - Accent3 6 16 2 2" xfId="25506"/>
    <cellStyle name="20% - Accent3 6 16 2 3" xfId="28350"/>
    <cellStyle name="20% - Accent3 6 16 3" xfId="8482"/>
    <cellStyle name="20% - Accent3 6 16 3 2" xfId="25507"/>
    <cellStyle name="20% - Accent3 6 16 3 3" xfId="28351"/>
    <cellStyle name="20% - Accent3 6 16 4" xfId="25505"/>
    <cellStyle name="20% - Accent3 6 16 5" xfId="28349"/>
    <cellStyle name="20% - Accent3 6 17" xfId="8483"/>
    <cellStyle name="20% - Accent3 6 17 2" xfId="25508"/>
    <cellStyle name="20% - Accent3 6 17 3" xfId="28352"/>
    <cellStyle name="20% - Accent3 6 18" xfId="8484"/>
    <cellStyle name="20% - Accent3 6 18 2" xfId="25509"/>
    <cellStyle name="20% - Accent3 6 18 3" xfId="28353"/>
    <cellStyle name="20% - Accent3 6 19" xfId="8467"/>
    <cellStyle name="20% - Accent3 6 19 2" xfId="25510"/>
    <cellStyle name="20% - Accent3 6 2" xfId="1971"/>
    <cellStyle name="20% - Accent3 6 2 2" xfId="4323"/>
    <cellStyle name="20% - Accent3 6 2 2 2" xfId="8485"/>
    <cellStyle name="20% - Accent3 6 2 3" xfId="8486"/>
    <cellStyle name="20% - Accent3 6 2 4" xfId="8487"/>
    <cellStyle name="20% - Accent3 6 2 5" xfId="8488"/>
    <cellStyle name="20% - Accent3 6 20" xfId="24833"/>
    <cellStyle name="20% - Accent3 6 21" xfId="25497"/>
    <cellStyle name="20% - Accent3 6 22" xfId="28348"/>
    <cellStyle name="20% - Accent3 6 3" xfId="2346"/>
    <cellStyle name="20% - Accent3 6 3 2" xfId="4324"/>
    <cellStyle name="20% - Accent3 6 3 2 2" xfId="8489"/>
    <cellStyle name="20% - Accent3 6 3 3" xfId="8490"/>
    <cellStyle name="20% - Accent3 6 3 4" xfId="8491"/>
    <cellStyle name="20% - Accent3 6 3 5" xfId="8492"/>
    <cellStyle name="20% - Accent3 6 4" xfId="2719"/>
    <cellStyle name="20% - Accent3 6 4 2" xfId="4325"/>
    <cellStyle name="20% - Accent3 6 4 2 2" xfId="8493"/>
    <cellStyle name="20% - Accent3 6 4 3" xfId="8494"/>
    <cellStyle name="20% - Accent3 6 4 4" xfId="8495"/>
    <cellStyle name="20% - Accent3 6 4 5" xfId="8496"/>
    <cellStyle name="20% - Accent3 6 5" xfId="3092"/>
    <cellStyle name="20% - Accent3 6 5 2" xfId="4326"/>
    <cellStyle name="20% - Accent3 6 5 2 2" xfId="8497"/>
    <cellStyle name="20% - Accent3 6 5 3" xfId="8498"/>
    <cellStyle name="20% - Accent3 6 5 4" xfId="8499"/>
    <cellStyle name="20% - Accent3 6 5 5" xfId="8500"/>
    <cellStyle name="20% - Accent3 6 6" xfId="3463"/>
    <cellStyle name="20% - Accent3 6 6 2" xfId="4327"/>
    <cellStyle name="20% - Accent3 6 6 2 2" xfId="8501"/>
    <cellStyle name="20% - Accent3 6 6 3" xfId="8502"/>
    <cellStyle name="20% - Accent3 6 6 4" xfId="8503"/>
    <cellStyle name="20% - Accent3 6 6 5" xfId="8504"/>
    <cellStyle name="20% - Accent3 6 7" xfId="3769"/>
    <cellStyle name="20% - Accent3 6 7 2" xfId="4328"/>
    <cellStyle name="20% - Accent3 6 7 2 2" xfId="8505"/>
    <cellStyle name="20% - Accent3 6 7 3" xfId="8506"/>
    <cellStyle name="20% - Accent3 6 7 4" xfId="8507"/>
    <cellStyle name="20% - Accent3 6 7 5" xfId="8508"/>
    <cellStyle name="20% - Accent3 6 8" xfId="1361"/>
    <cellStyle name="20% - Accent3 6 8 10" xfId="25511"/>
    <cellStyle name="20% - Accent3 6 8 11" xfId="28354"/>
    <cellStyle name="20% - Accent3 6 8 2" xfId="4161"/>
    <cellStyle name="20% - Accent3 6 8 2 2" xfId="5334"/>
    <cellStyle name="20% - Accent3 6 8 2 2 2" xfId="6042"/>
    <cellStyle name="20% - Accent3 6 8 2 2 2 2" xfId="25514"/>
    <cellStyle name="20% - Accent3 6 8 2 2 3" xfId="8511"/>
    <cellStyle name="20% - Accent3 6 8 2 2 4" xfId="25513"/>
    <cellStyle name="20% - Accent3 6 8 2 3" xfId="5644"/>
    <cellStyle name="20% - Accent3 6 8 2 3 2" xfId="6043"/>
    <cellStyle name="20% - Accent3 6 8 2 3 2 2" xfId="25516"/>
    <cellStyle name="20% - Accent3 6 8 2 3 3" xfId="25515"/>
    <cellStyle name="20% - Accent3 6 8 2 4" xfId="4330"/>
    <cellStyle name="20% - Accent3 6 8 2 4 2" xfId="6044"/>
    <cellStyle name="20% - Accent3 6 8 2 4 2 2" xfId="25518"/>
    <cellStyle name="20% - Accent3 6 8 2 4 3" xfId="25517"/>
    <cellStyle name="20% - Accent3 6 8 2 5" xfId="6041"/>
    <cellStyle name="20% - Accent3 6 8 2 5 2" xfId="25519"/>
    <cellStyle name="20% - Accent3 6 8 2 6" xfId="8510"/>
    <cellStyle name="20% - Accent3 6 8 2 6 2" xfId="25520"/>
    <cellStyle name="20% - Accent3 6 8 2 7" xfId="25013"/>
    <cellStyle name="20% - Accent3 6 8 2 8" xfId="25512"/>
    <cellStyle name="20% - Accent3 6 8 2 9" xfId="28355"/>
    <cellStyle name="20% - Accent3 6 8 3" xfId="5333"/>
    <cellStyle name="20% - Accent3 6 8 3 2" xfId="6045"/>
    <cellStyle name="20% - Accent3 6 8 3 2 2" xfId="25522"/>
    <cellStyle name="20% - Accent3 6 8 3 3" xfId="8512"/>
    <cellStyle name="20% - Accent3 6 8 3 4" xfId="25521"/>
    <cellStyle name="20% - Accent3 6 8 4" xfId="5643"/>
    <cellStyle name="20% - Accent3 6 8 4 2" xfId="6046"/>
    <cellStyle name="20% - Accent3 6 8 4 2 2" xfId="25524"/>
    <cellStyle name="20% - Accent3 6 8 4 3" xfId="8513"/>
    <cellStyle name="20% - Accent3 6 8 4 4" xfId="25523"/>
    <cellStyle name="20% - Accent3 6 8 5" xfId="4329"/>
    <cellStyle name="20% - Accent3 6 8 5 2" xfId="6047"/>
    <cellStyle name="20% - Accent3 6 8 5 2 2" xfId="8515"/>
    <cellStyle name="20% - Accent3 6 8 5 2 2 2" xfId="25527"/>
    <cellStyle name="20% - Accent3 6 8 5 2 3" xfId="25526"/>
    <cellStyle name="20% - Accent3 6 8 5 2 4" xfId="28357"/>
    <cellStyle name="20% - Accent3 6 8 5 3" xfId="8516"/>
    <cellStyle name="20% - Accent3 6 8 5 3 2" xfId="25528"/>
    <cellStyle name="20% - Accent3 6 8 5 3 3" xfId="28358"/>
    <cellStyle name="20% - Accent3 6 8 5 4" xfId="8514"/>
    <cellStyle name="20% - Accent3 6 8 5 4 2" xfId="25529"/>
    <cellStyle name="20% - Accent3 6 8 5 5" xfId="25525"/>
    <cellStyle name="20% - Accent3 6 8 5 6" xfId="28356"/>
    <cellStyle name="20% - Accent3 6 8 6" xfId="6040"/>
    <cellStyle name="20% - Accent3 6 8 6 2" xfId="8517"/>
    <cellStyle name="20% - Accent3 6 8 6 2 2" xfId="25531"/>
    <cellStyle name="20% - Accent3 6 8 6 3" xfId="25530"/>
    <cellStyle name="20% - Accent3 6 8 6 4" xfId="28359"/>
    <cellStyle name="20% - Accent3 6 8 7" xfId="8518"/>
    <cellStyle name="20% - Accent3 6 8 7 2" xfId="25532"/>
    <cellStyle name="20% - Accent3 6 8 7 3" xfId="28360"/>
    <cellStyle name="20% - Accent3 6 8 8" xfId="8509"/>
    <cellStyle name="20% - Accent3 6 8 8 2" xfId="25533"/>
    <cellStyle name="20% - Accent3 6 8 9" xfId="24893"/>
    <cellStyle name="20% - Accent3 6 9" xfId="3819"/>
    <cellStyle name="20% - Accent3 6 9 2" xfId="5335"/>
    <cellStyle name="20% - Accent3 6 9 2 2" xfId="6049"/>
    <cellStyle name="20% - Accent3 6 9 2 2 2" xfId="25536"/>
    <cellStyle name="20% - Accent3 6 9 2 3" xfId="8520"/>
    <cellStyle name="20% - Accent3 6 9 2 4" xfId="25535"/>
    <cellStyle name="20% - Accent3 6 9 3" xfId="5645"/>
    <cellStyle name="20% - Accent3 6 9 3 2" xfId="6050"/>
    <cellStyle name="20% - Accent3 6 9 3 2 2" xfId="25538"/>
    <cellStyle name="20% - Accent3 6 9 3 3" xfId="8521"/>
    <cellStyle name="20% - Accent3 6 9 3 4" xfId="25537"/>
    <cellStyle name="20% - Accent3 6 9 4" xfId="4331"/>
    <cellStyle name="20% - Accent3 6 9 4 2" xfId="6051"/>
    <cellStyle name="20% - Accent3 6 9 4 2 2" xfId="25540"/>
    <cellStyle name="20% - Accent3 6 9 4 3" xfId="8522"/>
    <cellStyle name="20% - Accent3 6 9 4 4" xfId="25539"/>
    <cellStyle name="20% - Accent3 6 9 5" xfId="6048"/>
    <cellStyle name="20% - Accent3 6 9 5 2" xfId="25541"/>
    <cellStyle name="20% - Accent3 6 9 6" xfId="8519"/>
    <cellStyle name="20% - Accent3 6 9 6 2" xfId="25542"/>
    <cellStyle name="20% - Accent3 6 9 7" xfId="24955"/>
    <cellStyle name="20% - Accent3 6 9 8" xfId="25534"/>
    <cellStyle name="20% - Accent3 6 9 9" xfId="28361"/>
    <cellStyle name="20% - Accent3 7" xfId="369"/>
    <cellStyle name="20% - Accent3 7 10" xfId="8523"/>
    <cellStyle name="20% - Accent3 7 10 2" xfId="8524"/>
    <cellStyle name="20% - Accent3 7 10 3" xfId="8525"/>
    <cellStyle name="20% - Accent3 7 11" xfId="8526"/>
    <cellStyle name="20% - Accent3 7 11 2" xfId="8527"/>
    <cellStyle name="20% - Accent3 7 11 3" xfId="8528"/>
    <cellStyle name="20% - Accent3 7 12" xfId="8529"/>
    <cellStyle name="20% - Accent3 7 12 2" xfId="8530"/>
    <cellStyle name="20% - Accent3 7 12 3" xfId="8531"/>
    <cellStyle name="20% - Accent3 7 13" xfId="8532"/>
    <cellStyle name="20% - Accent3 7 14" xfId="8533"/>
    <cellStyle name="20% - Accent3 7 15" xfId="8534"/>
    <cellStyle name="20% - Accent3 7 16" xfId="8535"/>
    <cellStyle name="20% - Accent3 7 2" xfId="4332"/>
    <cellStyle name="20% - Accent3 7 2 2" xfId="8537"/>
    <cellStyle name="20% - Accent3 7 2 3" xfId="8538"/>
    <cellStyle name="20% - Accent3 7 2 4" xfId="8536"/>
    <cellStyle name="20% - Accent3 7 3" xfId="8539"/>
    <cellStyle name="20% - Accent3 7 3 2" xfId="8540"/>
    <cellStyle name="20% - Accent3 7 3 3" xfId="8541"/>
    <cellStyle name="20% - Accent3 7 4" xfId="8542"/>
    <cellStyle name="20% - Accent3 7 4 2" xfId="8543"/>
    <cellStyle name="20% - Accent3 7 4 3" xfId="8544"/>
    <cellStyle name="20% - Accent3 7 5" xfId="8545"/>
    <cellStyle name="20% - Accent3 7 5 2" xfId="8546"/>
    <cellStyle name="20% - Accent3 7 5 3" xfId="8547"/>
    <cellStyle name="20% - Accent3 7 6" xfId="8548"/>
    <cellStyle name="20% - Accent3 7 6 2" xfId="8549"/>
    <cellStyle name="20% - Accent3 7 6 3" xfId="8550"/>
    <cellStyle name="20% - Accent3 7 7" xfId="8551"/>
    <cellStyle name="20% - Accent3 7 7 2" xfId="8552"/>
    <cellStyle name="20% - Accent3 7 7 3" xfId="8553"/>
    <cellStyle name="20% - Accent3 7 8" xfId="8554"/>
    <cellStyle name="20% - Accent3 7 8 2" xfId="8555"/>
    <cellStyle name="20% - Accent3 7 8 3" xfId="8556"/>
    <cellStyle name="20% - Accent3 7 9" xfId="8557"/>
    <cellStyle name="20% - Accent3 7 9 2" xfId="8558"/>
    <cellStyle name="20% - Accent3 7 9 3" xfId="8559"/>
    <cellStyle name="20% - Accent3 8" xfId="526"/>
    <cellStyle name="20% - Accent3 8 10" xfId="24847"/>
    <cellStyle name="20% - Accent3 8 11" xfId="25543"/>
    <cellStyle name="20% - Accent3 8 12" xfId="28362"/>
    <cellStyle name="20% - Accent3 8 2" xfId="1376"/>
    <cellStyle name="20% - Accent3 8 2 10" xfId="25544"/>
    <cellStyle name="20% - Accent3 8 2 11" xfId="28363"/>
    <cellStyle name="20% - Accent3 8 2 2" xfId="4176"/>
    <cellStyle name="20% - Accent3 8 2 2 2" xfId="5338"/>
    <cellStyle name="20% - Accent3 8 2 2 2 2" xfId="6055"/>
    <cellStyle name="20% - Accent3 8 2 2 2 2 2" xfId="25547"/>
    <cellStyle name="20% - Accent3 8 2 2 2 3" xfId="8563"/>
    <cellStyle name="20% - Accent3 8 2 2 2 4" xfId="25546"/>
    <cellStyle name="20% - Accent3 8 2 2 3" xfId="5648"/>
    <cellStyle name="20% - Accent3 8 2 2 3 2" xfId="6056"/>
    <cellStyle name="20% - Accent3 8 2 2 3 2 2" xfId="25549"/>
    <cellStyle name="20% - Accent3 8 2 2 3 3" xfId="25548"/>
    <cellStyle name="20% - Accent3 8 2 2 4" xfId="4335"/>
    <cellStyle name="20% - Accent3 8 2 2 4 2" xfId="6057"/>
    <cellStyle name="20% - Accent3 8 2 2 4 2 2" xfId="25551"/>
    <cellStyle name="20% - Accent3 8 2 2 4 3" xfId="25550"/>
    <cellStyle name="20% - Accent3 8 2 2 5" xfId="6054"/>
    <cellStyle name="20% - Accent3 8 2 2 5 2" xfId="25552"/>
    <cellStyle name="20% - Accent3 8 2 2 6" xfId="8562"/>
    <cellStyle name="20% - Accent3 8 2 2 6 2" xfId="25553"/>
    <cellStyle name="20% - Accent3 8 2 2 7" xfId="25028"/>
    <cellStyle name="20% - Accent3 8 2 2 8" xfId="25545"/>
    <cellStyle name="20% - Accent3 8 2 2 9" xfId="28364"/>
    <cellStyle name="20% - Accent3 8 2 3" xfId="5337"/>
    <cellStyle name="20% - Accent3 8 2 3 2" xfId="6058"/>
    <cellStyle name="20% - Accent3 8 2 3 2 2" xfId="25555"/>
    <cellStyle name="20% - Accent3 8 2 3 3" xfId="8564"/>
    <cellStyle name="20% - Accent3 8 2 3 4" xfId="25554"/>
    <cellStyle name="20% - Accent3 8 2 4" xfId="5647"/>
    <cellStyle name="20% - Accent3 8 2 4 2" xfId="6059"/>
    <cellStyle name="20% - Accent3 8 2 4 2 2" xfId="25557"/>
    <cellStyle name="20% - Accent3 8 2 4 3" xfId="8565"/>
    <cellStyle name="20% - Accent3 8 2 4 4" xfId="25556"/>
    <cellStyle name="20% - Accent3 8 2 5" xfId="4334"/>
    <cellStyle name="20% - Accent3 8 2 5 2" xfId="6060"/>
    <cellStyle name="20% - Accent3 8 2 5 2 2" xfId="8567"/>
    <cellStyle name="20% - Accent3 8 2 5 2 2 2" xfId="25560"/>
    <cellStyle name="20% - Accent3 8 2 5 2 3" xfId="25559"/>
    <cellStyle name="20% - Accent3 8 2 5 2 4" xfId="28366"/>
    <cellStyle name="20% - Accent3 8 2 5 3" xfId="8568"/>
    <cellStyle name="20% - Accent3 8 2 5 3 2" xfId="25561"/>
    <cellStyle name="20% - Accent3 8 2 5 3 3" xfId="28367"/>
    <cellStyle name="20% - Accent3 8 2 5 4" xfId="8566"/>
    <cellStyle name="20% - Accent3 8 2 5 4 2" xfId="25562"/>
    <cellStyle name="20% - Accent3 8 2 5 5" xfId="25558"/>
    <cellStyle name="20% - Accent3 8 2 5 6" xfId="28365"/>
    <cellStyle name="20% - Accent3 8 2 6" xfId="6053"/>
    <cellStyle name="20% - Accent3 8 2 6 2" xfId="8569"/>
    <cellStyle name="20% - Accent3 8 2 6 2 2" xfId="25564"/>
    <cellStyle name="20% - Accent3 8 2 6 3" xfId="25563"/>
    <cellStyle name="20% - Accent3 8 2 6 4" xfId="28368"/>
    <cellStyle name="20% - Accent3 8 2 7" xfId="8570"/>
    <cellStyle name="20% - Accent3 8 2 7 2" xfId="25565"/>
    <cellStyle name="20% - Accent3 8 2 7 3" xfId="28369"/>
    <cellStyle name="20% - Accent3 8 2 8" xfId="8561"/>
    <cellStyle name="20% - Accent3 8 2 8 2" xfId="25566"/>
    <cellStyle name="20% - Accent3 8 2 9" xfId="24908"/>
    <cellStyle name="20% - Accent3 8 3" xfId="3833"/>
    <cellStyle name="20% - Accent3 8 3 2" xfId="5339"/>
    <cellStyle name="20% - Accent3 8 3 2 2" xfId="6062"/>
    <cellStyle name="20% - Accent3 8 3 2 2 2" xfId="25569"/>
    <cellStyle name="20% - Accent3 8 3 2 3" xfId="8572"/>
    <cellStyle name="20% - Accent3 8 3 2 4" xfId="25568"/>
    <cellStyle name="20% - Accent3 8 3 3" xfId="5649"/>
    <cellStyle name="20% - Accent3 8 3 3 2" xfId="6063"/>
    <cellStyle name="20% - Accent3 8 3 3 2 2" xfId="25571"/>
    <cellStyle name="20% - Accent3 8 3 3 3" xfId="25570"/>
    <cellStyle name="20% - Accent3 8 3 4" xfId="4336"/>
    <cellStyle name="20% - Accent3 8 3 4 2" xfId="6064"/>
    <cellStyle name="20% - Accent3 8 3 4 2 2" xfId="25573"/>
    <cellStyle name="20% - Accent3 8 3 4 3" xfId="25572"/>
    <cellStyle name="20% - Accent3 8 3 5" xfId="6061"/>
    <cellStyle name="20% - Accent3 8 3 5 2" xfId="25574"/>
    <cellStyle name="20% - Accent3 8 3 6" xfId="8571"/>
    <cellStyle name="20% - Accent3 8 3 6 2" xfId="25575"/>
    <cellStyle name="20% - Accent3 8 3 7" xfId="24969"/>
    <cellStyle name="20% - Accent3 8 3 8" xfId="25567"/>
    <cellStyle name="20% - Accent3 8 3 9" xfId="28370"/>
    <cellStyle name="20% - Accent3 8 4" xfId="5336"/>
    <cellStyle name="20% - Accent3 8 4 2" xfId="6065"/>
    <cellStyle name="20% - Accent3 8 4 2 2" xfId="25577"/>
    <cellStyle name="20% - Accent3 8 4 3" xfId="8573"/>
    <cellStyle name="20% - Accent3 8 4 4" xfId="25576"/>
    <cellStyle name="20% - Accent3 8 5" xfId="5646"/>
    <cellStyle name="20% - Accent3 8 5 2" xfId="6066"/>
    <cellStyle name="20% - Accent3 8 5 2 2" xfId="25579"/>
    <cellStyle name="20% - Accent3 8 5 3" xfId="8574"/>
    <cellStyle name="20% - Accent3 8 5 4" xfId="25578"/>
    <cellStyle name="20% - Accent3 8 6" xfId="4333"/>
    <cellStyle name="20% - Accent3 8 6 2" xfId="6067"/>
    <cellStyle name="20% - Accent3 8 6 2 2" xfId="8576"/>
    <cellStyle name="20% - Accent3 8 6 2 2 2" xfId="25582"/>
    <cellStyle name="20% - Accent3 8 6 2 3" xfId="25581"/>
    <cellStyle name="20% - Accent3 8 6 2 4" xfId="28372"/>
    <cellStyle name="20% - Accent3 8 6 3" xfId="8577"/>
    <cellStyle name="20% - Accent3 8 6 3 2" xfId="25583"/>
    <cellStyle name="20% - Accent3 8 6 3 3" xfId="28373"/>
    <cellStyle name="20% - Accent3 8 6 4" xfId="8575"/>
    <cellStyle name="20% - Accent3 8 6 4 2" xfId="25584"/>
    <cellStyle name="20% - Accent3 8 6 5" xfId="25580"/>
    <cellStyle name="20% - Accent3 8 6 6" xfId="28371"/>
    <cellStyle name="20% - Accent3 8 7" xfId="6052"/>
    <cellStyle name="20% - Accent3 8 7 2" xfId="8578"/>
    <cellStyle name="20% - Accent3 8 7 2 2" xfId="25586"/>
    <cellStyle name="20% - Accent3 8 7 3" xfId="25585"/>
    <cellStyle name="20% - Accent3 8 7 4" xfId="28374"/>
    <cellStyle name="20% - Accent3 8 8" xfId="8579"/>
    <cellStyle name="20% - Accent3 8 8 2" xfId="25587"/>
    <cellStyle name="20% - Accent3 8 8 3" xfId="28375"/>
    <cellStyle name="20% - Accent3 8 9" xfId="8560"/>
    <cellStyle name="20% - Accent3 8 9 2" xfId="25588"/>
    <cellStyle name="20% - Accent3 9" xfId="527"/>
    <cellStyle name="20% - Accent3 9 2" xfId="4337"/>
    <cellStyle name="20% - Accent3 9 2 2" xfId="8581"/>
    <cellStyle name="20% - Accent3 9 2 3" xfId="8582"/>
    <cellStyle name="20% - Accent3 9 2 4" xfId="8580"/>
    <cellStyle name="20% - Accent3 9 3" xfId="8583"/>
    <cellStyle name="20% - Accent3 9 4" xfId="8584"/>
    <cellStyle name="20% - Accent3 9 5" xfId="8585"/>
    <cellStyle name="20% - Accent3 9 6" xfId="8586"/>
    <cellStyle name="20% - Accent4" xfId="7110" builtinId="42" customBuiltin="1"/>
    <cellStyle name="20% - Accent4 10" xfId="652"/>
    <cellStyle name="20% - Accent4 10 2" xfId="4338"/>
    <cellStyle name="20% - Accent4 10 2 2" xfId="8587"/>
    <cellStyle name="20% - Accent4 10 3" xfId="8588"/>
    <cellStyle name="20% - Accent4 10 4" xfId="8589"/>
    <cellStyle name="20% - Accent4 10 5" xfId="8590"/>
    <cellStyle name="20% - Accent4 11" xfId="653"/>
    <cellStyle name="20% - Accent4 11 2" xfId="4339"/>
    <cellStyle name="20% - Accent4 11 2 2" xfId="8591"/>
    <cellStyle name="20% - Accent4 11 3" xfId="8592"/>
    <cellStyle name="20% - Accent4 11 4" xfId="8593"/>
    <cellStyle name="20% - Accent4 11 5" xfId="8594"/>
    <cellStyle name="20% - Accent4 12" xfId="807"/>
    <cellStyle name="20% - Accent4 12 2" xfId="8596"/>
    <cellStyle name="20% - Accent4 12 3" xfId="8597"/>
    <cellStyle name="20% - Accent4 12 4" xfId="8595"/>
    <cellStyle name="20% - Accent4 13" xfId="808"/>
    <cellStyle name="20% - Accent4 13 2" xfId="3848"/>
    <cellStyle name="20% - Accent4 13 2 2" xfId="6069"/>
    <cellStyle name="20% - Accent4 13 2 2 2" xfId="25591"/>
    <cellStyle name="20% - Accent4 13 2 3" xfId="8599"/>
    <cellStyle name="20% - Accent4 13 2 4" xfId="24984"/>
    <cellStyle name="20% - Accent4 13 2 5" xfId="25590"/>
    <cellStyle name="20% - Accent4 13 3" xfId="6068"/>
    <cellStyle name="20% - Accent4 13 3 2" xfId="8600"/>
    <cellStyle name="20% - Accent4 13 3 3" xfId="25592"/>
    <cellStyle name="20% - Accent4 13 4" xfId="8598"/>
    <cellStyle name="20% - Accent4 13 5" xfId="24863"/>
    <cellStyle name="20% - Accent4 13 6" xfId="25589"/>
    <cellStyle name="20% - Accent4 14" xfId="927"/>
    <cellStyle name="20% - Accent4 14 2" xfId="8602"/>
    <cellStyle name="20% - Accent4 14 3" xfId="8603"/>
    <cellStyle name="20% - Accent4 14 4" xfId="8601"/>
    <cellStyle name="20% - Accent4 15" xfId="8604"/>
    <cellStyle name="20% - Accent4 15 2" xfId="8605"/>
    <cellStyle name="20% - Accent4 15 3" xfId="8606"/>
    <cellStyle name="20% - Accent4 16" xfId="8607"/>
    <cellStyle name="20% - Accent4 16 2" xfId="8608"/>
    <cellStyle name="20% - Accent4 16 3" xfId="8609"/>
    <cellStyle name="20% - Accent4 17" xfId="8610"/>
    <cellStyle name="20% - Accent4 17 2" xfId="8611"/>
    <cellStyle name="20% - Accent4 17 3" xfId="8612"/>
    <cellStyle name="20% - Accent4 18" xfId="8613"/>
    <cellStyle name="20% - Accent4 18 2" xfId="8614"/>
    <cellStyle name="20% - Accent4 18 3" xfId="8615"/>
    <cellStyle name="20% - Accent4 19" xfId="8616"/>
    <cellStyle name="20% - Accent4 19 2" xfId="8617"/>
    <cellStyle name="20% - Accent4 2" xfId="71"/>
    <cellStyle name="20% - Accent4 2 10" xfId="1670"/>
    <cellStyle name="20% - Accent4 2 10 2" xfId="4340"/>
    <cellStyle name="20% - Accent4 2 10 2 2" xfId="8618"/>
    <cellStyle name="20% - Accent4 2 10 3" xfId="8619"/>
    <cellStyle name="20% - Accent4 2 10 4" xfId="8620"/>
    <cellStyle name="20% - Accent4 2 10 5" xfId="8621"/>
    <cellStyle name="20% - Accent4 2 11" xfId="1967"/>
    <cellStyle name="20% - Accent4 2 11 2" xfId="4341"/>
    <cellStyle name="20% - Accent4 2 11 2 2" xfId="8622"/>
    <cellStyle name="20% - Accent4 2 11 3" xfId="8623"/>
    <cellStyle name="20% - Accent4 2 11 4" xfId="8624"/>
    <cellStyle name="20% - Accent4 2 11 5" xfId="8625"/>
    <cellStyle name="20% - Accent4 2 12" xfId="1707"/>
    <cellStyle name="20% - Accent4 2 12 2" xfId="4342"/>
    <cellStyle name="20% - Accent4 2 12 2 2" xfId="8626"/>
    <cellStyle name="20% - Accent4 2 12 3" xfId="8627"/>
    <cellStyle name="20% - Accent4 2 12 4" xfId="8628"/>
    <cellStyle name="20% - Accent4 2 12 5" xfId="8629"/>
    <cellStyle name="20% - Accent4 2 13" xfId="2042"/>
    <cellStyle name="20% - Accent4 2 13 2" xfId="4343"/>
    <cellStyle name="20% - Accent4 2 13 2 2" xfId="8630"/>
    <cellStyle name="20% - Accent4 2 13 3" xfId="8631"/>
    <cellStyle name="20% - Accent4 2 13 4" xfId="8632"/>
    <cellStyle name="20% - Accent4 2 13 5" xfId="8633"/>
    <cellStyle name="20% - Accent4 2 14" xfId="3088"/>
    <cellStyle name="20% - Accent4 2 14 2" xfId="4344"/>
    <cellStyle name="20% - Accent4 2 14 2 2" xfId="8634"/>
    <cellStyle name="20% - Accent4 2 14 3" xfId="8635"/>
    <cellStyle name="20% - Accent4 2 14 4" xfId="8636"/>
    <cellStyle name="20% - Accent4 2 14 5" xfId="8637"/>
    <cellStyle name="20% - Accent4 2 15" xfId="3459"/>
    <cellStyle name="20% - Accent4 2 15 2" xfId="4345"/>
    <cellStyle name="20% - Accent4 2 15 2 2" xfId="8638"/>
    <cellStyle name="20% - Accent4 2 15 3" xfId="8639"/>
    <cellStyle name="20% - Accent4 2 16" xfId="3635"/>
    <cellStyle name="20% - Accent4 2 16 2" xfId="4346"/>
    <cellStyle name="20% - Accent4 2 16 2 2" xfId="8640"/>
    <cellStyle name="20% - Accent4 2 16 3" xfId="8641"/>
    <cellStyle name="20% - Accent4 2 17" xfId="24470"/>
    <cellStyle name="20% - Accent4 2 2" xfId="115"/>
    <cellStyle name="20% - Accent4 2 2 10" xfId="8642"/>
    <cellStyle name="20% - Accent4 2 2 10 2" xfId="8643"/>
    <cellStyle name="20% - Accent4 2 2 10 3" xfId="8644"/>
    <cellStyle name="20% - Accent4 2 2 11" xfId="8645"/>
    <cellStyle name="20% - Accent4 2 2 11 2" xfId="8646"/>
    <cellStyle name="20% - Accent4 2 2 11 3" xfId="8647"/>
    <cellStyle name="20% - Accent4 2 2 12" xfId="8648"/>
    <cellStyle name="20% - Accent4 2 2 12 2" xfId="8649"/>
    <cellStyle name="20% - Accent4 2 2 12 3" xfId="8650"/>
    <cellStyle name="20% - Accent4 2 2 13" xfId="8651"/>
    <cellStyle name="20% - Accent4 2 2 14" xfId="8652"/>
    <cellStyle name="20% - Accent4 2 2 15" xfId="8653"/>
    <cellStyle name="20% - Accent4 2 2 2" xfId="183"/>
    <cellStyle name="20% - Accent4 2 2 2 2" xfId="8654"/>
    <cellStyle name="20% - Accent4 2 2 2 3" xfId="8655"/>
    <cellStyle name="20% - Accent4 2 2 3" xfId="347"/>
    <cellStyle name="20% - Accent4 2 2 3 2" xfId="8656"/>
    <cellStyle name="20% - Accent4 2 2 3 3" xfId="8657"/>
    <cellStyle name="20% - Accent4 2 2 4" xfId="2169"/>
    <cellStyle name="20% - Accent4 2 2 4 2" xfId="8658"/>
    <cellStyle name="20% - Accent4 2 2 4 3" xfId="8659"/>
    <cellStyle name="20% - Accent4 2 2 5" xfId="2543"/>
    <cellStyle name="20% - Accent4 2 2 5 2" xfId="8660"/>
    <cellStyle name="20% - Accent4 2 2 5 3" xfId="8661"/>
    <cellStyle name="20% - Accent4 2 2 6" xfId="2915"/>
    <cellStyle name="20% - Accent4 2 2 6 2" xfId="8662"/>
    <cellStyle name="20% - Accent4 2 2 6 3" xfId="8663"/>
    <cellStyle name="20% - Accent4 2 2 7" xfId="3287"/>
    <cellStyle name="20% - Accent4 2 2 7 2" xfId="8664"/>
    <cellStyle name="20% - Accent4 2 2 7 3" xfId="8665"/>
    <cellStyle name="20% - Accent4 2 2 8" xfId="4347"/>
    <cellStyle name="20% - Accent4 2 2 8 2" xfId="8667"/>
    <cellStyle name="20% - Accent4 2 2 8 3" xfId="8668"/>
    <cellStyle name="20% - Accent4 2 2 8 4" xfId="8666"/>
    <cellStyle name="20% - Accent4 2 2 9" xfId="8669"/>
    <cellStyle name="20% - Accent4 2 2 9 2" xfId="8670"/>
    <cellStyle name="20% - Accent4 2 2 9 3" xfId="8671"/>
    <cellStyle name="20% - Accent4 2 3" xfId="280"/>
    <cellStyle name="20% - Accent4 2 3 2" xfId="1345"/>
    <cellStyle name="20% - Accent4 2 3 2 2" xfId="8672"/>
    <cellStyle name="20% - Accent4 2 3 2 3" xfId="8673"/>
    <cellStyle name="20% - Accent4 2 3 3" xfId="8674"/>
    <cellStyle name="20% - Accent4 2 3 4" xfId="8675"/>
    <cellStyle name="20% - Accent4 2 4" xfId="370"/>
    <cellStyle name="20% - Accent4 2 4 2" xfId="8676"/>
    <cellStyle name="20% - Accent4 2 4 2 2" xfId="8677"/>
    <cellStyle name="20% - Accent4 2 4 2 3" xfId="8678"/>
    <cellStyle name="20% - Accent4 2 4 3" xfId="8679"/>
    <cellStyle name="20% - Accent4 2 4 4" xfId="8680"/>
    <cellStyle name="20% - Accent4 2 5" xfId="528"/>
    <cellStyle name="20% - Accent4 2 5 2" xfId="8681"/>
    <cellStyle name="20% - Accent4 2 5 3" xfId="8682"/>
    <cellStyle name="20% - Accent4 2 6" xfId="654"/>
    <cellStyle name="20% - Accent4 2 6 2" xfId="8683"/>
    <cellStyle name="20% - Accent4 2 6 3" xfId="8684"/>
    <cellStyle name="20% - Accent4 2 7" xfId="655"/>
    <cellStyle name="20% - Accent4 2 7 2" xfId="8685"/>
    <cellStyle name="20% - Accent4 2 7 3" xfId="8686"/>
    <cellStyle name="20% - Accent4 2 8" xfId="809"/>
    <cellStyle name="20% - Accent4 2 8 2" xfId="1399"/>
    <cellStyle name="20% - Accent4 2 8 2 2" xfId="8687"/>
    <cellStyle name="20% - Accent4 2 8 3" xfId="8688"/>
    <cellStyle name="20% - Accent4 2 8 4" xfId="8689"/>
    <cellStyle name="20% - Accent4 2 8 5" xfId="8690"/>
    <cellStyle name="20% - Accent4 2 9" xfId="928"/>
    <cellStyle name="20% - Accent4 2 9 2" xfId="1446"/>
    <cellStyle name="20% - Accent4 2 9 2 2" xfId="8691"/>
    <cellStyle name="20% - Accent4 2 9 3" xfId="8692"/>
    <cellStyle name="20% - Accent4 2 9 4" xfId="8693"/>
    <cellStyle name="20% - Accent4 2 9 5" xfId="8694"/>
    <cellStyle name="20% - Accent4 20" xfId="8695"/>
    <cellStyle name="20% - Accent4 21" xfId="8696"/>
    <cellStyle name="20% - Accent4 21 2" xfId="8697"/>
    <cellStyle name="20% - Accent4 21 2 2" xfId="8698"/>
    <cellStyle name="20% - Accent4 21 2 2 2" xfId="25595"/>
    <cellStyle name="20% - Accent4 21 2 2 3" xfId="28378"/>
    <cellStyle name="20% - Accent4 21 2 3" xfId="8699"/>
    <cellStyle name="20% - Accent4 21 2 3 2" xfId="25596"/>
    <cellStyle name="20% - Accent4 21 2 3 3" xfId="28379"/>
    <cellStyle name="20% - Accent4 21 2 4" xfId="25594"/>
    <cellStyle name="20% - Accent4 21 2 5" xfId="28377"/>
    <cellStyle name="20% - Accent4 21 3" xfId="8700"/>
    <cellStyle name="20% - Accent4 21 3 2" xfId="25597"/>
    <cellStyle name="20% - Accent4 21 3 3" xfId="28380"/>
    <cellStyle name="20% - Accent4 21 4" xfId="8701"/>
    <cellStyle name="20% - Accent4 21 4 2" xfId="25598"/>
    <cellStyle name="20% - Accent4 21 4 3" xfId="28381"/>
    <cellStyle name="20% - Accent4 21 5" xfId="25593"/>
    <cellStyle name="20% - Accent4 21 6" xfId="28376"/>
    <cellStyle name="20% - Accent4 22" xfId="8702"/>
    <cellStyle name="20% - Accent4 22 2" xfId="8703"/>
    <cellStyle name="20% - Accent4 22 2 2" xfId="8704"/>
    <cellStyle name="20% - Accent4 22 2 2 2" xfId="25601"/>
    <cellStyle name="20% - Accent4 22 2 2 3" xfId="28384"/>
    <cellStyle name="20% - Accent4 22 2 3" xfId="8705"/>
    <cellStyle name="20% - Accent4 22 2 3 2" xfId="25602"/>
    <cellStyle name="20% - Accent4 22 2 3 3" xfId="28385"/>
    <cellStyle name="20% - Accent4 22 2 4" xfId="25600"/>
    <cellStyle name="20% - Accent4 22 2 5" xfId="28383"/>
    <cellStyle name="20% - Accent4 22 3" xfId="8706"/>
    <cellStyle name="20% - Accent4 22 3 2" xfId="25603"/>
    <cellStyle name="20% - Accent4 22 3 3" xfId="28386"/>
    <cellStyle name="20% - Accent4 22 4" xfId="8707"/>
    <cellStyle name="20% - Accent4 22 4 2" xfId="25604"/>
    <cellStyle name="20% - Accent4 22 4 3" xfId="28387"/>
    <cellStyle name="20% - Accent4 22 5" xfId="25599"/>
    <cellStyle name="20% - Accent4 22 6" xfId="28382"/>
    <cellStyle name="20% - Accent4 23" xfId="8708"/>
    <cellStyle name="20% - Accent4 24" xfId="8709"/>
    <cellStyle name="20% - Accent4 24 2" xfId="8710"/>
    <cellStyle name="20% - Accent4 24 2 2" xfId="8711"/>
    <cellStyle name="20% - Accent4 24 2 2 2" xfId="25607"/>
    <cellStyle name="20% - Accent4 24 2 2 3" xfId="28390"/>
    <cellStyle name="20% - Accent4 24 2 3" xfId="8712"/>
    <cellStyle name="20% - Accent4 24 2 3 2" xfId="25608"/>
    <cellStyle name="20% - Accent4 24 2 3 3" xfId="28391"/>
    <cellStyle name="20% - Accent4 24 2 4" xfId="25606"/>
    <cellStyle name="20% - Accent4 24 2 5" xfId="28389"/>
    <cellStyle name="20% - Accent4 24 3" xfId="8713"/>
    <cellStyle name="20% - Accent4 24 3 2" xfId="25609"/>
    <cellStyle name="20% - Accent4 24 3 3" xfId="28392"/>
    <cellStyle name="20% - Accent4 24 4" xfId="8714"/>
    <cellStyle name="20% - Accent4 24 4 2" xfId="25610"/>
    <cellStyle name="20% - Accent4 24 4 3" xfId="28393"/>
    <cellStyle name="20% - Accent4 24 5" xfId="25605"/>
    <cellStyle name="20% - Accent4 24 6" xfId="28388"/>
    <cellStyle name="20% - Accent4 25" xfId="8715"/>
    <cellStyle name="20% - Accent4 25 2" xfId="8716"/>
    <cellStyle name="20% - Accent4 25 2 2" xfId="8717"/>
    <cellStyle name="20% - Accent4 25 2 2 2" xfId="25613"/>
    <cellStyle name="20% - Accent4 25 2 2 3" xfId="28396"/>
    <cellStyle name="20% - Accent4 25 2 3" xfId="8718"/>
    <cellStyle name="20% - Accent4 25 2 3 2" xfId="25614"/>
    <cellStyle name="20% - Accent4 25 2 3 3" xfId="28397"/>
    <cellStyle name="20% - Accent4 25 2 4" xfId="25612"/>
    <cellStyle name="20% - Accent4 25 2 5" xfId="28395"/>
    <cellStyle name="20% - Accent4 25 3" xfId="8719"/>
    <cellStyle name="20% - Accent4 25 3 2" xfId="25615"/>
    <cellStyle name="20% - Accent4 25 3 3" xfId="28398"/>
    <cellStyle name="20% - Accent4 25 4" xfId="8720"/>
    <cellStyle name="20% - Accent4 25 4 2" xfId="25616"/>
    <cellStyle name="20% - Accent4 25 4 3" xfId="28399"/>
    <cellStyle name="20% - Accent4 25 5" xfId="25611"/>
    <cellStyle name="20% - Accent4 25 6" xfId="28394"/>
    <cellStyle name="20% - Accent4 26" xfId="8721"/>
    <cellStyle name="20% - Accent4 27" xfId="8722"/>
    <cellStyle name="20% - Accent4 27 2" xfId="8723"/>
    <cellStyle name="20% - Accent4 27 2 2" xfId="8724"/>
    <cellStyle name="20% - Accent4 27 2 2 2" xfId="25619"/>
    <cellStyle name="20% - Accent4 27 2 2 3" xfId="28402"/>
    <cellStyle name="20% - Accent4 27 2 3" xfId="8725"/>
    <cellStyle name="20% - Accent4 27 2 3 2" xfId="25620"/>
    <cellStyle name="20% - Accent4 27 2 3 3" xfId="28403"/>
    <cellStyle name="20% - Accent4 27 2 4" xfId="25618"/>
    <cellStyle name="20% - Accent4 27 2 5" xfId="28401"/>
    <cellStyle name="20% - Accent4 27 3" xfId="8726"/>
    <cellStyle name="20% - Accent4 27 3 2" xfId="25621"/>
    <cellStyle name="20% - Accent4 27 3 3" xfId="28404"/>
    <cellStyle name="20% - Accent4 27 4" xfId="8727"/>
    <cellStyle name="20% - Accent4 27 4 2" xfId="25622"/>
    <cellStyle name="20% - Accent4 27 4 3" xfId="28405"/>
    <cellStyle name="20% - Accent4 27 5" xfId="25617"/>
    <cellStyle name="20% - Accent4 27 6" xfId="28400"/>
    <cellStyle name="20% - Accent4 28" xfId="8728"/>
    <cellStyle name="20% - Accent4 28 2" xfId="8729"/>
    <cellStyle name="20% - Accent4 28 2 2" xfId="25624"/>
    <cellStyle name="20% - Accent4 28 2 3" xfId="28407"/>
    <cellStyle name="20% - Accent4 28 3" xfId="8730"/>
    <cellStyle name="20% - Accent4 28 3 2" xfId="25625"/>
    <cellStyle name="20% - Accent4 28 3 3" xfId="28408"/>
    <cellStyle name="20% - Accent4 28 4" xfId="25623"/>
    <cellStyle name="20% - Accent4 28 5" xfId="28406"/>
    <cellStyle name="20% - Accent4 29" xfId="8731"/>
    <cellStyle name="20% - Accent4 29 2" xfId="25626"/>
    <cellStyle name="20% - Accent4 29 3" xfId="28409"/>
    <cellStyle name="20% - Accent4 3" xfId="224"/>
    <cellStyle name="20% - Accent4 3 10" xfId="3678"/>
    <cellStyle name="20% - Accent4 3 10 2" xfId="4348"/>
    <cellStyle name="20% - Accent4 3 10 2 2" xfId="8732"/>
    <cellStyle name="20% - Accent4 3 10 3" xfId="8733"/>
    <cellStyle name="20% - Accent4 3 10 4" xfId="8734"/>
    <cellStyle name="20% - Accent4 3 10 5" xfId="8735"/>
    <cellStyle name="20% - Accent4 3 11" xfId="8736"/>
    <cellStyle name="20% - Accent4 3 11 2" xfId="8737"/>
    <cellStyle name="20% - Accent4 3 11 3" xfId="8738"/>
    <cellStyle name="20% - Accent4 3 12" xfId="8739"/>
    <cellStyle name="20% - Accent4 3 12 2" xfId="8740"/>
    <cellStyle name="20% - Accent4 3 12 3" xfId="8741"/>
    <cellStyle name="20% - Accent4 3 13" xfId="8742"/>
    <cellStyle name="20% - Accent4 3 13 2" xfId="8743"/>
    <cellStyle name="20% - Accent4 3 13 3" xfId="8744"/>
    <cellStyle name="20% - Accent4 3 14" xfId="8745"/>
    <cellStyle name="20% - Accent4 3 15" xfId="8746"/>
    <cellStyle name="20% - Accent4 3 2" xfId="1451"/>
    <cellStyle name="20% - Accent4 3 2 10" xfId="8747"/>
    <cellStyle name="20% - Accent4 3 2 10 2" xfId="8748"/>
    <cellStyle name="20% - Accent4 3 2 10 3" xfId="8749"/>
    <cellStyle name="20% - Accent4 3 2 11" xfId="8750"/>
    <cellStyle name="20% - Accent4 3 2 11 2" xfId="8751"/>
    <cellStyle name="20% - Accent4 3 2 11 3" xfId="8752"/>
    <cellStyle name="20% - Accent4 3 2 12" xfId="8753"/>
    <cellStyle name="20% - Accent4 3 2 12 2" xfId="8754"/>
    <cellStyle name="20% - Accent4 3 2 12 3" xfId="8755"/>
    <cellStyle name="20% - Accent4 3 2 13" xfId="8756"/>
    <cellStyle name="20% - Accent4 3 2 14" xfId="8757"/>
    <cellStyle name="20% - Accent4 3 2 15" xfId="8758"/>
    <cellStyle name="20% - Accent4 3 2 2" xfId="1835"/>
    <cellStyle name="20% - Accent4 3 2 2 2" xfId="8759"/>
    <cellStyle name="20% - Accent4 3 2 2 3" xfId="8760"/>
    <cellStyle name="20% - Accent4 3 2 3" xfId="2210"/>
    <cellStyle name="20% - Accent4 3 2 3 2" xfId="8761"/>
    <cellStyle name="20% - Accent4 3 2 3 3" xfId="8762"/>
    <cellStyle name="20% - Accent4 3 2 4" xfId="2584"/>
    <cellStyle name="20% - Accent4 3 2 4 2" xfId="8763"/>
    <cellStyle name="20% - Accent4 3 2 4 3" xfId="8764"/>
    <cellStyle name="20% - Accent4 3 2 5" xfId="2956"/>
    <cellStyle name="20% - Accent4 3 2 5 2" xfId="8765"/>
    <cellStyle name="20% - Accent4 3 2 5 3" xfId="8766"/>
    <cellStyle name="20% - Accent4 3 2 6" xfId="3328"/>
    <cellStyle name="20% - Accent4 3 2 6 2" xfId="8767"/>
    <cellStyle name="20% - Accent4 3 2 6 3" xfId="8768"/>
    <cellStyle name="20% - Accent4 3 2 7" xfId="4349"/>
    <cellStyle name="20% - Accent4 3 2 7 2" xfId="8770"/>
    <cellStyle name="20% - Accent4 3 2 7 3" xfId="8771"/>
    <cellStyle name="20% - Accent4 3 2 7 4" xfId="8769"/>
    <cellStyle name="20% - Accent4 3 2 8" xfId="8772"/>
    <cellStyle name="20% - Accent4 3 2 8 2" xfId="8773"/>
    <cellStyle name="20% - Accent4 3 2 8 3" xfId="8774"/>
    <cellStyle name="20% - Accent4 3 2 9" xfId="8775"/>
    <cellStyle name="20% - Accent4 3 2 9 2" xfId="8776"/>
    <cellStyle name="20% - Accent4 3 2 9 3" xfId="8777"/>
    <cellStyle name="20% - Accent4 3 3" xfId="1578"/>
    <cellStyle name="20% - Accent4 3 3 2" xfId="1912"/>
    <cellStyle name="20% - Accent4 3 3 3" xfId="2287"/>
    <cellStyle name="20% - Accent4 3 3 4" xfId="2660"/>
    <cellStyle name="20% - Accent4 3 3 5" xfId="3033"/>
    <cellStyle name="20% - Accent4 3 3 6" xfId="3404"/>
    <cellStyle name="20% - Accent4 3 3 7" xfId="4350"/>
    <cellStyle name="20% - Accent4 3 4" xfId="1715"/>
    <cellStyle name="20% - Accent4 3 4 2" xfId="1956"/>
    <cellStyle name="20% - Accent4 3 4 3" xfId="2331"/>
    <cellStyle name="20% - Accent4 3 4 4" xfId="2704"/>
    <cellStyle name="20% - Accent4 3 4 5" xfId="3077"/>
    <cellStyle name="20% - Accent4 3 4 6" xfId="3448"/>
    <cellStyle name="20% - Accent4 3 5" xfId="2050"/>
    <cellStyle name="20% - Accent4 3 5 2" xfId="8778"/>
    <cellStyle name="20% - Accent4 3 5 3" xfId="8779"/>
    <cellStyle name="20% - Accent4 3 5 4" xfId="8780"/>
    <cellStyle name="20% - Accent4 3 6" xfId="2424"/>
    <cellStyle name="20% - Accent4 3 6 2" xfId="8781"/>
    <cellStyle name="20% - Accent4 3 6 3" xfId="8782"/>
    <cellStyle name="20% - Accent4 3 6 4" xfId="8783"/>
    <cellStyle name="20% - Accent4 3 7" xfId="2796"/>
    <cellStyle name="20% - Accent4 3 7 2" xfId="8784"/>
    <cellStyle name="20% - Accent4 3 7 3" xfId="8785"/>
    <cellStyle name="20% - Accent4 3 7 4" xfId="8786"/>
    <cellStyle name="20% - Accent4 3 8" xfId="3167"/>
    <cellStyle name="20% - Accent4 3 8 2" xfId="8787"/>
    <cellStyle name="20% - Accent4 3 8 3" xfId="8788"/>
    <cellStyle name="20% - Accent4 3 8 4" xfId="8789"/>
    <cellStyle name="20% - Accent4 3 9" xfId="3542"/>
    <cellStyle name="20% - Accent4 3 9 2" xfId="4351"/>
    <cellStyle name="20% - Accent4 3 9 2 2" xfId="8790"/>
    <cellStyle name="20% - Accent4 3 9 3" xfId="8791"/>
    <cellStyle name="20% - Accent4 3 9 4" xfId="8792"/>
    <cellStyle name="20% - Accent4 3 9 5" xfId="8793"/>
    <cellStyle name="20% - Accent4 30" xfId="28145"/>
    <cellStyle name="20% - Accent4 4" xfId="238"/>
    <cellStyle name="20% - Accent4 4 10" xfId="3722"/>
    <cellStyle name="20% - Accent4 4 10 2" xfId="4353"/>
    <cellStyle name="20% - Accent4 4 10 2 2" xfId="8795"/>
    <cellStyle name="20% - Accent4 4 10 3" xfId="8796"/>
    <cellStyle name="20% - Accent4 4 10 4" xfId="8797"/>
    <cellStyle name="20% - Accent4 4 10 5" xfId="8798"/>
    <cellStyle name="20% - Accent4 4 11" xfId="1306"/>
    <cellStyle name="20% - Accent4 4 11 10" xfId="25627"/>
    <cellStyle name="20% - Accent4 4 11 11" xfId="28411"/>
    <cellStyle name="20% - Accent4 4 11 2" xfId="4150"/>
    <cellStyle name="20% - Accent4 4 11 2 2" xfId="5342"/>
    <cellStyle name="20% - Accent4 4 11 2 2 2" xfId="6072"/>
    <cellStyle name="20% - Accent4 4 11 2 2 2 2" xfId="25630"/>
    <cellStyle name="20% - Accent4 4 11 2 2 3" xfId="8801"/>
    <cellStyle name="20% - Accent4 4 11 2 2 4" xfId="25629"/>
    <cellStyle name="20% - Accent4 4 11 2 3" xfId="5652"/>
    <cellStyle name="20% - Accent4 4 11 2 3 2" xfId="6073"/>
    <cellStyle name="20% - Accent4 4 11 2 3 2 2" xfId="25632"/>
    <cellStyle name="20% - Accent4 4 11 2 3 3" xfId="25631"/>
    <cellStyle name="20% - Accent4 4 11 2 4" xfId="4355"/>
    <cellStyle name="20% - Accent4 4 11 2 4 2" xfId="6074"/>
    <cellStyle name="20% - Accent4 4 11 2 4 2 2" xfId="25634"/>
    <cellStyle name="20% - Accent4 4 11 2 4 3" xfId="25633"/>
    <cellStyle name="20% - Accent4 4 11 2 5" xfId="6071"/>
    <cellStyle name="20% - Accent4 4 11 2 5 2" xfId="25635"/>
    <cellStyle name="20% - Accent4 4 11 2 6" xfId="8800"/>
    <cellStyle name="20% - Accent4 4 11 2 6 2" xfId="25636"/>
    <cellStyle name="20% - Accent4 4 11 2 7" xfId="25002"/>
    <cellStyle name="20% - Accent4 4 11 2 8" xfId="25628"/>
    <cellStyle name="20% - Accent4 4 11 2 9" xfId="28412"/>
    <cellStyle name="20% - Accent4 4 11 3" xfId="5341"/>
    <cellStyle name="20% - Accent4 4 11 3 2" xfId="6075"/>
    <cellStyle name="20% - Accent4 4 11 3 2 2" xfId="25638"/>
    <cellStyle name="20% - Accent4 4 11 3 3" xfId="8802"/>
    <cellStyle name="20% - Accent4 4 11 3 4" xfId="25637"/>
    <cellStyle name="20% - Accent4 4 11 4" xfId="5651"/>
    <cellStyle name="20% - Accent4 4 11 4 2" xfId="6076"/>
    <cellStyle name="20% - Accent4 4 11 4 2 2" xfId="25640"/>
    <cellStyle name="20% - Accent4 4 11 4 3" xfId="8803"/>
    <cellStyle name="20% - Accent4 4 11 4 4" xfId="25639"/>
    <cellStyle name="20% - Accent4 4 11 5" xfId="4354"/>
    <cellStyle name="20% - Accent4 4 11 5 2" xfId="6077"/>
    <cellStyle name="20% - Accent4 4 11 5 2 2" xfId="8805"/>
    <cellStyle name="20% - Accent4 4 11 5 2 2 2" xfId="25643"/>
    <cellStyle name="20% - Accent4 4 11 5 2 3" xfId="25642"/>
    <cellStyle name="20% - Accent4 4 11 5 2 4" xfId="28414"/>
    <cellStyle name="20% - Accent4 4 11 5 3" xfId="8806"/>
    <cellStyle name="20% - Accent4 4 11 5 3 2" xfId="25644"/>
    <cellStyle name="20% - Accent4 4 11 5 3 3" xfId="28415"/>
    <cellStyle name="20% - Accent4 4 11 5 4" xfId="8804"/>
    <cellStyle name="20% - Accent4 4 11 5 4 2" xfId="25645"/>
    <cellStyle name="20% - Accent4 4 11 5 5" xfId="25641"/>
    <cellStyle name="20% - Accent4 4 11 5 6" xfId="28413"/>
    <cellStyle name="20% - Accent4 4 11 6" xfId="6070"/>
    <cellStyle name="20% - Accent4 4 11 6 2" xfId="8807"/>
    <cellStyle name="20% - Accent4 4 11 6 2 2" xfId="25647"/>
    <cellStyle name="20% - Accent4 4 11 6 3" xfId="25646"/>
    <cellStyle name="20% - Accent4 4 11 6 4" xfId="28416"/>
    <cellStyle name="20% - Accent4 4 11 7" xfId="8808"/>
    <cellStyle name="20% - Accent4 4 11 7 2" xfId="25648"/>
    <cellStyle name="20% - Accent4 4 11 7 3" xfId="28417"/>
    <cellStyle name="20% - Accent4 4 11 8" xfId="8799"/>
    <cellStyle name="20% - Accent4 4 11 8 2" xfId="25649"/>
    <cellStyle name="20% - Accent4 4 11 9" xfId="24882"/>
    <cellStyle name="20% - Accent4 4 12" xfId="4356"/>
    <cellStyle name="20% - Accent4 4 12 2" xfId="5343"/>
    <cellStyle name="20% - Accent4 4 12 2 2" xfId="6079"/>
    <cellStyle name="20% - Accent4 4 12 2 2 2" xfId="25652"/>
    <cellStyle name="20% - Accent4 4 12 2 3" xfId="8810"/>
    <cellStyle name="20% - Accent4 4 12 2 4" xfId="25651"/>
    <cellStyle name="20% - Accent4 4 12 3" xfId="5653"/>
    <cellStyle name="20% - Accent4 4 12 3 2" xfId="6080"/>
    <cellStyle name="20% - Accent4 4 12 3 2 2" xfId="25654"/>
    <cellStyle name="20% - Accent4 4 12 3 3" xfId="8811"/>
    <cellStyle name="20% - Accent4 4 12 3 4" xfId="25653"/>
    <cellStyle name="20% - Accent4 4 12 4" xfId="6078"/>
    <cellStyle name="20% - Accent4 4 12 4 2" xfId="8812"/>
    <cellStyle name="20% - Accent4 4 12 4 3" xfId="25655"/>
    <cellStyle name="20% - Accent4 4 12 5" xfId="8809"/>
    <cellStyle name="20% - Accent4 4 12 5 2" xfId="25656"/>
    <cellStyle name="20% - Accent4 4 12 6" xfId="25650"/>
    <cellStyle name="20% - Accent4 4 12 7" xfId="28418"/>
    <cellStyle name="20% - Accent4 4 13" xfId="5340"/>
    <cellStyle name="20% - Accent4 4 13 2" xfId="6081"/>
    <cellStyle name="20% - Accent4 4 13 2 2" xfId="8814"/>
    <cellStyle name="20% - Accent4 4 13 2 3" xfId="25658"/>
    <cellStyle name="20% - Accent4 4 13 3" xfId="8815"/>
    <cellStyle name="20% - Accent4 4 13 4" xfId="8813"/>
    <cellStyle name="20% - Accent4 4 13 5" xfId="25657"/>
    <cellStyle name="20% - Accent4 4 14" xfId="5650"/>
    <cellStyle name="20% - Accent4 4 14 2" xfId="6082"/>
    <cellStyle name="20% - Accent4 4 14 2 2" xfId="25660"/>
    <cellStyle name="20% - Accent4 4 14 3" xfId="8816"/>
    <cellStyle name="20% - Accent4 4 14 4" xfId="25659"/>
    <cellStyle name="20% - Accent4 4 15" xfId="4352"/>
    <cellStyle name="20% - Accent4 4 15 2" xfId="6083"/>
    <cellStyle name="20% - Accent4 4 15 2 2" xfId="25662"/>
    <cellStyle name="20% - Accent4 4 15 3" xfId="8817"/>
    <cellStyle name="20% - Accent4 4 15 4" xfId="25661"/>
    <cellStyle name="20% - Accent4 4 16" xfId="8818"/>
    <cellStyle name="20% - Accent4 4 17" xfId="8819"/>
    <cellStyle name="20% - Accent4 4 17 2" xfId="8820"/>
    <cellStyle name="20% - Accent4 4 17 2 2" xfId="25664"/>
    <cellStyle name="20% - Accent4 4 17 2 3" xfId="28420"/>
    <cellStyle name="20% - Accent4 4 17 3" xfId="8821"/>
    <cellStyle name="20% - Accent4 4 17 3 2" xfId="25665"/>
    <cellStyle name="20% - Accent4 4 17 3 3" xfId="28421"/>
    <cellStyle name="20% - Accent4 4 17 4" xfId="25663"/>
    <cellStyle name="20% - Accent4 4 17 5" xfId="28419"/>
    <cellStyle name="20% - Accent4 4 18" xfId="8822"/>
    <cellStyle name="20% - Accent4 4 18 2" xfId="25666"/>
    <cellStyle name="20% - Accent4 4 18 3" xfId="28422"/>
    <cellStyle name="20% - Accent4 4 19" xfId="8823"/>
    <cellStyle name="20% - Accent4 4 19 2" xfId="25667"/>
    <cellStyle name="20% - Accent4 4 19 3" xfId="28423"/>
    <cellStyle name="20% - Accent4 4 2" xfId="1496"/>
    <cellStyle name="20% - Accent4 4 2 10" xfId="8824"/>
    <cellStyle name="20% - Accent4 4 2 10 2" xfId="8825"/>
    <cellStyle name="20% - Accent4 4 2 10 3" xfId="8826"/>
    <cellStyle name="20% - Accent4 4 2 11" xfId="8827"/>
    <cellStyle name="20% - Accent4 4 2 11 2" xfId="8828"/>
    <cellStyle name="20% - Accent4 4 2 11 3" xfId="8829"/>
    <cellStyle name="20% - Accent4 4 2 12" xfId="8830"/>
    <cellStyle name="20% - Accent4 4 2 12 2" xfId="8831"/>
    <cellStyle name="20% - Accent4 4 2 12 3" xfId="8832"/>
    <cellStyle name="20% - Accent4 4 2 13" xfId="8833"/>
    <cellStyle name="20% - Accent4 4 2 14" xfId="8834"/>
    <cellStyle name="20% - Accent4 4 2 15" xfId="8835"/>
    <cellStyle name="20% - Accent4 4 2 16" xfId="8836"/>
    <cellStyle name="20% - Accent4 4 2 2" xfId="4357"/>
    <cellStyle name="20% - Accent4 4 2 2 2" xfId="8838"/>
    <cellStyle name="20% - Accent4 4 2 2 3" xfId="8839"/>
    <cellStyle name="20% - Accent4 4 2 2 4" xfId="8837"/>
    <cellStyle name="20% - Accent4 4 2 3" xfId="8840"/>
    <cellStyle name="20% - Accent4 4 2 3 2" xfId="8841"/>
    <cellStyle name="20% - Accent4 4 2 3 3" xfId="8842"/>
    <cellStyle name="20% - Accent4 4 2 4" xfId="8843"/>
    <cellStyle name="20% - Accent4 4 2 4 2" xfId="8844"/>
    <cellStyle name="20% - Accent4 4 2 4 3" xfId="8845"/>
    <cellStyle name="20% - Accent4 4 2 5" xfId="8846"/>
    <cellStyle name="20% - Accent4 4 2 5 2" xfId="8847"/>
    <cellStyle name="20% - Accent4 4 2 5 3" xfId="8848"/>
    <cellStyle name="20% - Accent4 4 2 6" xfId="8849"/>
    <cellStyle name="20% - Accent4 4 2 6 2" xfId="8850"/>
    <cellStyle name="20% - Accent4 4 2 6 3" xfId="8851"/>
    <cellStyle name="20% - Accent4 4 2 7" xfId="8852"/>
    <cellStyle name="20% - Accent4 4 2 7 2" xfId="8853"/>
    <cellStyle name="20% - Accent4 4 2 7 3" xfId="8854"/>
    <cellStyle name="20% - Accent4 4 2 8" xfId="8855"/>
    <cellStyle name="20% - Accent4 4 2 8 2" xfId="8856"/>
    <cellStyle name="20% - Accent4 4 2 8 3" xfId="8857"/>
    <cellStyle name="20% - Accent4 4 2 9" xfId="8858"/>
    <cellStyle name="20% - Accent4 4 2 9 2" xfId="8859"/>
    <cellStyle name="20% - Accent4 4 2 9 3" xfId="8860"/>
    <cellStyle name="20% - Accent4 4 20" xfId="8794"/>
    <cellStyle name="20% - Accent4 4 20 2" xfId="25668"/>
    <cellStyle name="20% - Accent4 4 21" xfId="28410"/>
    <cellStyle name="20% - Accent4 4 3" xfId="1621"/>
    <cellStyle name="20% - Accent4 4 3 2" xfId="4358"/>
    <cellStyle name="20% - Accent4 4 3 2 2" xfId="8861"/>
    <cellStyle name="20% - Accent4 4 3 3" xfId="8862"/>
    <cellStyle name="20% - Accent4 4 3 4" xfId="8863"/>
    <cellStyle name="20% - Accent4 4 3 5" xfId="8864"/>
    <cellStyle name="20% - Accent4 4 4" xfId="1801"/>
    <cellStyle name="20% - Accent4 4 4 2" xfId="8865"/>
    <cellStyle name="20% - Accent4 4 4 3" xfId="8866"/>
    <cellStyle name="20% - Accent4 4 4 4" xfId="8867"/>
    <cellStyle name="20% - Accent4 4 5" xfId="2137"/>
    <cellStyle name="20% - Accent4 4 5 2" xfId="8868"/>
    <cellStyle name="20% - Accent4 4 5 3" xfId="8869"/>
    <cellStyle name="20% - Accent4 4 5 4" xfId="8870"/>
    <cellStyle name="20% - Accent4 4 6" xfId="2511"/>
    <cellStyle name="20% - Accent4 4 6 2" xfId="8871"/>
    <cellStyle name="20% - Accent4 4 6 3" xfId="8872"/>
    <cellStyle name="20% - Accent4 4 6 4" xfId="8873"/>
    <cellStyle name="20% - Accent4 4 7" xfId="2883"/>
    <cellStyle name="20% - Accent4 4 7 2" xfId="8874"/>
    <cellStyle name="20% - Accent4 4 7 3" xfId="8875"/>
    <cellStyle name="20% - Accent4 4 7 4" xfId="8876"/>
    <cellStyle name="20% - Accent4 4 8" xfId="3254"/>
    <cellStyle name="20% - Accent4 4 8 2" xfId="8877"/>
    <cellStyle name="20% - Accent4 4 8 3" xfId="8878"/>
    <cellStyle name="20% - Accent4 4 8 4" xfId="8879"/>
    <cellStyle name="20% - Accent4 4 9" xfId="3585"/>
    <cellStyle name="20% - Accent4 4 9 2" xfId="4359"/>
    <cellStyle name="20% - Accent4 4 9 2 2" xfId="8880"/>
    <cellStyle name="20% - Accent4 4 9 3" xfId="8881"/>
    <cellStyle name="20% - Accent4 4 9 4" xfId="8882"/>
    <cellStyle name="20% - Accent4 4 9 5" xfId="8883"/>
    <cellStyle name="20% - Accent4 5" xfId="371"/>
    <cellStyle name="20% - Accent4 5 10" xfId="8884"/>
    <cellStyle name="20% - Accent4 5 10 2" xfId="8885"/>
    <cellStyle name="20% - Accent4 5 10 3" xfId="8886"/>
    <cellStyle name="20% - Accent4 5 11" xfId="8887"/>
    <cellStyle name="20% - Accent4 5 11 2" xfId="8888"/>
    <cellStyle name="20% - Accent4 5 11 3" xfId="8889"/>
    <cellStyle name="20% - Accent4 5 12" xfId="8890"/>
    <cellStyle name="20% - Accent4 5 12 2" xfId="8891"/>
    <cellStyle name="20% - Accent4 5 12 3" xfId="8892"/>
    <cellStyle name="20% - Accent4 5 13" xfId="8893"/>
    <cellStyle name="20% - Accent4 5 13 2" xfId="8894"/>
    <cellStyle name="20% - Accent4 5 13 3" xfId="8895"/>
    <cellStyle name="20% - Accent4 5 14" xfId="8896"/>
    <cellStyle name="20% - Accent4 5 15" xfId="8897"/>
    <cellStyle name="20% - Accent4 5 16" xfId="8898"/>
    <cellStyle name="20% - Accent4 5 17" xfId="8899"/>
    <cellStyle name="20% - Accent4 5 2" xfId="1865"/>
    <cellStyle name="20% - Accent4 5 2 10" xfId="8900"/>
    <cellStyle name="20% - Accent4 5 2 10 2" xfId="8901"/>
    <cellStyle name="20% - Accent4 5 2 10 3" xfId="8902"/>
    <cellStyle name="20% - Accent4 5 2 11" xfId="8903"/>
    <cellStyle name="20% - Accent4 5 2 11 2" xfId="8904"/>
    <cellStyle name="20% - Accent4 5 2 11 3" xfId="8905"/>
    <cellStyle name="20% - Accent4 5 2 12" xfId="8906"/>
    <cellStyle name="20% - Accent4 5 2 12 2" xfId="8907"/>
    <cellStyle name="20% - Accent4 5 2 12 3" xfId="8908"/>
    <cellStyle name="20% - Accent4 5 2 13" xfId="8909"/>
    <cellStyle name="20% - Accent4 5 2 14" xfId="8910"/>
    <cellStyle name="20% - Accent4 5 2 15" xfId="8911"/>
    <cellStyle name="20% - Accent4 5 2 2" xfId="8912"/>
    <cellStyle name="20% - Accent4 5 2 2 2" xfId="8913"/>
    <cellStyle name="20% - Accent4 5 2 2 3" xfId="8914"/>
    <cellStyle name="20% - Accent4 5 2 3" xfId="8915"/>
    <cellStyle name="20% - Accent4 5 2 3 2" xfId="8916"/>
    <cellStyle name="20% - Accent4 5 2 3 3" xfId="8917"/>
    <cellStyle name="20% - Accent4 5 2 4" xfId="8918"/>
    <cellStyle name="20% - Accent4 5 2 4 2" xfId="8919"/>
    <cellStyle name="20% - Accent4 5 2 4 3" xfId="8920"/>
    <cellStyle name="20% - Accent4 5 2 5" xfId="8921"/>
    <cellStyle name="20% - Accent4 5 2 5 2" xfId="8922"/>
    <cellStyle name="20% - Accent4 5 2 5 3" xfId="8923"/>
    <cellStyle name="20% - Accent4 5 2 6" xfId="8924"/>
    <cellStyle name="20% - Accent4 5 2 6 2" xfId="8925"/>
    <cellStyle name="20% - Accent4 5 2 6 3" xfId="8926"/>
    <cellStyle name="20% - Accent4 5 2 7" xfId="8927"/>
    <cellStyle name="20% - Accent4 5 2 7 2" xfId="8928"/>
    <cellStyle name="20% - Accent4 5 2 7 3" xfId="8929"/>
    <cellStyle name="20% - Accent4 5 2 8" xfId="8930"/>
    <cellStyle name="20% - Accent4 5 2 8 2" xfId="8931"/>
    <cellStyle name="20% - Accent4 5 2 8 3" xfId="8932"/>
    <cellStyle name="20% - Accent4 5 2 9" xfId="8933"/>
    <cellStyle name="20% - Accent4 5 2 9 2" xfId="8934"/>
    <cellStyle name="20% - Accent4 5 2 9 3" xfId="8935"/>
    <cellStyle name="20% - Accent4 5 3" xfId="2240"/>
    <cellStyle name="20% - Accent4 5 3 2" xfId="8936"/>
    <cellStyle name="20% - Accent4 5 3 3" xfId="8937"/>
    <cellStyle name="20% - Accent4 5 3 4" xfId="8938"/>
    <cellStyle name="20% - Accent4 5 4" xfId="2614"/>
    <cellStyle name="20% - Accent4 5 4 2" xfId="8939"/>
    <cellStyle name="20% - Accent4 5 4 3" xfId="8940"/>
    <cellStyle name="20% - Accent4 5 4 4" xfId="8941"/>
    <cellStyle name="20% - Accent4 5 5" xfId="2986"/>
    <cellStyle name="20% - Accent4 5 5 2" xfId="8942"/>
    <cellStyle name="20% - Accent4 5 5 3" xfId="8943"/>
    <cellStyle name="20% - Accent4 5 5 4" xfId="8944"/>
    <cellStyle name="20% - Accent4 5 6" xfId="3358"/>
    <cellStyle name="20% - Accent4 5 6 2" xfId="8945"/>
    <cellStyle name="20% - Accent4 5 6 3" xfId="8946"/>
    <cellStyle name="20% - Accent4 5 6 4" xfId="8947"/>
    <cellStyle name="20% - Accent4 5 7" xfId="4360"/>
    <cellStyle name="20% - Accent4 5 7 2" xfId="8949"/>
    <cellStyle name="20% - Accent4 5 7 3" xfId="8950"/>
    <cellStyle name="20% - Accent4 5 7 4" xfId="8948"/>
    <cellStyle name="20% - Accent4 5 8" xfId="8951"/>
    <cellStyle name="20% - Accent4 5 8 2" xfId="8952"/>
    <cellStyle name="20% - Accent4 5 8 3" xfId="8953"/>
    <cellStyle name="20% - Accent4 5 9" xfId="8954"/>
    <cellStyle name="20% - Accent4 5 9 2" xfId="8955"/>
    <cellStyle name="20% - Accent4 5 9 3" xfId="8956"/>
    <cellStyle name="20% - Accent4 6" xfId="372"/>
    <cellStyle name="20% - Accent4 6 10" xfId="5344"/>
    <cellStyle name="20% - Accent4 6 10 2" xfId="6085"/>
    <cellStyle name="20% - Accent4 6 10 2 2" xfId="8959"/>
    <cellStyle name="20% - Accent4 6 10 2 3" xfId="25671"/>
    <cellStyle name="20% - Accent4 6 10 3" xfId="8960"/>
    <cellStyle name="20% - Accent4 6 10 4" xfId="8958"/>
    <cellStyle name="20% - Accent4 6 10 5" xfId="25670"/>
    <cellStyle name="20% - Accent4 6 11" xfId="5654"/>
    <cellStyle name="20% - Accent4 6 11 2" xfId="6086"/>
    <cellStyle name="20% - Accent4 6 11 2 2" xfId="8962"/>
    <cellStyle name="20% - Accent4 6 11 2 3" xfId="25673"/>
    <cellStyle name="20% - Accent4 6 11 3" xfId="8963"/>
    <cellStyle name="20% - Accent4 6 11 4" xfId="8961"/>
    <cellStyle name="20% - Accent4 6 11 5" xfId="25672"/>
    <cellStyle name="20% - Accent4 6 12" xfId="4361"/>
    <cellStyle name="20% - Accent4 6 12 2" xfId="6087"/>
    <cellStyle name="20% - Accent4 6 12 2 2" xfId="8965"/>
    <cellStyle name="20% - Accent4 6 12 2 3" xfId="25675"/>
    <cellStyle name="20% - Accent4 6 12 3" xfId="8966"/>
    <cellStyle name="20% - Accent4 6 12 4" xfId="8964"/>
    <cellStyle name="20% - Accent4 6 12 5" xfId="25674"/>
    <cellStyle name="20% - Accent4 6 13" xfId="6084"/>
    <cellStyle name="20% - Accent4 6 13 2" xfId="8967"/>
    <cellStyle name="20% - Accent4 6 13 3" xfId="25676"/>
    <cellStyle name="20% - Accent4 6 14" xfId="8968"/>
    <cellStyle name="20% - Accent4 6 15" xfId="8969"/>
    <cellStyle name="20% - Accent4 6 16" xfId="8970"/>
    <cellStyle name="20% - Accent4 6 16 2" xfId="8971"/>
    <cellStyle name="20% - Accent4 6 16 2 2" xfId="25678"/>
    <cellStyle name="20% - Accent4 6 16 2 3" xfId="28426"/>
    <cellStyle name="20% - Accent4 6 16 3" xfId="8972"/>
    <cellStyle name="20% - Accent4 6 16 3 2" xfId="25679"/>
    <cellStyle name="20% - Accent4 6 16 3 3" xfId="28427"/>
    <cellStyle name="20% - Accent4 6 16 4" xfId="25677"/>
    <cellStyle name="20% - Accent4 6 16 5" xfId="28425"/>
    <cellStyle name="20% - Accent4 6 17" xfId="8973"/>
    <cellStyle name="20% - Accent4 6 17 2" xfId="25680"/>
    <cellStyle name="20% - Accent4 6 17 3" xfId="28428"/>
    <cellStyle name="20% - Accent4 6 18" xfId="8974"/>
    <cellStyle name="20% - Accent4 6 18 2" xfId="25681"/>
    <cellStyle name="20% - Accent4 6 18 3" xfId="28429"/>
    <cellStyle name="20% - Accent4 6 19" xfId="8957"/>
    <cellStyle name="20% - Accent4 6 19 2" xfId="25682"/>
    <cellStyle name="20% - Accent4 6 2" xfId="1972"/>
    <cellStyle name="20% - Accent4 6 2 2" xfId="4362"/>
    <cellStyle name="20% - Accent4 6 2 2 2" xfId="8975"/>
    <cellStyle name="20% - Accent4 6 2 3" xfId="8976"/>
    <cellStyle name="20% - Accent4 6 2 4" xfId="8977"/>
    <cellStyle name="20% - Accent4 6 2 5" xfId="8978"/>
    <cellStyle name="20% - Accent4 6 20" xfId="24834"/>
    <cellStyle name="20% - Accent4 6 21" xfId="25669"/>
    <cellStyle name="20% - Accent4 6 22" xfId="28424"/>
    <cellStyle name="20% - Accent4 6 3" xfId="2347"/>
    <cellStyle name="20% - Accent4 6 3 2" xfId="4363"/>
    <cellStyle name="20% - Accent4 6 3 2 2" xfId="8979"/>
    <cellStyle name="20% - Accent4 6 3 3" xfId="8980"/>
    <cellStyle name="20% - Accent4 6 3 4" xfId="8981"/>
    <cellStyle name="20% - Accent4 6 3 5" xfId="8982"/>
    <cellStyle name="20% - Accent4 6 4" xfId="2720"/>
    <cellStyle name="20% - Accent4 6 4 2" xfId="4364"/>
    <cellStyle name="20% - Accent4 6 4 2 2" xfId="8983"/>
    <cellStyle name="20% - Accent4 6 4 3" xfId="8984"/>
    <cellStyle name="20% - Accent4 6 4 4" xfId="8985"/>
    <cellStyle name="20% - Accent4 6 4 5" xfId="8986"/>
    <cellStyle name="20% - Accent4 6 5" xfId="3093"/>
    <cellStyle name="20% - Accent4 6 5 2" xfId="4365"/>
    <cellStyle name="20% - Accent4 6 5 2 2" xfId="8987"/>
    <cellStyle name="20% - Accent4 6 5 3" xfId="8988"/>
    <cellStyle name="20% - Accent4 6 5 4" xfId="8989"/>
    <cellStyle name="20% - Accent4 6 5 5" xfId="8990"/>
    <cellStyle name="20% - Accent4 6 6" xfId="3464"/>
    <cellStyle name="20% - Accent4 6 6 2" xfId="4366"/>
    <cellStyle name="20% - Accent4 6 6 2 2" xfId="8991"/>
    <cellStyle name="20% - Accent4 6 6 3" xfId="8992"/>
    <cellStyle name="20% - Accent4 6 6 4" xfId="8993"/>
    <cellStyle name="20% - Accent4 6 6 5" xfId="8994"/>
    <cellStyle name="20% - Accent4 6 7" xfId="3770"/>
    <cellStyle name="20% - Accent4 6 7 2" xfId="4367"/>
    <cellStyle name="20% - Accent4 6 7 2 2" xfId="8995"/>
    <cellStyle name="20% - Accent4 6 7 3" xfId="8996"/>
    <cellStyle name="20% - Accent4 6 7 4" xfId="8997"/>
    <cellStyle name="20% - Accent4 6 7 5" xfId="8998"/>
    <cellStyle name="20% - Accent4 6 8" xfId="1367"/>
    <cellStyle name="20% - Accent4 6 8 10" xfId="25683"/>
    <cellStyle name="20% - Accent4 6 8 11" xfId="28430"/>
    <cellStyle name="20% - Accent4 6 8 2" xfId="4167"/>
    <cellStyle name="20% - Accent4 6 8 2 2" xfId="5346"/>
    <cellStyle name="20% - Accent4 6 8 2 2 2" xfId="6090"/>
    <cellStyle name="20% - Accent4 6 8 2 2 2 2" xfId="25686"/>
    <cellStyle name="20% - Accent4 6 8 2 2 3" xfId="9001"/>
    <cellStyle name="20% - Accent4 6 8 2 2 4" xfId="25685"/>
    <cellStyle name="20% - Accent4 6 8 2 3" xfId="5656"/>
    <cellStyle name="20% - Accent4 6 8 2 3 2" xfId="6091"/>
    <cellStyle name="20% - Accent4 6 8 2 3 2 2" xfId="25688"/>
    <cellStyle name="20% - Accent4 6 8 2 3 3" xfId="25687"/>
    <cellStyle name="20% - Accent4 6 8 2 4" xfId="4369"/>
    <cellStyle name="20% - Accent4 6 8 2 4 2" xfId="6092"/>
    <cellStyle name="20% - Accent4 6 8 2 4 2 2" xfId="25690"/>
    <cellStyle name="20% - Accent4 6 8 2 4 3" xfId="25689"/>
    <cellStyle name="20% - Accent4 6 8 2 5" xfId="6089"/>
    <cellStyle name="20% - Accent4 6 8 2 5 2" xfId="25691"/>
    <cellStyle name="20% - Accent4 6 8 2 6" xfId="9000"/>
    <cellStyle name="20% - Accent4 6 8 2 6 2" xfId="25692"/>
    <cellStyle name="20% - Accent4 6 8 2 7" xfId="25019"/>
    <cellStyle name="20% - Accent4 6 8 2 8" xfId="25684"/>
    <cellStyle name="20% - Accent4 6 8 2 9" xfId="28431"/>
    <cellStyle name="20% - Accent4 6 8 3" xfId="5345"/>
    <cellStyle name="20% - Accent4 6 8 3 2" xfId="6093"/>
    <cellStyle name="20% - Accent4 6 8 3 2 2" xfId="25694"/>
    <cellStyle name="20% - Accent4 6 8 3 3" xfId="9002"/>
    <cellStyle name="20% - Accent4 6 8 3 4" xfId="25693"/>
    <cellStyle name="20% - Accent4 6 8 4" xfId="5655"/>
    <cellStyle name="20% - Accent4 6 8 4 2" xfId="6094"/>
    <cellStyle name="20% - Accent4 6 8 4 2 2" xfId="25696"/>
    <cellStyle name="20% - Accent4 6 8 4 3" xfId="9003"/>
    <cellStyle name="20% - Accent4 6 8 4 4" xfId="25695"/>
    <cellStyle name="20% - Accent4 6 8 5" xfId="4368"/>
    <cellStyle name="20% - Accent4 6 8 5 2" xfId="6095"/>
    <cellStyle name="20% - Accent4 6 8 5 2 2" xfId="9005"/>
    <cellStyle name="20% - Accent4 6 8 5 2 2 2" xfId="25699"/>
    <cellStyle name="20% - Accent4 6 8 5 2 3" xfId="25698"/>
    <cellStyle name="20% - Accent4 6 8 5 2 4" xfId="28433"/>
    <cellStyle name="20% - Accent4 6 8 5 3" xfId="9006"/>
    <cellStyle name="20% - Accent4 6 8 5 3 2" xfId="25700"/>
    <cellStyle name="20% - Accent4 6 8 5 3 3" xfId="28434"/>
    <cellStyle name="20% - Accent4 6 8 5 4" xfId="9004"/>
    <cellStyle name="20% - Accent4 6 8 5 4 2" xfId="25701"/>
    <cellStyle name="20% - Accent4 6 8 5 5" xfId="25697"/>
    <cellStyle name="20% - Accent4 6 8 5 6" xfId="28432"/>
    <cellStyle name="20% - Accent4 6 8 6" xfId="6088"/>
    <cellStyle name="20% - Accent4 6 8 6 2" xfId="9007"/>
    <cellStyle name="20% - Accent4 6 8 6 2 2" xfId="25703"/>
    <cellStyle name="20% - Accent4 6 8 6 3" xfId="25702"/>
    <cellStyle name="20% - Accent4 6 8 6 4" xfId="28435"/>
    <cellStyle name="20% - Accent4 6 8 7" xfId="9008"/>
    <cellStyle name="20% - Accent4 6 8 7 2" xfId="25704"/>
    <cellStyle name="20% - Accent4 6 8 7 3" xfId="28436"/>
    <cellStyle name="20% - Accent4 6 8 8" xfId="8999"/>
    <cellStyle name="20% - Accent4 6 8 8 2" xfId="25705"/>
    <cellStyle name="20% - Accent4 6 8 9" xfId="24899"/>
    <cellStyle name="20% - Accent4 6 9" xfId="3820"/>
    <cellStyle name="20% - Accent4 6 9 2" xfId="5347"/>
    <cellStyle name="20% - Accent4 6 9 2 2" xfId="6097"/>
    <cellStyle name="20% - Accent4 6 9 2 2 2" xfId="25708"/>
    <cellStyle name="20% - Accent4 6 9 2 3" xfId="9010"/>
    <cellStyle name="20% - Accent4 6 9 2 4" xfId="25707"/>
    <cellStyle name="20% - Accent4 6 9 3" xfId="5657"/>
    <cellStyle name="20% - Accent4 6 9 3 2" xfId="6098"/>
    <cellStyle name="20% - Accent4 6 9 3 2 2" xfId="25710"/>
    <cellStyle name="20% - Accent4 6 9 3 3" xfId="9011"/>
    <cellStyle name="20% - Accent4 6 9 3 4" xfId="25709"/>
    <cellStyle name="20% - Accent4 6 9 4" xfId="4370"/>
    <cellStyle name="20% - Accent4 6 9 4 2" xfId="6099"/>
    <cellStyle name="20% - Accent4 6 9 4 2 2" xfId="25712"/>
    <cellStyle name="20% - Accent4 6 9 4 3" xfId="9012"/>
    <cellStyle name="20% - Accent4 6 9 4 4" xfId="25711"/>
    <cellStyle name="20% - Accent4 6 9 5" xfId="6096"/>
    <cellStyle name="20% - Accent4 6 9 5 2" xfId="25713"/>
    <cellStyle name="20% - Accent4 6 9 6" xfId="9009"/>
    <cellStyle name="20% - Accent4 6 9 6 2" xfId="25714"/>
    <cellStyle name="20% - Accent4 6 9 7" xfId="24956"/>
    <cellStyle name="20% - Accent4 6 9 8" xfId="25706"/>
    <cellStyle name="20% - Accent4 6 9 9" xfId="28437"/>
    <cellStyle name="20% - Accent4 7" xfId="373"/>
    <cellStyle name="20% - Accent4 7 10" xfId="9013"/>
    <cellStyle name="20% - Accent4 7 10 2" xfId="9014"/>
    <cellStyle name="20% - Accent4 7 10 3" xfId="9015"/>
    <cellStyle name="20% - Accent4 7 11" xfId="9016"/>
    <cellStyle name="20% - Accent4 7 11 2" xfId="9017"/>
    <cellStyle name="20% - Accent4 7 11 3" xfId="9018"/>
    <cellStyle name="20% - Accent4 7 12" xfId="9019"/>
    <cellStyle name="20% - Accent4 7 12 2" xfId="9020"/>
    <cellStyle name="20% - Accent4 7 12 3" xfId="9021"/>
    <cellStyle name="20% - Accent4 7 13" xfId="9022"/>
    <cellStyle name="20% - Accent4 7 14" xfId="9023"/>
    <cellStyle name="20% - Accent4 7 15" xfId="9024"/>
    <cellStyle name="20% - Accent4 7 16" xfId="9025"/>
    <cellStyle name="20% - Accent4 7 2" xfId="4371"/>
    <cellStyle name="20% - Accent4 7 2 2" xfId="9027"/>
    <cellStyle name="20% - Accent4 7 2 3" xfId="9028"/>
    <cellStyle name="20% - Accent4 7 2 4" xfId="9026"/>
    <cellStyle name="20% - Accent4 7 3" xfId="9029"/>
    <cellStyle name="20% - Accent4 7 3 2" xfId="9030"/>
    <cellStyle name="20% - Accent4 7 3 3" xfId="9031"/>
    <cellStyle name="20% - Accent4 7 4" xfId="9032"/>
    <cellStyle name="20% - Accent4 7 4 2" xfId="9033"/>
    <cellStyle name="20% - Accent4 7 4 3" xfId="9034"/>
    <cellStyle name="20% - Accent4 7 5" xfId="9035"/>
    <cellStyle name="20% - Accent4 7 5 2" xfId="9036"/>
    <cellStyle name="20% - Accent4 7 5 3" xfId="9037"/>
    <cellStyle name="20% - Accent4 7 6" xfId="9038"/>
    <cellStyle name="20% - Accent4 7 6 2" xfId="9039"/>
    <cellStyle name="20% - Accent4 7 6 3" xfId="9040"/>
    <cellStyle name="20% - Accent4 7 7" xfId="9041"/>
    <cellStyle name="20% - Accent4 7 7 2" xfId="9042"/>
    <cellStyle name="20% - Accent4 7 7 3" xfId="9043"/>
    <cellStyle name="20% - Accent4 7 8" xfId="9044"/>
    <cellStyle name="20% - Accent4 7 8 2" xfId="9045"/>
    <cellStyle name="20% - Accent4 7 8 3" xfId="9046"/>
    <cellStyle name="20% - Accent4 7 9" xfId="9047"/>
    <cellStyle name="20% - Accent4 7 9 2" xfId="9048"/>
    <cellStyle name="20% - Accent4 7 9 3" xfId="9049"/>
    <cellStyle name="20% - Accent4 8" xfId="529"/>
    <cellStyle name="20% - Accent4 8 10" xfId="24848"/>
    <cellStyle name="20% - Accent4 8 11" xfId="25715"/>
    <cellStyle name="20% - Accent4 8 12" xfId="28438"/>
    <cellStyle name="20% - Accent4 8 2" xfId="1378"/>
    <cellStyle name="20% - Accent4 8 2 10" xfId="25716"/>
    <cellStyle name="20% - Accent4 8 2 11" xfId="28439"/>
    <cellStyle name="20% - Accent4 8 2 2" xfId="4178"/>
    <cellStyle name="20% - Accent4 8 2 2 2" xfId="5350"/>
    <cellStyle name="20% - Accent4 8 2 2 2 2" xfId="6103"/>
    <cellStyle name="20% - Accent4 8 2 2 2 2 2" xfId="25719"/>
    <cellStyle name="20% - Accent4 8 2 2 2 3" xfId="9053"/>
    <cellStyle name="20% - Accent4 8 2 2 2 4" xfId="25718"/>
    <cellStyle name="20% - Accent4 8 2 2 3" xfId="5660"/>
    <cellStyle name="20% - Accent4 8 2 2 3 2" xfId="6104"/>
    <cellStyle name="20% - Accent4 8 2 2 3 2 2" xfId="25721"/>
    <cellStyle name="20% - Accent4 8 2 2 3 3" xfId="25720"/>
    <cellStyle name="20% - Accent4 8 2 2 4" xfId="4374"/>
    <cellStyle name="20% - Accent4 8 2 2 4 2" xfId="6105"/>
    <cellStyle name="20% - Accent4 8 2 2 4 2 2" xfId="25723"/>
    <cellStyle name="20% - Accent4 8 2 2 4 3" xfId="25722"/>
    <cellStyle name="20% - Accent4 8 2 2 5" xfId="6102"/>
    <cellStyle name="20% - Accent4 8 2 2 5 2" xfId="25724"/>
    <cellStyle name="20% - Accent4 8 2 2 6" xfId="9052"/>
    <cellStyle name="20% - Accent4 8 2 2 6 2" xfId="25725"/>
    <cellStyle name="20% - Accent4 8 2 2 7" xfId="25030"/>
    <cellStyle name="20% - Accent4 8 2 2 8" xfId="25717"/>
    <cellStyle name="20% - Accent4 8 2 2 9" xfId="28440"/>
    <cellStyle name="20% - Accent4 8 2 3" xfId="5349"/>
    <cellStyle name="20% - Accent4 8 2 3 2" xfId="6106"/>
    <cellStyle name="20% - Accent4 8 2 3 2 2" xfId="25727"/>
    <cellStyle name="20% - Accent4 8 2 3 3" xfId="9054"/>
    <cellStyle name="20% - Accent4 8 2 3 4" xfId="25726"/>
    <cellStyle name="20% - Accent4 8 2 4" xfId="5659"/>
    <cellStyle name="20% - Accent4 8 2 4 2" xfId="6107"/>
    <cellStyle name="20% - Accent4 8 2 4 2 2" xfId="25729"/>
    <cellStyle name="20% - Accent4 8 2 4 3" xfId="9055"/>
    <cellStyle name="20% - Accent4 8 2 4 4" xfId="25728"/>
    <cellStyle name="20% - Accent4 8 2 5" xfId="4373"/>
    <cellStyle name="20% - Accent4 8 2 5 2" xfId="6108"/>
    <cellStyle name="20% - Accent4 8 2 5 2 2" xfId="9057"/>
    <cellStyle name="20% - Accent4 8 2 5 2 2 2" xfId="25732"/>
    <cellStyle name="20% - Accent4 8 2 5 2 3" xfId="25731"/>
    <cellStyle name="20% - Accent4 8 2 5 2 4" xfId="28442"/>
    <cellStyle name="20% - Accent4 8 2 5 3" xfId="9058"/>
    <cellStyle name="20% - Accent4 8 2 5 3 2" xfId="25733"/>
    <cellStyle name="20% - Accent4 8 2 5 3 3" xfId="28443"/>
    <cellStyle name="20% - Accent4 8 2 5 4" xfId="9056"/>
    <cellStyle name="20% - Accent4 8 2 5 4 2" xfId="25734"/>
    <cellStyle name="20% - Accent4 8 2 5 5" xfId="25730"/>
    <cellStyle name="20% - Accent4 8 2 5 6" xfId="28441"/>
    <cellStyle name="20% - Accent4 8 2 6" xfId="6101"/>
    <cellStyle name="20% - Accent4 8 2 6 2" xfId="9059"/>
    <cellStyle name="20% - Accent4 8 2 6 2 2" xfId="25736"/>
    <cellStyle name="20% - Accent4 8 2 6 3" xfId="25735"/>
    <cellStyle name="20% - Accent4 8 2 6 4" xfId="28444"/>
    <cellStyle name="20% - Accent4 8 2 7" xfId="9060"/>
    <cellStyle name="20% - Accent4 8 2 7 2" xfId="25737"/>
    <cellStyle name="20% - Accent4 8 2 7 3" xfId="28445"/>
    <cellStyle name="20% - Accent4 8 2 8" xfId="9051"/>
    <cellStyle name="20% - Accent4 8 2 8 2" xfId="25738"/>
    <cellStyle name="20% - Accent4 8 2 9" xfId="24910"/>
    <cellStyle name="20% - Accent4 8 3" xfId="3834"/>
    <cellStyle name="20% - Accent4 8 3 2" xfId="5351"/>
    <cellStyle name="20% - Accent4 8 3 2 2" xfId="6110"/>
    <cellStyle name="20% - Accent4 8 3 2 2 2" xfId="25741"/>
    <cellStyle name="20% - Accent4 8 3 2 3" xfId="9062"/>
    <cellStyle name="20% - Accent4 8 3 2 4" xfId="25740"/>
    <cellStyle name="20% - Accent4 8 3 3" xfId="5661"/>
    <cellStyle name="20% - Accent4 8 3 3 2" xfId="6111"/>
    <cellStyle name="20% - Accent4 8 3 3 2 2" xfId="25743"/>
    <cellStyle name="20% - Accent4 8 3 3 3" xfId="25742"/>
    <cellStyle name="20% - Accent4 8 3 4" xfId="4375"/>
    <cellStyle name="20% - Accent4 8 3 4 2" xfId="6112"/>
    <cellStyle name="20% - Accent4 8 3 4 2 2" xfId="25745"/>
    <cellStyle name="20% - Accent4 8 3 4 3" xfId="25744"/>
    <cellStyle name="20% - Accent4 8 3 5" xfId="6109"/>
    <cellStyle name="20% - Accent4 8 3 5 2" xfId="25746"/>
    <cellStyle name="20% - Accent4 8 3 6" xfId="9061"/>
    <cellStyle name="20% - Accent4 8 3 6 2" xfId="25747"/>
    <cellStyle name="20% - Accent4 8 3 7" xfId="24970"/>
    <cellStyle name="20% - Accent4 8 3 8" xfId="25739"/>
    <cellStyle name="20% - Accent4 8 3 9" xfId="28446"/>
    <cellStyle name="20% - Accent4 8 4" xfId="5348"/>
    <cellStyle name="20% - Accent4 8 4 2" xfId="6113"/>
    <cellStyle name="20% - Accent4 8 4 2 2" xfId="25749"/>
    <cellStyle name="20% - Accent4 8 4 3" xfId="9063"/>
    <cellStyle name="20% - Accent4 8 4 4" xfId="25748"/>
    <cellStyle name="20% - Accent4 8 5" xfId="5658"/>
    <cellStyle name="20% - Accent4 8 5 2" xfId="6114"/>
    <cellStyle name="20% - Accent4 8 5 2 2" xfId="25751"/>
    <cellStyle name="20% - Accent4 8 5 3" xfId="9064"/>
    <cellStyle name="20% - Accent4 8 5 4" xfId="25750"/>
    <cellStyle name="20% - Accent4 8 6" xfId="4372"/>
    <cellStyle name="20% - Accent4 8 6 2" xfId="6115"/>
    <cellStyle name="20% - Accent4 8 6 2 2" xfId="9066"/>
    <cellStyle name="20% - Accent4 8 6 2 2 2" xfId="25754"/>
    <cellStyle name="20% - Accent4 8 6 2 3" xfId="25753"/>
    <cellStyle name="20% - Accent4 8 6 2 4" xfId="28448"/>
    <cellStyle name="20% - Accent4 8 6 3" xfId="9067"/>
    <cellStyle name="20% - Accent4 8 6 3 2" xfId="25755"/>
    <cellStyle name="20% - Accent4 8 6 3 3" xfId="28449"/>
    <cellStyle name="20% - Accent4 8 6 4" xfId="9065"/>
    <cellStyle name="20% - Accent4 8 6 4 2" xfId="25756"/>
    <cellStyle name="20% - Accent4 8 6 5" xfId="25752"/>
    <cellStyle name="20% - Accent4 8 6 6" xfId="28447"/>
    <cellStyle name="20% - Accent4 8 7" xfId="6100"/>
    <cellStyle name="20% - Accent4 8 7 2" xfId="9068"/>
    <cellStyle name="20% - Accent4 8 7 2 2" xfId="25758"/>
    <cellStyle name="20% - Accent4 8 7 3" xfId="25757"/>
    <cellStyle name="20% - Accent4 8 7 4" xfId="28450"/>
    <cellStyle name="20% - Accent4 8 8" xfId="9069"/>
    <cellStyle name="20% - Accent4 8 8 2" xfId="25759"/>
    <cellStyle name="20% - Accent4 8 8 3" xfId="28451"/>
    <cellStyle name="20% - Accent4 8 9" xfId="9050"/>
    <cellStyle name="20% - Accent4 8 9 2" xfId="25760"/>
    <cellStyle name="20% - Accent4 9" xfId="530"/>
    <cellStyle name="20% - Accent4 9 2" xfId="4376"/>
    <cellStyle name="20% - Accent4 9 2 2" xfId="9071"/>
    <cellStyle name="20% - Accent4 9 2 3" xfId="9072"/>
    <cellStyle name="20% - Accent4 9 2 4" xfId="9070"/>
    <cellStyle name="20% - Accent4 9 3" xfId="9073"/>
    <cellStyle name="20% - Accent4 9 4" xfId="9074"/>
    <cellStyle name="20% - Accent4 9 5" xfId="9075"/>
    <cellStyle name="20% - Accent4 9 6" xfId="9076"/>
    <cellStyle name="20% - Accent5" xfId="7111" builtinId="46" customBuiltin="1"/>
    <cellStyle name="20% - Accent5 10" xfId="656"/>
    <cellStyle name="20% - Accent5 10 2" xfId="4377"/>
    <cellStyle name="20% - Accent5 10 2 2" xfId="9077"/>
    <cellStyle name="20% - Accent5 10 3" xfId="9078"/>
    <cellStyle name="20% - Accent5 10 4" xfId="9079"/>
    <cellStyle name="20% - Accent5 10 5" xfId="9080"/>
    <cellStyle name="20% - Accent5 11" xfId="657"/>
    <cellStyle name="20% - Accent5 11 2" xfId="4378"/>
    <cellStyle name="20% - Accent5 11 2 2" xfId="9081"/>
    <cellStyle name="20% - Accent5 11 3" xfId="9082"/>
    <cellStyle name="20% - Accent5 11 4" xfId="9083"/>
    <cellStyle name="20% - Accent5 11 5" xfId="9084"/>
    <cellStyle name="20% - Accent5 12" xfId="810"/>
    <cellStyle name="20% - Accent5 12 2" xfId="9086"/>
    <cellStyle name="20% - Accent5 12 3" xfId="9087"/>
    <cellStyle name="20% - Accent5 12 4" xfId="9085"/>
    <cellStyle name="20% - Accent5 13" xfId="811"/>
    <cellStyle name="20% - Accent5 13 2" xfId="3849"/>
    <cellStyle name="20% - Accent5 13 2 2" xfId="6117"/>
    <cellStyle name="20% - Accent5 13 2 2 2" xfId="25763"/>
    <cellStyle name="20% - Accent5 13 2 3" xfId="9089"/>
    <cellStyle name="20% - Accent5 13 2 4" xfId="24985"/>
    <cellStyle name="20% - Accent5 13 2 5" xfId="25762"/>
    <cellStyle name="20% - Accent5 13 3" xfId="6116"/>
    <cellStyle name="20% - Accent5 13 3 2" xfId="9090"/>
    <cellStyle name="20% - Accent5 13 3 3" xfId="25764"/>
    <cellStyle name="20% - Accent5 13 4" xfId="9088"/>
    <cellStyle name="20% - Accent5 13 5" xfId="24864"/>
    <cellStyle name="20% - Accent5 13 6" xfId="25761"/>
    <cellStyle name="20% - Accent5 14" xfId="929"/>
    <cellStyle name="20% - Accent5 14 2" xfId="9092"/>
    <cellStyle name="20% - Accent5 14 3" xfId="9093"/>
    <cellStyle name="20% - Accent5 14 4" xfId="9091"/>
    <cellStyle name="20% - Accent5 15" xfId="9094"/>
    <cellStyle name="20% - Accent5 15 2" xfId="9095"/>
    <cellStyle name="20% - Accent5 15 3" xfId="9096"/>
    <cellStyle name="20% - Accent5 16" xfId="9097"/>
    <cellStyle name="20% - Accent5 16 2" xfId="9098"/>
    <cellStyle name="20% - Accent5 16 3" xfId="9099"/>
    <cellStyle name="20% - Accent5 17" xfId="9100"/>
    <cellStyle name="20% - Accent5 17 2" xfId="9101"/>
    <cellStyle name="20% - Accent5 17 3" xfId="9102"/>
    <cellStyle name="20% - Accent5 18" xfId="9103"/>
    <cellStyle name="20% - Accent5 18 2" xfId="9104"/>
    <cellStyle name="20% - Accent5 18 3" xfId="9105"/>
    <cellStyle name="20% - Accent5 19" xfId="9106"/>
    <cellStyle name="20% - Accent5 19 2" xfId="9107"/>
    <cellStyle name="20% - Accent5 2" xfId="72"/>
    <cellStyle name="20% - Accent5 2 10" xfId="1671"/>
    <cellStyle name="20% - Accent5 2 10 2" xfId="4379"/>
    <cellStyle name="20% - Accent5 2 10 2 2" xfId="9108"/>
    <cellStyle name="20% - Accent5 2 10 3" xfId="9109"/>
    <cellStyle name="20% - Accent5 2 10 4" xfId="9110"/>
    <cellStyle name="20% - Accent5 2 10 5" xfId="9111"/>
    <cellStyle name="20% - Accent5 2 11" xfId="1923"/>
    <cellStyle name="20% - Accent5 2 11 2" xfId="4380"/>
    <cellStyle name="20% - Accent5 2 11 2 2" xfId="9112"/>
    <cellStyle name="20% - Accent5 2 11 3" xfId="9113"/>
    <cellStyle name="20% - Accent5 2 11 4" xfId="9114"/>
    <cellStyle name="20% - Accent5 2 11 5" xfId="9115"/>
    <cellStyle name="20% - Accent5 2 12" xfId="2342"/>
    <cellStyle name="20% - Accent5 2 12 2" xfId="4381"/>
    <cellStyle name="20% - Accent5 2 12 2 2" xfId="9116"/>
    <cellStyle name="20% - Accent5 2 12 3" xfId="9117"/>
    <cellStyle name="20% - Accent5 2 12 4" xfId="9118"/>
    <cellStyle name="20% - Accent5 2 12 5" xfId="9119"/>
    <cellStyle name="20% - Accent5 2 13" xfId="2715"/>
    <cellStyle name="20% - Accent5 2 13 2" xfId="4382"/>
    <cellStyle name="20% - Accent5 2 13 2 2" xfId="9120"/>
    <cellStyle name="20% - Accent5 2 13 3" xfId="9121"/>
    <cellStyle name="20% - Accent5 2 13 4" xfId="9122"/>
    <cellStyle name="20% - Accent5 2 13 5" xfId="9123"/>
    <cellStyle name="20% - Accent5 2 14" xfId="3044"/>
    <cellStyle name="20% - Accent5 2 14 2" xfId="4383"/>
    <cellStyle name="20% - Accent5 2 14 2 2" xfId="9124"/>
    <cellStyle name="20% - Accent5 2 14 3" xfId="9125"/>
    <cellStyle name="20% - Accent5 2 14 4" xfId="9126"/>
    <cellStyle name="20% - Accent5 2 14 5" xfId="9127"/>
    <cellStyle name="20% - Accent5 2 15" xfId="3415"/>
    <cellStyle name="20% - Accent5 2 15 2" xfId="4384"/>
    <cellStyle name="20% - Accent5 2 15 2 2" xfId="9128"/>
    <cellStyle name="20% - Accent5 2 15 3" xfId="9129"/>
    <cellStyle name="20% - Accent5 2 16" xfId="3636"/>
    <cellStyle name="20% - Accent5 2 16 2" xfId="4385"/>
    <cellStyle name="20% - Accent5 2 16 2 2" xfId="9130"/>
    <cellStyle name="20% - Accent5 2 16 3" xfId="9131"/>
    <cellStyle name="20% - Accent5 2 17" xfId="24471"/>
    <cellStyle name="20% - Accent5 2 2" xfId="116"/>
    <cellStyle name="20% - Accent5 2 2 10" xfId="9132"/>
    <cellStyle name="20% - Accent5 2 2 10 2" xfId="9133"/>
    <cellStyle name="20% - Accent5 2 2 10 3" xfId="9134"/>
    <cellStyle name="20% - Accent5 2 2 11" xfId="9135"/>
    <cellStyle name="20% - Accent5 2 2 11 2" xfId="9136"/>
    <cellStyle name="20% - Accent5 2 2 11 3" xfId="9137"/>
    <cellStyle name="20% - Accent5 2 2 12" xfId="9138"/>
    <cellStyle name="20% - Accent5 2 2 12 2" xfId="9139"/>
    <cellStyle name="20% - Accent5 2 2 12 3" xfId="9140"/>
    <cellStyle name="20% - Accent5 2 2 13" xfId="9141"/>
    <cellStyle name="20% - Accent5 2 2 14" xfId="9142"/>
    <cellStyle name="20% - Accent5 2 2 15" xfId="9143"/>
    <cellStyle name="20% - Accent5 2 2 2" xfId="187"/>
    <cellStyle name="20% - Accent5 2 2 2 2" xfId="9144"/>
    <cellStyle name="20% - Accent5 2 2 2 3" xfId="9145"/>
    <cellStyle name="20% - Accent5 2 2 3" xfId="351"/>
    <cellStyle name="20% - Accent5 2 2 3 2" xfId="9146"/>
    <cellStyle name="20% - Accent5 2 2 3 3" xfId="9147"/>
    <cellStyle name="20% - Accent5 2 2 4" xfId="2173"/>
    <cellStyle name="20% - Accent5 2 2 4 2" xfId="9148"/>
    <cellStyle name="20% - Accent5 2 2 4 3" xfId="9149"/>
    <cellStyle name="20% - Accent5 2 2 5" xfId="2547"/>
    <cellStyle name="20% - Accent5 2 2 5 2" xfId="9150"/>
    <cellStyle name="20% - Accent5 2 2 5 3" xfId="9151"/>
    <cellStyle name="20% - Accent5 2 2 6" xfId="2919"/>
    <cellStyle name="20% - Accent5 2 2 6 2" xfId="9152"/>
    <cellStyle name="20% - Accent5 2 2 6 3" xfId="9153"/>
    <cellStyle name="20% - Accent5 2 2 7" xfId="3291"/>
    <cellStyle name="20% - Accent5 2 2 7 2" xfId="9154"/>
    <cellStyle name="20% - Accent5 2 2 7 3" xfId="9155"/>
    <cellStyle name="20% - Accent5 2 2 8" xfId="4386"/>
    <cellStyle name="20% - Accent5 2 2 8 2" xfId="9157"/>
    <cellStyle name="20% - Accent5 2 2 8 3" xfId="9158"/>
    <cellStyle name="20% - Accent5 2 2 8 4" xfId="9156"/>
    <cellStyle name="20% - Accent5 2 2 9" xfId="9159"/>
    <cellStyle name="20% - Accent5 2 2 9 2" xfId="9160"/>
    <cellStyle name="20% - Accent5 2 2 9 3" xfId="9161"/>
    <cellStyle name="20% - Accent5 2 3" xfId="281"/>
    <cellStyle name="20% - Accent5 2 3 2" xfId="1349"/>
    <cellStyle name="20% - Accent5 2 3 2 2" xfId="9162"/>
    <cellStyle name="20% - Accent5 2 3 2 3" xfId="9163"/>
    <cellStyle name="20% - Accent5 2 3 3" xfId="9164"/>
    <cellStyle name="20% - Accent5 2 3 4" xfId="9165"/>
    <cellStyle name="20% - Accent5 2 4" xfId="374"/>
    <cellStyle name="20% - Accent5 2 4 2" xfId="9166"/>
    <cellStyle name="20% - Accent5 2 4 2 2" xfId="9167"/>
    <cellStyle name="20% - Accent5 2 4 2 3" xfId="9168"/>
    <cellStyle name="20% - Accent5 2 4 3" xfId="9169"/>
    <cellStyle name="20% - Accent5 2 4 4" xfId="9170"/>
    <cellStyle name="20% - Accent5 2 5" xfId="531"/>
    <cellStyle name="20% - Accent5 2 5 2" xfId="9171"/>
    <cellStyle name="20% - Accent5 2 5 3" xfId="9172"/>
    <cellStyle name="20% - Accent5 2 6" xfId="658"/>
    <cellStyle name="20% - Accent5 2 6 2" xfId="9173"/>
    <cellStyle name="20% - Accent5 2 6 3" xfId="9174"/>
    <cellStyle name="20% - Accent5 2 7" xfId="659"/>
    <cellStyle name="20% - Accent5 2 7 2" xfId="9175"/>
    <cellStyle name="20% - Accent5 2 7 3" xfId="9176"/>
    <cellStyle name="20% - Accent5 2 8" xfId="812"/>
    <cellStyle name="20% - Accent5 2 8 2" xfId="1400"/>
    <cellStyle name="20% - Accent5 2 8 2 2" xfId="9177"/>
    <cellStyle name="20% - Accent5 2 8 3" xfId="9178"/>
    <cellStyle name="20% - Accent5 2 8 4" xfId="9179"/>
    <cellStyle name="20% - Accent5 2 8 5" xfId="9180"/>
    <cellStyle name="20% - Accent5 2 9" xfId="930"/>
    <cellStyle name="20% - Accent5 2 9 2" xfId="1440"/>
    <cellStyle name="20% - Accent5 2 9 2 2" xfId="9181"/>
    <cellStyle name="20% - Accent5 2 9 3" xfId="9182"/>
    <cellStyle name="20% - Accent5 2 9 4" xfId="9183"/>
    <cellStyle name="20% - Accent5 2 9 5" xfId="9184"/>
    <cellStyle name="20% - Accent5 20" xfId="9185"/>
    <cellStyle name="20% - Accent5 21" xfId="9186"/>
    <cellStyle name="20% - Accent5 21 2" xfId="9187"/>
    <cellStyle name="20% - Accent5 21 2 2" xfId="9188"/>
    <cellStyle name="20% - Accent5 21 2 2 2" xfId="25767"/>
    <cellStyle name="20% - Accent5 21 2 2 3" xfId="28454"/>
    <cellStyle name="20% - Accent5 21 2 3" xfId="9189"/>
    <cellStyle name="20% - Accent5 21 2 3 2" xfId="25768"/>
    <cellStyle name="20% - Accent5 21 2 3 3" xfId="28455"/>
    <cellStyle name="20% - Accent5 21 2 4" xfId="25766"/>
    <cellStyle name="20% - Accent5 21 2 5" xfId="28453"/>
    <cellStyle name="20% - Accent5 21 3" xfId="9190"/>
    <cellStyle name="20% - Accent5 21 3 2" xfId="25769"/>
    <cellStyle name="20% - Accent5 21 3 3" xfId="28456"/>
    <cellStyle name="20% - Accent5 21 4" xfId="9191"/>
    <cellStyle name="20% - Accent5 21 4 2" xfId="25770"/>
    <cellStyle name="20% - Accent5 21 4 3" xfId="28457"/>
    <cellStyle name="20% - Accent5 21 5" xfId="25765"/>
    <cellStyle name="20% - Accent5 21 6" xfId="28452"/>
    <cellStyle name="20% - Accent5 22" xfId="9192"/>
    <cellStyle name="20% - Accent5 22 2" xfId="9193"/>
    <cellStyle name="20% - Accent5 22 2 2" xfId="9194"/>
    <cellStyle name="20% - Accent5 22 2 2 2" xfId="25773"/>
    <cellStyle name="20% - Accent5 22 2 2 3" xfId="28460"/>
    <cellStyle name="20% - Accent5 22 2 3" xfId="9195"/>
    <cellStyle name="20% - Accent5 22 2 3 2" xfId="25774"/>
    <cellStyle name="20% - Accent5 22 2 3 3" xfId="28461"/>
    <cellStyle name="20% - Accent5 22 2 4" xfId="25772"/>
    <cellStyle name="20% - Accent5 22 2 5" xfId="28459"/>
    <cellStyle name="20% - Accent5 22 3" xfId="9196"/>
    <cellStyle name="20% - Accent5 22 3 2" xfId="25775"/>
    <cellStyle name="20% - Accent5 22 3 3" xfId="28462"/>
    <cellStyle name="20% - Accent5 22 4" xfId="9197"/>
    <cellStyle name="20% - Accent5 22 4 2" xfId="25776"/>
    <cellStyle name="20% - Accent5 22 4 3" xfId="28463"/>
    <cellStyle name="20% - Accent5 22 5" xfId="25771"/>
    <cellStyle name="20% - Accent5 22 6" xfId="28458"/>
    <cellStyle name="20% - Accent5 23" xfId="9198"/>
    <cellStyle name="20% - Accent5 24" xfId="9199"/>
    <cellStyle name="20% - Accent5 24 2" xfId="9200"/>
    <cellStyle name="20% - Accent5 24 2 2" xfId="9201"/>
    <cellStyle name="20% - Accent5 24 2 2 2" xfId="25779"/>
    <cellStyle name="20% - Accent5 24 2 2 3" xfId="28466"/>
    <cellStyle name="20% - Accent5 24 2 3" xfId="9202"/>
    <cellStyle name="20% - Accent5 24 2 3 2" xfId="25780"/>
    <cellStyle name="20% - Accent5 24 2 3 3" xfId="28467"/>
    <cellStyle name="20% - Accent5 24 2 4" xfId="25778"/>
    <cellStyle name="20% - Accent5 24 2 5" xfId="28465"/>
    <cellStyle name="20% - Accent5 24 3" xfId="9203"/>
    <cellStyle name="20% - Accent5 24 3 2" xfId="25781"/>
    <cellStyle name="20% - Accent5 24 3 3" xfId="28468"/>
    <cellStyle name="20% - Accent5 24 4" xfId="9204"/>
    <cellStyle name="20% - Accent5 24 4 2" xfId="25782"/>
    <cellStyle name="20% - Accent5 24 4 3" xfId="28469"/>
    <cellStyle name="20% - Accent5 24 5" xfId="25777"/>
    <cellStyle name="20% - Accent5 24 6" xfId="28464"/>
    <cellStyle name="20% - Accent5 25" xfId="9205"/>
    <cellStyle name="20% - Accent5 25 2" xfId="9206"/>
    <cellStyle name="20% - Accent5 25 2 2" xfId="9207"/>
    <cellStyle name="20% - Accent5 25 2 2 2" xfId="25785"/>
    <cellStyle name="20% - Accent5 25 2 2 3" xfId="28472"/>
    <cellStyle name="20% - Accent5 25 2 3" xfId="9208"/>
    <cellStyle name="20% - Accent5 25 2 3 2" xfId="25786"/>
    <cellStyle name="20% - Accent5 25 2 3 3" xfId="28473"/>
    <cellStyle name="20% - Accent5 25 2 4" xfId="25784"/>
    <cellStyle name="20% - Accent5 25 2 5" xfId="28471"/>
    <cellStyle name="20% - Accent5 25 3" xfId="9209"/>
    <cellStyle name="20% - Accent5 25 3 2" xfId="25787"/>
    <cellStyle name="20% - Accent5 25 3 3" xfId="28474"/>
    <cellStyle name="20% - Accent5 25 4" xfId="9210"/>
    <cellStyle name="20% - Accent5 25 4 2" xfId="25788"/>
    <cellStyle name="20% - Accent5 25 4 3" xfId="28475"/>
    <cellStyle name="20% - Accent5 25 5" xfId="25783"/>
    <cellStyle name="20% - Accent5 25 6" xfId="28470"/>
    <cellStyle name="20% - Accent5 26" xfId="9211"/>
    <cellStyle name="20% - Accent5 27" xfId="9212"/>
    <cellStyle name="20% - Accent5 27 2" xfId="9213"/>
    <cellStyle name="20% - Accent5 27 2 2" xfId="9214"/>
    <cellStyle name="20% - Accent5 27 2 2 2" xfId="25791"/>
    <cellStyle name="20% - Accent5 27 2 2 3" xfId="28478"/>
    <cellStyle name="20% - Accent5 27 2 3" xfId="9215"/>
    <cellStyle name="20% - Accent5 27 2 3 2" xfId="25792"/>
    <cellStyle name="20% - Accent5 27 2 3 3" xfId="28479"/>
    <cellStyle name="20% - Accent5 27 2 4" xfId="25790"/>
    <cellStyle name="20% - Accent5 27 2 5" xfId="28477"/>
    <cellStyle name="20% - Accent5 27 3" xfId="9216"/>
    <cellStyle name="20% - Accent5 27 3 2" xfId="25793"/>
    <cellStyle name="20% - Accent5 27 3 3" xfId="28480"/>
    <cellStyle name="20% - Accent5 27 4" xfId="9217"/>
    <cellStyle name="20% - Accent5 27 4 2" xfId="25794"/>
    <cellStyle name="20% - Accent5 27 4 3" xfId="28481"/>
    <cellStyle name="20% - Accent5 27 5" xfId="25789"/>
    <cellStyle name="20% - Accent5 27 6" xfId="28476"/>
    <cellStyle name="20% - Accent5 28" xfId="9218"/>
    <cellStyle name="20% - Accent5 28 2" xfId="9219"/>
    <cellStyle name="20% - Accent5 28 2 2" xfId="25796"/>
    <cellStyle name="20% - Accent5 28 2 3" xfId="28483"/>
    <cellStyle name="20% - Accent5 28 3" xfId="9220"/>
    <cellStyle name="20% - Accent5 28 3 2" xfId="25797"/>
    <cellStyle name="20% - Accent5 28 3 3" xfId="28484"/>
    <cellStyle name="20% - Accent5 28 4" xfId="25795"/>
    <cellStyle name="20% - Accent5 28 5" xfId="28482"/>
    <cellStyle name="20% - Accent5 29" xfId="9221"/>
    <cellStyle name="20% - Accent5 29 2" xfId="25798"/>
    <cellStyle name="20% - Accent5 29 3" xfId="28485"/>
    <cellStyle name="20% - Accent5 3" xfId="228"/>
    <cellStyle name="20% - Accent5 3 10" xfId="3679"/>
    <cellStyle name="20% - Accent5 3 10 2" xfId="4387"/>
    <cellStyle name="20% - Accent5 3 10 2 2" xfId="9222"/>
    <cellStyle name="20% - Accent5 3 10 3" xfId="9223"/>
    <cellStyle name="20% - Accent5 3 10 4" xfId="9224"/>
    <cellStyle name="20% - Accent5 3 10 5" xfId="9225"/>
    <cellStyle name="20% - Accent5 3 11" xfId="9226"/>
    <cellStyle name="20% - Accent5 3 11 2" xfId="9227"/>
    <cellStyle name="20% - Accent5 3 11 3" xfId="9228"/>
    <cellStyle name="20% - Accent5 3 12" xfId="9229"/>
    <cellStyle name="20% - Accent5 3 12 2" xfId="9230"/>
    <cellStyle name="20% - Accent5 3 12 3" xfId="9231"/>
    <cellStyle name="20% - Accent5 3 13" xfId="9232"/>
    <cellStyle name="20% - Accent5 3 13 2" xfId="9233"/>
    <cellStyle name="20% - Accent5 3 13 3" xfId="9234"/>
    <cellStyle name="20% - Accent5 3 14" xfId="9235"/>
    <cellStyle name="20% - Accent5 3 15" xfId="9236"/>
    <cellStyle name="20% - Accent5 3 2" xfId="1452"/>
    <cellStyle name="20% - Accent5 3 2 10" xfId="9237"/>
    <cellStyle name="20% - Accent5 3 2 10 2" xfId="9238"/>
    <cellStyle name="20% - Accent5 3 2 10 3" xfId="9239"/>
    <cellStyle name="20% - Accent5 3 2 11" xfId="9240"/>
    <cellStyle name="20% - Accent5 3 2 11 2" xfId="9241"/>
    <cellStyle name="20% - Accent5 3 2 11 3" xfId="9242"/>
    <cellStyle name="20% - Accent5 3 2 12" xfId="9243"/>
    <cellStyle name="20% - Accent5 3 2 12 2" xfId="9244"/>
    <cellStyle name="20% - Accent5 3 2 12 3" xfId="9245"/>
    <cellStyle name="20% - Accent5 3 2 13" xfId="9246"/>
    <cellStyle name="20% - Accent5 3 2 14" xfId="9247"/>
    <cellStyle name="20% - Accent5 3 2 15" xfId="9248"/>
    <cellStyle name="20% - Accent5 3 2 2" xfId="1839"/>
    <cellStyle name="20% - Accent5 3 2 2 2" xfId="9249"/>
    <cellStyle name="20% - Accent5 3 2 2 3" xfId="9250"/>
    <cellStyle name="20% - Accent5 3 2 3" xfId="2214"/>
    <cellStyle name="20% - Accent5 3 2 3 2" xfId="9251"/>
    <cellStyle name="20% - Accent5 3 2 3 3" xfId="9252"/>
    <cellStyle name="20% - Accent5 3 2 4" xfId="2588"/>
    <cellStyle name="20% - Accent5 3 2 4 2" xfId="9253"/>
    <cellStyle name="20% - Accent5 3 2 4 3" xfId="9254"/>
    <cellStyle name="20% - Accent5 3 2 5" xfId="2960"/>
    <cellStyle name="20% - Accent5 3 2 5 2" xfId="9255"/>
    <cellStyle name="20% - Accent5 3 2 5 3" xfId="9256"/>
    <cellStyle name="20% - Accent5 3 2 6" xfId="3332"/>
    <cellStyle name="20% - Accent5 3 2 6 2" xfId="9257"/>
    <cellStyle name="20% - Accent5 3 2 6 3" xfId="9258"/>
    <cellStyle name="20% - Accent5 3 2 7" xfId="4388"/>
    <cellStyle name="20% - Accent5 3 2 7 2" xfId="9260"/>
    <cellStyle name="20% - Accent5 3 2 7 3" xfId="9261"/>
    <cellStyle name="20% - Accent5 3 2 7 4" xfId="9259"/>
    <cellStyle name="20% - Accent5 3 2 8" xfId="9262"/>
    <cellStyle name="20% - Accent5 3 2 8 2" xfId="9263"/>
    <cellStyle name="20% - Accent5 3 2 8 3" xfId="9264"/>
    <cellStyle name="20% - Accent5 3 2 9" xfId="9265"/>
    <cellStyle name="20% - Accent5 3 2 9 2" xfId="9266"/>
    <cellStyle name="20% - Accent5 3 2 9 3" xfId="9267"/>
    <cellStyle name="20% - Accent5 3 3" xfId="1579"/>
    <cellStyle name="20% - Accent5 3 3 2" xfId="1916"/>
    <cellStyle name="20% - Accent5 3 3 3" xfId="2291"/>
    <cellStyle name="20% - Accent5 3 3 4" xfId="2664"/>
    <cellStyle name="20% - Accent5 3 3 5" xfId="3037"/>
    <cellStyle name="20% - Accent5 3 3 6" xfId="3408"/>
    <cellStyle name="20% - Accent5 3 3 7" xfId="4389"/>
    <cellStyle name="20% - Accent5 3 4" xfId="1716"/>
    <cellStyle name="20% - Accent5 3 4 2" xfId="1960"/>
    <cellStyle name="20% - Accent5 3 4 3" xfId="2335"/>
    <cellStyle name="20% - Accent5 3 4 4" xfId="2708"/>
    <cellStyle name="20% - Accent5 3 4 5" xfId="3081"/>
    <cellStyle name="20% - Accent5 3 4 6" xfId="3452"/>
    <cellStyle name="20% - Accent5 3 5" xfId="2051"/>
    <cellStyle name="20% - Accent5 3 5 2" xfId="9268"/>
    <cellStyle name="20% - Accent5 3 5 3" xfId="9269"/>
    <cellStyle name="20% - Accent5 3 5 4" xfId="9270"/>
    <cellStyle name="20% - Accent5 3 6" xfId="2425"/>
    <cellStyle name="20% - Accent5 3 6 2" xfId="9271"/>
    <cellStyle name="20% - Accent5 3 6 3" xfId="9272"/>
    <cellStyle name="20% - Accent5 3 6 4" xfId="9273"/>
    <cellStyle name="20% - Accent5 3 7" xfId="2797"/>
    <cellStyle name="20% - Accent5 3 7 2" xfId="9274"/>
    <cellStyle name="20% - Accent5 3 7 3" xfId="9275"/>
    <cellStyle name="20% - Accent5 3 7 4" xfId="9276"/>
    <cellStyle name="20% - Accent5 3 8" xfId="3168"/>
    <cellStyle name="20% - Accent5 3 8 2" xfId="9277"/>
    <cellStyle name="20% - Accent5 3 8 3" xfId="9278"/>
    <cellStyle name="20% - Accent5 3 8 4" xfId="9279"/>
    <cellStyle name="20% - Accent5 3 9" xfId="3543"/>
    <cellStyle name="20% - Accent5 3 9 2" xfId="4390"/>
    <cellStyle name="20% - Accent5 3 9 2 2" xfId="9280"/>
    <cellStyle name="20% - Accent5 3 9 3" xfId="9281"/>
    <cellStyle name="20% - Accent5 3 9 4" xfId="9282"/>
    <cellStyle name="20% - Accent5 3 9 5" xfId="9283"/>
    <cellStyle name="20% - Accent5 30" xfId="28146"/>
    <cellStyle name="20% - Accent5 4" xfId="239"/>
    <cellStyle name="20% - Accent5 4 10" xfId="3723"/>
    <cellStyle name="20% - Accent5 4 10 2" xfId="4392"/>
    <cellStyle name="20% - Accent5 4 10 2 2" xfId="9285"/>
    <cellStyle name="20% - Accent5 4 10 3" xfId="9286"/>
    <cellStyle name="20% - Accent5 4 10 4" xfId="9287"/>
    <cellStyle name="20% - Accent5 4 10 5" xfId="9288"/>
    <cellStyle name="20% - Accent5 4 11" xfId="1310"/>
    <cellStyle name="20% - Accent5 4 11 10" xfId="25799"/>
    <cellStyle name="20% - Accent5 4 11 11" xfId="28487"/>
    <cellStyle name="20% - Accent5 4 11 2" xfId="4152"/>
    <cellStyle name="20% - Accent5 4 11 2 2" xfId="5354"/>
    <cellStyle name="20% - Accent5 4 11 2 2 2" xfId="6120"/>
    <cellStyle name="20% - Accent5 4 11 2 2 2 2" xfId="25802"/>
    <cellStyle name="20% - Accent5 4 11 2 2 3" xfId="9291"/>
    <cellStyle name="20% - Accent5 4 11 2 2 4" xfId="25801"/>
    <cellStyle name="20% - Accent5 4 11 2 3" xfId="5664"/>
    <cellStyle name="20% - Accent5 4 11 2 3 2" xfId="6121"/>
    <cellStyle name="20% - Accent5 4 11 2 3 2 2" xfId="25804"/>
    <cellStyle name="20% - Accent5 4 11 2 3 3" xfId="25803"/>
    <cellStyle name="20% - Accent5 4 11 2 4" xfId="4394"/>
    <cellStyle name="20% - Accent5 4 11 2 4 2" xfId="6122"/>
    <cellStyle name="20% - Accent5 4 11 2 4 2 2" xfId="25806"/>
    <cellStyle name="20% - Accent5 4 11 2 4 3" xfId="25805"/>
    <cellStyle name="20% - Accent5 4 11 2 5" xfId="6119"/>
    <cellStyle name="20% - Accent5 4 11 2 5 2" xfId="25807"/>
    <cellStyle name="20% - Accent5 4 11 2 6" xfId="9290"/>
    <cellStyle name="20% - Accent5 4 11 2 6 2" xfId="25808"/>
    <cellStyle name="20% - Accent5 4 11 2 7" xfId="25004"/>
    <cellStyle name="20% - Accent5 4 11 2 8" xfId="25800"/>
    <cellStyle name="20% - Accent5 4 11 2 9" xfId="28488"/>
    <cellStyle name="20% - Accent5 4 11 3" xfId="5353"/>
    <cellStyle name="20% - Accent5 4 11 3 2" xfId="6123"/>
    <cellStyle name="20% - Accent5 4 11 3 2 2" xfId="25810"/>
    <cellStyle name="20% - Accent5 4 11 3 3" xfId="9292"/>
    <cellStyle name="20% - Accent5 4 11 3 4" xfId="25809"/>
    <cellStyle name="20% - Accent5 4 11 4" xfId="5663"/>
    <cellStyle name="20% - Accent5 4 11 4 2" xfId="6124"/>
    <cellStyle name="20% - Accent5 4 11 4 2 2" xfId="25812"/>
    <cellStyle name="20% - Accent5 4 11 4 3" xfId="9293"/>
    <cellStyle name="20% - Accent5 4 11 4 4" xfId="25811"/>
    <cellStyle name="20% - Accent5 4 11 5" xfId="4393"/>
    <cellStyle name="20% - Accent5 4 11 5 2" xfId="6125"/>
    <cellStyle name="20% - Accent5 4 11 5 2 2" xfId="9295"/>
    <cellStyle name="20% - Accent5 4 11 5 2 2 2" xfId="25815"/>
    <cellStyle name="20% - Accent5 4 11 5 2 3" xfId="25814"/>
    <cellStyle name="20% - Accent5 4 11 5 2 4" xfId="28490"/>
    <cellStyle name="20% - Accent5 4 11 5 3" xfId="9296"/>
    <cellStyle name="20% - Accent5 4 11 5 3 2" xfId="25816"/>
    <cellStyle name="20% - Accent5 4 11 5 3 3" xfId="28491"/>
    <cellStyle name="20% - Accent5 4 11 5 4" xfId="9294"/>
    <cellStyle name="20% - Accent5 4 11 5 4 2" xfId="25817"/>
    <cellStyle name="20% - Accent5 4 11 5 5" xfId="25813"/>
    <cellStyle name="20% - Accent5 4 11 5 6" xfId="28489"/>
    <cellStyle name="20% - Accent5 4 11 6" xfId="6118"/>
    <cellStyle name="20% - Accent5 4 11 6 2" xfId="9297"/>
    <cellStyle name="20% - Accent5 4 11 6 2 2" xfId="25819"/>
    <cellStyle name="20% - Accent5 4 11 6 3" xfId="25818"/>
    <cellStyle name="20% - Accent5 4 11 6 4" xfId="28492"/>
    <cellStyle name="20% - Accent5 4 11 7" xfId="9298"/>
    <cellStyle name="20% - Accent5 4 11 7 2" xfId="25820"/>
    <cellStyle name="20% - Accent5 4 11 7 3" xfId="28493"/>
    <cellStyle name="20% - Accent5 4 11 8" xfId="9289"/>
    <cellStyle name="20% - Accent5 4 11 8 2" xfId="25821"/>
    <cellStyle name="20% - Accent5 4 11 9" xfId="24884"/>
    <cellStyle name="20% - Accent5 4 12" xfId="4395"/>
    <cellStyle name="20% - Accent5 4 12 2" xfId="5355"/>
    <cellStyle name="20% - Accent5 4 12 2 2" xfId="6127"/>
    <cellStyle name="20% - Accent5 4 12 2 2 2" xfId="25824"/>
    <cellStyle name="20% - Accent5 4 12 2 3" xfId="9300"/>
    <cellStyle name="20% - Accent5 4 12 2 4" xfId="25823"/>
    <cellStyle name="20% - Accent5 4 12 3" xfId="5665"/>
    <cellStyle name="20% - Accent5 4 12 3 2" xfId="6128"/>
    <cellStyle name="20% - Accent5 4 12 3 2 2" xfId="25826"/>
    <cellStyle name="20% - Accent5 4 12 3 3" xfId="9301"/>
    <cellStyle name="20% - Accent5 4 12 3 4" xfId="25825"/>
    <cellStyle name="20% - Accent5 4 12 4" xfId="6126"/>
    <cellStyle name="20% - Accent5 4 12 4 2" xfId="9302"/>
    <cellStyle name="20% - Accent5 4 12 4 3" xfId="25827"/>
    <cellStyle name="20% - Accent5 4 12 5" xfId="9299"/>
    <cellStyle name="20% - Accent5 4 12 5 2" xfId="25828"/>
    <cellStyle name="20% - Accent5 4 12 6" xfId="25822"/>
    <cellStyle name="20% - Accent5 4 12 7" xfId="28494"/>
    <cellStyle name="20% - Accent5 4 13" xfId="5352"/>
    <cellStyle name="20% - Accent5 4 13 2" xfId="6129"/>
    <cellStyle name="20% - Accent5 4 13 2 2" xfId="9304"/>
    <cellStyle name="20% - Accent5 4 13 2 3" xfId="25830"/>
    <cellStyle name="20% - Accent5 4 13 3" xfId="9305"/>
    <cellStyle name="20% - Accent5 4 13 4" xfId="9303"/>
    <cellStyle name="20% - Accent5 4 13 5" xfId="25829"/>
    <cellStyle name="20% - Accent5 4 14" xfId="5662"/>
    <cellStyle name="20% - Accent5 4 14 2" xfId="6130"/>
    <cellStyle name="20% - Accent5 4 14 2 2" xfId="25832"/>
    <cellStyle name="20% - Accent5 4 14 3" xfId="9306"/>
    <cellStyle name="20% - Accent5 4 14 4" xfId="25831"/>
    <cellStyle name="20% - Accent5 4 15" xfId="4391"/>
    <cellStyle name="20% - Accent5 4 15 2" xfId="6131"/>
    <cellStyle name="20% - Accent5 4 15 2 2" xfId="25834"/>
    <cellStyle name="20% - Accent5 4 15 3" xfId="9307"/>
    <cellStyle name="20% - Accent5 4 15 4" xfId="25833"/>
    <cellStyle name="20% - Accent5 4 16" xfId="9308"/>
    <cellStyle name="20% - Accent5 4 17" xfId="9309"/>
    <cellStyle name="20% - Accent5 4 17 2" xfId="9310"/>
    <cellStyle name="20% - Accent5 4 17 2 2" xfId="25836"/>
    <cellStyle name="20% - Accent5 4 17 2 3" xfId="28496"/>
    <cellStyle name="20% - Accent5 4 17 3" xfId="9311"/>
    <cellStyle name="20% - Accent5 4 17 3 2" xfId="25837"/>
    <cellStyle name="20% - Accent5 4 17 3 3" xfId="28497"/>
    <cellStyle name="20% - Accent5 4 17 4" xfId="25835"/>
    <cellStyle name="20% - Accent5 4 17 5" xfId="28495"/>
    <cellStyle name="20% - Accent5 4 18" xfId="9312"/>
    <cellStyle name="20% - Accent5 4 18 2" xfId="25838"/>
    <cellStyle name="20% - Accent5 4 18 3" xfId="28498"/>
    <cellStyle name="20% - Accent5 4 19" xfId="9313"/>
    <cellStyle name="20% - Accent5 4 19 2" xfId="25839"/>
    <cellStyle name="20% - Accent5 4 19 3" xfId="28499"/>
    <cellStyle name="20% - Accent5 4 2" xfId="1497"/>
    <cellStyle name="20% - Accent5 4 2 10" xfId="9314"/>
    <cellStyle name="20% - Accent5 4 2 10 2" xfId="9315"/>
    <cellStyle name="20% - Accent5 4 2 10 3" xfId="9316"/>
    <cellStyle name="20% - Accent5 4 2 11" xfId="9317"/>
    <cellStyle name="20% - Accent5 4 2 11 2" xfId="9318"/>
    <cellStyle name="20% - Accent5 4 2 11 3" xfId="9319"/>
    <cellStyle name="20% - Accent5 4 2 12" xfId="9320"/>
    <cellStyle name="20% - Accent5 4 2 12 2" xfId="9321"/>
    <cellStyle name="20% - Accent5 4 2 12 3" xfId="9322"/>
    <cellStyle name="20% - Accent5 4 2 13" xfId="9323"/>
    <cellStyle name="20% - Accent5 4 2 14" xfId="9324"/>
    <cellStyle name="20% - Accent5 4 2 15" xfId="9325"/>
    <cellStyle name="20% - Accent5 4 2 16" xfId="9326"/>
    <cellStyle name="20% - Accent5 4 2 2" xfId="4396"/>
    <cellStyle name="20% - Accent5 4 2 2 2" xfId="9328"/>
    <cellStyle name="20% - Accent5 4 2 2 3" xfId="9329"/>
    <cellStyle name="20% - Accent5 4 2 2 4" xfId="9327"/>
    <cellStyle name="20% - Accent5 4 2 3" xfId="9330"/>
    <cellStyle name="20% - Accent5 4 2 3 2" xfId="9331"/>
    <cellStyle name="20% - Accent5 4 2 3 3" xfId="9332"/>
    <cellStyle name="20% - Accent5 4 2 4" xfId="9333"/>
    <cellStyle name="20% - Accent5 4 2 4 2" xfId="9334"/>
    <cellStyle name="20% - Accent5 4 2 4 3" xfId="9335"/>
    <cellStyle name="20% - Accent5 4 2 5" xfId="9336"/>
    <cellStyle name="20% - Accent5 4 2 5 2" xfId="9337"/>
    <cellStyle name="20% - Accent5 4 2 5 3" xfId="9338"/>
    <cellStyle name="20% - Accent5 4 2 6" xfId="9339"/>
    <cellStyle name="20% - Accent5 4 2 6 2" xfId="9340"/>
    <cellStyle name="20% - Accent5 4 2 6 3" xfId="9341"/>
    <cellStyle name="20% - Accent5 4 2 7" xfId="9342"/>
    <cellStyle name="20% - Accent5 4 2 7 2" xfId="9343"/>
    <cellStyle name="20% - Accent5 4 2 7 3" xfId="9344"/>
    <cellStyle name="20% - Accent5 4 2 8" xfId="9345"/>
    <cellStyle name="20% - Accent5 4 2 8 2" xfId="9346"/>
    <cellStyle name="20% - Accent5 4 2 8 3" xfId="9347"/>
    <cellStyle name="20% - Accent5 4 2 9" xfId="9348"/>
    <cellStyle name="20% - Accent5 4 2 9 2" xfId="9349"/>
    <cellStyle name="20% - Accent5 4 2 9 3" xfId="9350"/>
    <cellStyle name="20% - Accent5 4 20" xfId="9284"/>
    <cellStyle name="20% - Accent5 4 20 2" xfId="25840"/>
    <cellStyle name="20% - Accent5 4 21" xfId="28486"/>
    <cellStyle name="20% - Accent5 4 3" xfId="1622"/>
    <cellStyle name="20% - Accent5 4 3 2" xfId="4397"/>
    <cellStyle name="20% - Accent5 4 3 2 2" xfId="9351"/>
    <cellStyle name="20% - Accent5 4 3 3" xfId="9352"/>
    <cellStyle name="20% - Accent5 4 3 4" xfId="9353"/>
    <cellStyle name="20% - Accent5 4 3 5" xfId="9354"/>
    <cellStyle name="20% - Accent5 4 4" xfId="1800"/>
    <cellStyle name="20% - Accent5 4 4 2" xfId="9355"/>
    <cellStyle name="20% - Accent5 4 4 3" xfId="9356"/>
    <cellStyle name="20% - Accent5 4 4 4" xfId="9357"/>
    <cellStyle name="20% - Accent5 4 5" xfId="2136"/>
    <cellStyle name="20% - Accent5 4 5 2" xfId="9358"/>
    <cellStyle name="20% - Accent5 4 5 3" xfId="9359"/>
    <cellStyle name="20% - Accent5 4 5 4" xfId="9360"/>
    <cellStyle name="20% - Accent5 4 6" xfId="2510"/>
    <cellStyle name="20% - Accent5 4 6 2" xfId="9361"/>
    <cellStyle name="20% - Accent5 4 6 3" xfId="9362"/>
    <cellStyle name="20% - Accent5 4 6 4" xfId="9363"/>
    <cellStyle name="20% - Accent5 4 7" xfId="2882"/>
    <cellStyle name="20% - Accent5 4 7 2" xfId="9364"/>
    <cellStyle name="20% - Accent5 4 7 3" xfId="9365"/>
    <cellStyle name="20% - Accent5 4 7 4" xfId="9366"/>
    <cellStyle name="20% - Accent5 4 8" xfId="3253"/>
    <cellStyle name="20% - Accent5 4 8 2" xfId="9367"/>
    <cellStyle name="20% - Accent5 4 8 3" xfId="9368"/>
    <cellStyle name="20% - Accent5 4 8 4" xfId="9369"/>
    <cellStyle name="20% - Accent5 4 9" xfId="3586"/>
    <cellStyle name="20% - Accent5 4 9 2" xfId="4398"/>
    <cellStyle name="20% - Accent5 4 9 2 2" xfId="9370"/>
    <cellStyle name="20% - Accent5 4 9 3" xfId="9371"/>
    <cellStyle name="20% - Accent5 4 9 4" xfId="9372"/>
    <cellStyle name="20% - Accent5 4 9 5" xfId="9373"/>
    <cellStyle name="20% - Accent5 5" xfId="375"/>
    <cellStyle name="20% - Accent5 5 10" xfId="9374"/>
    <cellStyle name="20% - Accent5 5 10 2" xfId="9375"/>
    <cellStyle name="20% - Accent5 5 10 3" xfId="9376"/>
    <cellStyle name="20% - Accent5 5 11" xfId="9377"/>
    <cellStyle name="20% - Accent5 5 11 2" xfId="9378"/>
    <cellStyle name="20% - Accent5 5 11 3" xfId="9379"/>
    <cellStyle name="20% - Accent5 5 12" xfId="9380"/>
    <cellStyle name="20% - Accent5 5 12 2" xfId="9381"/>
    <cellStyle name="20% - Accent5 5 12 3" xfId="9382"/>
    <cellStyle name="20% - Accent5 5 13" xfId="9383"/>
    <cellStyle name="20% - Accent5 5 13 2" xfId="9384"/>
    <cellStyle name="20% - Accent5 5 13 3" xfId="9385"/>
    <cellStyle name="20% - Accent5 5 14" xfId="9386"/>
    <cellStyle name="20% - Accent5 5 15" xfId="9387"/>
    <cellStyle name="20% - Accent5 5 16" xfId="9388"/>
    <cellStyle name="20% - Accent5 5 17" xfId="9389"/>
    <cellStyle name="20% - Accent5 5 2" xfId="1864"/>
    <cellStyle name="20% - Accent5 5 2 10" xfId="9390"/>
    <cellStyle name="20% - Accent5 5 2 10 2" xfId="9391"/>
    <cellStyle name="20% - Accent5 5 2 10 3" xfId="9392"/>
    <cellStyle name="20% - Accent5 5 2 11" xfId="9393"/>
    <cellStyle name="20% - Accent5 5 2 11 2" xfId="9394"/>
    <cellStyle name="20% - Accent5 5 2 11 3" xfId="9395"/>
    <cellStyle name="20% - Accent5 5 2 12" xfId="9396"/>
    <cellStyle name="20% - Accent5 5 2 12 2" xfId="9397"/>
    <cellStyle name="20% - Accent5 5 2 12 3" xfId="9398"/>
    <cellStyle name="20% - Accent5 5 2 13" xfId="9399"/>
    <cellStyle name="20% - Accent5 5 2 14" xfId="9400"/>
    <cellStyle name="20% - Accent5 5 2 15" xfId="9401"/>
    <cellStyle name="20% - Accent5 5 2 2" xfId="9402"/>
    <cellStyle name="20% - Accent5 5 2 2 2" xfId="9403"/>
    <cellStyle name="20% - Accent5 5 2 2 3" xfId="9404"/>
    <cellStyle name="20% - Accent5 5 2 3" xfId="9405"/>
    <cellStyle name="20% - Accent5 5 2 3 2" xfId="9406"/>
    <cellStyle name="20% - Accent5 5 2 3 3" xfId="9407"/>
    <cellStyle name="20% - Accent5 5 2 4" xfId="9408"/>
    <cellStyle name="20% - Accent5 5 2 4 2" xfId="9409"/>
    <cellStyle name="20% - Accent5 5 2 4 3" xfId="9410"/>
    <cellStyle name="20% - Accent5 5 2 5" xfId="9411"/>
    <cellStyle name="20% - Accent5 5 2 5 2" xfId="9412"/>
    <cellStyle name="20% - Accent5 5 2 5 3" xfId="9413"/>
    <cellStyle name="20% - Accent5 5 2 6" xfId="9414"/>
    <cellStyle name="20% - Accent5 5 2 6 2" xfId="9415"/>
    <cellStyle name="20% - Accent5 5 2 6 3" xfId="9416"/>
    <cellStyle name="20% - Accent5 5 2 7" xfId="9417"/>
    <cellStyle name="20% - Accent5 5 2 7 2" xfId="9418"/>
    <cellStyle name="20% - Accent5 5 2 7 3" xfId="9419"/>
    <cellStyle name="20% - Accent5 5 2 8" xfId="9420"/>
    <cellStyle name="20% - Accent5 5 2 8 2" xfId="9421"/>
    <cellStyle name="20% - Accent5 5 2 8 3" xfId="9422"/>
    <cellStyle name="20% - Accent5 5 2 9" xfId="9423"/>
    <cellStyle name="20% - Accent5 5 2 9 2" xfId="9424"/>
    <cellStyle name="20% - Accent5 5 2 9 3" xfId="9425"/>
    <cellStyle name="20% - Accent5 5 3" xfId="2239"/>
    <cellStyle name="20% - Accent5 5 3 2" xfId="9426"/>
    <cellStyle name="20% - Accent5 5 3 3" xfId="9427"/>
    <cellStyle name="20% - Accent5 5 3 4" xfId="9428"/>
    <cellStyle name="20% - Accent5 5 4" xfId="2613"/>
    <cellStyle name="20% - Accent5 5 4 2" xfId="9429"/>
    <cellStyle name="20% - Accent5 5 4 3" xfId="9430"/>
    <cellStyle name="20% - Accent5 5 4 4" xfId="9431"/>
    <cellStyle name="20% - Accent5 5 5" xfId="2985"/>
    <cellStyle name="20% - Accent5 5 5 2" xfId="9432"/>
    <cellStyle name="20% - Accent5 5 5 3" xfId="9433"/>
    <cellStyle name="20% - Accent5 5 5 4" xfId="9434"/>
    <cellStyle name="20% - Accent5 5 6" xfId="3357"/>
    <cellStyle name="20% - Accent5 5 6 2" xfId="9435"/>
    <cellStyle name="20% - Accent5 5 6 3" xfId="9436"/>
    <cellStyle name="20% - Accent5 5 6 4" xfId="9437"/>
    <cellStyle name="20% - Accent5 5 7" xfId="4399"/>
    <cellStyle name="20% - Accent5 5 7 2" xfId="9439"/>
    <cellStyle name="20% - Accent5 5 7 3" xfId="9440"/>
    <cellStyle name="20% - Accent5 5 7 4" xfId="9438"/>
    <cellStyle name="20% - Accent5 5 8" xfId="9441"/>
    <cellStyle name="20% - Accent5 5 8 2" xfId="9442"/>
    <cellStyle name="20% - Accent5 5 8 3" xfId="9443"/>
    <cellStyle name="20% - Accent5 5 9" xfId="9444"/>
    <cellStyle name="20% - Accent5 5 9 2" xfId="9445"/>
    <cellStyle name="20% - Accent5 5 9 3" xfId="9446"/>
    <cellStyle name="20% - Accent5 6" xfId="376"/>
    <cellStyle name="20% - Accent5 6 10" xfId="5356"/>
    <cellStyle name="20% - Accent5 6 10 2" xfId="6133"/>
    <cellStyle name="20% - Accent5 6 10 2 2" xfId="9449"/>
    <cellStyle name="20% - Accent5 6 10 2 3" xfId="25843"/>
    <cellStyle name="20% - Accent5 6 10 3" xfId="9450"/>
    <cellStyle name="20% - Accent5 6 10 4" xfId="9448"/>
    <cellStyle name="20% - Accent5 6 10 5" xfId="25842"/>
    <cellStyle name="20% - Accent5 6 11" xfId="5666"/>
    <cellStyle name="20% - Accent5 6 11 2" xfId="6134"/>
    <cellStyle name="20% - Accent5 6 11 2 2" xfId="9452"/>
    <cellStyle name="20% - Accent5 6 11 2 3" xfId="25845"/>
    <cellStyle name="20% - Accent5 6 11 3" xfId="9453"/>
    <cellStyle name="20% - Accent5 6 11 4" xfId="9451"/>
    <cellStyle name="20% - Accent5 6 11 5" xfId="25844"/>
    <cellStyle name="20% - Accent5 6 12" xfId="4400"/>
    <cellStyle name="20% - Accent5 6 12 2" xfId="6135"/>
    <cellStyle name="20% - Accent5 6 12 2 2" xfId="9455"/>
    <cellStyle name="20% - Accent5 6 12 2 3" xfId="25847"/>
    <cellStyle name="20% - Accent5 6 12 3" xfId="9456"/>
    <cellStyle name="20% - Accent5 6 12 4" xfId="9454"/>
    <cellStyle name="20% - Accent5 6 12 5" xfId="25846"/>
    <cellStyle name="20% - Accent5 6 13" xfId="6132"/>
    <cellStyle name="20% - Accent5 6 13 2" xfId="9457"/>
    <cellStyle name="20% - Accent5 6 13 3" xfId="25848"/>
    <cellStyle name="20% - Accent5 6 14" xfId="9458"/>
    <cellStyle name="20% - Accent5 6 15" xfId="9459"/>
    <cellStyle name="20% - Accent5 6 16" xfId="9460"/>
    <cellStyle name="20% - Accent5 6 16 2" xfId="9461"/>
    <cellStyle name="20% - Accent5 6 16 2 2" xfId="25850"/>
    <cellStyle name="20% - Accent5 6 16 2 3" xfId="28502"/>
    <cellStyle name="20% - Accent5 6 16 3" xfId="9462"/>
    <cellStyle name="20% - Accent5 6 16 3 2" xfId="25851"/>
    <cellStyle name="20% - Accent5 6 16 3 3" xfId="28503"/>
    <cellStyle name="20% - Accent5 6 16 4" xfId="25849"/>
    <cellStyle name="20% - Accent5 6 16 5" xfId="28501"/>
    <cellStyle name="20% - Accent5 6 17" xfId="9463"/>
    <cellStyle name="20% - Accent5 6 17 2" xfId="25852"/>
    <cellStyle name="20% - Accent5 6 17 3" xfId="28504"/>
    <cellStyle name="20% - Accent5 6 18" xfId="9464"/>
    <cellStyle name="20% - Accent5 6 18 2" xfId="25853"/>
    <cellStyle name="20% - Accent5 6 18 3" xfId="28505"/>
    <cellStyle name="20% - Accent5 6 19" xfId="9447"/>
    <cellStyle name="20% - Accent5 6 19 2" xfId="25854"/>
    <cellStyle name="20% - Accent5 6 2" xfId="1973"/>
    <cellStyle name="20% - Accent5 6 2 2" xfId="4401"/>
    <cellStyle name="20% - Accent5 6 2 2 2" xfId="9465"/>
    <cellStyle name="20% - Accent5 6 2 3" xfId="9466"/>
    <cellStyle name="20% - Accent5 6 2 4" xfId="9467"/>
    <cellStyle name="20% - Accent5 6 2 5" xfId="9468"/>
    <cellStyle name="20% - Accent5 6 20" xfId="24835"/>
    <cellStyle name="20% - Accent5 6 21" xfId="25841"/>
    <cellStyle name="20% - Accent5 6 22" xfId="28500"/>
    <cellStyle name="20% - Accent5 6 3" xfId="2348"/>
    <cellStyle name="20% - Accent5 6 3 2" xfId="4402"/>
    <cellStyle name="20% - Accent5 6 3 2 2" xfId="9469"/>
    <cellStyle name="20% - Accent5 6 3 3" xfId="9470"/>
    <cellStyle name="20% - Accent5 6 3 4" xfId="9471"/>
    <cellStyle name="20% - Accent5 6 3 5" xfId="9472"/>
    <cellStyle name="20% - Accent5 6 4" xfId="2721"/>
    <cellStyle name="20% - Accent5 6 4 2" xfId="4403"/>
    <cellStyle name="20% - Accent5 6 4 2 2" xfId="9473"/>
    <cellStyle name="20% - Accent5 6 4 3" xfId="9474"/>
    <cellStyle name="20% - Accent5 6 4 4" xfId="9475"/>
    <cellStyle name="20% - Accent5 6 4 5" xfId="9476"/>
    <cellStyle name="20% - Accent5 6 5" xfId="3094"/>
    <cellStyle name="20% - Accent5 6 5 2" xfId="4404"/>
    <cellStyle name="20% - Accent5 6 5 2 2" xfId="9477"/>
    <cellStyle name="20% - Accent5 6 5 3" xfId="9478"/>
    <cellStyle name="20% - Accent5 6 5 4" xfId="9479"/>
    <cellStyle name="20% - Accent5 6 5 5" xfId="9480"/>
    <cellStyle name="20% - Accent5 6 6" xfId="3465"/>
    <cellStyle name="20% - Accent5 6 6 2" xfId="4405"/>
    <cellStyle name="20% - Accent5 6 6 2 2" xfId="9481"/>
    <cellStyle name="20% - Accent5 6 6 3" xfId="9482"/>
    <cellStyle name="20% - Accent5 6 6 4" xfId="9483"/>
    <cellStyle name="20% - Accent5 6 6 5" xfId="9484"/>
    <cellStyle name="20% - Accent5 6 7" xfId="3771"/>
    <cellStyle name="20% - Accent5 6 7 2" xfId="4406"/>
    <cellStyle name="20% - Accent5 6 7 2 2" xfId="9485"/>
    <cellStyle name="20% - Accent5 6 7 3" xfId="9486"/>
    <cellStyle name="20% - Accent5 6 7 4" xfId="9487"/>
    <cellStyle name="20% - Accent5 6 7 5" xfId="9488"/>
    <cellStyle name="20% - Accent5 6 8" xfId="1369"/>
    <cellStyle name="20% - Accent5 6 8 10" xfId="25855"/>
    <cellStyle name="20% - Accent5 6 8 11" xfId="28506"/>
    <cellStyle name="20% - Accent5 6 8 2" xfId="4169"/>
    <cellStyle name="20% - Accent5 6 8 2 2" xfId="5358"/>
    <cellStyle name="20% - Accent5 6 8 2 2 2" xfId="6138"/>
    <cellStyle name="20% - Accent5 6 8 2 2 2 2" xfId="25858"/>
    <cellStyle name="20% - Accent5 6 8 2 2 3" xfId="9491"/>
    <cellStyle name="20% - Accent5 6 8 2 2 4" xfId="25857"/>
    <cellStyle name="20% - Accent5 6 8 2 3" xfId="5668"/>
    <cellStyle name="20% - Accent5 6 8 2 3 2" xfId="6139"/>
    <cellStyle name="20% - Accent5 6 8 2 3 2 2" xfId="25860"/>
    <cellStyle name="20% - Accent5 6 8 2 3 3" xfId="25859"/>
    <cellStyle name="20% - Accent5 6 8 2 4" xfId="4408"/>
    <cellStyle name="20% - Accent5 6 8 2 4 2" xfId="6140"/>
    <cellStyle name="20% - Accent5 6 8 2 4 2 2" xfId="25862"/>
    <cellStyle name="20% - Accent5 6 8 2 4 3" xfId="25861"/>
    <cellStyle name="20% - Accent5 6 8 2 5" xfId="6137"/>
    <cellStyle name="20% - Accent5 6 8 2 5 2" xfId="25863"/>
    <cellStyle name="20% - Accent5 6 8 2 6" xfId="9490"/>
    <cellStyle name="20% - Accent5 6 8 2 6 2" xfId="25864"/>
    <cellStyle name="20% - Accent5 6 8 2 7" xfId="25021"/>
    <cellStyle name="20% - Accent5 6 8 2 8" xfId="25856"/>
    <cellStyle name="20% - Accent5 6 8 2 9" xfId="28507"/>
    <cellStyle name="20% - Accent5 6 8 3" xfId="5357"/>
    <cellStyle name="20% - Accent5 6 8 3 2" xfId="6141"/>
    <cellStyle name="20% - Accent5 6 8 3 2 2" xfId="25866"/>
    <cellStyle name="20% - Accent5 6 8 3 3" xfId="9492"/>
    <cellStyle name="20% - Accent5 6 8 3 4" xfId="25865"/>
    <cellStyle name="20% - Accent5 6 8 4" xfId="5667"/>
    <cellStyle name="20% - Accent5 6 8 4 2" xfId="6142"/>
    <cellStyle name="20% - Accent5 6 8 4 2 2" xfId="25868"/>
    <cellStyle name="20% - Accent5 6 8 4 3" xfId="9493"/>
    <cellStyle name="20% - Accent5 6 8 4 4" xfId="25867"/>
    <cellStyle name="20% - Accent5 6 8 5" xfId="4407"/>
    <cellStyle name="20% - Accent5 6 8 5 2" xfId="6143"/>
    <cellStyle name="20% - Accent5 6 8 5 2 2" xfId="9495"/>
    <cellStyle name="20% - Accent5 6 8 5 2 2 2" xfId="25871"/>
    <cellStyle name="20% - Accent5 6 8 5 2 3" xfId="25870"/>
    <cellStyle name="20% - Accent5 6 8 5 2 4" xfId="28509"/>
    <cellStyle name="20% - Accent5 6 8 5 3" xfId="9496"/>
    <cellStyle name="20% - Accent5 6 8 5 3 2" xfId="25872"/>
    <cellStyle name="20% - Accent5 6 8 5 3 3" xfId="28510"/>
    <cellStyle name="20% - Accent5 6 8 5 4" xfId="9494"/>
    <cellStyle name="20% - Accent5 6 8 5 4 2" xfId="25873"/>
    <cellStyle name="20% - Accent5 6 8 5 5" xfId="25869"/>
    <cellStyle name="20% - Accent5 6 8 5 6" xfId="28508"/>
    <cellStyle name="20% - Accent5 6 8 6" xfId="6136"/>
    <cellStyle name="20% - Accent5 6 8 6 2" xfId="9497"/>
    <cellStyle name="20% - Accent5 6 8 6 2 2" xfId="25875"/>
    <cellStyle name="20% - Accent5 6 8 6 3" xfId="25874"/>
    <cellStyle name="20% - Accent5 6 8 6 4" xfId="28511"/>
    <cellStyle name="20% - Accent5 6 8 7" xfId="9498"/>
    <cellStyle name="20% - Accent5 6 8 7 2" xfId="25876"/>
    <cellStyle name="20% - Accent5 6 8 7 3" xfId="28512"/>
    <cellStyle name="20% - Accent5 6 8 8" xfId="9489"/>
    <cellStyle name="20% - Accent5 6 8 8 2" xfId="25877"/>
    <cellStyle name="20% - Accent5 6 8 9" xfId="24901"/>
    <cellStyle name="20% - Accent5 6 9" xfId="3821"/>
    <cellStyle name="20% - Accent5 6 9 2" xfId="5359"/>
    <cellStyle name="20% - Accent5 6 9 2 2" xfId="6145"/>
    <cellStyle name="20% - Accent5 6 9 2 2 2" xfId="25880"/>
    <cellStyle name="20% - Accent5 6 9 2 3" xfId="9500"/>
    <cellStyle name="20% - Accent5 6 9 2 4" xfId="25879"/>
    <cellStyle name="20% - Accent5 6 9 3" xfId="5669"/>
    <cellStyle name="20% - Accent5 6 9 3 2" xfId="6146"/>
    <cellStyle name="20% - Accent5 6 9 3 2 2" xfId="25882"/>
    <cellStyle name="20% - Accent5 6 9 3 3" xfId="9501"/>
    <cellStyle name="20% - Accent5 6 9 3 4" xfId="25881"/>
    <cellStyle name="20% - Accent5 6 9 4" xfId="4409"/>
    <cellStyle name="20% - Accent5 6 9 4 2" xfId="6147"/>
    <cellStyle name="20% - Accent5 6 9 4 2 2" xfId="25884"/>
    <cellStyle name="20% - Accent5 6 9 4 3" xfId="9502"/>
    <cellStyle name="20% - Accent5 6 9 4 4" xfId="25883"/>
    <cellStyle name="20% - Accent5 6 9 5" xfId="6144"/>
    <cellStyle name="20% - Accent5 6 9 5 2" xfId="25885"/>
    <cellStyle name="20% - Accent5 6 9 6" xfId="9499"/>
    <cellStyle name="20% - Accent5 6 9 6 2" xfId="25886"/>
    <cellStyle name="20% - Accent5 6 9 7" xfId="24957"/>
    <cellStyle name="20% - Accent5 6 9 8" xfId="25878"/>
    <cellStyle name="20% - Accent5 6 9 9" xfId="28513"/>
    <cellStyle name="20% - Accent5 7" xfId="377"/>
    <cellStyle name="20% - Accent5 7 10" xfId="9503"/>
    <cellStyle name="20% - Accent5 7 10 2" xfId="9504"/>
    <cellStyle name="20% - Accent5 7 10 3" xfId="9505"/>
    <cellStyle name="20% - Accent5 7 11" xfId="9506"/>
    <cellStyle name="20% - Accent5 7 11 2" xfId="9507"/>
    <cellStyle name="20% - Accent5 7 11 3" xfId="9508"/>
    <cellStyle name="20% - Accent5 7 12" xfId="9509"/>
    <cellStyle name="20% - Accent5 7 12 2" xfId="9510"/>
    <cellStyle name="20% - Accent5 7 12 3" xfId="9511"/>
    <cellStyle name="20% - Accent5 7 13" xfId="9512"/>
    <cellStyle name="20% - Accent5 7 14" xfId="9513"/>
    <cellStyle name="20% - Accent5 7 15" xfId="9514"/>
    <cellStyle name="20% - Accent5 7 16" xfId="9515"/>
    <cellStyle name="20% - Accent5 7 2" xfId="4410"/>
    <cellStyle name="20% - Accent5 7 2 2" xfId="9517"/>
    <cellStyle name="20% - Accent5 7 2 3" xfId="9518"/>
    <cellStyle name="20% - Accent5 7 2 4" xfId="9516"/>
    <cellStyle name="20% - Accent5 7 3" xfId="9519"/>
    <cellStyle name="20% - Accent5 7 3 2" xfId="9520"/>
    <cellStyle name="20% - Accent5 7 3 3" xfId="9521"/>
    <cellStyle name="20% - Accent5 7 4" xfId="9522"/>
    <cellStyle name="20% - Accent5 7 4 2" xfId="9523"/>
    <cellStyle name="20% - Accent5 7 4 3" xfId="9524"/>
    <cellStyle name="20% - Accent5 7 5" xfId="9525"/>
    <cellStyle name="20% - Accent5 7 5 2" xfId="9526"/>
    <cellStyle name="20% - Accent5 7 5 3" xfId="9527"/>
    <cellStyle name="20% - Accent5 7 6" xfId="9528"/>
    <cellStyle name="20% - Accent5 7 6 2" xfId="9529"/>
    <cellStyle name="20% - Accent5 7 6 3" xfId="9530"/>
    <cellStyle name="20% - Accent5 7 7" xfId="9531"/>
    <cellStyle name="20% - Accent5 7 7 2" xfId="9532"/>
    <cellStyle name="20% - Accent5 7 7 3" xfId="9533"/>
    <cellStyle name="20% - Accent5 7 8" xfId="9534"/>
    <cellStyle name="20% - Accent5 7 8 2" xfId="9535"/>
    <cellStyle name="20% - Accent5 7 8 3" xfId="9536"/>
    <cellStyle name="20% - Accent5 7 9" xfId="9537"/>
    <cellStyle name="20% - Accent5 7 9 2" xfId="9538"/>
    <cellStyle name="20% - Accent5 7 9 3" xfId="9539"/>
    <cellStyle name="20% - Accent5 8" xfId="532"/>
    <cellStyle name="20% - Accent5 8 10" xfId="24849"/>
    <cellStyle name="20% - Accent5 8 11" xfId="25887"/>
    <cellStyle name="20% - Accent5 8 12" xfId="28514"/>
    <cellStyle name="20% - Accent5 8 2" xfId="1380"/>
    <cellStyle name="20% - Accent5 8 2 10" xfId="25888"/>
    <cellStyle name="20% - Accent5 8 2 11" xfId="28515"/>
    <cellStyle name="20% - Accent5 8 2 2" xfId="4180"/>
    <cellStyle name="20% - Accent5 8 2 2 2" xfId="5362"/>
    <cellStyle name="20% - Accent5 8 2 2 2 2" xfId="6151"/>
    <cellStyle name="20% - Accent5 8 2 2 2 2 2" xfId="25891"/>
    <cellStyle name="20% - Accent5 8 2 2 2 3" xfId="9543"/>
    <cellStyle name="20% - Accent5 8 2 2 2 4" xfId="25890"/>
    <cellStyle name="20% - Accent5 8 2 2 3" xfId="5672"/>
    <cellStyle name="20% - Accent5 8 2 2 3 2" xfId="6152"/>
    <cellStyle name="20% - Accent5 8 2 2 3 2 2" xfId="25893"/>
    <cellStyle name="20% - Accent5 8 2 2 3 3" xfId="25892"/>
    <cellStyle name="20% - Accent5 8 2 2 4" xfId="4413"/>
    <cellStyle name="20% - Accent5 8 2 2 4 2" xfId="6153"/>
    <cellStyle name="20% - Accent5 8 2 2 4 2 2" xfId="25895"/>
    <cellStyle name="20% - Accent5 8 2 2 4 3" xfId="25894"/>
    <cellStyle name="20% - Accent5 8 2 2 5" xfId="6150"/>
    <cellStyle name="20% - Accent5 8 2 2 5 2" xfId="25896"/>
    <cellStyle name="20% - Accent5 8 2 2 6" xfId="9542"/>
    <cellStyle name="20% - Accent5 8 2 2 6 2" xfId="25897"/>
    <cellStyle name="20% - Accent5 8 2 2 7" xfId="25032"/>
    <cellStyle name="20% - Accent5 8 2 2 8" xfId="25889"/>
    <cellStyle name="20% - Accent5 8 2 2 9" xfId="28516"/>
    <cellStyle name="20% - Accent5 8 2 3" xfId="5361"/>
    <cellStyle name="20% - Accent5 8 2 3 2" xfId="6154"/>
    <cellStyle name="20% - Accent5 8 2 3 2 2" xfId="25899"/>
    <cellStyle name="20% - Accent5 8 2 3 3" xfId="9544"/>
    <cellStyle name="20% - Accent5 8 2 3 4" xfId="25898"/>
    <cellStyle name="20% - Accent5 8 2 4" xfId="5671"/>
    <cellStyle name="20% - Accent5 8 2 4 2" xfId="6155"/>
    <cellStyle name="20% - Accent5 8 2 4 2 2" xfId="25901"/>
    <cellStyle name="20% - Accent5 8 2 4 3" xfId="9545"/>
    <cellStyle name="20% - Accent5 8 2 4 4" xfId="25900"/>
    <cellStyle name="20% - Accent5 8 2 5" xfId="4412"/>
    <cellStyle name="20% - Accent5 8 2 5 2" xfId="6156"/>
    <cellStyle name="20% - Accent5 8 2 5 2 2" xfId="9547"/>
    <cellStyle name="20% - Accent5 8 2 5 2 2 2" xfId="25904"/>
    <cellStyle name="20% - Accent5 8 2 5 2 3" xfId="25903"/>
    <cellStyle name="20% - Accent5 8 2 5 2 4" xfId="28518"/>
    <cellStyle name="20% - Accent5 8 2 5 3" xfId="9548"/>
    <cellStyle name="20% - Accent5 8 2 5 3 2" xfId="25905"/>
    <cellStyle name="20% - Accent5 8 2 5 3 3" xfId="28519"/>
    <cellStyle name="20% - Accent5 8 2 5 4" xfId="9546"/>
    <cellStyle name="20% - Accent5 8 2 5 4 2" xfId="25906"/>
    <cellStyle name="20% - Accent5 8 2 5 5" xfId="25902"/>
    <cellStyle name="20% - Accent5 8 2 5 6" xfId="28517"/>
    <cellStyle name="20% - Accent5 8 2 6" xfId="6149"/>
    <cellStyle name="20% - Accent5 8 2 6 2" xfId="9549"/>
    <cellStyle name="20% - Accent5 8 2 6 2 2" xfId="25908"/>
    <cellStyle name="20% - Accent5 8 2 6 3" xfId="25907"/>
    <cellStyle name="20% - Accent5 8 2 6 4" xfId="28520"/>
    <cellStyle name="20% - Accent5 8 2 7" xfId="9550"/>
    <cellStyle name="20% - Accent5 8 2 7 2" xfId="25909"/>
    <cellStyle name="20% - Accent5 8 2 7 3" xfId="28521"/>
    <cellStyle name="20% - Accent5 8 2 8" xfId="9541"/>
    <cellStyle name="20% - Accent5 8 2 8 2" xfId="25910"/>
    <cellStyle name="20% - Accent5 8 2 9" xfId="24912"/>
    <cellStyle name="20% - Accent5 8 3" xfId="3835"/>
    <cellStyle name="20% - Accent5 8 3 2" xfId="5363"/>
    <cellStyle name="20% - Accent5 8 3 2 2" xfId="6158"/>
    <cellStyle name="20% - Accent5 8 3 2 2 2" xfId="25913"/>
    <cellStyle name="20% - Accent5 8 3 2 3" xfId="9552"/>
    <cellStyle name="20% - Accent5 8 3 2 4" xfId="25912"/>
    <cellStyle name="20% - Accent5 8 3 3" xfId="5673"/>
    <cellStyle name="20% - Accent5 8 3 3 2" xfId="6159"/>
    <cellStyle name="20% - Accent5 8 3 3 2 2" xfId="25915"/>
    <cellStyle name="20% - Accent5 8 3 3 3" xfId="25914"/>
    <cellStyle name="20% - Accent5 8 3 4" xfId="4414"/>
    <cellStyle name="20% - Accent5 8 3 4 2" xfId="6160"/>
    <cellStyle name="20% - Accent5 8 3 4 2 2" xfId="25917"/>
    <cellStyle name="20% - Accent5 8 3 4 3" xfId="25916"/>
    <cellStyle name="20% - Accent5 8 3 5" xfId="6157"/>
    <cellStyle name="20% - Accent5 8 3 5 2" xfId="25918"/>
    <cellStyle name="20% - Accent5 8 3 6" xfId="9551"/>
    <cellStyle name="20% - Accent5 8 3 6 2" xfId="25919"/>
    <cellStyle name="20% - Accent5 8 3 7" xfId="24971"/>
    <cellStyle name="20% - Accent5 8 3 8" xfId="25911"/>
    <cellStyle name="20% - Accent5 8 3 9" xfId="28522"/>
    <cellStyle name="20% - Accent5 8 4" xfId="5360"/>
    <cellStyle name="20% - Accent5 8 4 2" xfId="6161"/>
    <cellStyle name="20% - Accent5 8 4 2 2" xfId="25921"/>
    <cellStyle name="20% - Accent5 8 4 3" xfId="9553"/>
    <cellStyle name="20% - Accent5 8 4 4" xfId="25920"/>
    <cellStyle name="20% - Accent5 8 5" xfId="5670"/>
    <cellStyle name="20% - Accent5 8 5 2" xfId="6162"/>
    <cellStyle name="20% - Accent5 8 5 2 2" xfId="25923"/>
    <cellStyle name="20% - Accent5 8 5 3" xfId="9554"/>
    <cellStyle name="20% - Accent5 8 5 4" xfId="25922"/>
    <cellStyle name="20% - Accent5 8 6" xfId="4411"/>
    <cellStyle name="20% - Accent5 8 6 2" xfId="6163"/>
    <cellStyle name="20% - Accent5 8 6 2 2" xfId="9556"/>
    <cellStyle name="20% - Accent5 8 6 2 2 2" xfId="25926"/>
    <cellStyle name="20% - Accent5 8 6 2 3" xfId="25925"/>
    <cellStyle name="20% - Accent5 8 6 2 4" xfId="28524"/>
    <cellStyle name="20% - Accent5 8 6 3" xfId="9557"/>
    <cellStyle name="20% - Accent5 8 6 3 2" xfId="25927"/>
    <cellStyle name="20% - Accent5 8 6 3 3" xfId="28525"/>
    <cellStyle name="20% - Accent5 8 6 4" xfId="9555"/>
    <cellStyle name="20% - Accent5 8 6 4 2" xfId="25928"/>
    <cellStyle name="20% - Accent5 8 6 5" xfId="25924"/>
    <cellStyle name="20% - Accent5 8 6 6" xfId="28523"/>
    <cellStyle name="20% - Accent5 8 7" xfId="6148"/>
    <cellStyle name="20% - Accent5 8 7 2" xfId="9558"/>
    <cellStyle name="20% - Accent5 8 7 2 2" xfId="25930"/>
    <cellStyle name="20% - Accent5 8 7 3" xfId="25929"/>
    <cellStyle name="20% - Accent5 8 7 4" xfId="28526"/>
    <cellStyle name="20% - Accent5 8 8" xfId="9559"/>
    <cellStyle name="20% - Accent5 8 8 2" xfId="25931"/>
    <cellStyle name="20% - Accent5 8 8 3" xfId="28527"/>
    <cellStyle name="20% - Accent5 8 9" xfId="9540"/>
    <cellStyle name="20% - Accent5 8 9 2" xfId="25932"/>
    <cellStyle name="20% - Accent5 9" xfId="533"/>
    <cellStyle name="20% - Accent5 9 2" xfId="4415"/>
    <cellStyle name="20% - Accent5 9 2 2" xfId="9561"/>
    <cellStyle name="20% - Accent5 9 2 3" xfId="9562"/>
    <cellStyle name="20% - Accent5 9 2 4" xfId="9560"/>
    <cellStyle name="20% - Accent5 9 3" xfId="9563"/>
    <cellStyle name="20% - Accent5 9 4" xfId="9564"/>
    <cellStyle name="20% - Accent5 9 5" xfId="9565"/>
    <cellStyle name="20% - Accent5 9 6" xfId="9566"/>
    <cellStyle name="20% - Accent6" xfId="7112" builtinId="50" customBuiltin="1"/>
    <cellStyle name="20% - Accent6 10" xfId="660"/>
    <cellStyle name="20% - Accent6 10 2" xfId="4416"/>
    <cellStyle name="20% - Accent6 10 2 2" xfId="9567"/>
    <cellStyle name="20% - Accent6 10 3" xfId="9568"/>
    <cellStyle name="20% - Accent6 10 4" xfId="9569"/>
    <cellStyle name="20% - Accent6 10 5" xfId="9570"/>
    <cellStyle name="20% - Accent6 11" xfId="661"/>
    <cellStyle name="20% - Accent6 11 2" xfId="4417"/>
    <cellStyle name="20% - Accent6 11 2 2" xfId="9571"/>
    <cellStyle name="20% - Accent6 11 3" xfId="9572"/>
    <cellStyle name="20% - Accent6 11 4" xfId="9573"/>
    <cellStyle name="20% - Accent6 11 5" xfId="9574"/>
    <cellStyle name="20% - Accent6 12" xfId="813"/>
    <cellStyle name="20% - Accent6 12 2" xfId="9576"/>
    <cellStyle name="20% - Accent6 12 3" xfId="9577"/>
    <cellStyle name="20% - Accent6 12 4" xfId="9575"/>
    <cellStyle name="20% - Accent6 13" xfId="814"/>
    <cellStyle name="20% - Accent6 13 2" xfId="3850"/>
    <cellStyle name="20% - Accent6 13 2 2" xfId="6165"/>
    <cellStyle name="20% - Accent6 13 2 2 2" xfId="25935"/>
    <cellStyle name="20% - Accent6 13 2 3" xfId="9579"/>
    <cellStyle name="20% - Accent6 13 2 4" xfId="24986"/>
    <cellStyle name="20% - Accent6 13 2 5" xfId="25934"/>
    <cellStyle name="20% - Accent6 13 3" xfId="6164"/>
    <cellStyle name="20% - Accent6 13 3 2" xfId="9580"/>
    <cellStyle name="20% - Accent6 13 3 3" xfId="25936"/>
    <cellStyle name="20% - Accent6 13 4" xfId="9578"/>
    <cellStyle name="20% - Accent6 13 5" xfId="24865"/>
    <cellStyle name="20% - Accent6 13 6" xfId="25933"/>
    <cellStyle name="20% - Accent6 14" xfId="931"/>
    <cellStyle name="20% - Accent6 14 2" xfId="9582"/>
    <cellStyle name="20% - Accent6 14 3" xfId="9583"/>
    <cellStyle name="20% - Accent6 14 4" xfId="9581"/>
    <cellStyle name="20% - Accent6 15" xfId="9584"/>
    <cellStyle name="20% - Accent6 15 2" xfId="9585"/>
    <cellStyle name="20% - Accent6 15 3" xfId="9586"/>
    <cellStyle name="20% - Accent6 16" xfId="9587"/>
    <cellStyle name="20% - Accent6 16 2" xfId="9588"/>
    <cellStyle name="20% - Accent6 16 3" xfId="9589"/>
    <cellStyle name="20% - Accent6 17" xfId="9590"/>
    <cellStyle name="20% - Accent6 17 2" xfId="9591"/>
    <cellStyle name="20% - Accent6 17 3" xfId="9592"/>
    <cellStyle name="20% - Accent6 18" xfId="9593"/>
    <cellStyle name="20% - Accent6 18 2" xfId="9594"/>
    <cellStyle name="20% - Accent6 18 3" xfId="9595"/>
    <cellStyle name="20% - Accent6 19" xfId="9596"/>
    <cellStyle name="20% - Accent6 19 2" xfId="9597"/>
    <cellStyle name="20% - Accent6 2" xfId="73"/>
    <cellStyle name="20% - Accent6 2 10" xfId="1672"/>
    <cellStyle name="20% - Accent6 2 10 2" xfId="4418"/>
    <cellStyle name="20% - Accent6 2 10 2 2" xfId="9598"/>
    <cellStyle name="20% - Accent6 2 10 3" xfId="9599"/>
    <cellStyle name="20% - Accent6 2 10 4" xfId="9600"/>
    <cellStyle name="20% - Accent6 2 10 5" xfId="9601"/>
    <cellStyle name="20% - Accent6 2 11" xfId="1846"/>
    <cellStyle name="20% - Accent6 2 11 2" xfId="4419"/>
    <cellStyle name="20% - Accent6 2 11 2 2" xfId="9602"/>
    <cellStyle name="20% - Accent6 2 11 3" xfId="9603"/>
    <cellStyle name="20% - Accent6 2 11 4" xfId="9604"/>
    <cellStyle name="20% - Accent6 2 11 5" xfId="9605"/>
    <cellStyle name="20% - Accent6 2 12" xfId="2298"/>
    <cellStyle name="20% - Accent6 2 12 2" xfId="4420"/>
    <cellStyle name="20% - Accent6 2 12 2 2" xfId="9606"/>
    <cellStyle name="20% - Accent6 2 12 3" xfId="9607"/>
    <cellStyle name="20% - Accent6 2 12 4" xfId="9608"/>
    <cellStyle name="20% - Accent6 2 12 5" xfId="9609"/>
    <cellStyle name="20% - Accent6 2 13" xfId="2671"/>
    <cellStyle name="20% - Accent6 2 13 2" xfId="4421"/>
    <cellStyle name="20% - Accent6 2 13 2 2" xfId="9610"/>
    <cellStyle name="20% - Accent6 2 13 3" xfId="9611"/>
    <cellStyle name="20% - Accent6 2 13 4" xfId="9612"/>
    <cellStyle name="20% - Accent6 2 13 5" xfId="9613"/>
    <cellStyle name="20% - Accent6 2 14" xfId="2967"/>
    <cellStyle name="20% - Accent6 2 14 2" xfId="4422"/>
    <cellStyle name="20% - Accent6 2 14 2 2" xfId="9614"/>
    <cellStyle name="20% - Accent6 2 14 3" xfId="9615"/>
    <cellStyle name="20% - Accent6 2 14 4" xfId="9616"/>
    <cellStyle name="20% - Accent6 2 14 5" xfId="9617"/>
    <cellStyle name="20% - Accent6 2 15" xfId="3339"/>
    <cellStyle name="20% - Accent6 2 15 2" xfId="4423"/>
    <cellStyle name="20% - Accent6 2 15 2 2" xfId="9618"/>
    <cellStyle name="20% - Accent6 2 15 3" xfId="9619"/>
    <cellStyle name="20% - Accent6 2 16" xfId="3637"/>
    <cellStyle name="20% - Accent6 2 16 2" xfId="4424"/>
    <cellStyle name="20% - Accent6 2 16 2 2" xfId="9620"/>
    <cellStyle name="20% - Accent6 2 16 3" xfId="9621"/>
    <cellStyle name="20% - Accent6 2 17" xfId="24472"/>
    <cellStyle name="20% - Accent6 2 2" xfId="117"/>
    <cellStyle name="20% - Accent6 2 2 10" xfId="9622"/>
    <cellStyle name="20% - Accent6 2 2 10 2" xfId="9623"/>
    <cellStyle name="20% - Accent6 2 2 10 3" xfId="9624"/>
    <cellStyle name="20% - Accent6 2 2 11" xfId="9625"/>
    <cellStyle name="20% - Accent6 2 2 11 2" xfId="9626"/>
    <cellStyle name="20% - Accent6 2 2 11 3" xfId="9627"/>
    <cellStyle name="20% - Accent6 2 2 12" xfId="9628"/>
    <cellStyle name="20% - Accent6 2 2 12 2" xfId="9629"/>
    <cellStyle name="20% - Accent6 2 2 12 3" xfId="9630"/>
    <cellStyle name="20% - Accent6 2 2 13" xfId="9631"/>
    <cellStyle name="20% - Accent6 2 2 14" xfId="9632"/>
    <cellStyle name="20% - Accent6 2 2 15" xfId="9633"/>
    <cellStyle name="20% - Accent6 2 2 16" xfId="24572"/>
    <cellStyle name="20% - Accent6 2 2 2" xfId="191"/>
    <cellStyle name="20% - Accent6 2 2 2 2" xfId="9634"/>
    <cellStyle name="20% - Accent6 2 2 2 3" xfId="9635"/>
    <cellStyle name="20% - Accent6 2 2 3" xfId="355"/>
    <cellStyle name="20% - Accent6 2 2 3 2" xfId="9636"/>
    <cellStyle name="20% - Accent6 2 2 3 3" xfId="9637"/>
    <cellStyle name="20% - Accent6 2 2 4" xfId="2177"/>
    <cellStyle name="20% - Accent6 2 2 4 2" xfId="9638"/>
    <cellStyle name="20% - Accent6 2 2 4 3" xfId="9639"/>
    <cellStyle name="20% - Accent6 2 2 5" xfId="2551"/>
    <cellStyle name="20% - Accent6 2 2 5 2" xfId="9640"/>
    <cellStyle name="20% - Accent6 2 2 5 3" xfId="9641"/>
    <cellStyle name="20% - Accent6 2 2 6" xfId="2923"/>
    <cellStyle name="20% - Accent6 2 2 6 2" xfId="9642"/>
    <cellStyle name="20% - Accent6 2 2 6 3" xfId="9643"/>
    <cellStyle name="20% - Accent6 2 2 7" xfId="3295"/>
    <cellStyle name="20% - Accent6 2 2 7 2" xfId="9644"/>
    <cellStyle name="20% - Accent6 2 2 7 3" xfId="9645"/>
    <cellStyle name="20% - Accent6 2 2 8" xfId="4425"/>
    <cellStyle name="20% - Accent6 2 2 8 2" xfId="9647"/>
    <cellStyle name="20% - Accent6 2 2 8 3" xfId="9648"/>
    <cellStyle name="20% - Accent6 2 2 8 4" xfId="9646"/>
    <cellStyle name="20% - Accent6 2 2 9" xfId="9649"/>
    <cellStyle name="20% - Accent6 2 2 9 2" xfId="9650"/>
    <cellStyle name="20% - Accent6 2 2 9 3" xfId="9651"/>
    <cellStyle name="20% - Accent6 2 3" xfId="282"/>
    <cellStyle name="20% - Accent6 2 3 2" xfId="1353"/>
    <cellStyle name="20% - Accent6 2 3 2 2" xfId="9652"/>
    <cellStyle name="20% - Accent6 2 3 2 3" xfId="9653"/>
    <cellStyle name="20% - Accent6 2 3 3" xfId="9654"/>
    <cellStyle name="20% - Accent6 2 3 4" xfId="9655"/>
    <cellStyle name="20% - Accent6 2 4" xfId="378"/>
    <cellStyle name="20% - Accent6 2 4 2" xfId="9656"/>
    <cellStyle name="20% - Accent6 2 4 2 2" xfId="9657"/>
    <cellStyle name="20% - Accent6 2 4 2 3" xfId="9658"/>
    <cellStyle name="20% - Accent6 2 4 3" xfId="9659"/>
    <cellStyle name="20% - Accent6 2 4 4" xfId="9660"/>
    <cellStyle name="20% - Accent6 2 5" xfId="534"/>
    <cellStyle name="20% - Accent6 2 5 2" xfId="9661"/>
    <cellStyle name="20% - Accent6 2 5 3" xfId="9662"/>
    <cellStyle name="20% - Accent6 2 6" xfId="662"/>
    <cellStyle name="20% - Accent6 2 6 2" xfId="9663"/>
    <cellStyle name="20% - Accent6 2 6 3" xfId="9664"/>
    <cellStyle name="20% - Accent6 2 7" xfId="663"/>
    <cellStyle name="20% - Accent6 2 7 2" xfId="9665"/>
    <cellStyle name="20% - Accent6 2 7 3" xfId="9666"/>
    <cellStyle name="20% - Accent6 2 8" xfId="815"/>
    <cellStyle name="20% - Accent6 2 8 2" xfId="1401"/>
    <cellStyle name="20% - Accent6 2 8 2 2" xfId="9667"/>
    <cellStyle name="20% - Accent6 2 8 3" xfId="9668"/>
    <cellStyle name="20% - Accent6 2 8 4" xfId="9669"/>
    <cellStyle name="20% - Accent6 2 8 5" xfId="9670"/>
    <cellStyle name="20% - Accent6 2 9" xfId="932"/>
    <cellStyle name="20% - Accent6 2 9 2" xfId="1489"/>
    <cellStyle name="20% - Accent6 2 9 2 2" xfId="9671"/>
    <cellStyle name="20% - Accent6 2 9 3" xfId="9672"/>
    <cellStyle name="20% - Accent6 2 9 4" xfId="9673"/>
    <cellStyle name="20% - Accent6 2 9 5" xfId="9674"/>
    <cellStyle name="20% - Accent6 20" xfId="9675"/>
    <cellStyle name="20% - Accent6 21" xfId="9676"/>
    <cellStyle name="20% - Accent6 21 2" xfId="9677"/>
    <cellStyle name="20% - Accent6 21 2 2" xfId="9678"/>
    <cellStyle name="20% - Accent6 21 2 2 2" xfId="25939"/>
    <cellStyle name="20% - Accent6 21 2 2 3" xfId="28530"/>
    <cellStyle name="20% - Accent6 21 2 3" xfId="9679"/>
    <cellStyle name="20% - Accent6 21 2 3 2" xfId="25940"/>
    <cellStyle name="20% - Accent6 21 2 3 3" xfId="28531"/>
    <cellStyle name="20% - Accent6 21 2 4" xfId="25938"/>
    <cellStyle name="20% - Accent6 21 2 5" xfId="28529"/>
    <cellStyle name="20% - Accent6 21 3" xfId="9680"/>
    <cellStyle name="20% - Accent6 21 3 2" xfId="25941"/>
    <cellStyle name="20% - Accent6 21 3 3" xfId="28532"/>
    <cellStyle name="20% - Accent6 21 4" xfId="9681"/>
    <cellStyle name="20% - Accent6 21 4 2" xfId="25942"/>
    <cellStyle name="20% - Accent6 21 4 3" xfId="28533"/>
    <cellStyle name="20% - Accent6 21 5" xfId="25937"/>
    <cellStyle name="20% - Accent6 21 6" xfId="28528"/>
    <cellStyle name="20% - Accent6 22" xfId="9682"/>
    <cellStyle name="20% - Accent6 22 2" xfId="9683"/>
    <cellStyle name="20% - Accent6 22 2 2" xfId="9684"/>
    <cellStyle name="20% - Accent6 22 2 2 2" xfId="25945"/>
    <cellStyle name="20% - Accent6 22 2 2 3" xfId="28536"/>
    <cellStyle name="20% - Accent6 22 2 3" xfId="9685"/>
    <cellStyle name="20% - Accent6 22 2 3 2" xfId="25946"/>
    <cellStyle name="20% - Accent6 22 2 3 3" xfId="28537"/>
    <cellStyle name="20% - Accent6 22 2 4" xfId="25944"/>
    <cellStyle name="20% - Accent6 22 2 5" xfId="28535"/>
    <cellStyle name="20% - Accent6 22 3" xfId="9686"/>
    <cellStyle name="20% - Accent6 22 3 2" xfId="25947"/>
    <cellStyle name="20% - Accent6 22 3 3" xfId="28538"/>
    <cellStyle name="20% - Accent6 22 4" xfId="9687"/>
    <cellStyle name="20% - Accent6 22 4 2" xfId="25948"/>
    <cellStyle name="20% - Accent6 22 4 3" xfId="28539"/>
    <cellStyle name="20% - Accent6 22 5" xfId="25943"/>
    <cellStyle name="20% - Accent6 22 6" xfId="28534"/>
    <cellStyle name="20% - Accent6 23" xfId="9688"/>
    <cellStyle name="20% - Accent6 24" xfId="9689"/>
    <cellStyle name="20% - Accent6 24 2" xfId="9690"/>
    <cellStyle name="20% - Accent6 24 2 2" xfId="9691"/>
    <cellStyle name="20% - Accent6 24 2 2 2" xfId="25951"/>
    <cellStyle name="20% - Accent6 24 2 2 3" xfId="28542"/>
    <cellStyle name="20% - Accent6 24 2 3" xfId="9692"/>
    <cellStyle name="20% - Accent6 24 2 3 2" xfId="25952"/>
    <cellStyle name="20% - Accent6 24 2 3 3" xfId="28543"/>
    <cellStyle name="20% - Accent6 24 2 4" xfId="25950"/>
    <cellStyle name="20% - Accent6 24 2 5" xfId="28541"/>
    <cellStyle name="20% - Accent6 24 3" xfId="9693"/>
    <cellStyle name="20% - Accent6 24 3 2" xfId="25953"/>
    <cellStyle name="20% - Accent6 24 3 3" xfId="28544"/>
    <cellStyle name="20% - Accent6 24 4" xfId="9694"/>
    <cellStyle name="20% - Accent6 24 4 2" xfId="25954"/>
    <cellStyle name="20% - Accent6 24 4 3" xfId="28545"/>
    <cellStyle name="20% - Accent6 24 5" xfId="25949"/>
    <cellStyle name="20% - Accent6 24 6" xfId="28540"/>
    <cellStyle name="20% - Accent6 25" xfId="9695"/>
    <cellStyle name="20% - Accent6 25 2" xfId="9696"/>
    <cellStyle name="20% - Accent6 25 2 2" xfId="9697"/>
    <cellStyle name="20% - Accent6 25 2 2 2" xfId="25957"/>
    <cellStyle name="20% - Accent6 25 2 2 3" xfId="28548"/>
    <cellStyle name="20% - Accent6 25 2 3" xfId="9698"/>
    <cellStyle name="20% - Accent6 25 2 3 2" xfId="25958"/>
    <cellStyle name="20% - Accent6 25 2 3 3" xfId="28549"/>
    <cellStyle name="20% - Accent6 25 2 4" xfId="25956"/>
    <cellStyle name="20% - Accent6 25 2 5" xfId="28547"/>
    <cellStyle name="20% - Accent6 25 3" xfId="9699"/>
    <cellStyle name="20% - Accent6 25 3 2" xfId="25959"/>
    <cellStyle name="20% - Accent6 25 3 3" xfId="28550"/>
    <cellStyle name="20% - Accent6 25 4" xfId="9700"/>
    <cellStyle name="20% - Accent6 25 4 2" xfId="25960"/>
    <cellStyle name="20% - Accent6 25 4 3" xfId="28551"/>
    <cellStyle name="20% - Accent6 25 5" xfId="25955"/>
    <cellStyle name="20% - Accent6 25 6" xfId="28546"/>
    <cellStyle name="20% - Accent6 26" xfId="9701"/>
    <cellStyle name="20% - Accent6 27" xfId="9702"/>
    <cellStyle name="20% - Accent6 27 2" xfId="9703"/>
    <cellStyle name="20% - Accent6 27 2 2" xfId="9704"/>
    <cellStyle name="20% - Accent6 27 2 2 2" xfId="25963"/>
    <cellStyle name="20% - Accent6 27 2 2 3" xfId="28554"/>
    <cellStyle name="20% - Accent6 27 2 3" xfId="9705"/>
    <cellStyle name="20% - Accent6 27 2 3 2" xfId="25964"/>
    <cellStyle name="20% - Accent6 27 2 3 3" xfId="28555"/>
    <cellStyle name="20% - Accent6 27 2 4" xfId="25962"/>
    <cellStyle name="20% - Accent6 27 2 5" xfId="28553"/>
    <cellStyle name="20% - Accent6 27 3" xfId="9706"/>
    <cellStyle name="20% - Accent6 27 3 2" xfId="25965"/>
    <cellStyle name="20% - Accent6 27 3 3" xfId="28556"/>
    <cellStyle name="20% - Accent6 27 4" xfId="9707"/>
    <cellStyle name="20% - Accent6 27 4 2" xfId="25966"/>
    <cellStyle name="20% - Accent6 27 4 3" xfId="28557"/>
    <cellStyle name="20% - Accent6 27 5" xfId="25961"/>
    <cellStyle name="20% - Accent6 27 6" xfId="28552"/>
    <cellStyle name="20% - Accent6 28" xfId="9708"/>
    <cellStyle name="20% - Accent6 28 2" xfId="9709"/>
    <cellStyle name="20% - Accent6 28 2 2" xfId="25968"/>
    <cellStyle name="20% - Accent6 28 2 3" xfId="28559"/>
    <cellStyle name="20% - Accent6 28 3" xfId="9710"/>
    <cellStyle name="20% - Accent6 28 3 2" xfId="25969"/>
    <cellStyle name="20% - Accent6 28 3 3" xfId="28560"/>
    <cellStyle name="20% - Accent6 28 4" xfId="25967"/>
    <cellStyle name="20% - Accent6 28 5" xfId="28558"/>
    <cellStyle name="20% - Accent6 29" xfId="9711"/>
    <cellStyle name="20% - Accent6 29 2" xfId="25970"/>
    <cellStyle name="20% - Accent6 29 3" xfId="28561"/>
    <cellStyle name="20% - Accent6 3" xfId="232"/>
    <cellStyle name="20% - Accent6 3 10" xfId="3680"/>
    <cellStyle name="20% - Accent6 3 10 2" xfId="4426"/>
    <cellStyle name="20% - Accent6 3 10 2 2" xfId="9712"/>
    <cellStyle name="20% - Accent6 3 10 3" xfId="9713"/>
    <cellStyle name="20% - Accent6 3 10 4" xfId="9714"/>
    <cellStyle name="20% - Accent6 3 10 5" xfId="9715"/>
    <cellStyle name="20% - Accent6 3 11" xfId="9716"/>
    <cellStyle name="20% - Accent6 3 11 2" xfId="9717"/>
    <cellStyle name="20% - Accent6 3 11 3" xfId="9718"/>
    <cellStyle name="20% - Accent6 3 12" xfId="9719"/>
    <cellStyle name="20% - Accent6 3 12 2" xfId="9720"/>
    <cellStyle name="20% - Accent6 3 12 3" xfId="9721"/>
    <cellStyle name="20% - Accent6 3 13" xfId="9722"/>
    <cellStyle name="20% - Accent6 3 13 2" xfId="9723"/>
    <cellStyle name="20% - Accent6 3 13 3" xfId="9724"/>
    <cellStyle name="20% - Accent6 3 14" xfId="9725"/>
    <cellStyle name="20% - Accent6 3 15" xfId="9726"/>
    <cellStyle name="20% - Accent6 3 16" xfId="24507"/>
    <cellStyle name="20% - Accent6 3 2" xfId="1453"/>
    <cellStyle name="20% - Accent6 3 2 10" xfId="9727"/>
    <cellStyle name="20% - Accent6 3 2 10 2" xfId="9728"/>
    <cellStyle name="20% - Accent6 3 2 10 3" xfId="9729"/>
    <cellStyle name="20% - Accent6 3 2 11" xfId="9730"/>
    <cellStyle name="20% - Accent6 3 2 11 2" xfId="9731"/>
    <cellStyle name="20% - Accent6 3 2 11 3" xfId="9732"/>
    <cellStyle name="20% - Accent6 3 2 12" xfId="9733"/>
    <cellStyle name="20% - Accent6 3 2 12 2" xfId="9734"/>
    <cellStyle name="20% - Accent6 3 2 12 3" xfId="9735"/>
    <cellStyle name="20% - Accent6 3 2 13" xfId="9736"/>
    <cellStyle name="20% - Accent6 3 2 14" xfId="9737"/>
    <cellStyle name="20% - Accent6 3 2 15" xfId="9738"/>
    <cellStyle name="20% - Accent6 3 2 2" xfId="1843"/>
    <cellStyle name="20% - Accent6 3 2 2 2" xfId="9739"/>
    <cellStyle name="20% - Accent6 3 2 2 3" xfId="9740"/>
    <cellStyle name="20% - Accent6 3 2 3" xfId="2218"/>
    <cellStyle name="20% - Accent6 3 2 3 2" xfId="9741"/>
    <cellStyle name="20% - Accent6 3 2 3 3" xfId="9742"/>
    <cellStyle name="20% - Accent6 3 2 4" xfId="2592"/>
    <cellStyle name="20% - Accent6 3 2 4 2" xfId="9743"/>
    <cellStyle name="20% - Accent6 3 2 4 3" xfId="9744"/>
    <cellStyle name="20% - Accent6 3 2 5" xfId="2964"/>
    <cellStyle name="20% - Accent6 3 2 5 2" xfId="9745"/>
    <cellStyle name="20% - Accent6 3 2 5 3" xfId="9746"/>
    <cellStyle name="20% - Accent6 3 2 6" xfId="3336"/>
    <cellStyle name="20% - Accent6 3 2 6 2" xfId="9747"/>
    <cellStyle name="20% - Accent6 3 2 6 3" xfId="9748"/>
    <cellStyle name="20% - Accent6 3 2 7" xfId="4427"/>
    <cellStyle name="20% - Accent6 3 2 7 2" xfId="9750"/>
    <cellStyle name="20% - Accent6 3 2 7 3" xfId="9751"/>
    <cellStyle name="20% - Accent6 3 2 7 4" xfId="9749"/>
    <cellStyle name="20% - Accent6 3 2 8" xfId="9752"/>
    <cellStyle name="20% - Accent6 3 2 8 2" xfId="9753"/>
    <cellStyle name="20% - Accent6 3 2 8 3" xfId="9754"/>
    <cellStyle name="20% - Accent6 3 2 9" xfId="9755"/>
    <cellStyle name="20% - Accent6 3 2 9 2" xfId="9756"/>
    <cellStyle name="20% - Accent6 3 2 9 3" xfId="9757"/>
    <cellStyle name="20% - Accent6 3 3" xfId="1580"/>
    <cellStyle name="20% - Accent6 3 3 2" xfId="1920"/>
    <cellStyle name="20% - Accent6 3 3 3" xfId="2295"/>
    <cellStyle name="20% - Accent6 3 3 4" xfId="2668"/>
    <cellStyle name="20% - Accent6 3 3 5" xfId="3041"/>
    <cellStyle name="20% - Accent6 3 3 6" xfId="3412"/>
    <cellStyle name="20% - Accent6 3 3 7" xfId="4428"/>
    <cellStyle name="20% - Accent6 3 4" xfId="1717"/>
    <cellStyle name="20% - Accent6 3 4 2" xfId="1964"/>
    <cellStyle name="20% - Accent6 3 4 3" xfId="2339"/>
    <cellStyle name="20% - Accent6 3 4 4" xfId="2712"/>
    <cellStyle name="20% - Accent6 3 4 5" xfId="3085"/>
    <cellStyle name="20% - Accent6 3 4 6" xfId="3456"/>
    <cellStyle name="20% - Accent6 3 5" xfId="2052"/>
    <cellStyle name="20% - Accent6 3 5 2" xfId="9758"/>
    <cellStyle name="20% - Accent6 3 5 3" xfId="9759"/>
    <cellStyle name="20% - Accent6 3 5 4" xfId="9760"/>
    <cellStyle name="20% - Accent6 3 6" xfId="2426"/>
    <cellStyle name="20% - Accent6 3 6 2" xfId="9761"/>
    <cellStyle name="20% - Accent6 3 6 3" xfId="9762"/>
    <cellStyle name="20% - Accent6 3 6 4" xfId="9763"/>
    <cellStyle name="20% - Accent6 3 7" xfId="2798"/>
    <cellStyle name="20% - Accent6 3 7 2" xfId="9764"/>
    <cellStyle name="20% - Accent6 3 7 3" xfId="9765"/>
    <cellStyle name="20% - Accent6 3 7 4" xfId="9766"/>
    <cellStyle name="20% - Accent6 3 8" xfId="3169"/>
    <cellStyle name="20% - Accent6 3 8 2" xfId="9767"/>
    <cellStyle name="20% - Accent6 3 8 3" xfId="9768"/>
    <cellStyle name="20% - Accent6 3 8 4" xfId="9769"/>
    <cellStyle name="20% - Accent6 3 9" xfId="3544"/>
    <cellStyle name="20% - Accent6 3 9 2" xfId="4429"/>
    <cellStyle name="20% - Accent6 3 9 2 2" xfId="9770"/>
    <cellStyle name="20% - Accent6 3 9 3" xfId="9771"/>
    <cellStyle name="20% - Accent6 3 9 4" xfId="9772"/>
    <cellStyle name="20% - Accent6 3 9 5" xfId="9773"/>
    <cellStyle name="20% - Accent6 30" xfId="28147"/>
    <cellStyle name="20% - Accent6 4" xfId="240"/>
    <cellStyle name="20% - Accent6 4 10" xfId="3724"/>
    <cellStyle name="20% - Accent6 4 10 2" xfId="4431"/>
    <cellStyle name="20% - Accent6 4 10 2 2" xfId="9775"/>
    <cellStyle name="20% - Accent6 4 10 3" xfId="9776"/>
    <cellStyle name="20% - Accent6 4 10 4" xfId="9777"/>
    <cellStyle name="20% - Accent6 4 10 5" xfId="9778"/>
    <cellStyle name="20% - Accent6 4 11" xfId="1314"/>
    <cellStyle name="20% - Accent6 4 11 10" xfId="25971"/>
    <cellStyle name="20% - Accent6 4 11 11" xfId="28563"/>
    <cellStyle name="20% - Accent6 4 11 2" xfId="4154"/>
    <cellStyle name="20% - Accent6 4 11 2 2" xfId="5366"/>
    <cellStyle name="20% - Accent6 4 11 2 2 2" xfId="6168"/>
    <cellStyle name="20% - Accent6 4 11 2 2 2 2" xfId="25974"/>
    <cellStyle name="20% - Accent6 4 11 2 2 3" xfId="9781"/>
    <cellStyle name="20% - Accent6 4 11 2 2 4" xfId="25973"/>
    <cellStyle name="20% - Accent6 4 11 2 3" xfId="5676"/>
    <cellStyle name="20% - Accent6 4 11 2 3 2" xfId="6169"/>
    <cellStyle name="20% - Accent6 4 11 2 3 2 2" xfId="25976"/>
    <cellStyle name="20% - Accent6 4 11 2 3 3" xfId="25975"/>
    <cellStyle name="20% - Accent6 4 11 2 4" xfId="4433"/>
    <cellStyle name="20% - Accent6 4 11 2 4 2" xfId="6170"/>
    <cellStyle name="20% - Accent6 4 11 2 4 2 2" xfId="25978"/>
    <cellStyle name="20% - Accent6 4 11 2 4 3" xfId="25977"/>
    <cellStyle name="20% - Accent6 4 11 2 5" xfId="6167"/>
    <cellStyle name="20% - Accent6 4 11 2 5 2" xfId="25979"/>
    <cellStyle name="20% - Accent6 4 11 2 6" xfId="9780"/>
    <cellStyle name="20% - Accent6 4 11 2 6 2" xfId="25980"/>
    <cellStyle name="20% - Accent6 4 11 2 7" xfId="25006"/>
    <cellStyle name="20% - Accent6 4 11 2 8" xfId="25972"/>
    <cellStyle name="20% - Accent6 4 11 2 9" xfId="28564"/>
    <cellStyle name="20% - Accent6 4 11 3" xfId="5365"/>
    <cellStyle name="20% - Accent6 4 11 3 2" xfId="6171"/>
    <cellStyle name="20% - Accent6 4 11 3 2 2" xfId="25982"/>
    <cellStyle name="20% - Accent6 4 11 3 3" xfId="9782"/>
    <cellStyle name="20% - Accent6 4 11 3 4" xfId="25981"/>
    <cellStyle name="20% - Accent6 4 11 4" xfId="5675"/>
    <cellStyle name="20% - Accent6 4 11 4 2" xfId="6172"/>
    <cellStyle name="20% - Accent6 4 11 4 2 2" xfId="25984"/>
    <cellStyle name="20% - Accent6 4 11 4 3" xfId="9783"/>
    <cellStyle name="20% - Accent6 4 11 4 4" xfId="25983"/>
    <cellStyle name="20% - Accent6 4 11 5" xfId="4432"/>
    <cellStyle name="20% - Accent6 4 11 5 2" xfId="6173"/>
    <cellStyle name="20% - Accent6 4 11 5 2 2" xfId="9785"/>
    <cellStyle name="20% - Accent6 4 11 5 2 2 2" xfId="25987"/>
    <cellStyle name="20% - Accent6 4 11 5 2 3" xfId="25986"/>
    <cellStyle name="20% - Accent6 4 11 5 2 4" xfId="28566"/>
    <cellStyle name="20% - Accent6 4 11 5 3" xfId="9786"/>
    <cellStyle name="20% - Accent6 4 11 5 3 2" xfId="25988"/>
    <cellStyle name="20% - Accent6 4 11 5 3 3" xfId="28567"/>
    <cellStyle name="20% - Accent6 4 11 5 4" xfId="9784"/>
    <cellStyle name="20% - Accent6 4 11 5 4 2" xfId="25989"/>
    <cellStyle name="20% - Accent6 4 11 5 5" xfId="25985"/>
    <cellStyle name="20% - Accent6 4 11 5 6" xfId="28565"/>
    <cellStyle name="20% - Accent6 4 11 6" xfId="6166"/>
    <cellStyle name="20% - Accent6 4 11 6 2" xfId="9787"/>
    <cellStyle name="20% - Accent6 4 11 6 2 2" xfId="25991"/>
    <cellStyle name="20% - Accent6 4 11 6 3" xfId="25990"/>
    <cellStyle name="20% - Accent6 4 11 6 4" xfId="28568"/>
    <cellStyle name="20% - Accent6 4 11 7" xfId="9788"/>
    <cellStyle name="20% - Accent6 4 11 7 2" xfId="25992"/>
    <cellStyle name="20% - Accent6 4 11 7 3" xfId="28569"/>
    <cellStyle name="20% - Accent6 4 11 8" xfId="9779"/>
    <cellStyle name="20% - Accent6 4 11 8 2" xfId="25993"/>
    <cellStyle name="20% - Accent6 4 11 9" xfId="24886"/>
    <cellStyle name="20% - Accent6 4 12" xfId="4434"/>
    <cellStyle name="20% - Accent6 4 12 2" xfId="5367"/>
    <cellStyle name="20% - Accent6 4 12 2 2" xfId="6175"/>
    <cellStyle name="20% - Accent6 4 12 2 2 2" xfId="25996"/>
    <cellStyle name="20% - Accent6 4 12 2 3" xfId="9790"/>
    <cellStyle name="20% - Accent6 4 12 2 4" xfId="25995"/>
    <cellStyle name="20% - Accent6 4 12 3" xfId="5677"/>
    <cellStyle name="20% - Accent6 4 12 3 2" xfId="6176"/>
    <cellStyle name="20% - Accent6 4 12 3 2 2" xfId="25998"/>
    <cellStyle name="20% - Accent6 4 12 3 3" xfId="9791"/>
    <cellStyle name="20% - Accent6 4 12 3 4" xfId="25997"/>
    <cellStyle name="20% - Accent6 4 12 4" xfId="6174"/>
    <cellStyle name="20% - Accent6 4 12 4 2" xfId="9792"/>
    <cellStyle name="20% - Accent6 4 12 4 3" xfId="25999"/>
    <cellStyle name="20% - Accent6 4 12 5" xfId="9789"/>
    <cellStyle name="20% - Accent6 4 12 5 2" xfId="26000"/>
    <cellStyle name="20% - Accent6 4 12 6" xfId="25994"/>
    <cellStyle name="20% - Accent6 4 12 7" xfId="28570"/>
    <cellStyle name="20% - Accent6 4 13" xfId="5364"/>
    <cellStyle name="20% - Accent6 4 13 2" xfId="6177"/>
    <cellStyle name="20% - Accent6 4 13 2 2" xfId="9794"/>
    <cellStyle name="20% - Accent6 4 13 2 3" xfId="26002"/>
    <cellStyle name="20% - Accent6 4 13 3" xfId="9795"/>
    <cellStyle name="20% - Accent6 4 13 4" xfId="9793"/>
    <cellStyle name="20% - Accent6 4 13 5" xfId="26001"/>
    <cellStyle name="20% - Accent6 4 14" xfId="5674"/>
    <cellStyle name="20% - Accent6 4 14 2" xfId="6178"/>
    <cellStyle name="20% - Accent6 4 14 2 2" xfId="26004"/>
    <cellStyle name="20% - Accent6 4 14 3" xfId="9796"/>
    <cellStyle name="20% - Accent6 4 14 4" xfId="26003"/>
    <cellStyle name="20% - Accent6 4 15" xfId="4430"/>
    <cellStyle name="20% - Accent6 4 15 2" xfId="6179"/>
    <cellStyle name="20% - Accent6 4 15 2 2" xfId="26006"/>
    <cellStyle name="20% - Accent6 4 15 3" xfId="9797"/>
    <cellStyle name="20% - Accent6 4 15 4" xfId="26005"/>
    <cellStyle name="20% - Accent6 4 16" xfId="9798"/>
    <cellStyle name="20% - Accent6 4 17" xfId="9799"/>
    <cellStyle name="20% - Accent6 4 17 2" xfId="9800"/>
    <cellStyle name="20% - Accent6 4 17 2 2" xfId="26008"/>
    <cellStyle name="20% - Accent6 4 17 2 3" xfId="28572"/>
    <cellStyle name="20% - Accent6 4 17 3" xfId="9801"/>
    <cellStyle name="20% - Accent6 4 17 3 2" xfId="26009"/>
    <cellStyle name="20% - Accent6 4 17 3 3" xfId="28573"/>
    <cellStyle name="20% - Accent6 4 17 4" xfId="26007"/>
    <cellStyle name="20% - Accent6 4 17 5" xfId="28571"/>
    <cellStyle name="20% - Accent6 4 18" xfId="9802"/>
    <cellStyle name="20% - Accent6 4 18 2" xfId="26010"/>
    <cellStyle name="20% - Accent6 4 18 3" xfId="28574"/>
    <cellStyle name="20% - Accent6 4 19" xfId="9803"/>
    <cellStyle name="20% - Accent6 4 19 2" xfId="26011"/>
    <cellStyle name="20% - Accent6 4 19 3" xfId="28575"/>
    <cellStyle name="20% - Accent6 4 2" xfId="1498"/>
    <cellStyle name="20% - Accent6 4 2 10" xfId="9804"/>
    <cellStyle name="20% - Accent6 4 2 10 2" xfId="9805"/>
    <cellStyle name="20% - Accent6 4 2 10 3" xfId="9806"/>
    <cellStyle name="20% - Accent6 4 2 11" xfId="9807"/>
    <cellStyle name="20% - Accent6 4 2 11 2" xfId="9808"/>
    <cellStyle name="20% - Accent6 4 2 11 3" xfId="9809"/>
    <cellStyle name="20% - Accent6 4 2 12" xfId="9810"/>
    <cellStyle name="20% - Accent6 4 2 12 2" xfId="9811"/>
    <cellStyle name="20% - Accent6 4 2 12 3" xfId="9812"/>
    <cellStyle name="20% - Accent6 4 2 13" xfId="9813"/>
    <cellStyle name="20% - Accent6 4 2 14" xfId="9814"/>
    <cellStyle name="20% - Accent6 4 2 15" xfId="9815"/>
    <cellStyle name="20% - Accent6 4 2 16" xfId="9816"/>
    <cellStyle name="20% - Accent6 4 2 2" xfId="4435"/>
    <cellStyle name="20% - Accent6 4 2 2 2" xfId="9818"/>
    <cellStyle name="20% - Accent6 4 2 2 3" xfId="9819"/>
    <cellStyle name="20% - Accent6 4 2 2 4" xfId="9817"/>
    <cellStyle name="20% - Accent6 4 2 3" xfId="9820"/>
    <cellStyle name="20% - Accent6 4 2 3 2" xfId="9821"/>
    <cellStyle name="20% - Accent6 4 2 3 3" xfId="9822"/>
    <cellStyle name="20% - Accent6 4 2 4" xfId="9823"/>
    <cellStyle name="20% - Accent6 4 2 4 2" xfId="9824"/>
    <cellStyle name="20% - Accent6 4 2 4 3" xfId="9825"/>
    <cellStyle name="20% - Accent6 4 2 5" xfId="9826"/>
    <cellStyle name="20% - Accent6 4 2 5 2" xfId="9827"/>
    <cellStyle name="20% - Accent6 4 2 5 3" xfId="9828"/>
    <cellStyle name="20% - Accent6 4 2 6" xfId="9829"/>
    <cellStyle name="20% - Accent6 4 2 6 2" xfId="9830"/>
    <cellStyle name="20% - Accent6 4 2 6 3" xfId="9831"/>
    <cellStyle name="20% - Accent6 4 2 7" xfId="9832"/>
    <cellStyle name="20% - Accent6 4 2 7 2" xfId="9833"/>
    <cellStyle name="20% - Accent6 4 2 7 3" xfId="9834"/>
    <cellStyle name="20% - Accent6 4 2 8" xfId="9835"/>
    <cellStyle name="20% - Accent6 4 2 8 2" xfId="9836"/>
    <cellStyle name="20% - Accent6 4 2 8 3" xfId="9837"/>
    <cellStyle name="20% - Accent6 4 2 9" xfId="9838"/>
    <cellStyle name="20% - Accent6 4 2 9 2" xfId="9839"/>
    <cellStyle name="20% - Accent6 4 2 9 3" xfId="9840"/>
    <cellStyle name="20% - Accent6 4 20" xfId="9774"/>
    <cellStyle name="20% - Accent6 4 20 2" xfId="26012"/>
    <cellStyle name="20% - Accent6 4 21" xfId="28562"/>
    <cellStyle name="20% - Accent6 4 3" xfId="1623"/>
    <cellStyle name="20% - Accent6 4 3 2" xfId="4436"/>
    <cellStyle name="20% - Accent6 4 3 2 2" xfId="9841"/>
    <cellStyle name="20% - Accent6 4 3 3" xfId="9842"/>
    <cellStyle name="20% - Accent6 4 3 4" xfId="9843"/>
    <cellStyle name="20% - Accent6 4 3 5" xfId="9844"/>
    <cellStyle name="20% - Accent6 4 4" xfId="1799"/>
    <cellStyle name="20% - Accent6 4 4 2" xfId="9845"/>
    <cellStyle name="20% - Accent6 4 4 3" xfId="9846"/>
    <cellStyle name="20% - Accent6 4 4 4" xfId="9847"/>
    <cellStyle name="20% - Accent6 4 5" xfId="2135"/>
    <cellStyle name="20% - Accent6 4 5 2" xfId="9848"/>
    <cellStyle name="20% - Accent6 4 5 3" xfId="9849"/>
    <cellStyle name="20% - Accent6 4 5 4" xfId="9850"/>
    <cellStyle name="20% - Accent6 4 6" xfId="2509"/>
    <cellStyle name="20% - Accent6 4 6 2" xfId="9851"/>
    <cellStyle name="20% - Accent6 4 6 3" xfId="9852"/>
    <cellStyle name="20% - Accent6 4 6 4" xfId="9853"/>
    <cellStyle name="20% - Accent6 4 7" xfId="2881"/>
    <cellStyle name="20% - Accent6 4 7 2" xfId="9854"/>
    <cellStyle name="20% - Accent6 4 7 3" xfId="9855"/>
    <cellStyle name="20% - Accent6 4 7 4" xfId="9856"/>
    <cellStyle name="20% - Accent6 4 8" xfId="3252"/>
    <cellStyle name="20% - Accent6 4 8 2" xfId="9857"/>
    <cellStyle name="20% - Accent6 4 8 3" xfId="9858"/>
    <cellStyle name="20% - Accent6 4 8 4" xfId="9859"/>
    <cellStyle name="20% - Accent6 4 9" xfId="3587"/>
    <cellStyle name="20% - Accent6 4 9 2" xfId="4437"/>
    <cellStyle name="20% - Accent6 4 9 2 2" xfId="9860"/>
    <cellStyle name="20% - Accent6 4 9 3" xfId="9861"/>
    <cellStyle name="20% - Accent6 4 9 4" xfId="9862"/>
    <cellStyle name="20% - Accent6 4 9 5" xfId="9863"/>
    <cellStyle name="20% - Accent6 5" xfId="379"/>
    <cellStyle name="20% - Accent6 5 10" xfId="9864"/>
    <cellStyle name="20% - Accent6 5 10 2" xfId="9865"/>
    <cellStyle name="20% - Accent6 5 10 3" xfId="9866"/>
    <cellStyle name="20% - Accent6 5 11" xfId="9867"/>
    <cellStyle name="20% - Accent6 5 11 2" xfId="9868"/>
    <cellStyle name="20% - Accent6 5 11 3" xfId="9869"/>
    <cellStyle name="20% - Accent6 5 12" xfId="9870"/>
    <cellStyle name="20% - Accent6 5 12 2" xfId="9871"/>
    <cellStyle name="20% - Accent6 5 12 3" xfId="9872"/>
    <cellStyle name="20% - Accent6 5 13" xfId="9873"/>
    <cellStyle name="20% - Accent6 5 13 2" xfId="9874"/>
    <cellStyle name="20% - Accent6 5 13 3" xfId="9875"/>
    <cellStyle name="20% - Accent6 5 14" xfId="9876"/>
    <cellStyle name="20% - Accent6 5 15" xfId="9877"/>
    <cellStyle name="20% - Accent6 5 16" xfId="9878"/>
    <cellStyle name="20% - Accent6 5 17" xfId="9879"/>
    <cellStyle name="20% - Accent6 5 2" xfId="1863"/>
    <cellStyle name="20% - Accent6 5 2 10" xfId="9880"/>
    <cellStyle name="20% - Accent6 5 2 10 2" xfId="9881"/>
    <cellStyle name="20% - Accent6 5 2 10 3" xfId="9882"/>
    <cellStyle name="20% - Accent6 5 2 11" xfId="9883"/>
    <cellStyle name="20% - Accent6 5 2 11 2" xfId="9884"/>
    <cellStyle name="20% - Accent6 5 2 11 3" xfId="9885"/>
    <cellStyle name="20% - Accent6 5 2 12" xfId="9886"/>
    <cellStyle name="20% - Accent6 5 2 12 2" xfId="9887"/>
    <cellStyle name="20% - Accent6 5 2 12 3" xfId="9888"/>
    <cellStyle name="20% - Accent6 5 2 13" xfId="9889"/>
    <cellStyle name="20% - Accent6 5 2 14" xfId="9890"/>
    <cellStyle name="20% - Accent6 5 2 15" xfId="9891"/>
    <cellStyle name="20% - Accent6 5 2 2" xfId="9892"/>
    <cellStyle name="20% - Accent6 5 2 2 2" xfId="9893"/>
    <cellStyle name="20% - Accent6 5 2 2 3" xfId="9894"/>
    <cellStyle name="20% - Accent6 5 2 3" xfId="9895"/>
    <cellStyle name="20% - Accent6 5 2 3 2" xfId="9896"/>
    <cellStyle name="20% - Accent6 5 2 3 3" xfId="9897"/>
    <cellStyle name="20% - Accent6 5 2 4" xfId="9898"/>
    <cellStyle name="20% - Accent6 5 2 4 2" xfId="9899"/>
    <cellStyle name="20% - Accent6 5 2 4 3" xfId="9900"/>
    <cellStyle name="20% - Accent6 5 2 5" xfId="9901"/>
    <cellStyle name="20% - Accent6 5 2 5 2" xfId="9902"/>
    <cellStyle name="20% - Accent6 5 2 5 3" xfId="9903"/>
    <cellStyle name="20% - Accent6 5 2 6" xfId="9904"/>
    <cellStyle name="20% - Accent6 5 2 6 2" xfId="9905"/>
    <cellStyle name="20% - Accent6 5 2 6 3" xfId="9906"/>
    <cellStyle name="20% - Accent6 5 2 7" xfId="9907"/>
    <cellStyle name="20% - Accent6 5 2 7 2" xfId="9908"/>
    <cellStyle name="20% - Accent6 5 2 7 3" xfId="9909"/>
    <cellStyle name="20% - Accent6 5 2 8" xfId="9910"/>
    <cellStyle name="20% - Accent6 5 2 8 2" xfId="9911"/>
    <cellStyle name="20% - Accent6 5 2 8 3" xfId="9912"/>
    <cellStyle name="20% - Accent6 5 2 9" xfId="9913"/>
    <cellStyle name="20% - Accent6 5 2 9 2" xfId="9914"/>
    <cellStyle name="20% - Accent6 5 2 9 3" xfId="9915"/>
    <cellStyle name="20% - Accent6 5 3" xfId="2238"/>
    <cellStyle name="20% - Accent6 5 3 2" xfId="9916"/>
    <cellStyle name="20% - Accent6 5 3 3" xfId="9917"/>
    <cellStyle name="20% - Accent6 5 3 4" xfId="9918"/>
    <cellStyle name="20% - Accent6 5 4" xfId="2612"/>
    <cellStyle name="20% - Accent6 5 4 2" xfId="9919"/>
    <cellStyle name="20% - Accent6 5 4 3" xfId="9920"/>
    <cellStyle name="20% - Accent6 5 4 4" xfId="9921"/>
    <cellStyle name="20% - Accent6 5 5" xfId="2984"/>
    <cellStyle name="20% - Accent6 5 5 2" xfId="9922"/>
    <cellStyle name="20% - Accent6 5 5 3" xfId="9923"/>
    <cellStyle name="20% - Accent6 5 5 4" xfId="9924"/>
    <cellStyle name="20% - Accent6 5 6" xfId="3356"/>
    <cellStyle name="20% - Accent6 5 6 2" xfId="9925"/>
    <cellStyle name="20% - Accent6 5 6 3" xfId="9926"/>
    <cellStyle name="20% - Accent6 5 6 4" xfId="9927"/>
    <cellStyle name="20% - Accent6 5 7" xfId="4438"/>
    <cellStyle name="20% - Accent6 5 7 2" xfId="9929"/>
    <cellStyle name="20% - Accent6 5 7 3" xfId="9930"/>
    <cellStyle name="20% - Accent6 5 7 4" xfId="9928"/>
    <cellStyle name="20% - Accent6 5 8" xfId="9931"/>
    <cellStyle name="20% - Accent6 5 8 2" xfId="9932"/>
    <cellStyle name="20% - Accent6 5 8 3" xfId="9933"/>
    <cellStyle name="20% - Accent6 5 9" xfId="9934"/>
    <cellStyle name="20% - Accent6 5 9 2" xfId="9935"/>
    <cellStyle name="20% - Accent6 5 9 3" xfId="9936"/>
    <cellStyle name="20% - Accent6 6" xfId="380"/>
    <cellStyle name="20% - Accent6 6 10" xfId="5368"/>
    <cellStyle name="20% - Accent6 6 10 2" xfId="6181"/>
    <cellStyle name="20% - Accent6 6 10 2 2" xfId="9939"/>
    <cellStyle name="20% - Accent6 6 10 2 3" xfId="26015"/>
    <cellStyle name="20% - Accent6 6 10 3" xfId="9940"/>
    <cellStyle name="20% - Accent6 6 10 4" xfId="9938"/>
    <cellStyle name="20% - Accent6 6 10 5" xfId="26014"/>
    <cellStyle name="20% - Accent6 6 11" xfId="5678"/>
    <cellStyle name="20% - Accent6 6 11 2" xfId="6182"/>
    <cellStyle name="20% - Accent6 6 11 2 2" xfId="9942"/>
    <cellStyle name="20% - Accent6 6 11 2 3" xfId="26017"/>
    <cellStyle name="20% - Accent6 6 11 3" xfId="9943"/>
    <cellStyle name="20% - Accent6 6 11 4" xfId="9941"/>
    <cellStyle name="20% - Accent6 6 11 5" xfId="26016"/>
    <cellStyle name="20% - Accent6 6 12" xfId="4439"/>
    <cellStyle name="20% - Accent6 6 12 2" xfId="6183"/>
    <cellStyle name="20% - Accent6 6 12 2 2" xfId="9945"/>
    <cellStyle name="20% - Accent6 6 12 2 3" xfId="26019"/>
    <cellStyle name="20% - Accent6 6 12 3" xfId="9946"/>
    <cellStyle name="20% - Accent6 6 12 4" xfId="9944"/>
    <cellStyle name="20% - Accent6 6 12 5" xfId="26018"/>
    <cellStyle name="20% - Accent6 6 13" xfId="6180"/>
    <cellStyle name="20% - Accent6 6 13 2" xfId="9947"/>
    <cellStyle name="20% - Accent6 6 13 3" xfId="26020"/>
    <cellStyle name="20% - Accent6 6 14" xfId="9948"/>
    <cellStyle name="20% - Accent6 6 15" xfId="9949"/>
    <cellStyle name="20% - Accent6 6 16" xfId="9950"/>
    <cellStyle name="20% - Accent6 6 16 2" xfId="9951"/>
    <cellStyle name="20% - Accent6 6 16 2 2" xfId="26022"/>
    <cellStyle name="20% - Accent6 6 16 2 3" xfId="28578"/>
    <cellStyle name="20% - Accent6 6 16 3" xfId="9952"/>
    <cellStyle name="20% - Accent6 6 16 3 2" xfId="26023"/>
    <cellStyle name="20% - Accent6 6 16 3 3" xfId="28579"/>
    <cellStyle name="20% - Accent6 6 16 4" xfId="26021"/>
    <cellStyle name="20% - Accent6 6 16 5" xfId="28577"/>
    <cellStyle name="20% - Accent6 6 17" xfId="9953"/>
    <cellStyle name="20% - Accent6 6 17 2" xfId="26024"/>
    <cellStyle name="20% - Accent6 6 17 3" xfId="28580"/>
    <cellStyle name="20% - Accent6 6 18" xfId="9954"/>
    <cellStyle name="20% - Accent6 6 18 2" xfId="26025"/>
    <cellStyle name="20% - Accent6 6 18 3" xfId="28581"/>
    <cellStyle name="20% - Accent6 6 19" xfId="9937"/>
    <cellStyle name="20% - Accent6 6 19 2" xfId="26026"/>
    <cellStyle name="20% - Accent6 6 2" xfId="1974"/>
    <cellStyle name="20% - Accent6 6 2 2" xfId="4440"/>
    <cellStyle name="20% - Accent6 6 2 2 2" xfId="9955"/>
    <cellStyle name="20% - Accent6 6 2 3" xfId="9956"/>
    <cellStyle name="20% - Accent6 6 2 4" xfId="9957"/>
    <cellStyle name="20% - Accent6 6 2 5" xfId="9958"/>
    <cellStyle name="20% - Accent6 6 20" xfId="24836"/>
    <cellStyle name="20% - Accent6 6 21" xfId="26013"/>
    <cellStyle name="20% - Accent6 6 22" xfId="28576"/>
    <cellStyle name="20% - Accent6 6 3" xfId="2349"/>
    <cellStyle name="20% - Accent6 6 3 2" xfId="4441"/>
    <cellStyle name="20% - Accent6 6 3 2 2" xfId="9959"/>
    <cellStyle name="20% - Accent6 6 3 3" xfId="9960"/>
    <cellStyle name="20% - Accent6 6 3 4" xfId="9961"/>
    <cellStyle name="20% - Accent6 6 3 5" xfId="9962"/>
    <cellStyle name="20% - Accent6 6 4" xfId="2722"/>
    <cellStyle name="20% - Accent6 6 4 2" xfId="4442"/>
    <cellStyle name="20% - Accent6 6 4 2 2" xfId="9963"/>
    <cellStyle name="20% - Accent6 6 4 3" xfId="9964"/>
    <cellStyle name="20% - Accent6 6 4 4" xfId="9965"/>
    <cellStyle name="20% - Accent6 6 4 5" xfId="9966"/>
    <cellStyle name="20% - Accent6 6 5" xfId="3095"/>
    <cellStyle name="20% - Accent6 6 5 2" xfId="4443"/>
    <cellStyle name="20% - Accent6 6 5 2 2" xfId="9967"/>
    <cellStyle name="20% - Accent6 6 5 3" xfId="9968"/>
    <cellStyle name="20% - Accent6 6 5 4" xfId="9969"/>
    <cellStyle name="20% - Accent6 6 5 5" xfId="9970"/>
    <cellStyle name="20% - Accent6 6 6" xfId="3466"/>
    <cellStyle name="20% - Accent6 6 6 2" xfId="4444"/>
    <cellStyle name="20% - Accent6 6 6 2 2" xfId="9971"/>
    <cellStyle name="20% - Accent6 6 6 3" xfId="9972"/>
    <cellStyle name="20% - Accent6 6 6 4" xfId="9973"/>
    <cellStyle name="20% - Accent6 6 6 5" xfId="9974"/>
    <cellStyle name="20% - Accent6 6 7" xfId="3772"/>
    <cellStyle name="20% - Accent6 6 7 2" xfId="4445"/>
    <cellStyle name="20% - Accent6 6 7 2 2" xfId="9975"/>
    <cellStyle name="20% - Accent6 6 7 3" xfId="9976"/>
    <cellStyle name="20% - Accent6 6 7 4" xfId="9977"/>
    <cellStyle name="20% - Accent6 6 7 5" xfId="9978"/>
    <cellStyle name="20% - Accent6 6 8" xfId="1365"/>
    <cellStyle name="20% - Accent6 6 8 10" xfId="26027"/>
    <cellStyle name="20% - Accent6 6 8 11" xfId="28582"/>
    <cellStyle name="20% - Accent6 6 8 2" xfId="4165"/>
    <cellStyle name="20% - Accent6 6 8 2 2" xfId="5370"/>
    <cellStyle name="20% - Accent6 6 8 2 2 2" xfId="6186"/>
    <cellStyle name="20% - Accent6 6 8 2 2 2 2" xfId="26030"/>
    <cellStyle name="20% - Accent6 6 8 2 2 3" xfId="9981"/>
    <cellStyle name="20% - Accent6 6 8 2 2 4" xfId="26029"/>
    <cellStyle name="20% - Accent6 6 8 2 3" xfId="5680"/>
    <cellStyle name="20% - Accent6 6 8 2 3 2" xfId="6187"/>
    <cellStyle name="20% - Accent6 6 8 2 3 2 2" xfId="26032"/>
    <cellStyle name="20% - Accent6 6 8 2 3 3" xfId="26031"/>
    <cellStyle name="20% - Accent6 6 8 2 4" xfId="4447"/>
    <cellStyle name="20% - Accent6 6 8 2 4 2" xfId="6188"/>
    <cellStyle name="20% - Accent6 6 8 2 4 2 2" xfId="26034"/>
    <cellStyle name="20% - Accent6 6 8 2 4 3" xfId="26033"/>
    <cellStyle name="20% - Accent6 6 8 2 5" xfId="6185"/>
    <cellStyle name="20% - Accent6 6 8 2 5 2" xfId="26035"/>
    <cellStyle name="20% - Accent6 6 8 2 6" xfId="9980"/>
    <cellStyle name="20% - Accent6 6 8 2 6 2" xfId="26036"/>
    <cellStyle name="20% - Accent6 6 8 2 7" xfId="25017"/>
    <cellStyle name="20% - Accent6 6 8 2 8" xfId="26028"/>
    <cellStyle name="20% - Accent6 6 8 2 9" xfId="28583"/>
    <cellStyle name="20% - Accent6 6 8 3" xfId="5369"/>
    <cellStyle name="20% - Accent6 6 8 3 2" xfId="6189"/>
    <cellStyle name="20% - Accent6 6 8 3 2 2" xfId="26038"/>
    <cellStyle name="20% - Accent6 6 8 3 3" xfId="9982"/>
    <cellStyle name="20% - Accent6 6 8 3 4" xfId="26037"/>
    <cellStyle name="20% - Accent6 6 8 4" xfId="5679"/>
    <cellStyle name="20% - Accent6 6 8 4 2" xfId="6190"/>
    <cellStyle name="20% - Accent6 6 8 4 2 2" xfId="26040"/>
    <cellStyle name="20% - Accent6 6 8 4 3" xfId="9983"/>
    <cellStyle name="20% - Accent6 6 8 4 4" xfId="26039"/>
    <cellStyle name="20% - Accent6 6 8 5" xfId="4446"/>
    <cellStyle name="20% - Accent6 6 8 5 2" xfId="6191"/>
    <cellStyle name="20% - Accent6 6 8 5 2 2" xfId="9985"/>
    <cellStyle name="20% - Accent6 6 8 5 2 2 2" xfId="26043"/>
    <cellStyle name="20% - Accent6 6 8 5 2 3" xfId="26042"/>
    <cellStyle name="20% - Accent6 6 8 5 2 4" xfId="28585"/>
    <cellStyle name="20% - Accent6 6 8 5 3" xfId="9986"/>
    <cellStyle name="20% - Accent6 6 8 5 3 2" xfId="26044"/>
    <cellStyle name="20% - Accent6 6 8 5 3 3" xfId="28586"/>
    <cellStyle name="20% - Accent6 6 8 5 4" xfId="9984"/>
    <cellStyle name="20% - Accent6 6 8 5 4 2" xfId="26045"/>
    <cellStyle name="20% - Accent6 6 8 5 5" xfId="26041"/>
    <cellStyle name="20% - Accent6 6 8 5 6" xfId="28584"/>
    <cellStyle name="20% - Accent6 6 8 6" xfId="6184"/>
    <cellStyle name="20% - Accent6 6 8 6 2" xfId="9987"/>
    <cellStyle name="20% - Accent6 6 8 6 2 2" xfId="26047"/>
    <cellStyle name="20% - Accent6 6 8 6 3" xfId="26046"/>
    <cellStyle name="20% - Accent6 6 8 6 4" xfId="28587"/>
    <cellStyle name="20% - Accent6 6 8 7" xfId="9988"/>
    <cellStyle name="20% - Accent6 6 8 7 2" xfId="26048"/>
    <cellStyle name="20% - Accent6 6 8 7 3" xfId="28588"/>
    <cellStyle name="20% - Accent6 6 8 8" xfId="9979"/>
    <cellStyle name="20% - Accent6 6 8 8 2" xfId="26049"/>
    <cellStyle name="20% - Accent6 6 8 9" xfId="24897"/>
    <cellStyle name="20% - Accent6 6 9" xfId="3822"/>
    <cellStyle name="20% - Accent6 6 9 2" xfId="5371"/>
    <cellStyle name="20% - Accent6 6 9 2 2" xfId="6193"/>
    <cellStyle name="20% - Accent6 6 9 2 2 2" xfId="26052"/>
    <cellStyle name="20% - Accent6 6 9 2 3" xfId="9990"/>
    <cellStyle name="20% - Accent6 6 9 2 4" xfId="26051"/>
    <cellStyle name="20% - Accent6 6 9 3" xfId="5681"/>
    <cellStyle name="20% - Accent6 6 9 3 2" xfId="6194"/>
    <cellStyle name="20% - Accent6 6 9 3 2 2" xfId="26054"/>
    <cellStyle name="20% - Accent6 6 9 3 3" xfId="9991"/>
    <cellStyle name="20% - Accent6 6 9 3 4" xfId="26053"/>
    <cellStyle name="20% - Accent6 6 9 4" xfId="4448"/>
    <cellStyle name="20% - Accent6 6 9 4 2" xfId="6195"/>
    <cellStyle name="20% - Accent6 6 9 4 2 2" xfId="26056"/>
    <cellStyle name="20% - Accent6 6 9 4 3" xfId="9992"/>
    <cellStyle name="20% - Accent6 6 9 4 4" xfId="26055"/>
    <cellStyle name="20% - Accent6 6 9 5" xfId="6192"/>
    <cellStyle name="20% - Accent6 6 9 5 2" xfId="26057"/>
    <cellStyle name="20% - Accent6 6 9 6" xfId="9989"/>
    <cellStyle name="20% - Accent6 6 9 6 2" xfId="26058"/>
    <cellStyle name="20% - Accent6 6 9 7" xfId="24958"/>
    <cellStyle name="20% - Accent6 6 9 8" xfId="26050"/>
    <cellStyle name="20% - Accent6 6 9 9" xfId="28589"/>
    <cellStyle name="20% - Accent6 7" xfId="381"/>
    <cellStyle name="20% - Accent6 7 10" xfId="9993"/>
    <cellStyle name="20% - Accent6 7 10 2" xfId="9994"/>
    <cellStyle name="20% - Accent6 7 10 3" xfId="9995"/>
    <cellStyle name="20% - Accent6 7 11" xfId="9996"/>
    <cellStyle name="20% - Accent6 7 11 2" xfId="9997"/>
    <cellStyle name="20% - Accent6 7 11 3" xfId="9998"/>
    <cellStyle name="20% - Accent6 7 12" xfId="9999"/>
    <cellStyle name="20% - Accent6 7 12 2" xfId="10000"/>
    <cellStyle name="20% - Accent6 7 12 3" xfId="10001"/>
    <cellStyle name="20% - Accent6 7 13" xfId="10002"/>
    <cellStyle name="20% - Accent6 7 14" xfId="10003"/>
    <cellStyle name="20% - Accent6 7 15" xfId="10004"/>
    <cellStyle name="20% - Accent6 7 16" xfId="10005"/>
    <cellStyle name="20% - Accent6 7 2" xfId="4449"/>
    <cellStyle name="20% - Accent6 7 2 2" xfId="10007"/>
    <cellStyle name="20% - Accent6 7 2 3" xfId="10008"/>
    <cellStyle name="20% - Accent6 7 2 4" xfId="10006"/>
    <cellStyle name="20% - Accent6 7 3" xfId="10009"/>
    <cellStyle name="20% - Accent6 7 3 2" xfId="10010"/>
    <cellStyle name="20% - Accent6 7 3 3" xfId="10011"/>
    <cellStyle name="20% - Accent6 7 4" xfId="10012"/>
    <cellStyle name="20% - Accent6 7 4 2" xfId="10013"/>
    <cellStyle name="20% - Accent6 7 4 3" xfId="10014"/>
    <cellStyle name="20% - Accent6 7 5" xfId="10015"/>
    <cellStyle name="20% - Accent6 7 5 2" xfId="10016"/>
    <cellStyle name="20% - Accent6 7 5 3" xfId="10017"/>
    <cellStyle name="20% - Accent6 7 6" xfId="10018"/>
    <cellStyle name="20% - Accent6 7 6 2" xfId="10019"/>
    <cellStyle name="20% - Accent6 7 6 3" xfId="10020"/>
    <cellStyle name="20% - Accent6 7 7" xfId="10021"/>
    <cellStyle name="20% - Accent6 7 7 2" xfId="10022"/>
    <cellStyle name="20% - Accent6 7 7 3" xfId="10023"/>
    <cellStyle name="20% - Accent6 7 8" xfId="10024"/>
    <cellStyle name="20% - Accent6 7 8 2" xfId="10025"/>
    <cellStyle name="20% - Accent6 7 8 3" xfId="10026"/>
    <cellStyle name="20% - Accent6 7 9" xfId="10027"/>
    <cellStyle name="20% - Accent6 7 9 2" xfId="10028"/>
    <cellStyle name="20% - Accent6 7 9 3" xfId="10029"/>
    <cellStyle name="20% - Accent6 8" xfId="535"/>
    <cellStyle name="20% - Accent6 8 10" xfId="24850"/>
    <cellStyle name="20% - Accent6 8 11" xfId="26059"/>
    <cellStyle name="20% - Accent6 8 12" xfId="28590"/>
    <cellStyle name="20% - Accent6 8 2" xfId="1382"/>
    <cellStyle name="20% - Accent6 8 2 10" xfId="26060"/>
    <cellStyle name="20% - Accent6 8 2 11" xfId="28591"/>
    <cellStyle name="20% - Accent6 8 2 2" xfId="4182"/>
    <cellStyle name="20% - Accent6 8 2 2 2" xfId="5374"/>
    <cellStyle name="20% - Accent6 8 2 2 2 2" xfId="6199"/>
    <cellStyle name="20% - Accent6 8 2 2 2 2 2" xfId="26063"/>
    <cellStyle name="20% - Accent6 8 2 2 2 3" xfId="10033"/>
    <cellStyle name="20% - Accent6 8 2 2 2 4" xfId="26062"/>
    <cellStyle name="20% - Accent6 8 2 2 3" xfId="5684"/>
    <cellStyle name="20% - Accent6 8 2 2 3 2" xfId="6200"/>
    <cellStyle name="20% - Accent6 8 2 2 3 2 2" xfId="26065"/>
    <cellStyle name="20% - Accent6 8 2 2 3 3" xfId="26064"/>
    <cellStyle name="20% - Accent6 8 2 2 4" xfId="4452"/>
    <cellStyle name="20% - Accent6 8 2 2 4 2" xfId="6201"/>
    <cellStyle name="20% - Accent6 8 2 2 4 2 2" xfId="26067"/>
    <cellStyle name="20% - Accent6 8 2 2 4 3" xfId="26066"/>
    <cellStyle name="20% - Accent6 8 2 2 5" xfId="6198"/>
    <cellStyle name="20% - Accent6 8 2 2 5 2" xfId="26068"/>
    <cellStyle name="20% - Accent6 8 2 2 6" xfId="10032"/>
    <cellStyle name="20% - Accent6 8 2 2 6 2" xfId="26069"/>
    <cellStyle name="20% - Accent6 8 2 2 7" xfId="25034"/>
    <cellStyle name="20% - Accent6 8 2 2 8" xfId="26061"/>
    <cellStyle name="20% - Accent6 8 2 2 9" xfId="28592"/>
    <cellStyle name="20% - Accent6 8 2 3" xfId="5373"/>
    <cellStyle name="20% - Accent6 8 2 3 2" xfId="6202"/>
    <cellStyle name="20% - Accent6 8 2 3 2 2" xfId="26071"/>
    <cellStyle name="20% - Accent6 8 2 3 3" xfId="10034"/>
    <cellStyle name="20% - Accent6 8 2 3 4" xfId="26070"/>
    <cellStyle name="20% - Accent6 8 2 4" xfId="5683"/>
    <cellStyle name="20% - Accent6 8 2 4 2" xfId="6203"/>
    <cellStyle name="20% - Accent6 8 2 4 2 2" xfId="26073"/>
    <cellStyle name="20% - Accent6 8 2 4 3" xfId="10035"/>
    <cellStyle name="20% - Accent6 8 2 4 4" xfId="26072"/>
    <cellStyle name="20% - Accent6 8 2 5" xfId="4451"/>
    <cellStyle name="20% - Accent6 8 2 5 2" xfId="6204"/>
    <cellStyle name="20% - Accent6 8 2 5 2 2" xfId="10037"/>
    <cellStyle name="20% - Accent6 8 2 5 2 2 2" xfId="26076"/>
    <cellStyle name="20% - Accent6 8 2 5 2 3" xfId="26075"/>
    <cellStyle name="20% - Accent6 8 2 5 2 4" xfId="28594"/>
    <cellStyle name="20% - Accent6 8 2 5 3" xfId="10038"/>
    <cellStyle name="20% - Accent6 8 2 5 3 2" xfId="26077"/>
    <cellStyle name="20% - Accent6 8 2 5 3 3" xfId="28595"/>
    <cellStyle name="20% - Accent6 8 2 5 4" xfId="10036"/>
    <cellStyle name="20% - Accent6 8 2 5 4 2" xfId="26078"/>
    <cellStyle name="20% - Accent6 8 2 5 5" xfId="26074"/>
    <cellStyle name="20% - Accent6 8 2 5 6" xfId="28593"/>
    <cellStyle name="20% - Accent6 8 2 6" xfId="6197"/>
    <cellStyle name="20% - Accent6 8 2 6 2" xfId="10039"/>
    <cellStyle name="20% - Accent6 8 2 6 2 2" xfId="26080"/>
    <cellStyle name="20% - Accent6 8 2 6 3" xfId="26079"/>
    <cellStyle name="20% - Accent6 8 2 6 4" xfId="28596"/>
    <cellStyle name="20% - Accent6 8 2 7" xfId="10040"/>
    <cellStyle name="20% - Accent6 8 2 7 2" xfId="26081"/>
    <cellStyle name="20% - Accent6 8 2 7 3" xfId="28597"/>
    <cellStyle name="20% - Accent6 8 2 8" xfId="10031"/>
    <cellStyle name="20% - Accent6 8 2 8 2" xfId="26082"/>
    <cellStyle name="20% - Accent6 8 2 9" xfId="24914"/>
    <cellStyle name="20% - Accent6 8 3" xfId="3836"/>
    <cellStyle name="20% - Accent6 8 3 2" xfId="5375"/>
    <cellStyle name="20% - Accent6 8 3 2 2" xfId="6206"/>
    <cellStyle name="20% - Accent6 8 3 2 2 2" xfId="26085"/>
    <cellStyle name="20% - Accent6 8 3 2 3" xfId="10042"/>
    <cellStyle name="20% - Accent6 8 3 2 4" xfId="26084"/>
    <cellStyle name="20% - Accent6 8 3 3" xfId="5685"/>
    <cellStyle name="20% - Accent6 8 3 3 2" xfId="6207"/>
    <cellStyle name="20% - Accent6 8 3 3 2 2" xfId="26087"/>
    <cellStyle name="20% - Accent6 8 3 3 3" xfId="26086"/>
    <cellStyle name="20% - Accent6 8 3 4" xfId="4453"/>
    <cellStyle name="20% - Accent6 8 3 4 2" xfId="6208"/>
    <cellStyle name="20% - Accent6 8 3 4 2 2" xfId="26089"/>
    <cellStyle name="20% - Accent6 8 3 4 3" xfId="26088"/>
    <cellStyle name="20% - Accent6 8 3 5" xfId="6205"/>
    <cellStyle name="20% - Accent6 8 3 5 2" xfId="26090"/>
    <cellStyle name="20% - Accent6 8 3 6" xfId="10041"/>
    <cellStyle name="20% - Accent6 8 3 6 2" xfId="26091"/>
    <cellStyle name="20% - Accent6 8 3 7" xfId="24972"/>
    <cellStyle name="20% - Accent6 8 3 8" xfId="26083"/>
    <cellStyle name="20% - Accent6 8 3 9" xfId="28598"/>
    <cellStyle name="20% - Accent6 8 4" xfId="5372"/>
    <cellStyle name="20% - Accent6 8 4 2" xfId="6209"/>
    <cellStyle name="20% - Accent6 8 4 2 2" xfId="26093"/>
    <cellStyle name="20% - Accent6 8 4 3" xfId="10043"/>
    <cellStyle name="20% - Accent6 8 4 4" xfId="26092"/>
    <cellStyle name="20% - Accent6 8 5" xfId="5682"/>
    <cellStyle name="20% - Accent6 8 5 2" xfId="6210"/>
    <cellStyle name="20% - Accent6 8 5 2 2" xfId="26095"/>
    <cellStyle name="20% - Accent6 8 5 3" xfId="10044"/>
    <cellStyle name="20% - Accent6 8 5 4" xfId="26094"/>
    <cellStyle name="20% - Accent6 8 6" xfId="4450"/>
    <cellStyle name="20% - Accent6 8 6 2" xfId="6211"/>
    <cellStyle name="20% - Accent6 8 6 2 2" xfId="10046"/>
    <cellStyle name="20% - Accent6 8 6 2 2 2" xfId="26098"/>
    <cellStyle name="20% - Accent6 8 6 2 3" xfId="26097"/>
    <cellStyle name="20% - Accent6 8 6 2 4" xfId="28600"/>
    <cellStyle name="20% - Accent6 8 6 3" xfId="10047"/>
    <cellStyle name="20% - Accent6 8 6 3 2" xfId="26099"/>
    <cellStyle name="20% - Accent6 8 6 3 3" xfId="28601"/>
    <cellStyle name="20% - Accent6 8 6 4" xfId="10045"/>
    <cellStyle name="20% - Accent6 8 6 4 2" xfId="26100"/>
    <cellStyle name="20% - Accent6 8 6 5" xfId="26096"/>
    <cellStyle name="20% - Accent6 8 6 6" xfId="28599"/>
    <cellStyle name="20% - Accent6 8 7" xfId="6196"/>
    <cellStyle name="20% - Accent6 8 7 2" xfId="10048"/>
    <cellStyle name="20% - Accent6 8 7 2 2" xfId="26102"/>
    <cellStyle name="20% - Accent6 8 7 3" xfId="26101"/>
    <cellStyle name="20% - Accent6 8 7 4" xfId="28602"/>
    <cellStyle name="20% - Accent6 8 8" xfId="10049"/>
    <cellStyle name="20% - Accent6 8 8 2" xfId="26103"/>
    <cellStyle name="20% - Accent6 8 8 3" xfId="28603"/>
    <cellStyle name="20% - Accent6 8 9" xfId="10030"/>
    <cellStyle name="20% - Accent6 8 9 2" xfId="26104"/>
    <cellStyle name="20% - Accent6 9" xfId="536"/>
    <cellStyle name="20% - Accent6 9 2" xfId="4454"/>
    <cellStyle name="20% - Accent6 9 2 2" xfId="10051"/>
    <cellStyle name="20% - Accent6 9 2 3" xfId="10052"/>
    <cellStyle name="20% - Accent6 9 2 4" xfId="10050"/>
    <cellStyle name="20% - Accent6 9 3" xfId="10053"/>
    <cellStyle name="20% - Accent6 9 4" xfId="10054"/>
    <cellStyle name="20% - Accent6 9 5" xfId="10055"/>
    <cellStyle name="20% - Accent6 9 6" xfId="10056"/>
    <cellStyle name="40% - Accent1" xfId="7106" builtinId="31" customBuiltin="1"/>
    <cellStyle name="40% - Accent1 10" xfId="664"/>
    <cellStyle name="40% - Accent1 10 2" xfId="4455"/>
    <cellStyle name="40% - Accent1 10 2 2" xfId="10057"/>
    <cellStyle name="40% - Accent1 10 3" xfId="10058"/>
    <cellStyle name="40% - Accent1 10 4" xfId="10059"/>
    <cellStyle name="40% - Accent1 10 5" xfId="10060"/>
    <cellStyle name="40% - Accent1 11" xfId="665"/>
    <cellStyle name="40% - Accent1 11 2" xfId="4456"/>
    <cellStyle name="40% - Accent1 11 2 2" xfId="10061"/>
    <cellStyle name="40% - Accent1 11 3" xfId="10062"/>
    <cellStyle name="40% - Accent1 11 4" xfId="10063"/>
    <cellStyle name="40% - Accent1 11 5" xfId="10064"/>
    <cellStyle name="40% - Accent1 12" xfId="816"/>
    <cellStyle name="40% - Accent1 12 2" xfId="10066"/>
    <cellStyle name="40% - Accent1 12 3" xfId="10067"/>
    <cellStyle name="40% - Accent1 12 4" xfId="10065"/>
    <cellStyle name="40% - Accent1 13" xfId="817"/>
    <cellStyle name="40% - Accent1 13 2" xfId="3851"/>
    <cellStyle name="40% - Accent1 13 2 2" xfId="6213"/>
    <cellStyle name="40% - Accent1 13 2 2 2" xfId="26107"/>
    <cellStyle name="40% - Accent1 13 2 3" xfId="10069"/>
    <cellStyle name="40% - Accent1 13 2 4" xfId="24987"/>
    <cellStyle name="40% - Accent1 13 2 5" xfId="26106"/>
    <cellStyle name="40% - Accent1 13 3" xfId="6212"/>
    <cellStyle name="40% - Accent1 13 3 2" xfId="10070"/>
    <cellStyle name="40% - Accent1 13 3 3" xfId="26108"/>
    <cellStyle name="40% - Accent1 13 4" xfId="10068"/>
    <cellStyle name="40% - Accent1 13 5" xfId="24866"/>
    <cellStyle name="40% - Accent1 13 6" xfId="26105"/>
    <cellStyle name="40% - Accent1 14" xfId="933"/>
    <cellStyle name="40% - Accent1 14 2" xfId="10072"/>
    <cellStyle name="40% - Accent1 14 3" xfId="10073"/>
    <cellStyle name="40% - Accent1 14 4" xfId="10071"/>
    <cellStyle name="40% - Accent1 15" xfId="10074"/>
    <cellStyle name="40% - Accent1 15 2" xfId="10075"/>
    <cellStyle name="40% - Accent1 15 3" xfId="10076"/>
    <cellStyle name="40% - Accent1 16" xfId="10077"/>
    <cellStyle name="40% - Accent1 16 2" xfId="10078"/>
    <cellStyle name="40% - Accent1 16 3" xfId="10079"/>
    <cellStyle name="40% - Accent1 17" xfId="10080"/>
    <cellStyle name="40% - Accent1 17 2" xfId="10081"/>
    <cellStyle name="40% - Accent1 17 3" xfId="10082"/>
    <cellStyle name="40% - Accent1 18" xfId="10083"/>
    <cellStyle name="40% - Accent1 18 2" xfId="10084"/>
    <cellStyle name="40% - Accent1 18 3" xfId="10085"/>
    <cellStyle name="40% - Accent1 19" xfId="10086"/>
    <cellStyle name="40% - Accent1 19 2" xfId="10087"/>
    <cellStyle name="40% - Accent1 2" xfId="74"/>
    <cellStyle name="40% - Accent1 2 10" xfId="1673"/>
    <cellStyle name="40% - Accent1 2 10 2" xfId="4457"/>
    <cellStyle name="40% - Accent1 2 10 2 2" xfId="10088"/>
    <cellStyle name="40% - Accent1 2 10 3" xfId="10089"/>
    <cellStyle name="40% - Accent1 2 10 4" xfId="10090"/>
    <cellStyle name="40% - Accent1 2 10 5" xfId="10091"/>
    <cellStyle name="40% - Accent1 2 11" xfId="1793"/>
    <cellStyle name="40% - Accent1 2 11 2" xfId="4458"/>
    <cellStyle name="40% - Accent1 2 11 2 2" xfId="10092"/>
    <cellStyle name="40% - Accent1 2 11 3" xfId="10093"/>
    <cellStyle name="40% - Accent1 2 11 4" xfId="10094"/>
    <cellStyle name="40% - Accent1 2 11 5" xfId="10095"/>
    <cellStyle name="40% - Accent1 2 12" xfId="2221"/>
    <cellStyle name="40% - Accent1 2 12 2" xfId="4459"/>
    <cellStyle name="40% - Accent1 2 12 2 2" xfId="10096"/>
    <cellStyle name="40% - Accent1 2 12 3" xfId="10097"/>
    <cellStyle name="40% - Accent1 2 12 4" xfId="10098"/>
    <cellStyle name="40% - Accent1 2 12 5" xfId="10099"/>
    <cellStyle name="40% - Accent1 2 13" xfId="2595"/>
    <cellStyle name="40% - Accent1 2 13 2" xfId="4460"/>
    <cellStyle name="40% - Accent1 2 13 2 2" xfId="10100"/>
    <cellStyle name="40% - Accent1 2 13 3" xfId="10101"/>
    <cellStyle name="40% - Accent1 2 13 4" xfId="10102"/>
    <cellStyle name="40% - Accent1 2 13 5" xfId="10103"/>
    <cellStyle name="40% - Accent1 2 14" xfId="2875"/>
    <cellStyle name="40% - Accent1 2 14 2" xfId="4461"/>
    <cellStyle name="40% - Accent1 2 14 2 2" xfId="10104"/>
    <cellStyle name="40% - Accent1 2 14 3" xfId="10105"/>
    <cellStyle name="40% - Accent1 2 14 4" xfId="10106"/>
    <cellStyle name="40% - Accent1 2 14 5" xfId="10107"/>
    <cellStyle name="40% - Accent1 2 15" xfId="3246"/>
    <cellStyle name="40% - Accent1 2 15 2" xfId="4462"/>
    <cellStyle name="40% - Accent1 2 15 2 2" xfId="10108"/>
    <cellStyle name="40% - Accent1 2 15 3" xfId="10109"/>
    <cellStyle name="40% - Accent1 2 16" xfId="3638"/>
    <cellStyle name="40% - Accent1 2 16 2" xfId="4463"/>
    <cellStyle name="40% - Accent1 2 16 2 2" xfId="10110"/>
    <cellStyle name="40% - Accent1 2 16 3" xfId="10111"/>
    <cellStyle name="40% - Accent1 2 17" xfId="24473"/>
    <cellStyle name="40% - Accent1 2 2" xfId="118"/>
    <cellStyle name="40% - Accent1 2 2 10" xfId="10112"/>
    <cellStyle name="40% - Accent1 2 2 10 2" xfId="10113"/>
    <cellStyle name="40% - Accent1 2 2 10 3" xfId="10114"/>
    <cellStyle name="40% - Accent1 2 2 11" xfId="10115"/>
    <cellStyle name="40% - Accent1 2 2 11 2" xfId="10116"/>
    <cellStyle name="40% - Accent1 2 2 11 3" xfId="10117"/>
    <cellStyle name="40% - Accent1 2 2 12" xfId="10118"/>
    <cellStyle name="40% - Accent1 2 2 12 2" xfId="10119"/>
    <cellStyle name="40% - Accent1 2 2 12 3" xfId="10120"/>
    <cellStyle name="40% - Accent1 2 2 13" xfId="10121"/>
    <cellStyle name="40% - Accent1 2 2 14" xfId="10122"/>
    <cellStyle name="40% - Accent1 2 2 15" xfId="10123"/>
    <cellStyle name="40% - Accent1 2 2 2" xfId="172"/>
    <cellStyle name="40% - Accent1 2 2 2 2" xfId="10124"/>
    <cellStyle name="40% - Accent1 2 2 2 3" xfId="10125"/>
    <cellStyle name="40% - Accent1 2 2 3" xfId="336"/>
    <cellStyle name="40% - Accent1 2 2 3 2" xfId="10126"/>
    <cellStyle name="40% - Accent1 2 2 3 3" xfId="10127"/>
    <cellStyle name="40% - Accent1 2 2 4" xfId="2158"/>
    <cellStyle name="40% - Accent1 2 2 4 2" xfId="10128"/>
    <cellStyle name="40% - Accent1 2 2 4 3" xfId="10129"/>
    <cellStyle name="40% - Accent1 2 2 5" xfId="2532"/>
    <cellStyle name="40% - Accent1 2 2 5 2" xfId="10130"/>
    <cellStyle name="40% - Accent1 2 2 5 3" xfId="10131"/>
    <cellStyle name="40% - Accent1 2 2 6" xfId="2904"/>
    <cellStyle name="40% - Accent1 2 2 6 2" xfId="10132"/>
    <cellStyle name="40% - Accent1 2 2 6 3" xfId="10133"/>
    <cellStyle name="40% - Accent1 2 2 7" xfId="3276"/>
    <cellStyle name="40% - Accent1 2 2 7 2" xfId="10134"/>
    <cellStyle name="40% - Accent1 2 2 7 3" xfId="10135"/>
    <cellStyle name="40% - Accent1 2 2 8" xfId="4464"/>
    <cellStyle name="40% - Accent1 2 2 8 2" xfId="10137"/>
    <cellStyle name="40% - Accent1 2 2 8 3" xfId="10138"/>
    <cellStyle name="40% - Accent1 2 2 8 4" xfId="10136"/>
    <cellStyle name="40% - Accent1 2 2 9" xfId="10139"/>
    <cellStyle name="40% - Accent1 2 2 9 2" xfId="10140"/>
    <cellStyle name="40% - Accent1 2 2 9 3" xfId="10141"/>
    <cellStyle name="40% - Accent1 2 3" xfId="283"/>
    <cellStyle name="40% - Accent1 2 3 2" xfId="1334"/>
    <cellStyle name="40% - Accent1 2 3 2 2" xfId="10142"/>
    <cellStyle name="40% - Accent1 2 3 2 3" xfId="10143"/>
    <cellStyle name="40% - Accent1 2 3 3" xfId="10144"/>
    <cellStyle name="40% - Accent1 2 3 4" xfId="10145"/>
    <cellStyle name="40% - Accent1 2 4" xfId="382"/>
    <cellStyle name="40% - Accent1 2 4 2" xfId="10146"/>
    <cellStyle name="40% - Accent1 2 4 2 2" xfId="10147"/>
    <cellStyle name="40% - Accent1 2 4 2 3" xfId="10148"/>
    <cellStyle name="40% - Accent1 2 4 3" xfId="10149"/>
    <cellStyle name="40% - Accent1 2 4 4" xfId="10150"/>
    <cellStyle name="40% - Accent1 2 5" xfId="537"/>
    <cellStyle name="40% - Accent1 2 5 2" xfId="10151"/>
    <cellStyle name="40% - Accent1 2 5 3" xfId="10152"/>
    <cellStyle name="40% - Accent1 2 6" xfId="666"/>
    <cellStyle name="40% - Accent1 2 6 2" xfId="10153"/>
    <cellStyle name="40% - Accent1 2 6 3" xfId="10154"/>
    <cellStyle name="40% - Accent1 2 7" xfId="667"/>
    <cellStyle name="40% - Accent1 2 7 2" xfId="10155"/>
    <cellStyle name="40% - Accent1 2 7 3" xfId="10156"/>
    <cellStyle name="40% - Accent1 2 8" xfId="818"/>
    <cellStyle name="40% - Accent1 2 8 2" xfId="1402"/>
    <cellStyle name="40% - Accent1 2 8 2 2" xfId="10157"/>
    <cellStyle name="40% - Accent1 2 8 3" xfId="10158"/>
    <cellStyle name="40% - Accent1 2 8 4" xfId="10159"/>
    <cellStyle name="40% - Accent1 2 8 5" xfId="10160"/>
    <cellStyle name="40% - Accent1 2 9" xfId="934"/>
    <cellStyle name="40% - Accent1 2 9 2" xfId="1395"/>
    <cellStyle name="40% - Accent1 2 9 2 2" xfId="10161"/>
    <cellStyle name="40% - Accent1 2 9 3" xfId="10162"/>
    <cellStyle name="40% - Accent1 2 9 4" xfId="10163"/>
    <cellStyle name="40% - Accent1 2 9 5" xfId="10164"/>
    <cellStyle name="40% - Accent1 20" xfId="10165"/>
    <cellStyle name="40% - Accent1 21" xfId="10166"/>
    <cellStyle name="40% - Accent1 21 2" xfId="10167"/>
    <cellStyle name="40% - Accent1 21 2 2" xfId="10168"/>
    <cellStyle name="40% - Accent1 21 2 2 2" xfId="26111"/>
    <cellStyle name="40% - Accent1 21 2 2 3" xfId="28606"/>
    <cellStyle name="40% - Accent1 21 2 3" xfId="10169"/>
    <cellStyle name="40% - Accent1 21 2 3 2" xfId="26112"/>
    <cellStyle name="40% - Accent1 21 2 3 3" xfId="28607"/>
    <cellStyle name="40% - Accent1 21 2 4" xfId="26110"/>
    <cellStyle name="40% - Accent1 21 2 5" xfId="28605"/>
    <cellStyle name="40% - Accent1 21 3" xfId="10170"/>
    <cellStyle name="40% - Accent1 21 3 2" xfId="26113"/>
    <cellStyle name="40% - Accent1 21 3 3" xfId="28608"/>
    <cellStyle name="40% - Accent1 21 4" xfId="10171"/>
    <cellStyle name="40% - Accent1 21 4 2" xfId="26114"/>
    <cellStyle name="40% - Accent1 21 4 3" xfId="28609"/>
    <cellStyle name="40% - Accent1 21 5" xfId="26109"/>
    <cellStyle name="40% - Accent1 21 6" xfId="28604"/>
    <cellStyle name="40% - Accent1 22" xfId="10172"/>
    <cellStyle name="40% - Accent1 22 2" xfId="10173"/>
    <cellStyle name="40% - Accent1 22 2 2" xfId="10174"/>
    <cellStyle name="40% - Accent1 22 2 2 2" xfId="26117"/>
    <cellStyle name="40% - Accent1 22 2 2 3" xfId="28612"/>
    <cellStyle name="40% - Accent1 22 2 3" xfId="10175"/>
    <cellStyle name="40% - Accent1 22 2 3 2" xfId="26118"/>
    <cellStyle name="40% - Accent1 22 2 3 3" xfId="28613"/>
    <cellStyle name="40% - Accent1 22 2 4" xfId="26116"/>
    <cellStyle name="40% - Accent1 22 2 5" xfId="28611"/>
    <cellStyle name="40% - Accent1 22 3" xfId="10176"/>
    <cellStyle name="40% - Accent1 22 3 2" xfId="26119"/>
    <cellStyle name="40% - Accent1 22 3 3" xfId="28614"/>
    <cellStyle name="40% - Accent1 22 4" xfId="10177"/>
    <cellStyle name="40% - Accent1 22 4 2" xfId="26120"/>
    <cellStyle name="40% - Accent1 22 4 3" xfId="28615"/>
    <cellStyle name="40% - Accent1 22 5" xfId="26115"/>
    <cellStyle name="40% - Accent1 22 6" xfId="28610"/>
    <cellStyle name="40% - Accent1 23" xfId="10178"/>
    <cellStyle name="40% - Accent1 24" xfId="10179"/>
    <cellStyle name="40% - Accent1 24 2" xfId="10180"/>
    <cellStyle name="40% - Accent1 24 2 2" xfId="10181"/>
    <cellStyle name="40% - Accent1 24 2 2 2" xfId="26123"/>
    <cellStyle name="40% - Accent1 24 2 2 3" xfId="28618"/>
    <cellStyle name="40% - Accent1 24 2 3" xfId="10182"/>
    <cellStyle name="40% - Accent1 24 2 3 2" xfId="26124"/>
    <cellStyle name="40% - Accent1 24 2 3 3" xfId="28619"/>
    <cellStyle name="40% - Accent1 24 2 4" xfId="26122"/>
    <cellStyle name="40% - Accent1 24 2 5" xfId="28617"/>
    <cellStyle name="40% - Accent1 24 3" xfId="10183"/>
    <cellStyle name="40% - Accent1 24 3 2" xfId="26125"/>
    <cellStyle name="40% - Accent1 24 3 3" xfId="28620"/>
    <cellStyle name="40% - Accent1 24 4" xfId="10184"/>
    <cellStyle name="40% - Accent1 24 4 2" xfId="26126"/>
    <cellStyle name="40% - Accent1 24 4 3" xfId="28621"/>
    <cellStyle name="40% - Accent1 24 5" xfId="26121"/>
    <cellStyle name="40% - Accent1 24 6" xfId="28616"/>
    <cellStyle name="40% - Accent1 25" xfId="10185"/>
    <cellStyle name="40% - Accent1 25 2" xfId="10186"/>
    <cellStyle name="40% - Accent1 25 2 2" xfId="10187"/>
    <cellStyle name="40% - Accent1 25 2 2 2" xfId="26129"/>
    <cellStyle name="40% - Accent1 25 2 2 3" xfId="28624"/>
    <cellStyle name="40% - Accent1 25 2 3" xfId="10188"/>
    <cellStyle name="40% - Accent1 25 2 3 2" xfId="26130"/>
    <cellStyle name="40% - Accent1 25 2 3 3" xfId="28625"/>
    <cellStyle name="40% - Accent1 25 2 4" xfId="26128"/>
    <cellStyle name="40% - Accent1 25 2 5" xfId="28623"/>
    <cellStyle name="40% - Accent1 25 3" xfId="10189"/>
    <cellStyle name="40% - Accent1 25 3 2" xfId="26131"/>
    <cellStyle name="40% - Accent1 25 3 3" xfId="28626"/>
    <cellStyle name="40% - Accent1 25 4" xfId="10190"/>
    <cellStyle name="40% - Accent1 25 4 2" xfId="26132"/>
    <cellStyle name="40% - Accent1 25 4 3" xfId="28627"/>
    <cellStyle name="40% - Accent1 25 5" xfId="26127"/>
    <cellStyle name="40% - Accent1 25 6" xfId="28622"/>
    <cellStyle name="40% - Accent1 26" xfId="10191"/>
    <cellStyle name="40% - Accent1 27" xfId="10192"/>
    <cellStyle name="40% - Accent1 27 2" xfId="10193"/>
    <cellStyle name="40% - Accent1 27 2 2" xfId="10194"/>
    <cellStyle name="40% - Accent1 27 2 2 2" xfId="26135"/>
    <cellStyle name="40% - Accent1 27 2 2 3" xfId="28630"/>
    <cellStyle name="40% - Accent1 27 2 3" xfId="10195"/>
    <cellStyle name="40% - Accent1 27 2 3 2" xfId="26136"/>
    <cellStyle name="40% - Accent1 27 2 3 3" xfId="28631"/>
    <cellStyle name="40% - Accent1 27 2 4" xfId="26134"/>
    <cellStyle name="40% - Accent1 27 2 5" xfId="28629"/>
    <cellStyle name="40% - Accent1 27 3" xfId="10196"/>
    <cellStyle name="40% - Accent1 27 3 2" xfId="26137"/>
    <cellStyle name="40% - Accent1 27 3 3" xfId="28632"/>
    <cellStyle name="40% - Accent1 27 4" xfId="10197"/>
    <cellStyle name="40% - Accent1 27 4 2" xfId="26138"/>
    <cellStyle name="40% - Accent1 27 4 3" xfId="28633"/>
    <cellStyle name="40% - Accent1 27 5" xfId="26133"/>
    <cellStyle name="40% - Accent1 27 6" xfId="28628"/>
    <cellStyle name="40% - Accent1 28" xfId="10198"/>
    <cellStyle name="40% - Accent1 28 2" xfId="10199"/>
    <cellStyle name="40% - Accent1 28 2 2" xfId="26140"/>
    <cellStyle name="40% - Accent1 28 2 3" xfId="28635"/>
    <cellStyle name="40% - Accent1 28 3" xfId="10200"/>
    <cellStyle name="40% - Accent1 28 3 2" xfId="26141"/>
    <cellStyle name="40% - Accent1 28 3 3" xfId="28636"/>
    <cellStyle name="40% - Accent1 28 4" xfId="26139"/>
    <cellStyle name="40% - Accent1 28 5" xfId="28634"/>
    <cellStyle name="40% - Accent1 29" xfId="10201"/>
    <cellStyle name="40% - Accent1 29 2" xfId="26142"/>
    <cellStyle name="40% - Accent1 29 3" xfId="28637"/>
    <cellStyle name="40% - Accent1 3" xfId="213"/>
    <cellStyle name="40% - Accent1 3 10" xfId="3681"/>
    <cellStyle name="40% - Accent1 3 10 2" xfId="4465"/>
    <cellStyle name="40% - Accent1 3 10 2 2" xfId="10202"/>
    <cellStyle name="40% - Accent1 3 10 3" xfId="10203"/>
    <cellStyle name="40% - Accent1 3 10 4" xfId="10204"/>
    <cellStyle name="40% - Accent1 3 10 5" xfId="10205"/>
    <cellStyle name="40% - Accent1 3 11" xfId="10206"/>
    <cellStyle name="40% - Accent1 3 11 2" xfId="10207"/>
    <cellStyle name="40% - Accent1 3 11 3" xfId="10208"/>
    <cellStyle name="40% - Accent1 3 12" xfId="10209"/>
    <cellStyle name="40% - Accent1 3 12 2" xfId="10210"/>
    <cellStyle name="40% - Accent1 3 12 3" xfId="10211"/>
    <cellStyle name="40% - Accent1 3 13" xfId="10212"/>
    <cellStyle name="40% - Accent1 3 13 2" xfId="10213"/>
    <cellStyle name="40% - Accent1 3 13 3" xfId="10214"/>
    <cellStyle name="40% - Accent1 3 14" xfId="10215"/>
    <cellStyle name="40% - Accent1 3 15" xfId="10216"/>
    <cellStyle name="40% - Accent1 3 2" xfId="1454"/>
    <cellStyle name="40% - Accent1 3 2 10" xfId="10217"/>
    <cellStyle name="40% - Accent1 3 2 10 2" xfId="10218"/>
    <cellStyle name="40% - Accent1 3 2 10 3" xfId="10219"/>
    <cellStyle name="40% - Accent1 3 2 11" xfId="10220"/>
    <cellStyle name="40% - Accent1 3 2 11 2" xfId="10221"/>
    <cellStyle name="40% - Accent1 3 2 11 3" xfId="10222"/>
    <cellStyle name="40% - Accent1 3 2 12" xfId="10223"/>
    <cellStyle name="40% - Accent1 3 2 12 2" xfId="10224"/>
    <cellStyle name="40% - Accent1 3 2 12 3" xfId="10225"/>
    <cellStyle name="40% - Accent1 3 2 13" xfId="10226"/>
    <cellStyle name="40% - Accent1 3 2 14" xfId="10227"/>
    <cellStyle name="40% - Accent1 3 2 15" xfId="10228"/>
    <cellStyle name="40% - Accent1 3 2 2" xfId="1824"/>
    <cellStyle name="40% - Accent1 3 2 2 2" xfId="10229"/>
    <cellStyle name="40% - Accent1 3 2 2 3" xfId="10230"/>
    <cellStyle name="40% - Accent1 3 2 3" xfId="2199"/>
    <cellStyle name="40% - Accent1 3 2 3 2" xfId="10231"/>
    <cellStyle name="40% - Accent1 3 2 3 3" xfId="10232"/>
    <cellStyle name="40% - Accent1 3 2 4" xfId="2573"/>
    <cellStyle name="40% - Accent1 3 2 4 2" xfId="10233"/>
    <cellStyle name="40% - Accent1 3 2 4 3" xfId="10234"/>
    <cellStyle name="40% - Accent1 3 2 5" xfId="2945"/>
    <cellStyle name="40% - Accent1 3 2 5 2" xfId="10235"/>
    <cellStyle name="40% - Accent1 3 2 5 3" xfId="10236"/>
    <cellStyle name="40% - Accent1 3 2 6" xfId="3317"/>
    <cellStyle name="40% - Accent1 3 2 6 2" xfId="10237"/>
    <cellStyle name="40% - Accent1 3 2 6 3" xfId="10238"/>
    <cellStyle name="40% - Accent1 3 2 7" xfId="4466"/>
    <cellStyle name="40% - Accent1 3 2 7 2" xfId="10240"/>
    <cellStyle name="40% - Accent1 3 2 7 3" xfId="10241"/>
    <cellStyle name="40% - Accent1 3 2 7 4" xfId="10239"/>
    <cellStyle name="40% - Accent1 3 2 8" xfId="10242"/>
    <cellStyle name="40% - Accent1 3 2 8 2" xfId="10243"/>
    <cellStyle name="40% - Accent1 3 2 8 3" xfId="10244"/>
    <cellStyle name="40% - Accent1 3 2 9" xfId="10245"/>
    <cellStyle name="40% - Accent1 3 2 9 2" xfId="10246"/>
    <cellStyle name="40% - Accent1 3 2 9 3" xfId="10247"/>
    <cellStyle name="40% - Accent1 3 3" xfId="1581"/>
    <cellStyle name="40% - Accent1 3 3 2" xfId="1901"/>
    <cellStyle name="40% - Accent1 3 3 3" xfId="2276"/>
    <cellStyle name="40% - Accent1 3 3 4" xfId="2649"/>
    <cellStyle name="40% - Accent1 3 3 5" xfId="3022"/>
    <cellStyle name="40% - Accent1 3 3 6" xfId="3393"/>
    <cellStyle name="40% - Accent1 3 3 7" xfId="4467"/>
    <cellStyle name="40% - Accent1 3 4" xfId="1718"/>
    <cellStyle name="40% - Accent1 3 4 2" xfId="1945"/>
    <cellStyle name="40% - Accent1 3 4 3" xfId="2320"/>
    <cellStyle name="40% - Accent1 3 4 4" xfId="2693"/>
    <cellStyle name="40% - Accent1 3 4 5" xfId="3066"/>
    <cellStyle name="40% - Accent1 3 4 6" xfId="3437"/>
    <cellStyle name="40% - Accent1 3 5" xfId="2053"/>
    <cellStyle name="40% - Accent1 3 5 2" xfId="10248"/>
    <cellStyle name="40% - Accent1 3 5 3" xfId="10249"/>
    <cellStyle name="40% - Accent1 3 5 4" xfId="10250"/>
    <cellStyle name="40% - Accent1 3 6" xfId="2427"/>
    <cellStyle name="40% - Accent1 3 6 2" xfId="10251"/>
    <cellStyle name="40% - Accent1 3 6 3" xfId="10252"/>
    <cellStyle name="40% - Accent1 3 6 4" xfId="10253"/>
    <cellStyle name="40% - Accent1 3 7" xfId="2799"/>
    <cellStyle name="40% - Accent1 3 7 2" xfId="10254"/>
    <cellStyle name="40% - Accent1 3 7 3" xfId="10255"/>
    <cellStyle name="40% - Accent1 3 7 4" xfId="10256"/>
    <cellStyle name="40% - Accent1 3 8" xfId="3170"/>
    <cellStyle name="40% - Accent1 3 8 2" xfId="10257"/>
    <cellStyle name="40% - Accent1 3 8 3" xfId="10258"/>
    <cellStyle name="40% - Accent1 3 8 4" xfId="10259"/>
    <cellStyle name="40% - Accent1 3 9" xfId="3545"/>
    <cellStyle name="40% - Accent1 3 9 2" xfId="4468"/>
    <cellStyle name="40% - Accent1 3 9 2 2" xfId="10260"/>
    <cellStyle name="40% - Accent1 3 9 3" xfId="10261"/>
    <cellStyle name="40% - Accent1 3 9 4" xfId="10262"/>
    <cellStyle name="40% - Accent1 3 9 5" xfId="10263"/>
    <cellStyle name="40% - Accent1 30" xfId="28141"/>
    <cellStyle name="40% - Accent1 4" xfId="241"/>
    <cellStyle name="40% - Accent1 4 10" xfId="3725"/>
    <cellStyle name="40% - Accent1 4 10 2" xfId="4470"/>
    <cellStyle name="40% - Accent1 4 10 2 2" xfId="10265"/>
    <cellStyle name="40% - Accent1 4 10 3" xfId="10266"/>
    <cellStyle name="40% - Accent1 4 10 4" xfId="10267"/>
    <cellStyle name="40% - Accent1 4 10 5" xfId="10268"/>
    <cellStyle name="40% - Accent1 4 11" xfId="1295"/>
    <cellStyle name="40% - Accent1 4 11 10" xfId="26143"/>
    <cellStyle name="40% - Accent1 4 11 11" xfId="28639"/>
    <cellStyle name="40% - Accent1 4 11 2" xfId="4145"/>
    <cellStyle name="40% - Accent1 4 11 2 2" xfId="5378"/>
    <cellStyle name="40% - Accent1 4 11 2 2 2" xfId="6216"/>
    <cellStyle name="40% - Accent1 4 11 2 2 2 2" xfId="26146"/>
    <cellStyle name="40% - Accent1 4 11 2 2 3" xfId="10271"/>
    <cellStyle name="40% - Accent1 4 11 2 2 4" xfId="26145"/>
    <cellStyle name="40% - Accent1 4 11 2 3" xfId="5688"/>
    <cellStyle name="40% - Accent1 4 11 2 3 2" xfId="6217"/>
    <cellStyle name="40% - Accent1 4 11 2 3 2 2" xfId="26148"/>
    <cellStyle name="40% - Accent1 4 11 2 3 3" xfId="26147"/>
    <cellStyle name="40% - Accent1 4 11 2 4" xfId="4472"/>
    <cellStyle name="40% - Accent1 4 11 2 4 2" xfId="6218"/>
    <cellStyle name="40% - Accent1 4 11 2 4 2 2" xfId="26150"/>
    <cellStyle name="40% - Accent1 4 11 2 4 3" xfId="26149"/>
    <cellStyle name="40% - Accent1 4 11 2 5" xfId="6215"/>
    <cellStyle name="40% - Accent1 4 11 2 5 2" xfId="26151"/>
    <cellStyle name="40% - Accent1 4 11 2 6" xfId="10270"/>
    <cellStyle name="40% - Accent1 4 11 2 6 2" xfId="26152"/>
    <cellStyle name="40% - Accent1 4 11 2 7" xfId="24997"/>
    <cellStyle name="40% - Accent1 4 11 2 8" xfId="26144"/>
    <cellStyle name="40% - Accent1 4 11 2 9" xfId="28640"/>
    <cellStyle name="40% - Accent1 4 11 3" xfId="5377"/>
    <cellStyle name="40% - Accent1 4 11 3 2" xfId="6219"/>
    <cellStyle name="40% - Accent1 4 11 3 2 2" xfId="26154"/>
    <cellStyle name="40% - Accent1 4 11 3 3" xfId="10272"/>
    <cellStyle name="40% - Accent1 4 11 3 4" xfId="26153"/>
    <cellStyle name="40% - Accent1 4 11 4" xfId="5687"/>
    <cellStyle name="40% - Accent1 4 11 4 2" xfId="6220"/>
    <cellStyle name="40% - Accent1 4 11 4 2 2" xfId="26156"/>
    <cellStyle name="40% - Accent1 4 11 4 3" xfId="10273"/>
    <cellStyle name="40% - Accent1 4 11 4 4" xfId="26155"/>
    <cellStyle name="40% - Accent1 4 11 5" xfId="4471"/>
    <cellStyle name="40% - Accent1 4 11 5 2" xfId="6221"/>
    <cellStyle name="40% - Accent1 4 11 5 2 2" xfId="10275"/>
    <cellStyle name="40% - Accent1 4 11 5 2 2 2" xfId="26159"/>
    <cellStyle name="40% - Accent1 4 11 5 2 3" xfId="26158"/>
    <cellStyle name="40% - Accent1 4 11 5 2 4" xfId="28642"/>
    <cellStyle name="40% - Accent1 4 11 5 3" xfId="10276"/>
    <cellStyle name="40% - Accent1 4 11 5 3 2" xfId="26160"/>
    <cellStyle name="40% - Accent1 4 11 5 3 3" xfId="28643"/>
    <cellStyle name="40% - Accent1 4 11 5 4" xfId="10274"/>
    <cellStyle name="40% - Accent1 4 11 5 4 2" xfId="26161"/>
    <cellStyle name="40% - Accent1 4 11 5 5" xfId="26157"/>
    <cellStyle name="40% - Accent1 4 11 5 6" xfId="28641"/>
    <cellStyle name="40% - Accent1 4 11 6" xfId="6214"/>
    <cellStyle name="40% - Accent1 4 11 6 2" xfId="10277"/>
    <cellStyle name="40% - Accent1 4 11 6 2 2" xfId="26163"/>
    <cellStyle name="40% - Accent1 4 11 6 3" xfId="26162"/>
    <cellStyle name="40% - Accent1 4 11 6 4" xfId="28644"/>
    <cellStyle name="40% - Accent1 4 11 7" xfId="10278"/>
    <cellStyle name="40% - Accent1 4 11 7 2" xfId="26164"/>
    <cellStyle name="40% - Accent1 4 11 7 3" xfId="28645"/>
    <cellStyle name="40% - Accent1 4 11 8" xfId="10269"/>
    <cellStyle name="40% - Accent1 4 11 8 2" xfId="26165"/>
    <cellStyle name="40% - Accent1 4 11 9" xfId="24877"/>
    <cellStyle name="40% - Accent1 4 12" xfId="4473"/>
    <cellStyle name="40% - Accent1 4 12 2" xfId="5379"/>
    <cellStyle name="40% - Accent1 4 12 2 2" xfId="6223"/>
    <cellStyle name="40% - Accent1 4 12 2 2 2" xfId="26168"/>
    <cellStyle name="40% - Accent1 4 12 2 3" xfId="10280"/>
    <cellStyle name="40% - Accent1 4 12 2 4" xfId="26167"/>
    <cellStyle name="40% - Accent1 4 12 3" xfId="5689"/>
    <cellStyle name="40% - Accent1 4 12 3 2" xfId="6224"/>
    <cellStyle name="40% - Accent1 4 12 3 2 2" xfId="26170"/>
    <cellStyle name="40% - Accent1 4 12 3 3" xfId="10281"/>
    <cellStyle name="40% - Accent1 4 12 3 4" xfId="26169"/>
    <cellStyle name="40% - Accent1 4 12 4" xfId="6222"/>
    <cellStyle name="40% - Accent1 4 12 4 2" xfId="10282"/>
    <cellStyle name="40% - Accent1 4 12 4 3" xfId="26171"/>
    <cellStyle name="40% - Accent1 4 12 5" xfId="10279"/>
    <cellStyle name="40% - Accent1 4 12 5 2" xfId="26172"/>
    <cellStyle name="40% - Accent1 4 12 6" xfId="26166"/>
    <cellStyle name="40% - Accent1 4 12 7" xfId="28646"/>
    <cellStyle name="40% - Accent1 4 13" xfId="5376"/>
    <cellStyle name="40% - Accent1 4 13 2" xfId="6225"/>
    <cellStyle name="40% - Accent1 4 13 2 2" xfId="10284"/>
    <cellStyle name="40% - Accent1 4 13 2 3" xfId="26174"/>
    <cellStyle name="40% - Accent1 4 13 3" xfId="10285"/>
    <cellStyle name="40% - Accent1 4 13 4" xfId="10283"/>
    <cellStyle name="40% - Accent1 4 13 5" xfId="26173"/>
    <cellStyle name="40% - Accent1 4 14" xfId="5686"/>
    <cellStyle name="40% - Accent1 4 14 2" xfId="6226"/>
    <cellStyle name="40% - Accent1 4 14 2 2" xfId="26176"/>
    <cellStyle name="40% - Accent1 4 14 3" xfId="10286"/>
    <cellStyle name="40% - Accent1 4 14 4" xfId="26175"/>
    <cellStyle name="40% - Accent1 4 15" xfId="4469"/>
    <cellStyle name="40% - Accent1 4 15 2" xfId="6227"/>
    <cellStyle name="40% - Accent1 4 15 2 2" xfId="26178"/>
    <cellStyle name="40% - Accent1 4 15 3" xfId="10287"/>
    <cellStyle name="40% - Accent1 4 15 4" xfId="26177"/>
    <cellStyle name="40% - Accent1 4 16" xfId="10288"/>
    <cellStyle name="40% - Accent1 4 17" xfId="10289"/>
    <cellStyle name="40% - Accent1 4 17 2" xfId="10290"/>
    <cellStyle name="40% - Accent1 4 17 2 2" xfId="26180"/>
    <cellStyle name="40% - Accent1 4 17 2 3" xfId="28648"/>
    <cellStyle name="40% - Accent1 4 17 3" xfId="10291"/>
    <cellStyle name="40% - Accent1 4 17 3 2" xfId="26181"/>
    <cellStyle name="40% - Accent1 4 17 3 3" xfId="28649"/>
    <cellStyle name="40% - Accent1 4 17 4" xfId="26179"/>
    <cellStyle name="40% - Accent1 4 17 5" xfId="28647"/>
    <cellStyle name="40% - Accent1 4 18" xfId="10292"/>
    <cellStyle name="40% - Accent1 4 18 2" xfId="26182"/>
    <cellStyle name="40% - Accent1 4 18 3" xfId="28650"/>
    <cellStyle name="40% - Accent1 4 19" xfId="10293"/>
    <cellStyle name="40% - Accent1 4 19 2" xfId="26183"/>
    <cellStyle name="40% - Accent1 4 19 3" xfId="28651"/>
    <cellStyle name="40% - Accent1 4 2" xfId="1499"/>
    <cellStyle name="40% - Accent1 4 2 10" xfId="10294"/>
    <cellStyle name="40% - Accent1 4 2 10 2" xfId="10295"/>
    <cellStyle name="40% - Accent1 4 2 10 3" xfId="10296"/>
    <cellStyle name="40% - Accent1 4 2 11" xfId="10297"/>
    <cellStyle name="40% - Accent1 4 2 11 2" xfId="10298"/>
    <cellStyle name="40% - Accent1 4 2 11 3" xfId="10299"/>
    <cellStyle name="40% - Accent1 4 2 12" xfId="10300"/>
    <cellStyle name="40% - Accent1 4 2 12 2" xfId="10301"/>
    <cellStyle name="40% - Accent1 4 2 12 3" xfId="10302"/>
    <cellStyle name="40% - Accent1 4 2 13" xfId="10303"/>
    <cellStyle name="40% - Accent1 4 2 14" xfId="10304"/>
    <cellStyle name="40% - Accent1 4 2 15" xfId="10305"/>
    <cellStyle name="40% - Accent1 4 2 16" xfId="10306"/>
    <cellStyle name="40% - Accent1 4 2 2" xfId="4474"/>
    <cellStyle name="40% - Accent1 4 2 2 2" xfId="10308"/>
    <cellStyle name="40% - Accent1 4 2 2 3" xfId="10309"/>
    <cellStyle name="40% - Accent1 4 2 2 4" xfId="10307"/>
    <cellStyle name="40% - Accent1 4 2 3" xfId="10310"/>
    <cellStyle name="40% - Accent1 4 2 3 2" xfId="10311"/>
    <cellStyle name="40% - Accent1 4 2 3 3" xfId="10312"/>
    <cellStyle name="40% - Accent1 4 2 4" xfId="10313"/>
    <cellStyle name="40% - Accent1 4 2 4 2" xfId="10314"/>
    <cellStyle name="40% - Accent1 4 2 4 3" xfId="10315"/>
    <cellStyle name="40% - Accent1 4 2 5" xfId="10316"/>
    <cellStyle name="40% - Accent1 4 2 5 2" xfId="10317"/>
    <cellStyle name="40% - Accent1 4 2 5 3" xfId="10318"/>
    <cellStyle name="40% - Accent1 4 2 6" xfId="10319"/>
    <cellStyle name="40% - Accent1 4 2 6 2" xfId="10320"/>
    <cellStyle name="40% - Accent1 4 2 6 3" xfId="10321"/>
    <cellStyle name="40% - Accent1 4 2 7" xfId="10322"/>
    <cellStyle name="40% - Accent1 4 2 7 2" xfId="10323"/>
    <cellStyle name="40% - Accent1 4 2 7 3" xfId="10324"/>
    <cellStyle name="40% - Accent1 4 2 8" xfId="10325"/>
    <cellStyle name="40% - Accent1 4 2 8 2" xfId="10326"/>
    <cellStyle name="40% - Accent1 4 2 8 3" xfId="10327"/>
    <cellStyle name="40% - Accent1 4 2 9" xfId="10328"/>
    <cellStyle name="40% - Accent1 4 2 9 2" xfId="10329"/>
    <cellStyle name="40% - Accent1 4 2 9 3" xfId="10330"/>
    <cellStyle name="40% - Accent1 4 20" xfId="10264"/>
    <cellStyle name="40% - Accent1 4 20 2" xfId="26184"/>
    <cellStyle name="40% - Accent1 4 21" xfId="28638"/>
    <cellStyle name="40% - Accent1 4 3" xfId="1624"/>
    <cellStyle name="40% - Accent1 4 3 2" xfId="4475"/>
    <cellStyle name="40% - Accent1 4 3 2 2" xfId="10331"/>
    <cellStyle name="40% - Accent1 4 3 3" xfId="10332"/>
    <cellStyle name="40% - Accent1 4 3 4" xfId="10333"/>
    <cellStyle name="40% - Accent1 4 3 5" xfId="10334"/>
    <cellStyle name="40% - Accent1 4 4" xfId="1798"/>
    <cellStyle name="40% - Accent1 4 4 2" xfId="10335"/>
    <cellStyle name="40% - Accent1 4 4 3" xfId="10336"/>
    <cellStyle name="40% - Accent1 4 4 4" xfId="10337"/>
    <cellStyle name="40% - Accent1 4 5" xfId="2134"/>
    <cellStyle name="40% - Accent1 4 5 2" xfId="10338"/>
    <cellStyle name="40% - Accent1 4 5 3" xfId="10339"/>
    <cellStyle name="40% - Accent1 4 5 4" xfId="10340"/>
    <cellStyle name="40% - Accent1 4 6" xfId="2508"/>
    <cellStyle name="40% - Accent1 4 6 2" xfId="10341"/>
    <cellStyle name="40% - Accent1 4 6 3" xfId="10342"/>
    <cellStyle name="40% - Accent1 4 6 4" xfId="10343"/>
    <cellStyle name="40% - Accent1 4 7" xfId="2880"/>
    <cellStyle name="40% - Accent1 4 7 2" xfId="10344"/>
    <cellStyle name="40% - Accent1 4 7 3" xfId="10345"/>
    <cellStyle name="40% - Accent1 4 7 4" xfId="10346"/>
    <cellStyle name="40% - Accent1 4 8" xfId="3251"/>
    <cellStyle name="40% - Accent1 4 8 2" xfId="10347"/>
    <cellStyle name="40% - Accent1 4 8 3" xfId="10348"/>
    <cellStyle name="40% - Accent1 4 8 4" xfId="10349"/>
    <cellStyle name="40% - Accent1 4 9" xfId="3588"/>
    <cellStyle name="40% - Accent1 4 9 2" xfId="4476"/>
    <cellStyle name="40% - Accent1 4 9 2 2" xfId="10350"/>
    <cellStyle name="40% - Accent1 4 9 3" xfId="10351"/>
    <cellStyle name="40% - Accent1 4 9 4" xfId="10352"/>
    <cellStyle name="40% - Accent1 4 9 5" xfId="10353"/>
    <cellStyle name="40% - Accent1 5" xfId="383"/>
    <cellStyle name="40% - Accent1 5 10" xfId="10354"/>
    <cellStyle name="40% - Accent1 5 10 2" xfId="10355"/>
    <cellStyle name="40% - Accent1 5 10 3" xfId="10356"/>
    <cellStyle name="40% - Accent1 5 11" xfId="10357"/>
    <cellStyle name="40% - Accent1 5 11 2" xfId="10358"/>
    <cellStyle name="40% - Accent1 5 11 3" xfId="10359"/>
    <cellStyle name="40% - Accent1 5 12" xfId="10360"/>
    <cellStyle name="40% - Accent1 5 12 2" xfId="10361"/>
    <cellStyle name="40% - Accent1 5 12 3" xfId="10362"/>
    <cellStyle name="40% - Accent1 5 13" xfId="10363"/>
    <cellStyle name="40% - Accent1 5 13 2" xfId="10364"/>
    <cellStyle name="40% - Accent1 5 13 3" xfId="10365"/>
    <cellStyle name="40% - Accent1 5 14" xfId="10366"/>
    <cellStyle name="40% - Accent1 5 15" xfId="10367"/>
    <cellStyle name="40% - Accent1 5 16" xfId="10368"/>
    <cellStyle name="40% - Accent1 5 17" xfId="10369"/>
    <cellStyle name="40% - Accent1 5 2" xfId="1862"/>
    <cellStyle name="40% - Accent1 5 2 10" xfId="10370"/>
    <cellStyle name="40% - Accent1 5 2 10 2" xfId="10371"/>
    <cellStyle name="40% - Accent1 5 2 10 3" xfId="10372"/>
    <cellStyle name="40% - Accent1 5 2 11" xfId="10373"/>
    <cellStyle name="40% - Accent1 5 2 11 2" xfId="10374"/>
    <cellStyle name="40% - Accent1 5 2 11 3" xfId="10375"/>
    <cellStyle name="40% - Accent1 5 2 12" xfId="10376"/>
    <cellStyle name="40% - Accent1 5 2 12 2" xfId="10377"/>
    <cellStyle name="40% - Accent1 5 2 12 3" xfId="10378"/>
    <cellStyle name="40% - Accent1 5 2 13" xfId="10379"/>
    <cellStyle name="40% - Accent1 5 2 14" xfId="10380"/>
    <cellStyle name="40% - Accent1 5 2 15" xfId="10381"/>
    <cellStyle name="40% - Accent1 5 2 2" xfId="10382"/>
    <cellStyle name="40% - Accent1 5 2 2 2" xfId="10383"/>
    <cellStyle name="40% - Accent1 5 2 2 3" xfId="10384"/>
    <cellStyle name="40% - Accent1 5 2 3" xfId="10385"/>
    <cellStyle name="40% - Accent1 5 2 3 2" xfId="10386"/>
    <cellStyle name="40% - Accent1 5 2 3 3" xfId="10387"/>
    <cellStyle name="40% - Accent1 5 2 4" xfId="10388"/>
    <cellStyle name="40% - Accent1 5 2 4 2" xfId="10389"/>
    <cellStyle name="40% - Accent1 5 2 4 3" xfId="10390"/>
    <cellStyle name="40% - Accent1 5 2 5" xfId="10391"/>
    <cellStyle name="40% - Accent1 5 2 5 2" xfId="10392"/>
    <cellStyle name="40% - Accent1 5 2 5 3" xfId="10393"/>
    <cellStyle name="40% - Accent1 5 2 6" xfId="10394"/>
    <cellStyle name="40% - Accent1 5 2 6 2" xfId="10395"/>
    <cellStyle name="40% - Accent1 5 2 6 3" xfId="10396"/>
    <cellStyle name="40% - Accent1 5 2 7" xfId="10397"/>
    <cellStyle name="40% - Accent1 5 2 7 2" xfId="10398"/>
    <cellStyle name="40% - Accent1 5 2 7 3" xfId="10399"/>
    <cellStyle name="40% - Accent1 5 2 8" xfId="10400"/>
    <cellStyle name="40% - Accent1 5 2 8 2" xfId="10401"/>
    <cellStyle name="40% - Accent1 5 2 8 3" xfId="10402"/>
    <cellStyle name="40% - Accent1 5 2 9" xfId="10403"/>
    <cellStyle name="40% - Accent1 5 2 9 2" xfId="10404"/>
    <cellStyle name="40% - Accent1 5 2 9 3" xfId="10405"/>
    <cellStyle name="40% - Accent1 5 3" xfId="2237"/>
    <cellStyle name="40% - Accent1 5 3 2" xfId="10406"/>
    <cellStyle name="40% - Accent1 5 3 3" xfId="10407"/>
    <cellStyle name="40% - Accent1 5 3 4" xfId="10408"/>
    <cellStyle name="40% - Accent1 5 4" xfId="2611"/>
    <cellStyle name="40% - Accent1 5 4 2" xfId="10409"/>
    <cellStyle name="40% - Accent1 5 4 3" xfId="10410"/>
    <cellStyle name="40% - Accent1 5 4 4" xfId="10411"/>
    <cellStyle name="40% - Accent1 5 5" xfId="2983"/>
    <cellStyle name="40% - Accent1 5 5 2" xfId="10412"/>
    <cellStyle name="40% - Accent1 5 5 3" xfId="10413"/>
    <cellStyle name="40% - Accent1 5 5 4" xfId="10414"/>
    <cellStyle name="40% - Accent1 5 6" xfId="3355"/>
    <cellStyle name="40% - Accent1 5 6 2" xfId="10415"/>
    <cellStyle name="40% - Accent1 5 6 3" xfId="10416"/>
    <cellStyle name="40% - Accent1 5 6 4" xfId="10417"/>
    <cellStyle name="40% - Accent1 5 7" xfId="4477"/>
    <cellStyle name="40% - Accent1 5 7 2" xfId="10419"/>
    <cellStyle name="40% - Accent1 5 7 3" xfId="10420"/>
    <cellStyle name="40% - Accent1 5 7 4" xfId="10418"/>
    <cellStyle name="40% - Accent1 5 8" xfId="10421"/>
    <cellStyle name="40% - Accent1 5 8 2" xfId="10422"/>
    <cellStyle name="40% - Accent1 5 8 3" xfId="10423"/>
    <cellStyle name="40% - Accent1 5 9" xfId="10424"/>
    <cellStyle name="40% - Accent1 5 9 2" xfId="10425"/>
    <cellStyle name="40% - Accent1 5 9 3" xfId="10426"/>
    <cellStyle name="40% - Accent1 6" xfId="384"/>
    <cellStyle name="40% - Accent1 6 10" xfId="5380"/>
    <cellStyle name="40% - Accent1 6 10 2" xfId="6229"/>
    <cellStyle name="40% - Accent1 6 10 2 2" xfId="10429"/>
    <cellStyle name="40% - Accent1 6 10 2 3" xfId="26187"/>
    <cellStyle name="40% - Accent1 6 10 3" xfId="10430"/>
    <cellStyle name="40% - Accent1 6 10 4" xfId="10428"/>
    <cellStyle name="40% - Accent1 6 10 5" xfId="26186"/>
    <cellStyle name="40% - Accent1 6 11" xfId="5690"/>
    <cellStyle name="40% - Accent1 6 11 2" xfId="6230"/>
    <cellStyle name="40% - Accent1 6 11 2 2" xfId="10432"/>
    <cellStyle name="40% - Accent1 6 11 2 3" xfId="26189"/>
    <cellStyle name="40% - Accent1 6 11 3" xfId="10433"/>
    <cellStyle name="40% - Accent1 6 11 4" xfId="10431"/>
    <cellStyle name="40% - Accent1 6 11 5" xfId="26188"/>
    <cellStyle name="40% - Accent1 6 12" xfId="4478"/>
    <cellStyle name="40% - Accent1 6 12 2" xfId="6231"/>
    <cellStyle name="40% - Accent1 6 12 2 2" xfId="10435"/>
    <cellStyle name="40% - Accent1 6 12 2 3" xfId="26191"/>
    <cellStyle name="40% - Accent1 6 12 3" xfId="10436"/>
    <cellStyle name="40% - Accent1 6 12 4" xfId="10434"/>
    <cellStyle name="40% - Accent1 6 12 5" xfId="26190"/>
    <cellStyle name="40% - Accent1 6 13" xfId="6228"/>
    <cellStyle name="40% - Accent1 6 13 2" xfId="10437"/>
    <cellStyle name="40% - Accent1 6 13 3" xfId="26192"/>
    <cellStyle name="40% - Accent1 6 14" xfId="10438"/>
    <cellStyle name="40% - Accent1 6 15" xfId="10439"/>
    <cellStyle name="40% - Accent1 6 16" xfId="10440"/>
    <cellStyle name="40% - Accent1 6 16 2" xfId="10441"/>
    <cellStyle name="40% - Accent1 6 16 2 2" xfId="26194"/>
    <cellStyle name="40% - Accent1 6 16 2 3" xfId="28654"/>
    <cellStyle name="40% - Accent1 6 16 3" xfId="10442"/>
    <cellStyle name="40% - Accent1 6 16 3 2" xfId="26195"/>
    <cellStyle name="40% - Accent1 6 16 3 3" xfId="28655"/>
    <cellStyle name="40% - Accent1 6 16 4" xfId="26193"/>
    <cellStyle name="40% - Accent1 6 16 5" xfId="28653"/>
    <cellStyle name="40% - Accent1 6 17" xfId="10443"/>
    <cellStyle name="40% - Accent1 6 17 2" xfId="26196"/>
    <cellStyle name="40% - Accent1 6 17 3" xfId="28656"/>
    <cellStyle name="40% - Accent1 6 18" xfId="10444"/>
    <cellStyle name="40% - Accent1 6 18 2" xfId="26197"/>
    <cellStyle name="40% - Accent1 6 18 3" xfId="28657"/>
    <cellStyle name="40% - Accent1 6 19" xfId="10427"/>
    <cellStyle name="40% - Accent1 6 19 2" xfId="26198"/>
    <cellStyle name="40% - Accent1 6 2" xfId="1975"/>
    <cellStyle name="40% - Accent1 6 2 2" xfId="4479"/>
    <cellStyle name="40% - Accent1 6 2 2 2" xfId="10445"/>
    <cellStyle name="40% - Accent1 6 2 3" xfId="10446"/>
    <cellStyle name="40% - Accent1 6 2 4" xfId="10447"/>
    <cellStyle name="40% - Accent1 6 2 5" xfId="10448"/>
    <cellStyle name="40% - Accent1 6 20" xfId="24837"/>
    <cellStyle name="40% - Accent1 6 21" xfId="26185"/>
    <cellStyle name="40% - Accent1 6 22" xfId="28652"/>
    <cellStyle name="40% - Accent1 6 3" xfId="2350"/>
    <cellStyle name="40% - Accent1 6 3 2" xfId="4480"/>
    <cellStyle name="40% - Accent1 6 3 2 2" xfId="10449"/>
    <cellStyle name="40% - Accent1 6 3 3" xfId="10450"/>
    <cellStyle name="40% - Accent1 6 3 4" xfId="10451"/>
    <cellStyle name="40% - Accent1 6 3 5" xfId="10452"/>
    <cellStyle name="40% - Accent1 6 4" xfId="2723"/>
    <cellStyle name="40% - Accent1 6 4 2" xfId="4481"/>
    <cellStyle name="40% - Accent1 6 4 2 2" xfId="10453"/>
    <cellStyle name="40% - Accent1 6 4 3" xfId="10454"/>
    <cellStyle name="40% - Accent1 6 4 4" xfId="10455"/>
    <cellStyle name="40% - Accent1 6 4 5" xfId="10456"/>
    <cellStyle name="40% - Accent1 6 5" xfId="3096"/>
    <cellStyle name="40% - Accent1 6 5 2" xfId="4482"/>
    <cellStyle name="40% - Accent1 6 5 2 2" xfId="10457"/>
    <cellStyle name="40% - Accent1 6 5 3" xfId="10458"/>
    <cellStyle name="40% - Accent1 6 5 4" xfId="10459"/>
    <cellStyle name="40% - Accent1 6 5 5" xfId="10460"/>
    <cellStyle name="40% - Accent1 6 6" xfId="3467"/>
    <cellStyle name="40% - Accent1 6 6 2" xfId="4483"/>
    <cellStyle name="40% - Accent1 6 6 2 2" xfId="10461"/>
    <cellStyle name="40% - Accent1 6 6 3" xfId="10462"/>
    <cellStyle name="40% - Accent1 6 6 4" xfId="10463"/>
    <cellStyle name="40% - Accent1 6 6 5" xfId="10464"/>
    <cellStyle name="40% - Accent1 6 7" xfId="3773"/>
    <cellStyle name="40% - Accent1 6 7 2" xfId="4484"/>
    <cellStyle name="40% - Accent1 6 7 2 2" xfId="10465"/>
    <cellStyle name="40% - Accent1 6 7 3" xfId="10466"/>
    <cellStyle name="40% - Accent1 6 7 4" xfId="10467"/>
    <cellStyle name="40% - Accent1 6 7 5" xfId="10468"/>
    <cellStyle name="40% - Accent1 6 8" xfId="1356"/>
    <cellStyle name="40% - Accent1 6 8 10" xfId="26199"/>
    <cellStyle name="40% - Accent1 6 8 11" xfId="28658"/>
    <cellStyle name="40% - Accent1 6 8 2" xfId="4156"/>
    <cellStyle name="40% - Accent1 6 8 2 2" xfId="5382"/>
    <cellStyle name="40% - Accent1 6 8 2 2 2" xfId="6234"/>
    <cellStyle name="40% - Accent1 6 8 2 2 2 2" xfId="26202"/>
    <cellStyle name="40% - Accent1 6 8 2 2 3" xfId="10471"/>
    <cellStyle name="40% - Accent1 6 8 2 2 4" xfId="26201"/>
    <cellStyle name="40% - Accent1 6 8 2 3" xfId="5692"/>
    <cellStyle name="40% - Accent1 6 8 2 3 2" xfId="6235"/>
    <cellStyle name="40% - Accent1 6 8 2 3 2 2" xfId="26204"/>
    <cellStyle name="40% - Accent1 6 8 2 3 3" xfId="26203"/>
    <cellStyle name="40% - Accent1 6 8 2 4" xfId="4486"/>
    <cellStyle name="40% - Accent1 6 8 2 4 2" xfId="6236"/>
    <cellStyle name="40% - Accent1 6 8 2 4 2 2" xfId="26206"/>
    <cellStyle name="40% - Accent1 6 8 2 4 3" xfId="26205"/>
    <cellStyle name="40% - Accent1 6 8 2 5" xfId="6233"/>
    <cellStyle name="40% - Accent1 6 8 2 5 2" xfId="26207"/>
    <cellStyle name="40% - Accent1 6 8 2 6" xfId="10470"/>
    <cellStyle name="40% - Accent1 6 8 2 6 2" xfId="26208"/>
    <cellStyle name="40% - Accent1 6 8 2 7" xfId="25008"/>
    <cellStyle name="40% - Accent1 6 8 2 8" xfId="26200"/>
    <cellStyle name="40% - Accent1 6 8 2 9" xfId="28659"/>
    <cellStyle name="40% - Accent1 6 8 3" xfId="5381"/>
    <cellStyle name="40% - Accent1 6 8 3 2" xfId="6237"/>
    <cellStyle name="40% - Accent1 6 8 3 2 2" xfId="26210"/>
    <cellStyle name="40% - Accent1 6 8 3 3" xfId="10472"/>
    <cellStyle name="40% - Accent1 6 8 3 4" xfId="26209"/>
    <cellStyle name="40% - Accent1 6 8 4" xfId="5691"/>
    <cellStyle name="40% - Accent1 6 8 4 2" xfId="6238"/>
    <cellStyle name="40% - Accent1 6 8 4 2 2" xfId="26212"/>
    <cellStyle name="40% - Accent1 6 8 4 3" xfId="10473"/>
    <cellStyle name="40% - Accent1 6 8 4 4" xfId="26211"/>
    <cellStyle name="40% - Accent1 6 8 5" xfId="4485"/>
    <cellStyle name="40% - Accent1 6 8 5 2" xfId="6239"/>
    <cellStyle name="40% - Accent1 6 8 5 2 2" xfId="10475"/>
    <cellStyle name="40% - Accent1 6 8 5 2 2 2" xfId="26215"/>
    <cellStyle name="40% - Accent1 6 8 5 2 3" xfId="26214"/>
    <cellStyle name="40% - Accent1 6 8 5 2 4" xfId="28661"/>
    <cellStyle name="40% - Accent1 6 8 5 3" xfId="10476"/>
    <cellStyle name="40% - Accent1 6 8 5 3 2" xfId="26216"/>
    <cellStyle name="40% - Accent1 6 8 5 3 3" xfId="28662"/>
    <cellStyle name="40% - Accent1 6 8 5 4" xfId="10474"/>
    <cellStyle name="40% - Accent1 6 8 5 4 2" xfId="26217"/>
    <cellStyle name="40% - Accent1 6 8 5 5" xfId="26213"/>
    <cellStyle name="40% - Accent1 6 8 5 6" xfId="28660"/>
    <cellStyle name="40% - Accent1 6 8 6" xfId="6232"/>
    <cellStyle name="40% - Accent1 6 8 6 2" xfId="10477"/>
    <cellStyle name="40% - Accent1 6 8 6 2 2" xfId="26219"/>
    <cellStyle name="40% - Accent1 6 8 6 3" xfId="26218"/>
    <cellStyle name="40% - Accent1 6 8 6 4" xfId="28663"/>
    <cellStyle name="40% - Accent1 6 8 7" xfId="10478"/>
    <cellStyle name="40% - Accent1 6 8 7 2" xfId="26220"/>
    <cellStyle name="40% - Accent1 6 8 7 3" xfId="28664"/>
    <cellStyle name="40% - Accent1 6 8 8" xfId="10469"/>
    <cellStyle name="40% - Accent1 6 8 8 2" xfId="26221"/>
    <cellStyle name="40% - Accent1 6 8 9" xfId="24888"/>
    <cellStyle name="40% - Accent1 6 9" xfId="3823"/>
    <cellStyle name="40% - Accent1 6 9 2" xfId="5383"/>
    <cellStyle name="40% - Accent1 6 9 2 2" xfId="6241"/>
    <cellStyle name="40% - Accent1 6 9 2 2 2" xfId="26224"/>
    <cellStyle name="40% - Accent1 6 9 2 3" xfId="10480"/>
    <cellStyle name="40% - Accent1 6 9 2 4" xfId="26223"/>
    <cellStyle name="40% - Accent1 6 9 3" xfId="5693"/>
    <cellStyle name="40% - Accent1 6 9 3 2" xfId="6242"/>
    <cellStyle name="40% - Accent1 6 9 3 2 2" xfId="26226"/>
    <cellStyle name="40% - Accent1 6 9 3 3" xfId="10481"/>
    <cellStyle name="40% - Accent1 6 9 3 4" xfId="26225"/>
    <cellStyle name="40% - Accent1 6 9 4" xfId="4487"/>
    <cellStyle name="40% - Accent1 6 9 4 2" xfId="6243"/>
    <cellStyle name="40% - Accent1 6 9 4 2 2" xfId="26228"/>
    <cellStyle name="40% - Accent1 6 9 4 3" xfId="10482"/>
    <cellStyle name="40% - Accent1 6 9 4 4" xfId="26227"/>
    <cellStyle name="40% - Accent1 6 9 5" xfId="6240"/>
    <cellStyle name="40% - Accent1 6 9 5 2" xfId="26229"/>
    <cellStyle name="40% - Accent1 6 9 6" xfId="10479"/>
    <cellStyle name="40% - Accent1 6 9 6 2" xfId="26230"/>
    <cellStyle name="40% - Accent1 6 9 7" xfId="24959"/>
    <cellStyle name="40% - Accent1 6 9 8" xfId="26222"/>
    <cellStyle name="40% - Accent1 6 9 9" xfId="28665"/>
    <cellStyle name="40% - Accent1 7" xfId="385"/>
    <cellStyle name="40% - Accent1 7 10" xfId="10483"/>
    <cellStyle name="40% - Accent1 7 10 2" xfId="10484"/>
    <cellStyle name="40% - Accent1 7 10 3" xfId="10485"/>
    <cellStyle name="40% - Accent1 7 11" xfId="10486"/>
    <cellStyle name="40% - Accent1 7 11 2" xfId="10487"/>
    <cellStyle name="40% - Accent1 7 11 3" xfId="10488"/>
    <cellStyle name="40% - Accent1 7 12" xfId="10489"/>
    <cellStyle name="40% - Accent1 7 12 2" xfId="10490"/>
    <cellStyle name="40% - Accent1 7 12 3" xfId="10491"/>
    <cellStyle name="40% - Accent1 7 13" xfId="10492"/>
    <cellStyle name="40% - Accent1 7 14" xfId="10493"/>
    <cellStyle name="40% - Accent1 7 15" xfId="10494"/>
    <cellStyle name="40% - Accent1 7 16" xfId="10495"/>
    <cellStyle name="40% - Accent1 7 2" xfId="4488"/>
    <cellStyle name="40% - Accent1 7 2 2" xfId="10497"/>
    <cellStyle name="40% - Accent1 7 2 3" xfId="10498"/>
    <cellStyle name="40% - Accent1 7 2 4" xfId="10496"/>
    <cellStyle name="40% - Accent1 7 3" xfId="10499"/>
    <cellStyle name="40% - Accent1 7 3 2" xfId="10500"/>
    <cellStyle name="40% - Accent1 7 3 3" xfId="10501"/>
    <cellStyle name="40% - Accent1 7 4" xfId="10502"/>
    <cellStyle name="40% - Accent1 7 4 2" xfId="10503"/>
    <cellStyle name="40% - Accent1 7 4 3" xfId="10504"/>
    <cellStyle name="40% - Accent1 7 5" xfId="10505"/>
    <cellStyle name="40% - Accent1 7 5 2" xfId="10506"/>
    <cellStyle name="40% - Accent1 7 5 3" xfId="10507"/>
    <cellStyle name="40% - Accent1 7 6" xfId="10508"/>
    <cellStyle name="40% - Accent1 7 6 2" xfId="10509"/>
    <cellStyle name="40% - Accent1 7 6 3" xfId="10510"/>
    <cellStyle name="40% - Accent1 7 7" xfId="10511"/>
    <cellStyle name="40% - Accent1 7 7 2" xfId="10512"/>
    <cellStyle name="40% - Accent1 7 7 3" xfId="10513"/>
    <cellStyle name="40% - Accent1 7 8" xfId="10514"/>
    <cellStyle name="40% - Accent1 7 8 2" xfId="10515"/>
    <cellStyle name="40% - Accent1 7 8 3" xfId="10516"/>
    <cellStyle name="40% - Accent1 7 9" xfId="10517"/>
    <cellStyle name="40% - Accent1 7 9 2" xfId="10518"/>
    <cellStyle name="40% - Accent1 7 9 3" xfId="10519"/>
    <cellStyle name="40% - Accent1 8" xfId="538"/>
    <cellStyle name="40% - Accent1 8 10" xfId="24851"/>
    <cellStyle name="40% - Accent1 8 11" xfId="26231"/>
    <cellStyle name="40% - Accent1 8 12" xfId="28666"/>
    <cellStyle name="40% - Accent1 8 2" xfId="1373"/>
    <cellStyle name="40% - Accent1 8 2 10" xfId="26232"/>
    <cellStyle name="40% - Accent1 8 2 11" xfId="28667"/>
    <cellStyle name="40% - Accent1 8 2 2" xfId="4173"/>
    <cellStyle name="40% - Accent1 8 2 2 2" xfId="5386"/>
    <cellStyle name="40% - Accent1 8 2 2 2 2" xfId="6247"/>
    <cellStyle name="40% - Accent1 8 2 2 2 2 2" xfId="26235"/>
    <cellStyle name="40% - Accent1 8 2 2 2 3" xfId="10523"/>
    <cellStyle name="40% - Accent1 8 2 2 2 4" xfId="26234"/>
    <cellStyle name="40% - Accent1 8 2 2 3" xfId="5696"/>
    <cellStyle name="40% - Accent1 8 2 2 3 2" xfId="6248"/>
    <cellStyle name="40% - Accent1 8 2 2 3 2 2" xfId="26237"/>
    <cellStyle name="40% - Accent1 8 2 2 3 3" xfId="26236"/>
    <cellStyle name="40% - Accent1 8 2 2 4" xfId="4491"/>
    <cellStyle name="40% - Accent1 8 2 2 4 2" xfId="6249"/>
    <cellStyle name="40% - Accent1 8 2 2 4 2 2" xfId="26239"/>
    <cellStyle name="40% - Accent1 8 2 2 4 3" xfId="26238"/>
    <cellStyle name="40% - Accent1 8 2 2 5" xfId="6246"/>
    <cellStyle name="40% - Accent1 8 2 2 5 2" xfId="26240"/>
    <cellStyle name="40% - Accent1 8 2 2 6" xfId="10522"/>
    <cellStyle name="40% - Accent1 8 2 2 6 2" xfId="26241"/>
    <cellStyle name="40% - Accent1 8 2 2 7" xfId="25025"/>
    <cellStyle name="40% - Accent1 8 2 2 8" xfId="26233"/>
    <cellStyle name="40% - Accent1 8 2 2 9" xfId="28668"/>
    <cellStyle name="40% - Accent1 8 2 3" xfId="5385"/>
    <cellStyle name="40% - Accent1 8 2 3 2" xfId="6250"/>
    <cellStyle name="40% - Accent1 8 2 3 2 2" xfId="26243"/>
    <cellStyle name="40% - Accent1 8 2 3 3" xfId="10524"/>
    <cellStyle name="40% - Accent1 8 2 3 4" xfId="26242"/>
    <cellStyle name="40% - Accent1 8 2 4" xfId="5695"/>
    <cellStyle name="40% - Accent1 8 2 4 2" xfId="6251"/>
    <cellStyle name="40% - Accent1 8 2 4 2 2" xfId="26245"/>
    <cellStyle name="40% - Accent1 8 2 4 3" xfId="10525"/>
    <cellStyle name="40% - Accent1 8 2 4 4" xfId="26244"/>
    <cellStyle name="40% - Accent1 8 2 5" xfId="4490"/>
    <cellStyle name="40% - Accent1 8 2 5 2" xfId="6252"/>
    <cellStyle name="40% - Accent1 8 2 5 2 2" xfId="10527"/>
    <cellStyle name="40% - Accent1 8 2 5 2 2 2" xfId="26248"/>
    <cellStyle name="40% - Accent1 8 2 5 2 3" xfId="26247"/>
    <cellStyle name="40% - Accent1 8 2 5 2 4" xfId="28670"/>
    <cellStyle name="40% - Accent1 8 2 5 3" xfId="10528"/>
    <cellStyle name="40% - Accent1 8 2 5 3 2" xfId="26249"/>
    <cellStyle name="40% - Accent1 8 2 5 3 3" xfId="28671"/>
    <cellStyle name="40% - Accent1 8 2 5 4" xfId="10526"/>
    <cellStyle name="40% - Accent1 8 2 5 4 2" xfId="26250"/>
    <cellStyle name="40% - Accent1 8 2 5 5" xfId="26246"/>
    <cellStyle name="40% - Accent1 8 2 5 6" xfId="28669"/>
    <cellStyle name="40% - Accent1 8 2 6" xfId="6245"/>
    <cellStyle name="40% - Accent1 8 2 6 2" xfId="10529"/>
    <cellStyle name="40% - Accent1 8 2 6 2 2" xfId="26252"/>
    <cellStyle name="40% - Accent1 8 2 6 3" xfId="26251"/>
    <cellStyle name="40% - Accent1 8 2 6 4" xfId="28672"/>
    <cellStyle name="40% - Accent1 8 2 7" xfId="10530"/>
    <cellStyle name="40% - Accent1 8 2 7 2" xfId="26253"/>
    <cellStyle name="40% - Accent1 8 2 7 3" xfId="28673"/>
    <cellStyle name="40% - Accent1 8 2 8" xfId="10521"/>
    <cellStyle name="40% - Accent1 8 2 8 2" xfId="26254"/>
    <cellStyle name="40% - Accent1 8 2 9" xfId="24905"/>
    <cellStyle name="40% - Accent1 8 3" xfId="3837"/>
    <cellStyle name="40% - Accent1 8 3 2" xfId="5387"/>
    <cellStyle name="40% - Accent1 8 3 2 2" xfId="6254"/>
    <cellStyle name="40% - Accent1 8 3 2 2 2" xfId="26257"/>
    <cellStyle name="40% - Accent1 8 3 2 3" xfId="10532"/>
    <cellStyle name="40% - Accent1 8 3 2 4" xfId="26256"/>
    <cellStyle name="40% - Accent1 8 3 3" xfId="5697"/>
    <cellStyle name="40% - Accent1 8 3 3 2" xfId="6255"/>
    <cellStyle name="40% - Accent1 8 3 3 2 2" xfId="26259"/>
    <cellStyle name="40% - Accent1 8 3 3 3" xfId="26258"/>
    <cellStyle name="40% - Accent1 8 3 4" xfId="4492"/>
    <cellStyle name="40% - Accent1 8 3 4 2" xfId="6256"/>
    <cellStyle name="40% - Accent1 8 3 4 2 2" xfId="26261"/>
    <cellStyle name="40% - Accent1 8 3 4 3" xfId="26260"/>
    <cellStyle name="40% - Accent1 8 3 5" xfId="6253"/>
    <cellStyle name="40% - Accent1 8 3 5 2" xfId="26262"/>
    <cellStyle name="40% - Accent1 8 3 6" xfId="10531"/>
    <cellStyle name="40% - Accent1 8 3 6 2" xfId="26263"/>
    <cellStyle name="40% - Accent1 8 3 7" xfId="24973"/>
    <cellStyle name="40% - Accent1 8 3 8" xfId="26255"/>
    <cellStyle name="40% - Accent1 8 3 9" xfId="28674"/>
    <cellStyle name="40% - Accent1 8 4" xfId="5384"/>
    <cellStyle name="40% - Accent1 8 4 2" xfId="6257"/>
    <cellStyle name="40% - Accent1 8 4 2 2" xfId="26265"/>
    <cellStyle name="40% - Accent1 8 4 3" xfId="10533"/>
    <cellStyle name="40% - Accent1 8 4 4" xfId="26264"/>
    <cellStyle name="40% - Accent1 8 5" xfId="5694"/>
    <cellStyle name="40% - Accent1 8 5 2" xfId="6258"/>
    <cellStyle name="40% - Accent1 8 5 2 2" xfId="26267"/>
    <cellStyle name="40% - Accent1 8 5 3" xfId="10534"/>
    <cellStyle name="40% - Accent1 8 5 4" xfId="26266"/>
    <cellStyle name="40% - Accent1 8 6" xfId="4489"/>
    <cellStyle name="40% - Accent1 8 6 2" xfId="6259"/>
    <cellStyle name="40% - Accent1 8 6 2 2" xfId="10536"/>
    <cellStyle name="40% - Accent1 8 6 2 2 2" xfId="26270"/>
    <cellStyle name="40% - Accent1 8 6 2 3" xfId="26269"/>
    <cellStyle name="40% - Accent1 8 6 2 4" xfId="28676"/>
    <cellStyle name="40% - Accent1 8 6 3" xfId="10537"/>
    <cellStyle name="40% - Accent1 8 6 3 2" xfId="26271"/>
    <cellStyle name="40% - Accent1 8 6 3 3" xfId="28677"/>
    <cellStyle name="40% - Accent1 8 6 4" xfId="10535"/>
    <cellStyle name="40% - Accent1 8 6 4 2" xfId="26272"/>
    <cellStyle name="40% - Accent1 8 6 5" xfId="26268"/>
    <cellStyle name="40% - Accent1 8 6 6" xfId="28675"/>
    <cellStyle name="40% - Accent1 8 7" xfId="6244"/>
    <cellStyle name="40% - Accent1 8 7 2" xfId="10538"/>
    <cellStyle name="40% - Accent1 8 7 2 2" xfId="26274"/>
    <cellStyle name="40% - Accent1 8 7 3" xfId="26273"/>
    <cellStyle name="40% - Accent1 8 7 4" xfId="28678"/>
    <cellStyle name="40% - Accent1 8 8" xfId="10539"/>
    <cellStyle name="40% - Accent1 8 8 2" xfId="26275"/>
    <cellStyle name="40% - Accent1 8 8 3" xfId="28679"/>
    <cellStyle name="40% - Accent1 8 9" xfId="10520"/>
    <cellStyle name="40% - Accent1 8 9 2" xfId="26276"/>
    <cellStyle name="40% - Accent1 9" xfId="539"/>
    <cellStyle name="40% - Accent1 9 2" xfId="4493"/>
    <cellStyle name="40% - Accent1 9 2 2" xfId="10541"/>
    <cellStyle name="40% - Accent1 9 2 3" xfId="10542"/>
    <cellStyle name="40% - Accent1 9 2 4" xfId="10540"/>
    <cellStyle name="40% - Accent1 9 3" xfId="10543"/>
    <cellStyle name="40% - Accent1 9 4" xfId="10544"/>
    <cellStyle name="40% - Accent1 9 5" xfId="10545"/>
    <cellStyle name="40% - Accent1 9 6" xfId="10546"/>
    <cellStyle name="40% - Accent2" xfId="7108" builtinId="35" customBuiltin="1"/>
    <cellStyle name="40% - Accent2 10" xfId="668"/>
    <cellStyle name="40% - Accent2 10 2" xfId="4494"/>
    <cellStyle name="40% - Accent2 10 2 2" xfId="10547"/>
    <cellStyle name="40% - Accent2 10 3" xfId="10548"/>
    <cellStyle name="40% - Accent2 10 4" xfId="10549"/>
    <cellStyle name="40% - Accent2 10 5" xfId="10550"/>
    <cellStyle name="40% - Accent2 11" xfId="669"/>
    <cellStyle name="40% - Accent2 11 2" xfId="4495"/>
    <cellStyle name="40% - Accent2 11 2 2" xfId="10551"/>
    <cellStyle name="40% - Accent2 11 3" xfId="10552"/>
    <cellStyle name="40% - Accent2 11 4" xfId="10553"/>
    <cellStyle name="40% - Accent2 11 5" xfId="10554"/>
    <cellStyle name="40% - Accent2 12" xfId="819"/>
    <cellStyle name="40% - Accent2 12 2" xfId="10556"/>
    <cellStyle name="40% - Accent2 12 3" xfId="10557"/>
    <cellStyle name="40% - Accent2 12 4" xfId="10555"/>
    <cellStyle name="40% - Accent2 13" xfId="820"/>
    <cellStyle name="40% - Accent2 13 2" xfId="3852"/>
    <cellStyle name="40% - Accent2 13 2 2" xfId="6261"/>
    <cellStyle name="40% - Accent2 13 2 2 2" xfId="26279"/>
    <cellStyle name="40% - Accent2 13 2 3" xfId="10559"/>
    <cellStyle name="40% - Accent2 13 2 4" xfId="24988"/>
    <cellStyle name="40% - Accent2 13 2 5" xfId="26278"/>
    <cellStyle name="40% - Accent2 13 3" xfId="6260"/>
    <cellStyle name="40% - Accent2 13 3 2" xfId="10560"/>
    <cellStyle name="40% - Accent2 13 3 3" xfId="26280"/>
    <cellStyle name="40% - Accent2 13 4" xfId="10558"/>
    <cellStyle name="40% - Accent2 13 5" xfId="24867"/>
    <cellStyle name="40% - Accent2 13 6" xfId="26277"/>
    <cellStyle name="40% - Accent2 14" xfId="935"/>
    <cellStyle name="40% - Accent2 14 2" xfId="10562"/>
    <cellStyle name="40% - Accent2 14 3" xfId="10563"/>
    <cellStyle name="40% - Accent2 14 4" xfId="10561"/>
    <cellStyle name="40% - Accent2 15" xfId="10564"/>
    <cellStyle name="40% - Accent2 15 2" xfId="10565"/>
    <cellStyle name="40% - Accent2 15 3" xfId="10566"/>
    <cellStyle name="40% - Accent2 16" xfId="10567"/>
    <cellStyle name="40% - Accent2 16 2" xfId="10568"/>
    <cellStyle name="40% - Accent2 16 3" xfId="10569"/>
    <cellStyle name="40% - Accent2 17" xfId="10570"/>
    <cellStyle name="40% - Accent2 17 2" xfId="10571"/>
    <cellStyle name="40% - Accent2 17 3" xfId="10572"/>
    <cellStyle name="40% - Accent2 18" xfId="10573"/>
    <cellStyle name="40% - Accent2 18 2" xfId="10574"/>
    <cellStyle name="40% - Accent2 18 3" xfId="10575"/>
    <cellStyle name="40% - Accent2 19" xfId="10576"/>
    <cellStyle name="40% - Accent2 19 2" xfId="10577"/>
    <cellStyle name="40% - Accent2 2" xfId="75"/>
    <cellStyle name="40% - Accent2 2 10" xfId="1674"/>
    <cellStyle name="40% - Accent2 2 10 2" xfId="4496"/>
    <cellStyle name="40% - Accent2 2 10 2 2" xfId="10578"/>
    <cellStyle name="40% - Accent2 2 10 3" xfId="10579"/>
    <cellStyle name="40% - Accent2 2 10 4" xfId="10580"/>
    <cellStyle name="40% - Accent2 2 10 5" xfId="10581"/>
    <cellStyle name="40% - Accent2 2 11" xfId="1663"/>
    <cellStyle name="40% - Accent2 2 11 2" xfId="4497"/>
    <cellStyle name="40% - Accent2 2 11 2 2" xfId="10582"/>
    <cellStyle name="40% - Accent2 2 11 3" xfId="10583"/>
    <cellStyle name="40% - Accent2 2 11 4" xfId="10584"/>
    <cellStyle name="40% - Accent2 2 11 5" xfId="10585"/>
    <cellStyle name="40% - Accent2 2 12" xfId="2129"/>
    <cellStyle name="40% - Accent2 2 12 2" xfId="4498"/>
    <cellStyle name="40% - Accent2 2 12 2 2" xfId="10586"/>
    <cellStyle name="40% - Accent2 2 12 3" xfId="10587"/>
    <cellStyle name="40% - Accent2 2 12 4" xfId="10588"/>
    <cellStyle name="40% - Accent2 2 12 5" xfId="10589"/>
    <cellStyle name="40% - Accent2 2 13" xfId="2503"/>
    <cellStyle name="40% - Accent2 2 13 2" xfId="4499"/>
    <cellStyle name="40% - Accent2 2 13 2 2" xfId="10590"/>
    <cellStyle name="40% - Accent2 2 13 3" xfId="10591"/>
    <cellStyle name="40% - Accent2 2 13 4" xfId="10592"/>
    <cellStyle name="40% - Accent2 2 13 5" xfId="10593"/>
    <cellStyle name="40% - Accent2 2 14" xfId="2417"/>
    <cellStyle name="40% - Accent2 2 14 2" xfId="4500"/>
    <cellStyle name="40% - Accent2 2 14 2 2" xfId="10594"/>
    <cellStyle name="40% - Accent2 2 14 3" xfId="10595"/>
    <cellStyle name="40% - Accent2 2 14 4" xfId="10596"/>
    <cellStyle name="40% - Accent2 2 14 5" xfId="10597"/>
    <cellStyle name="40% - Accent2 2 15" xfId="2789"/>
    <cellStyle name="40% - Accent2 2 15 2" xfId="4501"/>
    <cellStyle name="40% - Accent2 2 15 2 2" xfId="10598"/>
    <cellStyle name="40% - Accent2 2 15 3" xfId="10599"/>
    <cellStyle name="40% - Accent2 2 16" xfId="3639"/>
    <cellStyle name="40% - Accent2 2 16 2" xfId="4502"/>
    <cellStyle name="40% - Accent2 2 16 2 2" xfId="10600"/>
    <cellStyle name="40% - Accent2 2 16 3" xfId="10601"/>
    <cellStyle name="40% - Accent2 2 17" xfId="24474"/>
    <cellStyle name="40% - Accent2 2 2" xfId="119"/>
    <cellStyle name="40% - Accent2 2 2 10" xfId="10602"/>
    <cellStyle name="40% - Accent2 2 2 10 2" xfId="10603"/>
    <cellStyle name="40% - Accent2 2 2 10 3" xfId="10604"/>
    <cellStyle name="40% - Accent2 2 2 11" xfId="10605"/>
    <cellStyle name="40% - Accent2 2 2 11 2" xfId="10606"/>
    <cellStyle name="40% - Accent2 2 2 11 3" xfId="10607"/>
    <cellStyle name="40% - Accent2 2 2 12" xfId="10608"/>
    <cellStyle name="40% - Accent2 2 2 12 2" xfId="10609"/>
    <cellStyle name="40% - Accent2 2 2 12 3" xfId="10610"/>
    <cellStyle name="40% - Accent2 2 2 13" xfId="10611"/>
    <cellStyle name="40% - Accent2 2 2 14" xfId="10612"/>
    <cellStyle name="40% - Accent2 2 2 15" xfId="10613"/>
    <cellStyle name="40% - Accent2 2 2 2" xfId="176"/>
    <cellStyle name="40% - Accent2 2 2 2 2" xfId="10615"/>
    <cellStyle name="40% - Accent2 2 2 2 2 2" xfId="10616"/>
    <cellStyle name="40% - Accent2 2 2 2 3" xfId="10617"/>
    <cellStyle name="40% - Accent2 2 2 2 3 2" xfId="10618"/>
    <cellStyle name="40% - Accent2 2 2 2 4" xfId="10619"/>
    <cellStyle name="40% - Accent2 2 2 2 5" xfId="10614"/>
    <cellStyle name="40% - Accent2 2 2 3" xfId="340"/>
    <cellStyle name="40% - Accent2 2 2 3 2" xfId="10621"/>
    <cellStyle name="40% - Accent2 2 2 3 2 2" xfId="10622"/>
    <cellStyle name="40% - Accent2 2 2 3 3" xfId="10623"/>
    <cellStyle name="40% - Accent2 2 2 3 3 2" xfId="10624"/>
    <cellStyle name="40% - Accent2 2 2 3 4" xfId="10625"/>
    <cellStyle name="40% - Accent2 2 2 3 5" xfId="10620"/>
    <cellStyle name="40% - Accent2 2 2 4" xfId="2162"/>
    <cellStyle name="40% - Accent2 2 2 4 2" xfId="10627"/>
    <cellStyle name="40% - Accent2 2 2 4 2 2" xfId="10628"/>
    <cellStyle name="40% - Accent2 2 2 4 3" xfId="10629"/>
    <cellStyle name="40% - Accent2 2 2 4 3 2" xfId="10630"/>
    <cellStyle name="40% - Accent2 2 2 4 4" xfId="10631"/>
    <cellStyle name="40% - Accent2 2 2 4 5" xfId="10626"/>
    <cellStyle name="40% - Accent2 2 2 5" xfId="2536"/>
    <cellStyle name="40% - Accent2 2 2 5 2" xfId="10633"/>
    <cellStyle name="40% - Accent2 2 2 5 2 2" xfId="10634"/>
    <cellStyle name="40% - Accent2 2 2 5 3" xfId="10635"/>
    <cellStyle name="40% - Accent2 2 2 5 3 2" xfId="10636"/>
    <cellStyle name="40% - Accent2 2 2 5 4" xfId="10637"/>
    <cellStyle name="40% - Accent2 2 2 5 5" xfId="10632"/>
    <cellStyle name="40% - Accent2 2 2 6" xfId="2908"/>
    <cellStyle name="40% - Accent2 2 2 6 2" xfId="10639"/>
    <cellStyle name="40% - Accent2 2 2 6 2 2" xfId="10640"/>
    <cellStyle name="40% - Accent2 2 2 6 3" xfId="10641"/>
    <cellStyle name="40% - Accent2 2 2 6 3 2" xfId="10642"/>
    <cellStyle name="40% - Accent2 2 2 6 4" xfId="10643"/>
    <cellStyle name="40% - Accent2 2 2 6 5" xfId="10638"/>
    <cellStyle name="40% - Accent2 2 2 7" xfId="3280"/>
    <cellStyle name="40% - Accent2 2 2 7 2" xfId="10645"/>
    <cellStyle name="40% - Accent2 2 2 7 2 2" xfId="10646"/>
    <cellStyle name="40% - Accent2 2 2 7 3" xfId="10647"/>
    <cellStyle name="40% - Accent2 2 2 7 3 2" xfId="10648"/>
    <cellStyle name="40% - Accent2 2 2 7 4" xfId="10649"/>
    <cellStyle name="40% - Accent2 2 2 7 5" xfId="10644"/>
    <cellStyle name="40% - Accent2 2 2 8" xfId="4503"/>
    <cellStyle name="40% - Accent2 2 2 8 2" xfId="10651"/>
    <cellStyle name="40% - Accent2 2 2 8 2 2" xfId="10652"/>
    <cellStyle name="40% - Accent2 2 2 8 3" xfId="10653"/>
    <cellStyle name="40% - Accent2 2 2 8 3 2" xfId="10654"/>
    <cellStyle name="40% - Accent2 2 2 8 4" xfId="10655"/>
    <cellStyle name="40% - Accent2 2 2 8 5" xfId="10650"/>
    <cellStyle name="40% - Accent2 2 2 9" xfId="10656"/>
    <cellStyle name="40% - Accent2 2 2 9 2" xfId="10657"/>
    <cellStyle name="40% - Accent2 2 2 9 2 2" xfId="10658"/>
    <cellStyle name="40% - Accent2 2 2 9 3" xfId="10659"/>
    <cellStyle name="40% - Accent2 2 2 9 3 2" xfId="10660"/>
    <cellStyle name="40% - Accent2 2 2 9 4" xfId="10661"/>
    <cellStyle name="40% - Accent2 2 3" xfId="284"/>
    <cellStyle name="40% - Accent2 2 3 2" xfId="1338"/>
    <cellStyle name="40% - Accent2 2 3 2 2" xfId="10664"/>
    <cellStyle name="40% - Accent2 2 3 2 2 2" xfId="10665"/>
    <cellStyle name="40% - Accent2 2 3 2 3" xfId="10666"/>
    <cellStyle name="40% - Accent2 2 3 2 3 2" xfId="10667"/>
    <cellStyle name="40% - Accent2 2 3 2 4" xfId="10668"/>
    <cellStyle name="40% - Accent2 2 3 2 5" xfId="10663"/>
    <cellStyle name="40% - Accent2 2 3 3" xfId="10669"/>
    <cellStyle name="40% - Accent2 2 3 3 2" xfId="10670"/>
    <cellStyle name="40% - Accent2 2 3 4" xfId="10671"/>
    <cellStyle name="40% - Accent2 2 3 4 2" xfId="10672"/>
    <cellStyle name="40% - Accent2 2 3 5" xfId="10673"/>
    <cellStyle name="40% - Accent2 2 3 6" xfId="10662"/>
    <cellStyle name="40% - Accent2 2 4" xfId="386"/>
    <cellStyle name="40% - Accent2 2 4 2" xfId="10675"/>
    <cellStyle name="40% - Accent2 2 4 2 2" xfId="10676"/>
    <cellStyle name="40% - Accent2 2 4 2 2 2" xfId="10677"/>
    <cellStyle name="40% - Accent2 2 4 2 3" xfId="10678"/>
    <cellStyle name="40% - Accent2 2 4 2 3 2" xfId="10679"/>
    <cellStyle name="40% - Accent2 2 4 2 4" xfId="10680"/>
    <cellStyle name="40% - Accent2 2 4 3" xfId="10681"/>
    <cellStyle name="40% - Accent2 2 4 3 2" xfId="10682"/>
    <cellStyle name="40% - Accent2 2 4 4" xfId="10683"/>
    <cellStyle name="40% - Accent2 2 4 4 2" xfId="10684"/>
    <cellStyle name="40% - Accent2 2 4 5" xfId="10685"/>
    <cellStyle name="40% - Accent2 2 4 6" xfId="10674"/>
    <cellStyle name="40% - Accent2 2 5" xfId="540"/>
    <cellStyle name="40% - Accent2 2 5 2" xfId="10687"/>
    <cellStyle name="40% - Accent2 2 5 2 2" xfId="10688"/>
    <cellStyle name="40% - Accent2 2 5 3" xfId="10689"/>
    <cellStyle name="40% - Accent2 2 5 3 2" xfId="10690"/>
    <cellStyle name="40% - Accent2 2 5 4" xfId="10691"/>
    <cellStyle name="40% - Accent2 2 5 5" xfId="10686"/>
    <cellStyle name="40% - Accent2 2 6" xfId="670"/>
    <cellStyle name="40% - Accent2 2 6 2" xfId="10693"/>
    <cellStyle name="40% - Accent2 2 6 2 2" xfId="10694"/>
    <cellStyle name="40% - Accent2 2 6 3" xfId="10695"/>
    <cellStyle name="40% - Accent2 2 6 3 2" xfId="10696"/>
    <cellStyle name="40% - Accent2 2 6 4" xfId="10697"/>
    <cellStyle name="40% - Accent2 2 6 5" xfId="10692"/>
    <cellStyle name="40% - Accent2 2 7" xfId="671"/>
    <cellStyle name="40% - Accent2 2 7 2" xfId="10699"/>
    <cellStyle name="40% - Accent2 2 7 2 2" xfId="10700"/>
    <cellStyle name="40% - Accent2 2 7 3" xfId="10701"/>
    <cellStyle name="40% - Accent2 2 7 3 2" xfId="10702"/>
    <cellStyle name="40% - Accent2 2 7 4" xfId="10703"/>
    <cellStyle name="40% - Accent2 2 7 5" xfId="10698"/>
    <cellStyle name="40% - Accent2 2 8" xfId="821"/>
    <cellStyle name="40% - Accent2 2 8 2" xfId="1403"/>
    <cellStyle name="40% - Accent2 2 8 2 2" xfId="10706"/>
    <cellStyle name="40% - Accent2 2 8 2 3" xfId="10705"/>
    <cellStyle name="40% - Accent2 2 8 3" xfId="10707"/>
    <cellStyle name="40% - Accent2 2 8 3 2" xfId="10708"/>
    <cellStyle name="40% - Accent2 2 8 4" xfId="10709"/>
    <cellStyle name="40% - Accent2 2 8 4 2" xfId="10710"/>
    <cellStyle name="40% - Accent2 2 8 5" xfId="10711"/>
    <cellStyle name="40% - Accent2 2 8 5 2" xfId="10712"/>
    <cellStyle name="40% - Accent2 2 8 6" xfId="10713"/>
    <cellStyle name="40% - Accent2 2 8 7" xfId="10704"/>
    <cellStyle name="40% - Accent2 2 9" xfId="936"/>
    <cellStyle name="40% - Accent2 2 9 2" xfId="1445"/>
    <cellStyle name="40% - Accent2 2 9 2 2" xfId="10716"/>
    <cellStyle name="40% - Accent2 2 9 2 3" xfId="10715"/>
    <cellStyle name="40% - Accent2 2 9 3" xfId="10717"/>
    <cellStyle name="40% - Accent2 2 9 3 2" xfId="10718"/>
    <cellStyle name="40% - Accent2 2 9 4" xfId="10719"/>
    <cellStyle name="40% - Accent2 2 9 4 2" xfId="10720"/>
    <cellStyle name="40% - Accent2 2 9 5" xfId="10721"/>
    <cellStyle name="40% - Accent2 2 9 5 2" xfId="10722"/>
    <cellStyle name="40% - Accent2 2 9 6" xfId="10723"/>
    <cellStyle name="40% - Accent2 2 9 7" xfId="10714"/>
    <cellStyle name="40% - Accent2 20" xfId="10724"/>
    <cellStyle name="40% - Accent2 20 2" xfId="10725"/>
    <cellStyle name="40% - Accent2 21" xfId="10726"/>
    <cellStyle name="40% - Accent2 21 2" xfId="10727"/>
    <cellStyle name="40% - Accent2 21 2 2" xfId="10728"/>
    <cellStyle name="40% - Accent2 21 2 2 2" xfId="10729"/>
    <cellStyle name="40% - Accent2 21 2 3" xfId="10730"/>
    <cellStyle name="40% - Accent2 21 2 3 2" xfId="10731"/>
    <cellStyle name="40% - Accent2 21 2 4" xfId="10732"/>
    <cellStyle name="40% - Accent2 21 3" xfId="10733"/>
    <cellStyle name="40% - Accent2 21 3 2" xfId="10734"/>
    <cellStyle name="40% - Accent2 21 4" xfId="10735"/>
    <cellStyle name="40% - Accent2 21 4 2" xfId="10736"/>
    <cellStyle name="40% - Accent2 21 5" xfId="10737"/>
    <cellStyle name="40% - Accent2 22" xfId="10738"/>
    <cellStyle name="40% - Accent2 22 2" xfId="10739"/>
    <cellStyle name="40% - Accent2 22 2 2" xfId="10740"/>
    <cellStyle name="40% - Accent2 22 2 2 2" xfId="10741"/>
    <cellStyle name="40% - Accent2 22 2 3" xfId="10742"/>
    <cellStyle name="40% - Accent2 22 2 3 2" xfId="10743"/>
    <cellStyle name="40% - Accent2 22 2 4" xfId="10744"/>
    <cellStyle name="40% - Accent2 22 3" xfId="10745"/>
    <cellStyle name="40% - Accent2 22 3 2" xfId="10746"/>
    <cellStyle name="40% - Accent2 22 4" xfId="10747"/>
    <cellStyle name="40% - Accent2 22 4 2" xfId="10748"/>
    <cellStyle name="40% - Accent2 22 5" xfId="10749"/>
    <cellStyle name="40% - Accent2 23" xfId="10750"/>
    <cellStyle name="40% - Accent2 23 2" xfId="10751"/>
    <cellStyle name="40% - Accent2 24" xfId="10752"/>
    <cellStyle name="40% - Accent2 24 2" xfId="10753"/>
    <cellStyle name="40% - Accent2 24 2 2" xfId="10754"/>
    <cellStyle name="40% - Accent2 24 2 2 2" xfId="10755"/>
    <cellStyle name="40% - Accent2 24 2 3" xfId="10756"/>
    <cellStyle name="40% - Accent2 24 2 3 2" xfId="10757"/>
    <cellStyle name="40% - Accent2 24 2 4" xfId="10758"/>
    <cellStyle name="40% - Accent2 24 3" xfId="10759"/>
    <cellStyle name="40% - Accent2 24 3 2" xfId="10760"/>
    <cellStyle name="40% - Accent2 24 4" xfId="10761"/>
    <cellStyle name="40% - Accent2 24 4 2" xfId="10762"/>
    <cellStyle name="40% - Accent2 24 5" xfId="10763"/>
    <cellStyle name="40% - Accent2 25" xfId="10764"/>
    <cellStyle name="40% - Accent2 25 2" xfId="10765"/>
    <cellStyle name="40% - Accent2 25 2 2" xfId="10766"/>
    <cellStyle name="40% - Accent2 25 2 2 2" xfId="10767"/>
    <cellStyle name="40% - Accent2 25 2 3" xfId="10768"/>
    <cellStyle name="40% - Accent2 25 2 3 2" xfId="10769"/>
    <cellStyle name="40% - Accent2 25 2 4" xfId="10770"/>
    <cellStyle name="40% - Accent2 25 3" xfId="10771"/>
    <cellStyle name="40% - Accent2 25 3 2" xfId="10772"/>
    <cellStyle name="40% - Accent2 25 4" xfId="10773"/>
    <cellStyle name="40% - Accent2 25 4 2" xfId="10774"/>
    <cellStyle name="40% - Accent2 25 5" xfId="10775"/>
    <cellStyle name="40% - Accent2 26" xfId="10776"/>
    <cellStyle name="40% - Accent2 26 2" xfId="10777"/>
    <cellStyle name="40% - Accent2 27" xfId="10778"/>
    <cellStyle name="40% - Accent2 27 2" xfId="10779"/>
    <cellStyle name="40% - Accent2 27 2 2" xfId="10780"/>
    <cellStyle name="40% - Accent2 27 2 2 2" xfId="10781"/>
    <cellStyle name="40% - Accent2 27 2 3" xfId="10782"/>
    <cellStyle name="40% - Accent2 27 2 3 2" xfId="10783"/>
    <cellStyle name="40% - Accent2 27 2 4" xfId="10784"/>
    <cellStyle name="40% - Accent2 27 3" xfId="10785"/>
    <cellStyle name="40% - Accent2 27 3 2" xfId="10786"/>
    <cellStyle name="40% - Accent2 27 4" xfId="10787"/>
    <cellStyle name="40% - Accent2 27 4 2" xfId="10788"/>
    <cellStyle name="40% - Accent2 27 5" xfId="10789"/>
    <cellStyle name="40% - Accent2 28" xfId="10790"/>
    <cellStyle name="40% - Accent2 28 2" xfId="10791"/>
    <cellStyle name="40% - Accent2 28 2 2" xfId="10792"/>
    <cellStyle name="40% - Accent2 28 3" xfId="10793"/>
    <cellStyle name="40% - Accent2 28 3 2" xfId="10794"/>
    <cellStyle name="40% - Accent2 28 4" xfId="10795"/>
    <cellStyle name="40% - Accent2 29" xfId="10796"/>
    <cellStyle name="40% - Accent2 29 2" xfId="10797"/>
    <cellStyle name="40% - Accent2 3" xfId="217"/>
    <cellStyle name="40% - Accent2 3 10" xfId="3682"/>
    <cellStyle name="40% - Accent2 3 10 2" xfId="4504"/>
    <cellStyle name="40% - Accent2 3 10 2 2" xfId="10801"/>
    <cellStyle name="40% - Accent2 3 10 2 3" xfId="10800"/>
    <cellStyle name="40% - Accent2 3 10 3" xfId="10802"/>
    <cellStyle name="40% - Accent2 3 10 3 2" xfId="10803"/>
    <cellStyle name="40% - Accent2 3 10 4" xfId="10804"/>
    <cellStyle name="40% - Accent2 3 10 4 2" xfId="10805"/>
    <cellStyle name="40% - Accent2 3 10 5" xfId="10806"/>
    <cellStyle name="40% - Accent2 3 10 5 2" xfId="10807"/>
    <cellStyle name="40% - Accent2 3 10 6" xfId="10808"/>
    <cellStyle name="40% - Accent2 3 10 7" xfId="10799"/>
    <cellStyle name="40% - Accent2 3 11" xfId="10809"/>
    <cellStyle name="40% - Accent2 3 11 2" xfId="10810"/>
    <cellStyle name="40% - Accent2 3 11 2 2" xfId="10811"/>
    <cellStyle name="40% - Accent2 3 11 3" xfId="10812"/>
    <cellStyle name="40% - Accent2 3 11 3 2" xfId="10813"/>
    <cellStyle name="40% - Accent2 3 11 4" xfId="10814"/>
    <cellStyle name="40% - Accent2 3 12" xfId="10815"/>
    <cellStyle name="40% - Accent2 3 12 2" xfId="10816"/>
    <cellStyle name="40% - Accent2 3 12 2 2" xfId="10817"/>
    <cellStyle name="40% - Accent2 3 12 3" xfId="10818"/>
    <cellStyle name="40% - Accent2 3 12 3 2" xfId="10819"/>
    <cellStyle name="40% - Accent2 3 12 4" xfId="10820"/>
    <cellStyle name="40% - Accent2 3 13" xfId="10821"/>
    <cellStyle name="40% - Accent2 3 13 2" xfId="10822"/>
    <cellStyle name="40% - Accent2 3 13 2 2" xfId="10823"/>
    <cellStyle name="40% - Accent2 3 13 3" xfId="10824"/>
    <cellStyle name="40% - Accent2 3 13 3 2" xfId="10825"/>
    <cellStyle name="40% - Accent2 3 13 4" xfId="10826"/>
    <cellStyle name="40% - Accent2 3 14" xfId="10827"/>
    <cellStyle name="40% - Accent2 3 14 2" xfId="10828"/>
    <cellStyle name="40% - Accent2 3 15" xfId="10829"/>
    <cellStyle name="40% - Accent2 3 15 2" xfId="10830"/>
    <cellStyle name="40% - Accent2 3 16" xfId="10831"/>
    <cellStyle name="40% - Accent2 3 17" xfId="10798"/>
    <cellStyle name="40% - Accent2 3 2" xfId="1455"/>
    <cellStyle name="40% - Accent2 3 2 10" xfId="10833"/>
    <cellStyle name="40% - Accent2 3 2 10 2" xfId="10834"/>
    <cellStyle name="40% - Accent2 3 2 10 2 2" xfId="10835"/>
    <cellStyle name="40% - Accent2 3 2 10 3" xfId="10836"/>
    <cellStyle name="40% - Accent2 3 2 10 3 2" xfId="10837"/>
    <cellStyle name="40% - Accent2 3 2 10 4" xfId="10838"/>
    <cellStyle name="40% - Accent2 3 2 11" xfId="10839"/>
    <cellStyle name="40% - Accent2 3 2 11 2" xfId="10840"/>
    <cellStyle name="40% - Accent2 3 2 11 2 2" xfId="10841"/>
    <cellStyle name="40% - Accent2 3 2 11 3" xfId="10842"/>
    <cellStyle name="40% - Accent2 3 2 11 3 2" xfId="10843"/>
    <cellStyle name="40% - Accent2 3 2 11 4" xfId="10844"/>
    <cellStyle name="40% - Accent2 3 2 12" xfId="10845"/>
    <cellStyle name="40% - Accent2 3 2 12 2" xfId="10846"/>
    <cellStyle name="40% - Accent2 3 2 12 2 2" xfId="10847"/>
    <cellStyle name="40% - Accent2 3 2 12 3" xfId="10848"/>
    <cellStyle name="40% - Accent2 3 2 12 3 2" xfId="10849"/>
    <cellStyle name="40% - Accent2 3 2 12 4" xfId="10850"/>
    <cellStyle name="40% - Accent2 3 2 13" xfId="10851"/>
    <cellStyle name="40% - Accent2 3 2 13 2" xfId="10852"/>
    <cellStyle name="40% - Accent2 3 2 14" xfId="10853"/>
    <cellStyle name="40% - Accent2 3 2 14 2" xfId="10854"/>
    <cellStyle name="40% - Accent2 3 2 15" xfId="10855"/>
    <cellStyle name="40% - Accent2 3 2 15 2" xfId="10856"/>
    <cellStyle name="40% - Accent2 3 2 16" xfId="10857"/>
    <cellStyle name="40% - Accent2 3 2 17" xfId="10832"/>
    <cellStyle name="40% - Accent2 3 2 2" xfId="1828"/>
    <cellStyle name="40% - Accent2 3 2 2 2" xfId="10859"/>
    <cellStyle name="40% - Accent2 3 2 2 2 2" xfId="10860"/>
    <cellStyle name="40% - Accent2 3 2 2 3" xfId="10861"/>
    <cellStyle name="40% - Accent2 3 2 2 3 2" xfId="10862"/>
    <cellStyle name="40% - Accent2 3 2 2 4" xfId="10863"/>
    <cellStyle name="40% - Accent2 3 2 2 5" xfId="10858"/>
    <cellStyle name="40% - Accent2 3 2 3" xfId="2203"/>
    <cellStyle name="40% - Accent2 3 2 3 2" xfId="10865"/>
    <cellStyle name="40% - Accent2 3 2 3 2 2" xfId="10866"/>
    <cellStyle name="40% - Accent2 3 2 3 3" xfId="10867"/>
    <cellStyle name="40% - Accent2 3 2 3 3 2" xfId="10868"/>
    <cellStyle name="40% - Accent2 3 2 3 4" xfId="10869"/>
    <cellStyle name="40% - Accent2 3 2 3 5" xfId="10864"/>
    <cellStyle name="40% - Accent2 3 2 4" xfId="2577"/>
    <cellStyle name="40% - Accent2 3 2 4 2" xfId="10871"/>
    <cellStyle name="40% - Accent2 3 2 4 2 2" xfId="10872"/>
    <cellStyle name="40% - Accent2 3 2 4 3" xfId="10873"/>
    <cellStyle name="40% - Accent2 3 2 4 3 2" xfId="10874"/>
    <cellStyle name="40% - Accent2 3 2 4 4" xfId="10875"/>
    <cellStyle name="40% - Accent2 3 2 4 5" xfId="10870"/>
    <cellStyle name="40% - Accent2 3 2 5" xfId="2949"/>
    <cellStyle name="40% - Accent2 3 2 5 2" xfId="10877"/>
    <cellStyle name="40% - Accent2 3 2 5 2 2" xfId="10878"/>
    <cellStyle name="40% - Accent2 3 2 5 3" xfId="10879"/>
    <cellStyle name="40% - Accent2 3 2 5 3 2" xfId="10880"/>
    <cellStyle name="40% - Accent2 3 2 5 4" xfId="10881"/>
    <cellStyle name="40% - Accent2 3 2 5 5" xfId="10876"/>
    <cellStyle name="40% - Accent2 3 2 6" xfId="3321"/>
    <cellStyle name="40% - Accent2 3 2 6 2" xfId="10883"/>
    <cellStyle name="40% - Accent2 3 2 6 2 2" xfId="10884"/>
    <cellStyle name="40% - Accent2 3 2 6 3" xfId="10885"/>
    <cellStyle name="40% - Accent2 3 2 6 3 2" xfId="10886"/>
    <cellStyle name="40% - Accent2 3 2 6 4" xfId="10887"/>
    <cellStyle name="40% - Accent2 3 2 6 5" xfId="10882"/>
    <cellStyle name="40% - Accent2 3 2 7" xfId="4505"/>
    <cellStyle name="40% - Accent2 3 2 7 2" xfId="10889"/>
    <cellStyle name="40% - Accent2 3 2 7 2 2" xfId="10890"/>
    <cellStyle name="40% - Accent2 3 2 7 3" xfId="10891"/>
    <cellStyle name="40% - Accent2 3 2 7 3 2" xfId="10892"/>
    <cellStyle name="40% - Accent2 3 2 7 4" xfId="10893"/>
    <cellStyle name="40% - Accent2 3 2 7 5" xfId="10888"/>
    <cellStyle name="40% - Accent2 3 2 8" xfId="10894"/>
    <cellStyle name="40% - Accent2 3 2 8 2" xfId="10895"/>
    <cellStyle name="40% - Accent2 3 2 8 2 2" xfId="10896"/>
    <cellStyle name="40% - Accent2 3 2 8 3" xfId="10897"/>
    <cellStyle name="40% - Accent2 3 2 8 3 2" xfId="10898"/>
    <cellStyle name="40% - Accent2 3 2 8 4" xfId="10899"/>
    <cellStyle name="40% - Accent2 3 2 9" xfId="10900"/>
    <cellStyle name="40% - Accent2 3 2 9 2" xfId="10901"/>
    <cellStyle name="40% - Accent2 3 2 9 2 2" xfId="10902"/>
    <cellStyle name="40% - Accent2 3 2 9 3" xfId="10903"/>
    <cellStyle name="40% - Accent2 3 2 9 3 2" xfId="10904"/>
    <cellStyle name="40% - Accent2 3 2 9 4" xfId="10905"/>
    <cellStyle name="40% - Accent2 3 3" xfId="1582"/>
    <cellStyle name="40% - Accent2 3 3 2" xfId="1905"/>
    <cellStyle name="40% - Accent2 3 3 2 2" xfId="10908"/>
    <cellStyle name="40% - Accent2 3 3 2 3" xfId="10907"/>
    <cellStyle name="40% - Accent2 3 3 3" xfId="2280"/>
    <cellStyle name="40% - Accent2 3 3 3 2" xfId="10910"/>
    <cellStyle name="40% - Accent2 3 3 3 3" xfId="10909"/>
    <cellStyle name="40% - Accent2 3 3 4" xfId="2653"/>
    <cellStyle name="40% - Accent2 3 3 4 2" xfId="10912"/>
    <cellStyle name="40% - Accent2 3 3 4 3" xfId="10911"/>
    <cellStyle name="40% - Accent2 3 3 5" xfId="3026"/>
    <cellStyle name="40% - Accent2 3 3 5 2" xfId="10914"/>
    <cellStyle name="40% - Accent2 3 3 5 3" xfId="10913"/>
    <cellStyle name="40% - Accent2 3 3 6" xfId="3397"/>
    <cellStyle name="40% - Accent2 3 3 6 2" xfId="10916"/>
    <cellStyle name="40% - Accent2 3 3 6 3" xfId="10915"/>
    <cellStyle name="40% - Accent2 3 3 7" xfId="4506"/>
    <cellStyle name="40% - Accent2 3 3 7 2" xfId="10918"/>
    <cellStyle name="40% - Accent2 3 3 7 3" xfId="10917"/>
    <cellStyle name="40% - Accent2 3 3 8" xfId="10919"/>
    <cellStyle name="40% - Accent2 3 3 9" xfId="10906"/>
    <cellStyle name="40% - Accent2 3 4" xfId="1719"/>
    <cellStyle name="40% - Accent2 3 4 2" xfId="1949"/>
    <cellStyle name="40% - Accent2 3 4 2 2" xfId="10922"/>
    <cellStyle name="40% - Accent2 3 4 2 3" xfId="10921"/>
    <cellStyle name="40% - Accent2 3 4 3" xfId="2324"/>
    <cellStyle name="40% - Accent2 3 4 3 2" xfId="10924"/>
    <cellStyle name="40% - Accent2 3 4 3 3" xfId="10923"/>
    <cellStyle name="40% - Accent2 3 4 4" xfId="2697"/>
    <cellStyle name="40% - Accent2 3 4 4 2" xfId="10926"/>
    <cellStyle name="40% - Accent2 3 4 4 3" xfId="10925"/>
    <cellStyle name="40% - Accent2 3 4 5" xfId="3070"/>
    <cellStyle name="40% - Accent2 3 4 5 2" xfId="10928"/>
    <cellStyle name="40% - Accent2 3 4 5 3" xfId="10927"/>
    <cellStyle name="40% - Accent2 3 4 6" xfId="3441"/>
    <cellStyle name="40% - Accent2 3 4 6 2" xfId="10930"/>
    <cellStyle name="40% - Accent2 3 4 6 3" xfId="10929"/>
    <cellStyle name="40% - Accent2 3 4 7" xfId="10931"/>
    <cellStyle name="40% - Accent2 3 4 8" xfId="10920"/>
    <cellStyle name="40% - Accent2 3 5" xfId="2054"/>
    <cellStyle name="40% - Accent2 3 5 2" xfId="10933"/>
    <cellStyle name="40% - Accent2 3 5 2 2" xfId="10934"/>
    <cellStyle name="40% - Accent2 3 5 3" xfId="10935"/>
    <cellStyle name="40% - Accent2 3 5 3 2" xfId="10936"/>
    <cellStyle name="40% - Accent2 3 5 4" xfId="10937"/>
    <cellStyle name="40% - Accent2 3 5 4 2" xfId="10938"/>
    <cellStyle name="40% - Accent2 3 5 5" xfId="10939"/>
    <cellStyle name="40% - Accent2 3 5 6" xfId="10932"/>
    <cellStyle name="40% - Accent2 3 6" xfId="2428"/>
    <cellStyle name="40% - Accent2 3 6 2" xfId="10941"/>
    <cellStyle name="40% - Accent2 3 6 2 2" xfId="10942"/>
    <cellStyle name="40% - Accent2 3 6 3" xfId="10943"/>
    <cellStyle name="40% - Accent2 3 6 3 2" xfId="10944"/>
    <cellStyle name="40% - Accent2 3 6 4" xfId="10945"/>
    <cellStyle name="40% - Accent2 3 6 4 2" xfId="10946"/>
    <cellStyle name="40% - Accent2 3 6 5" xfId="10947"/>
    <cellStyle name="40% - Accent2 3 6 6" xfId="10940"/>
    <cellStyle name="40% - Accent2 3 7" xfId="2800"/>
    <cellStyle name="40% - Accent2 3 7 2" xfId="10949"/>
    <cellStyle name="40% - Accent2 3 7 2 2" xfId="10950"/>
    <cellStyle name="40% - Accent2 3 7 3" xfId="10951"/>
    <cellStyle name="40% - Accent2 3 7 3 2" xfId="10952"/>
    <cellStyle name="40% - Accent2 3 7 4" xfId="10953"/>
    <cellStyle name="40% - Accent2 3 7 4 2" xfId="10954"/>
    <cellStyle name="40% - Accent2 3 7 5" xfId="10955"/>
    <cellStyle name="40% - Accent2 3 7 6" xfId="10948"/>
    <cellStyle name="40% - Accent2 3 8" xfId="3171"/>
    <cellStyle name="40% - Accent2 3 8 2" xfId="10957"/>
    <cellStyle name="40% - Accent2 3 8 2 2" xfId="10958"/>
    <cellStyle name="40% - Accent2 3 8 3" xfId="10959"/>
    <cellStyle name="40% - Accent2 3 8 3 2" xfId="10960"/>
    <cellStyle name="40% - Accent2 3 8 4" xfId="10961"/>
    <cellStyle name="40% - Accent2 3 8 4 2" xfId="10962"/>
    <cellStyle name="40% - Accent2 3 8 5" xfId="10963"/>
    <cellStyle name="40% - Accent2 3 8 6" xfId="10956"/>
    <cellStyle name="40% - Accent2 3 9" xfId="3546"/>
    <cellStyle name="40% - Accent2 3 9 2" xfId="4507"/>
    <cellStyle name="40% - Accent2 3 9 2 2" xfId="10966"/>
    <cellStyle name="40% - Accent2 3 9 2 3" xfId="10965"/>
    <cellStyle name="40% - Accent2 3 9 3" xfId="10967"/>
    <cellStyle name="40% - Accent2 3 9 3 2" xfId="10968"/>
    <cellStyle name="40% - Accent2 3 9 4" xfId="10969"/>
    <cellStyle name="40% - Accent2 3 9 4 2" xfId="10970"/>
    <cellStyle name="40% - Accent2 3 9 5" xfId="10971"/>
    <cellStyle name="40% - Accent2 3 9 5 2" xfId="10972"/>
    <cellStyle name="40% - Accent2 3 9 6" xfId="10973"/>
    <cellStyle name="40% - Accent2 3 9 7" xfId="10964"/>
    <cellStyle name="40% - Accent2 30" xfId="28143"/>
    <cellStyle name="40% - Accent2 4" xfId="242"/>
    <cellStyle name="40% - Accent2 4 10" xfId="3726"/>
    <cellStyle name="40% - Accent2 4 10 2" xfId="4509"/>
    <cellStyle name="40% - Accent2 4 10 2 2" xfId="10977"/>
    <cellStyle name="40% - Accent2 4 10 2 3" xfId="10976"/>
    <cellStyle name="40% - Accent2 4 10 3" xfId="10978"/>
    <cellStyle name="40% - Accent2 4 10 3 2" xfId="10979"/>
    <cellStyle name="40% - Accent2 4 10 4" xfId="10980"/>
    <cellStyle name="40% - Accent2 4 10 4 2" xfId="10981"/>
    <cellStyle name="40% - Accent2 4 10 5" xfId="10982"/>
    <cellStyle name="40% - Accent2 4 10 5 2" xfId="10983"/>
    <cellStyle name="40% - Accent2 4 10 6" xfId="10984"/>
    <cellStyle name="40% - Accent2 4 10 7" xfId="10975"/>
    <cellStyle name="40% - Accent2 4 11" xfId="1299"/>
    <cellStyle name="40% - Accent2 4 11 10" xfId="24879"/>
    <cellStyle name="40% - Accent2 4 11 11" xfId="26281"/>
    <cellStyle name="40% - Accent2 4 11 2" xfId="4147"/>
    <cellStyle name="40% - Accent2 4 11 2 2" xfId="5390"/>
    <cellStyle name="40% - Accent2 4 11 2 2 2" xfId="6264"/>
    <cellStyle name="40% - Accent2 4 11 2 2 2 2" xfId="10988"/>
    <cellStyle name="40% - Accent2 4 11 2 2 2 3" xfId="26284"/>
    <cellStyle name="40% - Accent2 4 11 2 2 3" xfId="10987"/>
    <cellStyle name="40% - Accent2 4 11 2 2 4" xfId="26283"/>
    <cellStyle name="40% - Accent2 4 11 2 3" xfId="5700"/>
    <cellStyle name="40% - Accent2 4 11 2 3 2" xfId="6265"/>
    <cellStyle name="40% - Accent2 4 11 2 3 2 2" xfId="26286"/>
    <cellStyle name="40% - Accent2 4 11 2 3 3" xfId="10989"/>
    <cellStyle name="40% - Accent2 4 11 2 3 4" xfId="26285"/>
    <cellStyle name="40% - Accent2 4 11 2 4" xfId="4511"/>
    <cellStyle name="40% - Accent2 4 11 2 4 2" xfId="6266"/>
    <cellStyle name="40% - Accent2 4 11 2 4 2 2" xfId="26288"/>
    <cellStyle name="40% - Accent2 4 11 2 4 3" xfId="26287"/>
    <cellStyle name="40% - Accent2 4 11 2 5" xfId="6263"/>
    <cellStyle name="40% - Accent2 4 11 2 5 2" xfId="26289"/>
    <cellStyle name="40% - Accent2 4 11 2 6" xfId="10986"/>
    <cellStyle name="40% - Accent2 4 11 2 7" xfId="24999"/>
    <cellStyle name="40% - Accent2 4 11 2 8" xfId="26282"/>
    <cellStyle name="40% - Accent2 4 11 3" xfId="5389"/>
    <cellStyle name="40% - Accent2 4 11 3 2" xfId="6267"/>
    <cellStyle name="40% - Accent2 4 11 3 2 2" xfId="10991"/>
    <cellStyle name="40% - Accent2 4 11 3 2 3" xfId="26291"/>
    <cellStyle name="40% - Accent2 4 11 3 3" xfId="10990"/>
    <cellStyle name="40% - Accent2 4 11 3 4" xfId="26290"/>
    <cellStyle name="40% - Accent2 4 11 4" xfId="5699"/>
    <cellStyle name="40% - Accent2 4 11 4 2" xfId="6268"/>
    <cellStyle name="40% - Accent2 4 11 4 2 2" xfId="10993"/>
    <cellStyle name="40% - Accent2 4 11 4 2 3" xfId="26293"/>
    <cellStyle name="40% - Accent2 4 11 4 3" xfId="10992"/>
    <cellStyle name="40% - Accent2 4 11 4 4" xfId="26292"/>
    <cellStyle name="40% - Accent2 4 11 5" xfId="4510"/>
    <cellStyle name="40% - Accent2 4 11 5 2" xfId="6269"/>
    <cellStyle name="40% - Accent2 4 11 5 2 2" xfId="10996"/>
    <cellStyle name="40% - Accent2 4 11 5 2 3" xfId="10995"/>
    <cellStyle name="40% - Accent2 4 11 5 2 4" xfId="26295"/>
    <cellStyle name="40% - Accent2 4 11 5 3" xfId="10997"/>
    <cellStyle name="40% - Accent2 4 11 5 3 2" xfId="10998"/>
    <cellStyle name="40% - Accent2 4 11 5 4" xfId="10999"/>
    <cellStyle name="40% - Accent2 4 11 5 5" xfId="10994"/>
    <cellStyle name="40% - Accent2 4 11 5 6" xfId="26294"/>
    <cellStyle name="40% - Accent2 4 11 6" xfId="6262"/>
    <cellStyle name="40% - Accent2 4 11 6 2" xfId="11001"/>
    <cellStyle name="40% - Accent2 4 11 6 3" xfId="11000"/>
    <cellStyle name="40% - Accent2 4 11 6 4" xfId="26296"/>
    <cellStyle name="40% - Accent2 4 11 7" xfId="11002"/>
    <cellStyle name="40% - Accent2 4 11 7 2" xfId="11003"/>
    <cellStyle name="40% - Accent2 4 11 8" xfId="11004"/>
    <cellStyle name="40% - Accent2 4 11 9" xfId="10985"/>
    <cellStyle name="40% - Accent2 4 12" xfId="4512"/>
    <cellStyle name="40% - Accent2 4 12 2" xfId="5391"/>
    <cellStyle name="40% - Accent2 4 12 2 2" xfId="6271"/>
    <cellStyle name="40% - Accent2 4 12 2 2 2" xfId="11007"/>
    <cellStyle name="40% - Accent2 4 12 2 2 3" xfId="26299"/>
    <cellStyle name="40% - Accent2 4 12 2 3" xfId="11006"/>
    <cellStyle name="40% - Accent2 4 12 2 4" xfId="26298"/>
    <cellStyle name="40% - Accent2 4 12 3" xfId="5701"/>
    <cellStyle name="40% - Accent2 4 12 3 2" xfId="6272"/>
    <cellStyle name="40% - Accent2 4 12 3 2 2" xfId="11009"/>
    <cellStyle name="40% - Accent2 4 12 3 2 3" xfId="26301"/>
    <cellStyle name="40% - Accent2 4 12 3 3" xfId="11008"/>
    <cellStyle name="40% - Accent2 4 12 3 4" xfId="26300"/>
    <cellStyle name="40% - Accent2 4 12 4" xfId="6270"/>
    <cellStyle name="40% - Accent2 4 12 4 2" xfId="11011"/>
    <cellStyle name="40% - Accent2 4 12 4 3" xfId="11010"/>
    <cellStyle name="40% - Accent2 4 12 4 4" xfId="26302"/>
    <cellStyle name="40% - Accent2 4 12 5" xfId="11012"/>
    <cellStyle name="40% - Accent2 4 12 6" xfId="11005"/>
    <cellStyle name="40% - Accent2 4 12 7" xfId="26297"/>
    <cellStyle name="40% - Accent2 4 13" xfId="5388"/>
    <cellStyle name="40% - Accent2 4 13 2" xfId="6273"/>
    <cellStyle name="40% - Accent2 4 13 2 2" xfId="11015"/>
    <cellStyle name="40% - Accent2 4 13 2 3" xfId="11014"/>
    <cellStyle name="40% - Accent2 4 13 2 4" xfId="26304"/>
    <cellStyle name="40% - Accent2 4 13 3" xfId="11016"/>
    <cellStyle name="40% - Accent2 4 13 3 2" xfId="11017"/>
    <cellStyle name="40% - Accent2 4 13 4" xfId="11018"/>
    <cellStyle name="40% - Accent2 4 13 5" xfId="11013"/>
    <cellStyle name="40% - Accent2 4 13 6" xfId="26303"/>
    <cellStyle name="40% - Accent2 4 14" xfId="5698"/>
    <cellStyle name="40% - Accent2 4 14 2" xfId="6274"/>
    <cellStyle name="40% - Accent2 4 14 2 2" xfId="11020"/>
    <cellStyle name="40% - Accent2 4 14 2 3" xfId="26306"/>
    <cellStyle name="40% - Accent2 4 14 3" xfId="11019"/>
    <cellStyle name="40% - Accent2 4 14 4" xfId="26305"/>
    <cellStyle name="40% - Accent2 4 15" xfId="4508"/>
    <cellStyle name="40% - Accent2 4 15 2" xfId="6275"/>
    <cellStyle name="40% - Accent2 4 15 2 2" xfId="11022"/>
    <cellStyle name="40% - Accent2 4 15 2 3" xfId="26308"/>
    <cellStyle name="40% - Accent2 4 15 3" xfId="11021"/>
    <cellStyle name="40% - Accent2 4 15 4" xfId="26307"/>
    <cellStyle name="40% - Accent2 4 16" xfId="11023"/>
    <cellStyle name="40% - Accent2 4 16 2" xfId="11024"/>
    <cellStyle name="40% - Accent2 4 17" xfId="11025"/>
    <cellStyle name="40% - Accent2 4 17 2" xfId="11026"/>
    <cellStyle name="40% - Accent2 4 17 2 2" xfId="11027"/>
    <cellStyle name="40% - Accent2 4 17 3" xfId="11028"/>
    <cellStyle name="40% - Accent2 4 17 3 2" xfId="11029"/>
    <cellStyle name="40% - Accent2 4 17 4" xfId="11030"/>
    <cellStyle name="40% - Accent2 4 18" xfId="11031"/>
    <cellStyle name="40% - Accent2 4 18 2" xfId="11032"/>
    <cellStyle name="40% - Accent2 4 19" xfId="11033"/>
    <cellStyle name="40% - Accent2 4 19 2" xfId="11034"/>
    <cellStyle name="40% - Accent2 4 2" xfId="1500"/>
    <cellStyle name="40% - Accent2 4 2 10" xfId="11036"/>
    <cellStyle name="40% - Accent2 4 2 10 2" xfId="11037"/>
    <cellStyle name="40% - Accent2 4 2 10 2 2" xfId="11038"/>
    <cellStyle name="40% - Accent2 4 2 10 3" xfId="11039"/>
    <cellStyle name="40% - Accent2 4 2 10 3 2" xfId="11040"/>
    <cellStyle name="40% - Accent2 4 2 10 4" xfId="11041"/>
    <cellStyle name="40% - Accent2 4 2 11" xfId="11042"/>
    <cellStyle name="40% - Accent2 4 2 11 2" xfId="11043"/>
    <cellStyle name="40% - Accent2 4 2 11 2 2" xfId="11044"/>
    <cellStyle name="40% - Accent2 4 2 11 3" xfId="11045"/>
    <cellStyle name="40% - Accent2 4 2 11 3 2" xfId="11046"/>
    <cellStyle name="40% - Accent2 4 2 11 4" xfId="11047"/>
    <cellStyle name="40% - Accent2 4 2 12" xfId="11048"/>
    <cellStyle name="40% - Accent2 4 2 12 2" xfId="11049"/>
    <cellStyle name="40% - Accent2 4 2 12 2 2" xfId="11050"/>
    <cellStyle name="40% - Accent2 4 2 12 3" xfId="11051"/>
    <cellStyle name="40% - Accent2 4 2 12 3 2" xfId="11052"/>
    <cellStyle name="40% - Accent2 4 2 12 4" xfId="11053"/>
    <cellStyle name="40% - Accent2 4 2 13" xfId="11054"/>
    <cellStyle name="40% - Accent2 4 2 13 2" xfId="11055"/>
    <cellStyle name="40% - Accent2 4 2 14" xfId="11056"/>
    <cellStyle name="40% - Accent2 4 2 14 2" xfId="11057"/>
    <cellStyle name="40% - Accent2 4 2 15" xfId="11058"/>
    <cellStyle name="40% - Accent2 4 2 15 2" xfId="11059"/>
    <cellStyle name="40% - Accent2 4 2 16" xfId="11060"/>
    <cellStyle name="40% - Accent2 4 2 16 2" xfId="11061"/>
    <cellStyle name="40% - Accent2 4 2 17" xfId="11062"/>
    <cellStyle name="40% - Accent2 4 2 18" xfId="11035"/>
    <cellStyle name="40% - Accent2 4 2 2" xfId="4513"/>
    <cellStyle name="40% - Accent2 4 2 2 2" xfId="11064"/>
    <cellStyle name="40% - Accent2 4 2 2 2 2" xfId="11065"/>
    <cellStyle name="40% - Accent2 4 2 2 3" xfId="11066"/>
    <cellStyle name="40% - Accent2 4 2 2 3 2" xfId="11067"/>
    <cellStyle name="40% - Accent2 4 2 2 4" xfId="11068"/>
    <cellStyle name="40% - Accent2 4 2 2 5" xfId="11063"/>
    <cellStyle name="40% - Accent2 4 2 3" xfId="11069"/>
    <cellStyle name="40% - Accent2 4 2 3 2" xfId="11070"/>
    <cellStyle name="40% - Accent2 4 2 3 2 2" xfId="11071"/>
    <cellStyle name="40% - Accent2 4 2 3 3" xfId="11072"/>
    <cellStyle name="40% - Accent2 4 2 3 3 2" xfId="11073"/>
    <cellStyle name="40% - Accent2 4 2 3 4" xfId="11074"/>
    <cellStyle name="40% - Accent2 4 2 4" xfId="11075"/>
    <cellStyle name="40% - Accent2 4 2 4 2" xfId="11076"/>
    <cellStyle name="40% - Accent2 4 2 4 2 2" xfId="11077"/>
    <cellStyle name="40% - Accent2 4 2 4 3" xfId="11078"/>
    <cellStyle name="40% - Accent2 4 2 4 3 2" xfId="11079"/>
    <cellStyle name="40% - Accent2 4 2 4 4" xfId="11080"/>
    <cellStyle name="40% - Accent2 4 2 5" xfId="11081"/>
    <cellStyle name="40% - Accent2 4 2 5 2" xfId="11082"/>
    <cellStyle name="40% - Accent2 4 2 5 2 2" xfId="11083"/>
    <cellStyle name="40% - Accent2 4 2 5 3" xfId="11084"/>
    <cellStyle name="40% - Accent2 4 2 5 3 2" xfId="11085"/>
    <cellStyle name="40% - Accent2 4 2 5 4" xfId="11086"/>
    <cellStyle name="40% - Accent2 4 2 6" xfId="11087"/>
    <cellStyle name="40% - Accent2 4 2 6 2" xfId="11088"/>
    <cellStyle name="40% - Accent2 4 2 6 2 2" xfId="11089"/>
    <cellStyle name="40% - Accent2 4 2 6 3" xfId="11090"/>
    <cellStyle name="40% - Accent2 4 2 6 3 2" xfId="11091"/>
    <cellStyle name="40% - Accent2 4 2 6 4" xfId="11092"/>
    <cellStyle name="40% - Accent2 4 2 7" xfId="11093"/>
    <cellStyle name="40% - Accent2 4 2 7 2" xfId="11094"/>
    <cellStyle name="40% - Accent2 4 2 7 2 2" xfId="11095"/>
    <cellStyle name="40% - Accent2 4 2 7 3" xfId="11096"/>
    <cellStyle name="40% - Accent2 4 2 7 3 2" xfId="11097"/>
    <cellStyle name="40% - Accent2 4 2 7 4" xfId="11098"/>
    <cellStyle name="40% - Accent2 4 2 8" xfId="11099"/>
    <cellStyle name="40% - Accent2 4 2 8 2" xfId="11100"/>
    <cellStyle name="40% - Accent2 4 2 8 2 2" xfId="11101"/>
    <cellStyle name="40% - Accent2 4 2 8 3" xfId="11102"/>
    <cellStyle name="40% - Accent2 4 2 8 3 2" xfId="11103"/>
    <cellStyle name="40% - Accent2 4 2 8 4" xfId="11104"/>
    <cellStyle name="40% - Accent2 4 2 9" xfId="11105"/>
    <cellStyle name="40% - Accent2 4 2 9 2" xfId="11106"/>
    <cellStyle name="40% - Accent2 4 2 9 2 2" xfId="11107"/>
    <cellStyle name="40% - Accent2 4 2 9 3" xfId="11108"/>
    <cellStyle name="40% - Accent2 4 2 9 3 2" xfId="11109"/>
    <cellStyle name="40% - Accent2 4 2 9 4" xfId="11110"/>
    <cellStyle name="40% - Accent2 4 20" xfId="11111"/>
    <cellStyle name="40% - Accent2 4 21" xfId="10974"/>
    <cellStyle name="40% - Accent2 4 3" xfId="1625"/>
    <cellStyle name="40% - Accent2 4 3 2" xfId="4514"/>
    <cellStyle name="40% - Accent2 4 3 2 2" xfId="11114"/>
    <cellStyle name="40% - Accent2 4 3 2 3" xfId="11113"/>
    <cellStyle name="40% - Accent2 4 3 3" xfId="11115"/>
    <cellStyle name="40% - Accent2 4 3 3 2" xfId="11116"/>
    <cellStyle name="40% - Accent2 4 3 4" xfId="11117"/>
    <cellStyle name="40% - Accent2 4 3 4 2" xfId="11118"/>
    <cellStyle name="40% - Accent2 4 3 5" xfId="11119"/>
    <cellStyle name="40% - Accent2 4 3 5 2" xfId="11120"/>
    <cellStyle name="40% - Accent2 4 3 6" xfId="11121"/>
    <cellStyle name="40% - Accent2 4 3 7" xfId="11112"/>
    <cellStyle name="40% - Accent2 4 4" xfId="1755"/>
    <cellStyle name="40% - Accent2 4 4 2" xfId="11123"/>
    <cellStyle name="40% - Accent2 4 4 2 2" xfId="11124"/>
    <cellStyle name="40% - Accent2 4 4 3" xfId="11125"/>
    <cellStyle name="40% - Accent2 4 4 3 2" xfId="11126"/>
    <cellStyle name="40% - Accent2 4 4 4" xfId="11127"/>
    <cellStyle name="40% - Accent2 4 4 4 2" xfId="11128"/>
    <cellStyle name="40% - Accent2 4 4 5" xfId="11129"/>
    <cellStyle name="40% - Accent2 4 4 6" xfId="11122"/>
    <cellStyle name="40% - Accent2 4 5" xfId="2090"/>
    <cellStyle name="40% - Accent2 4 5 2" xfId="11131"/>
    <cellStyle name="40% - Accent2 4 5 2 2" xfId="11132"/>
    <cellStyle name="40% - Accent2 4 5 3" xfId="11133"/>
    <cellStyle name="40% - Accent2 4 5 3 2" xfId="11134"/>
    <cellStyle name="40% - Accent2 4 5 4" xfId="11135"/>
    <cellStyle name="40% - Accent2 4 5 4 2" xfId="11136"/>
    <cellStyle name="40% - Accent2 4 5 5" xfId="11137"/>
    <cellStyle name="40% - Accent2 4 5 6" xfId="11130"/>
    <cellStyle name="40% - Accent2 4 6" xfId="2464"/>
    <cellStyle name="40% - Accent2 4 6 2" xfId="11139"/>
    <cellStyle name="40% - Accent2 4 6 2 2" xfId="11140"/>
    <cellStyle name="40% - Accent2 4 6 3" xfId="11141"/>
    <cellStyle name="40% - Accent2 4 6 3 2" xfId="11142"/>
    <cellStyle name="40% - Accent2 4 6 4" xfId="11143"/>
    <cellStyle name="40% - Accent2 4 6 4 2" xfId="11144"/>
    <cellStyle name="40% - Accent2 4 6 5" xfId="11145"/>
    <cellStyle name="40% - Accent2 4 6 6" xfId="11138"/>
    <cellStyle name="40% - Accent2 4 7" xfId="2836"/>
    <cellStyle name="40% - Accent2 4 7 2" xfId="11147"/>
    <cellStyle name="40% - Accent2 4 7 2 2" xfId="11148"/>
    <cellStyle name="40% - Accent2 4 7 3" xfId="11149"/>
    <cellStyle name="40% - Accent2 4 7 3 2" xfId="11150"/>
    <cellStyle name="40% - Accent2 4 7 4" xfId="11151"/>
    <cellStyle name="40% - Accent2 4 7 4 2" xfId="11152"/>
    <cellStyle name="40% - Accent2 4 7 5" xfId="11153"/>
    <cellStyle name="40% - Accent2 4 7 6" xfId="11146"/>
    <cellStyle name="40% - Accent2 4 8" xfId="3207"/>
    <cellStyle name="40% - Accent2 4 8 2" xfId="11155"/>
    <cellStyle name="40% - Accent2 4 8 2 2" xfId="11156"/>
    <cellStyle name="40% - Accent2 4 8 3" xfId="11157"/>
    <cellStyle name="40% - Accent2 4 8 3 2" xfId="11158"/>
    <cellStyle name="40% - Accent2 4 8 4" xfId="11159"/>
    <cellStyle name="40% - Accent2 4 8 4 2" xfId="11160"/>
    <cellStyle name="40% - Accent2 4 8 5" xfId="11161"/>
    <cellStyle name="40% - Accent2 4 8 6" xfId="11154"/>
    <cellStyle name="40% - Accent2 4 9" xfId="3589"/>
    <cellStyle name="40% - Accent2 4 9 2" xfId="4515"/>
    <cellStyle name="40% - Accent2 4 9 2 2" xfId="11164"/>
    <cellStyle name="40% - Accent2 4 9 2 3" xfId="11163"/>
    <cellStyle name="40% - Accent2 4 9 3" xfId="11165"/>
    <cellStyle name="40% - Accent2 4 9 3 2" xfId="11166"/>
    <cellStyle name="40% - Accent2 4 9 4" xfId="11167"/>
    <cellStyle name="40% - Accent2 4 9 4 2" xfId="11168"/>
    <cellStyle name="40% - Accent2 4 9 5" xfId="11169"/>
    <cellStyle name="40% - Accent2 4 9 5 2" xfId="11170"/>
    <cellStyle name="40% - Accent2 4 9 6" xfId="11171"/>
    <cellStyle name="40% - Accent2 4 9 7" xfId="11162"/>
    <cellStyle name="40% - Accent2 5" xfId="387"/>
    <cellStyle name="40% - Accent2 5 10" xfId="11173"/>
    <cellStyle name="40% - Accent2 5 10 2" xfId="11174"/>
    <cellStyle name="40% - Accent2 5 10 2 2" xfId="11175"/>
    <cellStyle name="40% - Accent2 5 10 3" xfId="11176"/>
    <cellStyle name="40% - Accent2 5 10 3 2" xfId="11177"/>
    <cellStyle name="40% - Accent2 5 10 4" xfId="11178"/>
    <cellStyle name="40% - Accent2 5 11" xfId="11179"/>
    <cellStyle name="40% - Accent2 5 11 2" xfId="11180"/>
    <cellStyle name="40% - Accent2 5 11 2 2" xfId="11181"/>
    <cellStyle name="40% - Accent2 5 11 3" xfId="11182"/>
    <cellStyle name="40% - Accent2 5 11 3 2" xfId="11183"/>
    <cellStyle name="40% - Accent2 5 11 4" xfId="11184"/>
    <cellStyle name="40% - Accent2 5 12" xfId="11185"/>
    <cellStyle name="40% - Accent2 5 12 2" xfId="11186"/>
    <cellStyle name="40% - Accent2 5 12 2 2" xfId="11187"/>
    <cellStyle name="40% - Accent2 5 12 3" xfId="11188"/>
    <cellStyle name="40% - Accent2 5 12 3 2" xfId="11189"/>
    <cellStyle name="40% - Accent2 5 12 4" xfId="11190"/>
    <cellStyle name="40% - Accent2 5 13" xfId="11191"/>
    <cellStyle name="40% - Accent2 5 13 2" xfId="11192"/>
    <cellStyle name="40% - Accent2 5 13 2 2" xfId="11193"/>
    <cellStyle name="40% - Accent2 5 13 3" xfId="11194"/>
    <cellStyle name="40% - Accent2 5 13 3 2" xfId="11195"/>
    <cellStyle name="40% - Accent2 5 13 4" xfId="11196"/>
    <cellStyle name="40% - Accent2 5 14" xfId="11197"/>
    <cellStyle name="40% - Accent2 5 14 2" xfId="11198"/>
    <cellStyle name="40% - Accent2 5 15" xfId="11199"/>
    <cellStyle name="40% - Accent2 5 15 2" xfId="11200"/>
    <cellStyle name="40% - Accent2 5 16" xfId="11201"/>
    <cellStyle name="40% - Accent2 5 16 2" xfId="11202"/>
    <cellStyle name="40% - Accent2 5 17" xfId="11203"/>
    <cellStyle name="40% - Accent2 5 17 2" xfId="11204"/>
    <cellStyle name="40% - Accent2 5 18" xfId="11205"/>
    <cellStyle name="40% - Accent2 5 19" xfId="11172"/>
    <cellStyle name="40% - Accent2 5 2" xfId="1861"/>
    <cellStyle name="40% - Accent2 5 2 10" xfId="11207"/>
    <cellStyle name="40% - Accent2 5 2 10 2" xfId="11208"/>
    <cellStyle name="40% - Accent2 5 2 10 2 2" xfId="11209"/>
    <cellStyle name="40% - Accent2 5 2 10 3" xfId="11210"/>
    <cellStyle name="40% - Accent2 5 2 10 3 2" xfId="11211"/>
    <cellStyle name="40% - Accent2 5 2 10 4" xfId="11212"/>
    <cellStyle name="40% - Accent2 5 2 11" xfId="11213"/>
    <cellStyle name="40% - Accent2 5 2 11 2" xfId="11214"/>
    <cellStyle name="40% - Accent2 5 2 11 2 2" xfId="11215"/>
    <cellStyle name="40% - Accent2 5 2 11 3" xfId="11216"/>
    <cellStyle name="40% - Accent2 5 2 11 3 2" xfId="11217"/>
    <cellStyle name="40% - Accent2 5 2 11 4" xfId="11218"/>
    <cellStyle name="40% - Accent2 5 2 12" xfId="11219"/>
    <cellStyle name="40% - Accent2 5 2 12 2" xfId="11220"/>
    <cellStyle name="40% - Accent2 5 2 12 2 2" xfId="11221"/>
    <cellStyle name="40% - Accent2 5 2 12 3" xfId="11222"/>
    <cellStyle name="40% - Accent2 5 2 12 3 2" xfId="11223"/>
    <cellStyle name="40% - Accent2 5 2 12 4" xfId="11224"/>
    <cellStyle name="40% - Accent2 5 2 13" xfId="11225"/>
    <cellStyle name="40% - Accent2 5 2 13 2" xfId="11226"/>
    <cellStyle name="40% - Accent2 5 2 14" xfId="11227"/>
    <cellStyle name="40% - Accent2 5 2 14 2" xfId="11228"/>
    <cellStyle name="40% - Accent2 5 2 15" xfId="11229"/>
    <cellStyle name="40% - Accent2 5 2 15 2" xfId="11230"/>
    <cellStyle name="40% - Accent2 5 2 16" xfId="11231"/>
    <cellStyle name="40% - Accent2 5 2 17" xfId="11206"/>
    <cellStyle name="40% - Accent2 5 2 2" xfId="11232"/>
    <cellStyle name="40% - Accent2 5 2 2 2" xfId="11233"/>
    <cellStyle name="40% - Accent2 5 2 2 2 2" xfId="11234"/>
    <cellStyle name="40% - Accent2 5 2 2 3" xfId="11235"/>
    <cellStyle name="40% - Accent2 5 2 2 3 2" xfId="11236"/>
    <cellStyle name="40% - Accent2 5 2 2 4" xfId="11237"/>
    <cellStyle name="40% - Accent2 5 2 3" xfId="11238"/>
    <cellStyle name="40% - Accent2 5 2 3 2" xfId="11239"/>
    <cellStyle name="40% - Accent2 5 2 3 2 2" xfId="11240"/>
    <cellStyle name="40% - Accent2 5 2 3 3" xfId="11241"/>
    <cellStyle name="40% - Accent2 5 2 3 3 2" xfId="11242"/>
    <cellStyle name="40% - Accent2 5 2 3 4" xfId="11243"/>
    <cellStyle name="40% - Accent2 5 2 4" xfId="11244"/>
    <cellStyle name="40% - Accent2 5 2 4 2" xfId="11245"/>
    <cellStyle name="40% - Accent2 5 2 4 2 2" xfId="11246"/>
    <cellStyle name="40% - Accent2 5 2 4 3" xfId="11247"/>
    <cellStyle name="40% - Accent2 5 2 4 3 2" xfId="11248"/>
    <cellStyle name="40% - Accent2 5 2 4 4" xfId="11249"/>
    <cellStyle name="40% - Accent2 5 2 5" xfId="11250"/>
    <cellStyle name="40% - Accent2 5 2 5 2" xfId="11251"/>
    <cellStyle name="40% - Accent2 5 2 5 2 2" xfId="11252"/>
    <cellStyle name="40% - Accent2 5 2 5 3" xfId="11253"/>
    <cellStyle name="40% - Accent2 5 2 5 3 2" xfId="11254"/>
    <cellStyle name="40% - Accent2 5 2 5 4" xfId="11255"/>
    <cellStyle name="40% - Accent2 5 2 6" xfId="11256"/>
    <cellStyle name="40% - Accent2 5 2 6 2" xfId="11257"/>
    <cellStyle name="40% - Accent2 5 2 6 2 2" xfId="11258"/>
    <cellStyle name="40% - Accent2 5 2 6 3" xfId="11259"/>
    <cellStyle name="40% - Accent2 5 2 6 3 2" xfId="11260"/>
    <cellStyle name="40% - Accent2 5 2 6 4" xfId="11261"/>
    <cellStyle name="40% - Accent2 5 2 7" xfId="11262"/>
    <cellStyle name="40% - Accent2 5 2 7 2" xfId="11263"/>
    <cellStyle name="40% - Accent2 5 2 7 2 2" xfId="11264"/>
    <cellStyle name="40% - Accent2 5 2 7 3" xfId="11265"/>
    <cellStyle name="40% - Accent2 5 2 7 3 2" xfId="11266"/>
    <cellStyle name="40% - Accent2 5 2 7 4" xfId="11267"/>
    <cellStyle name="40% - Accent2 5 2 8" xfId="11268"/>
    <cellStyle name="40% - Accent2 5 2 8 2" xfId="11269"/>
    <cellStyle name="40% - Accent2 5 2 8 2 2" xfId="11270"/>
    <cellStyle name="40% - Accent2 5 2 8 3" xfId="11271"/>
    <cellStyle name="40% - Accent2 5 2 8 3 2" xfId="11272"/>
    <cellStyle name="40% - Accent2 5 2 8 4" xfId="11273"/>
    <cellStyle name="40% - Accent2 5 2 9" xfId="11274"/>
    <cellStyle name="40% - Accent2 5 2 9 2" xfId="11275"/>
    <cellStyle name="40% - Accent2 5 2 9 2 2" xfId="11276"/>
    <cellStyle name="40% - Accent2 5 2 9 3" xfId="11277"/>
    <cellStyle name="40% - Accent2 5 2 9 3 2" xfId="11278"/>
    <cellStyle name="40% - Accent2 5 2 9 4" xfId="11279"/>
    <cellStyle name="40% - Accent2 5 3" xfId="2236"/>
    <cellStyle name="40% - Accent2 5 3 2" xfId="11281"/>
    <cellStyle name="40% - Accent2 5 3 2 2" xfId="11282"/>
    <cellStyle name="40% - Accent2 5 3 3" xfId="11283"/>
    <cellStyle name="40% - Accent2 5 3 3 2" xfId="11284"/>
    <cellStyle name="40% - Accent2 5 3 4" xfId="11285"/>
    <cellStyle name="40% - Accent2 5 3 4 2" xfId="11286"/>
    <cellStyle name="40% - Accent2 5 3 5" xfId="11287"/>
    <cellStyle name="40% - Accent2 5 3 6" xfId="11280"/>
    <cellStyle name="40% - Accent2 5 4" xfId="2610"/>
    <cellStyle name="40% - Accent2 5 4 2" xfId="11289"/>
    <cellStyle name="40% - Accent2 5 4 2 2" xfId="11290"/>
    <cellStyle name="40% - Accent2 5 4 3" xfId="11291"/>
    <cellStyle name="40% - Accent2 5 4 3 2" xfId="11292"/>
    <cellStyle name="40% - Accent2 5 4 4" xfId="11293"/>
    <cellStyle name="40% - Accent2 5 4 4 2" xfId="11294"/>
    <cellStyle name="40% - Accent2 5 4 5" xfId="11295"/>
    <cellStyle name="40% - Accent2 5 4 6" xfId="11288"/>
    <cellStyle name="40% - Accent2 5 5" xfId="2982"/>
    <cellStyle name="40% - Accent2 5 5 2" xfId="11297"/>
    <cellStyle name="40% - Accent2 5 5 2 2" xfId="11298"/>
    <cellStyle name="40% - Accent2 5 5 3" xfId="11299"/>
    <cellStyle name="40% - Accent2 5 5 3 2" xfId="11300"/>
    <cellStyle name="40% - Accent2 5 5 4" xfId="11301"/>
    <cellStyle name="40% - Accent2 5 5 4 2" xfId="11302"/>
    <cellStyle name="40% - Accent2 5 5 5" xfId="11303"/>
    <cellStyle name="40% - Accent2 5 5 6" xfId="11296"/>
    <cellStyle name="40% - Accent2 5 6" xfId="3354"/>
    <cellStyle name="40% - Accent2 5 6 2" xfId="11305"/>
    <cellStyle name="40% - Accent2 5 6 2 2" xfId="11306"/>
    <cellStyle name="40% - Accent2 5 6 3" xfId="11307"/>
    <cellStyle name="40% - Accent2 5 6 3 2" xfId="11308"/>
    <cellStyle name="40% - Accent2 5 6 4" xfId="11309"/>
    <cellStyle name="40% - Accent2 5 6 4 2" xfId="11310"/>
    <cellStyle name="40% - Accent2 5 6 5" xfId="11311"/>
    <cellStyle name="40% - Accent2 5 6 6" xfId="11304"/>
    <cellStyle name="40% - Accent2 5 7" xfId="4516"/>
    <cellStyle name="40% - Accent2 5 7 2" xfId="11313"/>
    <cellStyle name="40% - Accent2 5 7 2 2" xfId="11314"/>
    <cellStyle name="40% - Accent2 5 7 3" xfId="11315"/>
    <cellStyle name="40% - Accent2 5 7 3 2" xfId="11316"/>
    <cellStyle name="40% - Accent2 5 7 4" xfId="11317"/>
    <cellStyle name="40% - Accent2 5 7 5" xfId="11312"/>
    <cellStyle name="40% - Accent2 5 8" xfId="11318"/>
    <cellStyle name="40% - Accent2 5 8 2" xfId="11319"/>
    <cellStyle name="40% - Accent2 5 8 2 2" xfId="11320"/>
    <cellStyle name="40% - Accent2 5 8 3" xfId="11321"/>
    <cellStyle name="40% - Accent2 5 8 3 2" xfId="11322"/>
    <cellStyle name="40% - Accent2 5 8 4" xfId="11323"/>
    <cellStyle name="40% - Accent2 5 9" xfId="11324"/>
    <cellStyle name="40% - Accent2 5 9 2" xfId="11325"/>
    <cellStyle name="40% - Accent2 5 9 2 2" xfId="11326"/>
    <cellStyle name="40% - Accent2 5 9 3" xfId="11327"/>
    <cellStyle name="40% - Accent2 5 9 3 2" xfId="11328"/>
    <cellStyle name="40% - Accent2 5 9 4" xfId="11329"/>
    <cellStyle name="40% - Accent2 6" xfId="388"/>
    <cellStyle name="40% - Accent2 6 10" xfId="5392"/>
    <cellStyle name="40% - Accent2 6 10 2" xfId="6277"/>
    <cellStyle name="40% - Accent2 6 10 2 2" xfId="11333"/>
    <cellStyle name="40% - Accent2 6 10 2 3" xfId="11332"/>
    <cellStyle name="40% - Accent2 6 10 2 4" xfId="26311"/>
    <cellStyle name="40% - Accent2 6 10 3" xfId="11334"/>
    <cellStyle name="40% - Accent2 6 10 3 2" xfId="11335"/>
    <cellStyle name="40% - Accent2 6 10 4" xfId="11336"/>
    <cellStyle name="40% - Accent2 6 10 5" xfId="11331"/>
    <cellStyle name="40% - Accent2 6 10 6" xfId="26310"/>
    <cellStyle name="40% - Accent2 6 11" xfId="5702"/>
    <cellStyle name="40% - Accent2 6 11 2" xfId="6278"/>
    <cellStyle name="40% - Accent2 6 11 2 2" xfId="11339"/>
    <cellStyle name="40% - Accent2 6 11 2 3" xfId="11338"/>
    <cellStyle name="40% - Accent2 6 11 2 4" xfId="26313"/>
    <cellStyle name="40% - Accent2 6 11 3" xfId="11340"/>
    <cellStyle name="40% - Accent2 6 11 3 2" xfId="11341"/>
    <cellStyle name="40% - Accent2 6 11 4" xfId="11342"/>
    <cellStyle name="40% - Accent2 6 11 5" xfId="11337"/>
    <cellStyle name="40% - Accent2 6 11 6" xfId="26312"/>
    <cellStyle name="40% - Accent2 6 12" xfId="4517"/>
    <cellStyle name="40% - Accent2 6 12 2" xfId="6279"/>
    <cellStyle name="40% - Accent2 6 12 2 2" xfId="11345"/>
    <cellStyle name="40% - Accent2 6 12 2 3" xfId="11344"/>
    <cellStyle name="40% - Accent2 6 12 2 4" xfId="26315"/>
    <cellStyle name="40% - Accent2 6 12 3" xfId="11346"/>
    <cellStyle name="40% - Accent2 6 12 3 2" xfId="11347"/>
    <cellStyle name="40% - Accent2 6 12 4" xfId="11348"/>
    <cellStyle name="40% - Accent2 6 12 5" xfId="11343"/>
    <cellStyle name="40% - Accent2 6 12 6" xfId="26314"/>
    <cellStyle name="40% - Accent2 6 13" xfId="6276"/>
    <cellStyle name="40% - Accent2 6 13 2" xfId="11350"/>
    <cellStyle name="40% - Accent2 6 13 3" xfId="11349"/>
    <cellStyle name="40% - Accent2 6 13 4" xfId="26316"/>
    <cellStyle name="40% - Accent2 6 14" xfId="11351"/>
    <cellStyle name="40% - Accent2 6 14 2" xfId="11352"/>
    <cellStyle name="40% - Accent2 6 15" xfId="11353"/>
    <cellStyle name="40% - Accent2 6 15 2" xfId="11354"/>
    <cellStyle name="40% - Accent2 6 16" xfId="11355"/>
    <cellStyle name="40% - Accent2 6 16 2" xfId="11356"/>
    <cellStyle name="40% - Accent2 6 16 2 2" xfId="11357"/>
    <cellStyle name="40% - Accent2 6 16 3" xfId="11358"/>
    <cellStyle name="40% - Accent2 6 16 3 2" xfId="11359"/>
    <cellStyle name="40% - Accent2 6 16 4" xfId="11360"/>
    <cellStyle name="40% - Accent2 6 17" xfId="11361"/>
    <cellStyle name="40% - Accent2 6 17 2" xfId="11362"/>
    <cellStyle name="40% - Accent2 6 18" xfId="11363"/>
    <cellStyle name="40% - Accent2 6 18 2" xfId="11364"/>
    <cellStyle name="40% - Accent2 6 19" xfId="11365"/>
    <cellStyle name="40% - Accent2 6 2" xfId="1976"/>
    <cellStyle name="40% - Accent2 6 2 2" xfId="4518"/>
    <cellStyle name="40% - Accent2 6 2 2 2" xfId="11368"/>
    <cellStyle name="40% - Accent2 6 2 2 3" xfId="11367"/>
    <cellStyle name="40% - Accent2 6 2 3" xfId="11369"/>
    <cellStyle name="40% - Accent2 6 2 3 2" xfId="11370"/>
    <cellStyle name="40% - Accent2 6 2 4" xfId="11371"/>
    <cellStyle name="40% - Accent2 6 2 4 2" xfId="11372"/>
    <cellStyle name="40% - Accent2 6 2 5" xfId="11373"/>
    <cellStyle name="40% - Accent2 6 2 5 2" xfId="11374"/>
    <cellStyle name="40% - Accent2 6 2 6" xfId="11375"/>
    <cellStyle name="40% - Accent2 6 2 7" xfId="11366"/>
    <cellStyle name="40% - Accent2 6 20" xfId="11330"/>
    <cellStyle name="40% - Accent2 6 21" xfId="24838"/>
    <cellStyle name="40% - Accent2 6 22" xfId="26309"/>
    <cellStyle name="40% - Accent2 6 3" xfId="2351"/>
    <cellStyle name="40% - Accent2 6 3 2" xfId="4519"/>
    <cellStyle name="40% - Accent2 6 3 2 2" xfId="11378"/>
    <cellStyle name="40% - Accent2 6 3 2 3" xfId="11377"/>
    <cellStyle name="40% - Accent2 6 3 3" xfId="11379"/>
    <cellStyle name="40% - Accent2 6 3 3 2" xfId="11380"/>
    <cellStyle name="40% - Accent2 6 3 4" xfId="11381"/>
    <cellStyle name="40% - Accent2 6 3 4 2" xfId="11382"/>
    <cellStyle name="40% - Accent2 6 3 5" xfId="11383"/>
    <cellStyle name="40% - Accent2 6 3 5 2" xfId="11384"/>
    <cellStyle name="40% - Accent2 6 3 6" xfId="11385"/>
    <cellStyle name="40% - Accent2 6 3 7" xfId="11376"/>
    <cellStyle name="40% - Accent2 6 4" xfId="2724"/>
    <cellStyle name="40% - Accent2 6 4 2" xfId="4520"/>
    <cellStyle name="40% - Accent2 6 4 2 2" xfId="11388"/>
    <cellStyle name="40% - Accent2 6 4 2 3" xfId="11387"/>
    <cellStyle name="40% - Accent2 6 4 3" xfId="11389"/>
    <cellStyle name="40% - Accent2 6 4 3 2" xfId="11390"/>
    <cellStyle name="40% - Accent2 6 4 4" xfId="11391"/>
    <cellStyle name="40% - Accent2 6 4 4 2" xfId="11392"/>
    <cellStyle name="40% - Accent2 6 4 5" xfId="11393"/>
    <cellStyle name="40% - Accent2 6 4 5 2" xfId="11394"/>
    <cellStyle name="40% - Accent2 6 4 6" xfId="11395"/>
    <cellStyle name="40% - Accent2 6 4 7" xfId="11386"/>
    <cellStyle name="40% - Accent2 6 5" xfId="3097"/>
    <cellStyle name="40% - Accent2 6 5 2" xfId="4521"/>
    <cellStyle name="40% - Accent2 6 5 2 2" xfId="11398"/>
    <cellStyle name="40% - Accent2 6 5 2 3" xfId="11397"/>
    <cellStyle name="40% - Accent2 6 5 3" xfId="11399"/>
    <cellStyle name="40% - Accent2 6 5 3 2" xfId="11400"/>
    <cellStyle name="40% - Accent2 6 5 4" xfId="11401"/>
    <cellStyle name="40% - Accent2 6 5 4 2" xfId="11402"/>
    <cellStyle name="40% - Accent2 6 5 5" xfId="11403"/>
    <cellStyle name="40% - Accent2 6 5 5 2" xfId="11404"/>
    <cellStyle name="40% - Accent2 6 5 6" xfId="11405"/>
    <cellStyle name="40% - Accent2 6 5 7" xfId="11396"/>
    <cellStyle name="40% - Accent2 6 6" xfId="3468"/>
    <cellStyle name="40% - Accent2 6 6 2" xfId="4522"/>
    <cellStyle name="40% - Accent2 6 6 2 2" xfId="11408"/>
    <cellStyle name="40% - Accent2 6 6 2 3" xfId="11407"/>
    <cellStyle name="40% - Accent2 6 6 3" xfId="11409"/>
    <cellStyle name="40% - Accent2 6 6 3 2" xfId="11410"/>
    <cellStyle name="40% - Accent2 6 6 4" xfId="11411"/>
    <cellStyle name="40% - Accent2 6 6 4 2" xfId="11412"/>
    <cellStyle name="40% - Accent2 6 6 5" xfId="11413"/>
    <cellStyle name="40% - Accent2 6 6 5 2" xfId="11414"/>
    <cellStyle name="40% - Accent2 6 6 6" xfId="11415"/>
    <cellStyle name="40% - Accent2 6 6 7" xfId="11406"/>
    <cellStyle name="40% - Accent2 6 7" xfId="3774"/>
    <cellStyle name="40% - Accent2 6 7 2" xfId="4523"/>
    <cellStyle name="40% - Accent2 6 7 2 2" xfId="11418"/>
    <cellStyle name="40% - Accent2 6 7 2 3" xfId="11417"/>
    <cellStyle name="40% - Accent2 6 7 3" xfId="11419"/>
    <cellStyle name="40% - Accent2 6 7 3 2" xfId="11420"/>
    <cellStyle name="40% - Accent2 6 7 4" xfId="11421"/>
    <cellStyle name="40% - Accent2 6 7 4 2" xfId="11422"/>
    <cellStyle name="40% - Accent2 6 7 5" xfId="11423"/>
    <cellStyle name="40% - Accent2 6 7 5 2" xfId="11424"/>
    <cellStyle name="40% - Accent2 6 7 6" xfId="11425"/>
    <cellStyle name="40% - Accent2 6 7 7" xfId="11416"/>
    <cellStyle name="40% - Accent2 6 8" xfId="1363"/>
    <cellStyle name="40% - Accent2 6 8 10" xfId="24895"/>
    <cellStyle name="40% - Accent2 6 8 11" xfId="26317"/>
    <cellStyle name="40% - Accent2 6 8 2" xfId="4163"/>
    <cellStyle name="40% - Accent2 6 8 2 2" xfId="5394"/>
    <cellStyle name="40% - Accent2 6 8 2 2 2" xfId="6282"/>
    <cellStyle name="40% - Accent2 6 8 2 2 2 2" xfId="11429"/>
    <cellStyle name="40% - Accent2 6 8 2 2 2 3" xfId="26320"/>
    <cellStyle name="40% - Accent2 6 8 2 2 3" xfId="11428"/>
    <cellStyle name="40% - Accent2 6 8 2 2 4" xfId="26319"/>
    <cellStyle name="40% - Accent2 6 8 2 3" xfId="5704"/>
    <cellStyle name="40% - Accent2 6 8 2 3 2" xfId="6283"/>
    <cellStyle name="40% - Accent2 6 8 2 3 2 2" xfId="26322"/>
    <cellStyle name="40% - Accent2 6 8 2 3 3" xfId="11430"/>
    <cellStyle name="40% - Accent2 6 8 2 3 4" xfId="26321"/>
    <cellStyle name="40% - Accent2 6 8 2 4" xfId="4525"/>
    <cellStyle name="40% - Accent2 6 8 2 4 2" xfId="6284"/>
    <cellStyle name="40% - Accent2 6 8 2 4 2 2" xfId="26324"/>
    <cellStyle name="40% - Accent2 6 8 2 4 3" xfId="26323"/>
    <cellStyle name="40% - Accent2 6 8 2 5" xfId="6281"/>
    <cellStyle name="40% - Accent2 6 8 2 5 2" xfId="26325"/>
    <cellStyle name="40% - Accent2 6 8 2 6" xfId="11427"/>
    <cellStyle name="40% - Accent2 6 8 2 7" xfId="25015"/>
    <cellStyle name="40% - Accent2 6 8 2 8" xfId="26318"/>
    <cellStyle name="40% - Accent2 6 8 3" xfId="5393"/>
    <cellStyle name="40% - Accent2 6 8 3 2" xfId="6285"/>
    <cellStyle name="40% - Accent2 6 8 3 2 2" xfId="11432"/>
    <cellStyle name="40% - Accent2 6 8 3 2 3" xfId="26327"/>
    <cellStyle name="40% - Accent2 6 8 3 3" xfId="11431"/>
    <cellStyle name="40% - Accent2 6 8 3 4" xfId="26326"/>
    <cellStyle name="40% - Accent2 6 8 4" xfId="5703"/>
    <cellStyle name="40% - Accent2 6 8 4 2" xfId="6286"/>
    <cellStyle name="40% - Accent2 6 8 4 2 2" xfId="11434"/>
    <cellStyle name="40% - Accent2 6 8 4 2 3" xfId="26329"/>
    <cellStyle name="40% - Accent2 6 8 4 3" xfId="11433"/>
    <cellStyle name="40% - Accent2 6 8 4 4" xfId="26328"/>
    <cellStyle name="40% - Accent2 6 8 5" xfId="4524"/>
    <cellStyle name="40% - Accent2 6 8 5 2" xfId="6287"/>
    <cellStyle name="40% - Accent2 6 8 5 2 2" xfId="11437"/>
    <cellStyle name="40% - Accent2 6 8 5 2 3" xfId="11436"/>
    <cellStyle name="40% - Accent2 6 8 5 2 4" xfId="26331"/>
    <cellStyle name="40% - Accent2 6 8 5 3" xfId="11438"/>
    <cellStyle name="40% - Accent2 6 8 5 3 2" xfId="11439"/>
    <cellStyle name="40% - Accent2 6 8 5 4" xfId="11440"/>
    <cellStyle name="40% - Accent2 6 8 5 5" xfId="11435"/>
    <cellStyle name="40% - Accent2 6 8 5 6" xfId="26330"/>
    <cellStyle name="40% - Accent2 6 8 6" xfId="6280"/>
    <cellStyle name="40% - Accent2 6 8 6 2" xfId="11442"/>
    <cellStyle name="40% - Accent2 6 8 6 3" xfId="11441"/>
    <cellStyle name="40% - Accent2 6 8 6 4" xfId="26332"/>
    <cellStyle name="40% - Accent2 6 8 7" xfId="11443"/>
    <cellStyle name="40% - Accent2 6 8 7 2" xfId="11444"/>
    <cellStyle name="40% - Accent2 6 8 8" xfId="11445"/>
    <cellStyle name="40% - Accent2 6 8 9" xfId="11426"/>
    <cellStyle name="40% - Accent2 6 9" xfId="3824"/>
    <cellStyle name="40% - Accent2 6 9 2" xfId="5395"/>
    <cellStyle name="40% - Accent2 6 9 2 2" xfId="6289"/>
    <cellStyle name="40% - Accent2 6 9 2 2 2" xfId="11448"/>
    <cellStyle name="40% - Accent2 6 9 2 2 3" xfId="26335"/>
    <cellStyle name="40% - Accent2 6 9 2 3" xfId="11447"/>
    <cellStyle name="40% - Accent2 6 9 2 4" xfId="26334"/>
    <cellStyle name="40% - Accent2 6 9 3" xfId="5705"/>
    <cellStyle name="40% - Accent2 6 9 3 2" xfId="6290"/>
    <cellStyle name="40% - Accent2 6 9 3 2 2" xfId="11450"/>
    <cellStyle name="40% - Accent2 6 9 3 2 3" xfId="26337"/>
    <cellStyle name="40% - Accent2 6 9 3 3" xfId="11449"/>
    <cellStyle name="40% - Accent2 6 9 3 4" xfId="26336"/>
    <cellStyle name="40% - Accent2 6 9 4" xfId="4526"/>
    <cellStyle name="40% - Accent2 6 9 4 2" xfId="6291"/>
    <cellStyle name="40% - Accent2 6 9 4 2 2" xfId="11452"/>
    <cellStyle name="40% - Accent2 6 9 4 2 3" xfId="26339"/>
    <cellStyle name="40% - Accent2 6 9 4 3" xfId="11451"/>
    <cellStyle name="40% - Accent2 6 9 4 4" xfId="26338"/>
    <cellStyle name="40% - Accent2 6 9 5" xfId="6288"/>
    <cellStyle name="40% - Accent2 6 9 5 2" xfId="11453"/>
    <cellStyle name="40% - Accent2 6 9 5 3" xfId="26340"/>
    <cellStyle name="40% - Accent2 6 9 6" xfId="11446"/>
    <cellStyle name="40% - Accent2 6 9 7" xfId="24960"/>
    <cellStyle name="40% - Accent2 6 9 8" xfId="26333"/>
    <cellStyle name="40% - Accent2 7" xfId="389"/>
    <cellStyle name="40% - Accent2 7 10" xfId="11455"/>
    <cellStyle name="40% - Accent2 7 10 2" xfId="11456"/>
    <cellStyle name="40% - Accent2 7 10 2 2" xfId="11457"/>
    <cellStyle name="40% - Accent2 7 10 3" xfId="11458"/>
    <cellStyle name="40% - Accent2 7 10 3 2" xfId="11459"/>
    <cellStyle name="40% - Accent2 7 10 4" xfId="11460"/>
    <cellStyle name="40% - Accent2 7 11" xfId="11461"/>
    <cellStyle name="40% - Accent2 7 11 2" xfId="11462"/>
    <cellStyle name="40% - Accent2 7 11 2 2" xfId="11463"/>
    <cellStyle name="40% - Accent2 7 11 3" xfId="11464"/>
    <cellStyle name="40% - Accent2 7 11 3 2" xfId="11465"/>
    <cellStyle name="40% - Accent2 7 11 4" xfId="11466"/>
    <cellStyle name="40% - Accent2 7 12" xfId="11467"/>
    <cellStyle name="40% - Accent2 7 12 2" xfId="11468"/>
    <cellStyle name="40% - Accent2 7 12 2 2" xfId="11469"/>
    <cellStyle name="40% - Accent2 7 12 3" xfId="11470"/>
    <cellStyle name="40% - Accent2 7 12 3 2" xfId="11471"/>
    <cellStyle name="40% - Accent2 7 12 4" xfId="11472"/>
    <cellStyle name="40% - Accent2 7 13" xfId="11473"/>
    <cellStyle name="40% - Accent2 7 13 2" xfId="11474"/>
    <cellStyle name="40% - Accent2 7 14" xfId="11475"/>
    <cellStyle name="40% - Accent2 7 14 2" xfId="11476"/>
    <cellStyle name="40% - Accent2 7 15" xfId="11477"/>
    <cellStyle name="40% - Accent2 7 15 2" xfId="11478"/>
    <cellStyle name="40% - Accent2 7 16" xfId="11479"/>
    <cellStyle name="40% - Accent2 7 16 2" xfId="11480"/>
    <cellStyle name="40% - Accent2 7 17" xfId="11481"/>
    <cellStyle name="40% - Accent2 7 18" xfId="11454"/>
    <cellStyle name="40% - Accent2 7 2" xfId="4527"/>
    <cellStyle name="40% - Accent2 7 2 2" xfId="11483"/>
    <cellStyle name="40% - Accent2 7 2 2 2" xfId="11484"/>
    <cellStyle name="40% - Accent2 7 2 3" xfId="11485"/>
    <cellStyle name="40% - Accent2 7 2 3 2" xfId="11486"/>
    <cellStyle name="40% - Accent2 7 2 4" xfId="11487"/>
    <cellStyle name="40% - Accent2 7 2 5" xfId="11482"/>
    <cellStyle name="40% - Accent2 7 3" xfId="11488"/>
    <cellStyle name="40% - Accent2 7 3 2" xfId="11489"/>
    <cellStyle name="40% - Accent2 7 3 2 2" xfId="11490"/>
    <cellStyle name="40% - Accent2 7 3 3" xfId="11491"/>
    <cellStyle name="40% - Accent2 7 3 3 2" xfId="11492"/>
    <cellStyle name="40% - Accent2 7 3 4" xfId="11493"/>
    <cellStyle name="40% - Accent2 7 4" xfId="11494"/>
    <cellStyle name="40% - Accent2 7 4 2" xfId="11495"/>
    <cellStyle name="40% - Accent2 7 4 2 2" xfId="11496"/>
    <cellStyle name="40% - Accent2 7 4 3" xfId="11497"/>
    <cellStyle name="40% - Accent2 7 4 3 2" xfId="11498"/>
    <cellStyle name="40% - Accent2 7 4 4" xfId="11499"/>
    <cellStyle name="40% - Accent2 7 5" xfId="11500"/>
    <cellStyle name="40% - Accent2 7 5 2" xfId="11501"/>
    <cellStyle name="40% - Accent2 7 5 2 2" xfId="11502"/>
    <cellStyle name="40% - Accent2 7 5 3" xfId="11503"/>
    <cellStyle name="40% - Accent2 7 5 3 2" xfId="11504"/>
    <cellStyle name="40% - Accent2 7 5 4" xfId="11505"/>
    <cellStyle name="40% - Accent2 7 6" xfId="11506"/>
    <cellStyle name="40% - Accent2 7 6 2" xfId="11507"/>
    <cellStyle name="40% - Accent2 7 6 2 2" xfId="11508"/>
    <cellStyle name="40% - Accent2 7 6 3" xfId="11509"/>
    <cellStyle name="40% - Accent2 7 6 3 2" xfId="11510"/>
    <cellStyle name="40% - Accent2 7 6 4" xfId="11511"/>
    <cellStyle name="40% - Accent2 7 7" xfId="11512"/>
    <cellStyle name="40% - Accent2 7 7 2" xfId="11513"/>
    <cellStyle name="40% - Accent2 7 7 2 2" xfId="11514"/>
    <cellStyle name="40% - Accent2 7 7 3" xfId="11515"/>
    <cellStyle name="40% - Accent2 7 7 3 2" xfId="11516"/>
    <cellStyle name="40% - Accent2 7 7 4" xfId="11517"/>
    <cellStyle name="40% - Accent2 7 8" xfId="11518"/>
    <cellStyle name="40% - Accent2 7 8 2" xfId="11519"/>
    <cellStyle name="40% - Accent2 7 8 2 2" xfId="11520"/>
    <cellStyle name="40% - Accent2 7 8 3" xfId="11521"/>
    <cellStyle name="40% - Accent2 7 8 3 2" xfId="11522"/>
    <cellStyle name="40% - Accent2 7 8 4" xfId="11523"/>
    <cellStyle name="40% - Accent2 7 9" xfId="11524"/>
    <cellStyle name="40% - Accent2 7 9 2" xfId="11525"/>
    <cellStyle name="40% - Accent2 7 9 2 2" xfId="11526"/>
    <cellStyle name="40% - Accent2 7 9 3" xfId="11527"/>
    <cellStyle name="40% - Accent2 7 9 3 2" xfId="11528"/>
    <cellStyle name="40% - Accent2 7 9 4" xfId="11529"/>
    <cellStyle name="40% - Accent2 8" xfId="541"/>
    <cellStyle name="40% - Accent2 8 10" xfId="11530"/>
    <cellStyle name="40% - Accent2 8 11" xfId="24852"/>
    <cellStyle name="40% - Accent2 8 12" xfId="26341"/>
    <cellStyle name="40% - Accent2 8 2" xfId="1375"/>
    <cellStyle name="40% - Accent2 8 2 10" xfId="24907"/>
    <cellStyle name="40% - Accent2 8 2 11" xfId="26342"/>
    <cellStyle name="40% - Accent2 8 2 2" xfId="4175"/>
    <cellStyle name="40% - Accent2 8 2 2 2" xfId="5398"/>
    <cellStyle name="40% - Accent2 8 2 2 2 2" xfId="6295"/>
    <cellStyle name="40% - Accent2 8 2 2 2 2 2" xfId="11534"/>
    <cellStyle name="40% - Accent2 8 2 2 2 2 3" xfId="26345"/>
    <cellStyle name="40% - Accent2 8 2 2 2 3" xfId="11533"/>
    <cellStyle name="40% - Accent2 8 2 2 2 4" xfId="26344"/>
    <cellStyle name="40% - Accent2 8 2 2 3" xfId="5708"/>
    <cellStyle name="40% - Accent2 8 2 2 3 2" xfId="6296"/>
    <cellStyle name="40% - Accent2 8 2 2 3 2 2" xfId="26347"/>
    <cellStyle name="40% - Accent2 8 2 2 3 3" xfId="11535"/>
    <cellStyle name="40% - Accent2 8 2 2 3 4" xfId="26346"/>
    <cellStyle name="40% - Accent2 8 2 2 4" xfId="4530"/>
    <cellStyle name="40% - Accent2 8 2 2 4 2" xfId="6297"/>
    <cellStyle name="40% - Accent2 8 2 2 4 2 2" xfId="26349"/>
    <cellStyle name="40% - Accent2 8 2 2 4 3" xfId="26348"/>
    <cellStyle name="40% - Accent2 8 2 2 5" xfId="6294"/>
    <cellStyle name="40% - Accent2 8 2 2 5 2" xfId="26350"/>
    <cellStyle name="40% - Accent2 8 2 2 6" xfId="11532"/>
    <cellStyle name="40% - Accent2 8 2 2 7" xfId="25027"/>
    <cellStyle name="40% - Accent2 8 2 2 8" xfId="26343"/>
    <cellStyle name="40% - Accent2 8 2 3" xfId="5397"/>
    <cellStyle name="40% - Accent2 8 2 3 2" xfId="6298"/>
    <cellStyle name="40% - Accent2 8 2 3 2 2" xfId="11537"/>
    <cellStyle name="40% - Accent2 8 2 3 2 3" xfId="26352"/>
    <cellStyle name="40% - Accent2 8 2 3 3" xfId="11536"/>
    <cellStyle name="40% - Accent2 8 2 3 4" xfId="26351"/>
    <cellStyle name="40% - Accent2 8 2 4" xfId="5707"/>
    <cellStyle name="40% - Accent2 8 2 4 2" xfId="6299"/>
    <cellStyle name="40% - Accent2 8 2 4 2 2" xfId="11539"/>
    <cellStyle name="40% - Accent2 8 2 4 2 3" xfId="26354"/>
    <cellStyle name="40% - Accent2 8 2 4 3" xfId="11538"/>
    <cellStyle name="40% - Accent2 8 2 4 4" xfId="26353"/>
    <cellStyle name="40% - Accent2 8 2 5" xfId="4529"/>
    <cellStyle name="40% - Accent2 8 2 5 2" xfId="6300"/>
    <cellStyle name="40% - Accent2 8 2 5 2 2" xfId="11542"/>
    <cellStyle name="40% - Accent2 8 2 5 2 3" xfId="11541"/>
    <cellStyle name="40% - Accent2 8 2 5 2 4" xfId="26356"/>
    <cellStyle name="40% - Accent2 8 2 5 3" xfId="11543"/>
    <cellStyle name="40% - Accent2 8 2 5 3 2" xfId="11544"/>
    <cellStyle name="40% - Accent2 8 2 5 4" xfId="11545"/>
    <cellStyle name="40% - Accent2 8 2 5 5" xfId="11540"/>
    <cellStyle name="40% - Accent2 8 2 5 6" xfId="26355"/>
    <cellStyle name="40% - Accent2 8 2 6" xfId="6293"/>
    <cellStyle name="40% - Accent2 8 2 6 2" xfId="11547"/>
    <cellStyle name="40% - Accent2 8 2 6 3" xfId="11546"/>
    <cellStyle name="40% - Accent2 8 2 6 4" xfId="26357"/>
    <cellStyle name="40% - Accent2 8 2 7" xfId="11548"/>
    <cellStyle name="40% - Accent2 8 2 7 2" xfId="11549"/>
    <cellStyle name="40% - Accent2 8 2 8" xfId="11550"/>
    <cellStyle name="40% - Accent2 8 2 9" xfId="11531"/>
    <cellStyle name="40% - Accent2 8 3" xfId="3838"/>
    <cellStyle name="40% - Accent2 8 3 2" xfId="5399"/>
    <cellStyle name="40% - Accent2 8 3 2 2" xfId="6302"/>
    <cellStyle name="40% - Accent2 8 3 2 2 2" xfId="11553"/>
    <cellStyle name="40% - Accent2 8 3 2 2 3" xfId="26360"/>
    <cellStyle name="40% - Accent2 8 3 2 3" xfId="11552"/>
    <cellStyle name="40% - Accent2 8 3 2 4" xfId="26359"/>
    <cellStyle name="40% - Accent2 8 3 3" xfId="5709"/>
    <cellStyle name="40% - Accent2 8 3 3 2" xfId="6303"/>
    <cellStyle name="40% - Accent2 8 3 3 2 2" xfId="26362"/>
    <cellStyle name="40% - Accent2 8 3 3 3" xfId="11554"/>
    <cellStyle name="40% - Accent2 8 3 3 4" xfId="26361"/>
    <cellStyle name="40% - Accent2 8 3 4" xfId="4531"/>
    <cellStyle name="40% - Accent2 8 3 4 2" xfId="6304"/>
    <cellStyle name="40% - Accent2 8 3 4 2 2" xfId="26364"/>
    <cellStyle name="40% - Accent2 8 3 4 3" xfId="26363"/>
    <cellStyle name="40% - Accent2 8 3 5" xfId="6301"/>
    <cellStyle name="40% - Accent2 8 3 5 2" xfId="26365"/>
    <cellStyle name="40% - Accent2 8 3 6" xfId="11551"/>
    <cellStyle name="40% - Accent2 8 3 7" xfId="24974"/>
    <cellStyle name="40% - Accent2 8 3 8" xfId="26358"/>
    <cellStyle name="40% - Accent2 8 4" xfId="5396"/>
    <cellStyle name="40% - Accent2 8 4 2" xfId="6305"/>
    <cellStyle name="40% - Accent2 8 4 2 2" xfId="11556"/>
    <cellStyle name="40% - Accent2 8 4 2 3" xfId="26367"/>
    <cellStyle name="40% - Accent2 8 4 3" xfId="11555"/>
    <cellStyle name="40% - Accent2 8 4 4" xfId="26366"/>
    <cellStyle name="40% - Accent2 8 5" xfId="5706"/>
    <cellStyle name="40% - Accent2 8 5 2" xfId="6306"/>
    <cellStyle name="40% - Accent2 8 5 2 2" xfId="11558"/>
    <cellStyle name="40% - Accent2 8 5 2 3" xfId="26369"/>
    <cellStyle name="40% - Accent2 8 5 3" xfId="11557"/>
    <cellStyle name="40% - Accent2 8 5 4" xfId="26368"/>
    <cellStyle name="40% - Accent2 8 6" xfId="4528"/>
    <cellStyle name="40% - Accent2 8 6 2" xfId="6307"/>
    <cellStyle name="40% - Accent2 8 6 2 2" xfId="11561"/>
    <cellStyle name="40% - Accent2 8 6 2 3" xfId="11560"/>
    <cellStyle name="40% - Accent2 8 6 2 4" xfId="26371"/>
    <cellStyle name="40% - Accent2 8 6 3" xfId="11562"/>
    <cellStyle name="40% - Accent2 8 6 3 2" xfId="11563"/>
    <cellStyle name="40% - Accent2 8 6 4" xfId="11564"/>
    <cellStyle name="40% - Accent2 8 6 5" xfId="11559"/>
    <cellStyle name="40% - Accent2 8 6 6" xfId="26370"/>
    <cellStyle name="40% - Accent2 8 7" xfId="6292"/>
    <cellStyle name="40% - Accent2 8 7 2" xfId="11566"/>
    <cellStyle name="40% - Accent2 8 7 3" xfId="11565"/>
    <cellStyle name="40% - Accent2 8 7 4" xfId="26372"/>
    <cellStyle name="40% - Accent2 8 8" xfId="11567"/>
    <cellStyle name="40% - Accent2 8 8 2" xfId="11568"/>
    <cellStyle name="40% - Accent2 8 9" xfId="11569"/>
    <cellStyle name="40% - Accent2 9" xfId="542"/>
    <cellStyle name="40% - Accent2 9 2" xfId="4532"/>
    <cellStyle name="40% - Accent2 9 2 2" xfId="11572"/>
    <cellStyle name="40% - Accent2 9 2 2 2" xfId="11573"/>
    <cellStyle name="40% - Accent2 9 2 3" xfId="11574"/>
    <cellStyle name="40% - Accent2 9 2 3 2" xfId="11575"/>
    <cellStyle name="40% - Accent2 9 2 4" xfId="11576"/>
    <cellStyle name="40% - Accent2 9 2 5" xfId="11571"/>
    <cellStyle name="40% - Accent2 9 3" xfId="11577"/>
    <cellStyle name="40% - Accent2 9 3 2" xfId="11578"/>
    <cellStyle name="40% - Accent2 9 4" xfId="11579"/>
    <cellStyle name="40% - Accent2 9 4 2" xfId="11580"/>
    <cellStyle name="40% - Accent2 9 5" xfId="11581"/>
    <cellStyle name="40% - Accent2 9 5 2" xfId="11582"/>
    <cellStyle name="40% - Accent2 9 6" xfId="11583"/>
    <cellStyle name="40% - Accent2 9 6 2" xfId="11584"/>
    <cellStyle name="40% - Accent2 9 7" xfId="11585"/>
    <cellStyle name="40% - Accent2 9 8" xfId="11570"/>
    <cellStyle name="40% - Accent3 10" xfId="672"/>
    <cellStyle name="40% - Accent3 10 2" xfId="4533"/>
    <cellStyle name="40% - Accent3 10 2 2" xfId="11589"/>
    <cellStyle name="40% - Accent3 10 2 3" xfId="11588"/>
    <cellStyle name="40% - Accent3 10 3" xfId="11590"/>
    <cellStyle name="40% - Accent3 10 3 2" xfId="11591"/>
    <cellStyle name="40% - Accent3 10 4" xfId="11592"/>
    <cellStyle name="40% - Accent3 10 4 2" xfId="11593"/>
    <cellStyle name="40% - Accent3 10 5" xfId="11594"/>
    <cellStyle name="40% - Accent3 10 5 2" xfId="11595"/>
    <cellStyle name="40% - Accent3 10 6" xfId="11596"/>
    <cellStyle name="40% - Accent3 10 7" xfId="11587"/>
    <cellStyle name="40% - Accent3 11" xfId="673"/>
    <cellStyle name="40% - Accent3 11 2" xfId="4534"/>
    <cellStyle name="40% - Accent3 11 2 2" xfId="11599"/>
    <cellStyle name="40% - Accent3 11 2 3" xfId="11598"/>
    <cellStyle name="40% - Accent3 11 3" xfId="11600"/>
    <cellStyle name="40% - Accent3 11 3 2" xfId="11601"/>
    <cellStyle name="40% - Accent3 11 4" xfId="11602"/>
    <cellStyle name="40% - Accent3 11 4 2" xfId="11603"/>
    <cellStyle name="40% - Accent3 11 5" xfId="11604"/>
    <cellStyle name="40% - Accent3 11 5 2" xfId="11605"/>
    <cellStyle name="40% - Accent3 11 6" xfId="11606"/>
    <cellStyle name="40% - Accent3 11 7" xfId="11597"/>
    <cellStyle name="40% - Accent3 12" xfId="822"/>
    <cellStyle name="40% - Accent3 12 2" xfId="11608"/>
    <cellStyle name="40% - Accent3 12 2 2" xfId="11609"/>
    <cellStyle name="40% - Accent3 12 3" xfId="11610"/>
    <cellStyle name="40% - Accent3 12 3 2" xfId="11611"/>
    <cellStyle name="40% - Accent3 12 4" xfId="11612"/>
    <cellStyle name="40% - Accent3 12 5" xfId="11607"/>
    <cellStyle name="40% - Accent3 13" xfId="823"/>
    <cellStyle name="40% - Accent3 13 2" xfId="3853"/>
    <cellStyle name="40% - Accent3 13 2 2" xfId="6309"/>
    <cellStyle name="40% - Accent3 13 2 2 2" xfId="11615"/>
    <cellStyle name="40% - Accent3 13 2 2 3" xfId="26375"/>
    <cellStyle name="40% - Accent3 13 2 3" xfId="11614"/>
    <cellStyle name="40% - Accent3 13 2 4" xfId="24989"/>
    <cellStyle name="40% - Accent3 13 2 5" xfId="26374"/>
    <cellStyle name="40% - Accent3 13 3" xfId="6308"/>
    <cellStyle name="40% - Accent3 13 3 2" xfId="11617"/>
    <cellStyle name="40% - Accent3 13 3 3" xfId="11616"/>
    <cellStyle name="40% - Accent3 13 3 4" xfId="26376"/>
    <cellStyle name="40% - Accent3 13 4" xfId="11618"/>
    <cellStyle name="40% - Accent3 13 5" xfId="11613"/>
    <cellStyle name="40% - Accent3 13 6" xfId="24868"/>
    <cellStyle name="40% - Accent3 13 7" xfId="26373"/>
    <cellStyle name="40% - Accent3 14" xfId="937"/>
    <cellStyle name="40% - Accent3 14 2" xfId="11620"/>
    <cellStyle name="40% - Accent3 14 2 2" xfId="11621"/>
    <cellStyle name="40% - Accent3 14 3" xfId="11622"/>
    <cellStyle name="40% - Accent3 14 3 2" xfId="11623"/>
    <cellStyle name="40% - Accent3 14 4" xfId="11624"/>
    <cellStyle name="40% - Accent3 14 5" xfId="11619"/>
    <cellStyle name="40% - Accent3 15" xfId="11625"/>
    <cellStyle name="40% - Accent3 15 2" xfId="11626"/>
    <cellStyle name="40% - Accent3 15 2 2" xfId="11627"/>
    <cellStyle name="40% - Accent3 15 3" xfId="11628"/>
    <cellStyle name="40% - Accent3 15 3 2" xfId="11629"/>
    <cellStyle name="40% - Accent3 15 4" xfId="11630"/>
    <cellStyle name="40% - Accent3 16" xfId="11631"/>
    <cellStyle name="40% - Accent3 16 2" xfId="11632"/>
    <cellStyle name="40% - Accent3 16 2 2" xfId="11633"/>
    <cellStyle name="40% - Accent3 16 3" xfId="11634"/>
    <cellStyle name="40% - Accent3 16 3 2" xfId="11635"/>
    <cellStyle name="40% - Accent3 16 4" xfId="11636"/>
    <cellStyle name="40% - Accent3 17" xfId="11637"/>
    <cellStyle name="40% - Accent3 17 2" xfId="11638"/>
    <cellStyle name="40% - Accent3 17 2 2" xfId="11639"/>
    <cellStyle name="40% - Accent3 17 3" xfId="11640"/>
    <cellStyle name="40% - Accent3 17 3 2" xfId="11641"/>
    <cellStyle name="40% - Accent3 17 4" xfId="11642"/>
    <cellStyle name="40% - Accent3 18" xfId="11643"/>
    <cellStyle name="40% - Accent3 18 2" xfId="11644"/>
    <cellStyle name="40% - Accent3 18 2 2" xfId="11645"/>
    <cellStyle name="40% - Accent3 18 3" xfId="11646"/>
    <cellStyle name="40% - Accent3 18 3 2" xfId="11647"/>
    <cellStyle name="40% - Accent3 18 4" xfId="11648"/>
    <cellStyle name="40% - Accent3 19" xfId="11649"/>
    <cellStyle name="40% - Accent3 19 2" xfId="11650"/>
    <cellStyle name="40% - Accent3 19 2 2" xfId="11651"/>
    <cellStyle name="40% - Accent3 19 3" xfId="11652"/>
    <cellStyle name="40% - Accent3 2" xfId="76"/>
    <cellStyle name="40% - Accent3 2 10" xfId="1675"/>
    <cellStyle name="40% - Accent3 2 10 2" xfId="4535"/>
    <cellStyle name="40% - Accent3 2 10 2 2" xfId="11656"/>
    <cellStyle name="40% - Accent3 2 10 2 3" xfId="11655"/>
    <cellStyle name="40% - Accent3 2 10 3" xfId="11657"/>
    <cellStyle name="40% - Accent3 2 10 3 2" xfId="11658"/>
    <cellStyle name="40% - Accent3 2 10 4" xfId="11659"/>
    <cellStyle name="40% - Accent3 2 10 4 2" xfId="11660"/>
    <cellStyle name="40% - Accent3 2 10 5" xfId="11661"/>
    <cellStyle name="40% - Accent3 2 10 5 2" xfId="11662"/>
    <cellStyle name="40% - Accent3 2 10 6" xfId="11663"/>
    <cellStyle name="40% - Accent3 2 10 7" xfId="11654"/>
    <cellStyle name="40% - Accent3 2 11" xfId="2010"/>
    <cellStyle name="40% - Accent3 2 11 2" xfId="4536"/>
    <cellStyle name="40% - Accent3 2 11 2 2" xfId="11666"/>
    <cellStyle name="40% - Accent3 2 11 2 3" xfId="11665"/>
    <cellStyle name="40% - Accent3 2 11 3" xfId="11667"/>
    <cellStyle name="40% - Accent3 2 11 3 2" xfId="11668"/>
    <cellStyle name="40% - Accent3 2 11 4" xfId="11669"/>
    <cellStyle name="40% - Accent3 2 11 4 2" xfId="11670"/>
    <cellStyle name="40% - Accent3 2 11 5" xfId="11671"/>
    <cellStyle name="40% - Accent3 2 11 5 2" xfId="11672"/>
    <cellStyle name="40% - Accent3 2 11 6" xfId="11673"/>
    <cellStyle name="40% - Accent3 2 11 7" xfId="11664"/>
    <cellStyle name="40% - Accent3 2 12" xfId="1708"/>
    <cellStyle name="40% - Accent3 2 12 2" xfId="4537"/>
    <cellStyle name="40% - Accent3 2 12 2 2" xfId="11676"/>
    <cellStyle name="40% - Accent3 2 12 2 3" xfId="11675"/>
    <cellStyle name="40% - Accent3 2 12 3" xfId="11677"/>
    <cellStyle name="40% - Accent3 2 12 3 2" xfId="11678"/>
    <cellStyle name="40% - Accent3 2 12 4" xfId="11679"/>
    <cellStyle name="40% - Accent3 2 12 4 2" xfId="11680"/>
    <cellStyle name="40% - Accent3 2 12 5" xfId="11681"/>
    <cellStyle name="40% - Accent3 2 12 5 2" xfId="11682"/>
    <cellStyle name="40% - Accent3 2 12 6" xfId="11683"/>
    <cellStyle name="40% - Accent3 2 12 7" xfId="11674"/>
    <cellStyle name="40% - Accent3 2 13" xfId="2043"/>
    <cellStyle name="40% - Accent3 2 13 2" xfId="4538"/>
    <cellStyle name="40% - Accent3 2 13 2 2" xfId="11686"/>
    <cellStyle name="40% - Accent3 2 13 2 3" xfId="11685"/>
    <cellStyle name="40% - Accent3 2 13 3" xfId="11687"/>
    <cellStyle name="40% - Accent3 2 13 3 2" xfId="11688"/>
    <cellStyle name="40% - Accent3 2 13 4" xfId="11689"/>
    <cellStyle name="40% - Accent3 2 13 4 2" xfId="11690"/>
    <cellStyle name="40% - Accent3 2 13 5" xfId="11691"/>
    <cellStyle name="40% - Accent3 2 13 5 2" xfId="11692"/>
    <cellStyle name="40% - Accent3 2 13 6" xfId="11693"/>
    <cellStyle name="40% - Accent3 2 13 7" xfId="11684"/>
    <cellStyle name="40% - Accent3 2 14" xfId="3131"/>
    <cellStyle name="40% - Accent3 2 14 2" xfId="4539"/>
    <cellStyle name="40% - Accent3 2 14 2 2" xfId="11696"/>
    <cellStyle name="40% - Accent3 2 14 2 3" xfId="11695"/>
    <cellStyle name="40% - Accent3 2 14 3" xfId="11697"/>
    <cellStyle name="40% - Accent3 2 14 3 2" xfId="11698"/>
    <cellStyle name="40% - Accent3 2 14 4" xfId="11699"/>
    <cellStyle name="40% - Accent3 2 14 4 2" xfId="11700"/>
    <cellStyle name="40% - Accent3 2 14 5" xfId="11701"/>
    <cellStyle name="40% - Accent3 2 14 5 2" xfId="11702"/>
    <cellStyle name="40% - Accent3 2 14 6" xfId="11703"/>
    <cellStyle name="40% - Accent3 2 14 7" xfId="11694"/>
    <cellStyle name="40% - Accent3 2 15" xfId="3502"/>
    <cellStyle name="40% - Accent3 2 15 2" xfId="4540"/>
    <cellStyle name="40% - Accent3 2 15 2 2" xfId="11706"/>
    <cellStyle name="40% - Accent3 2 15 2 3" xfId="11705"/>
    <cellStyle name="40% - Accent3 2 15 3" xfId="11707"/>
    <cellStyle name="40% - Accent3 2 15 3 2" xfId="11708"/>
    <cellStyle name="40% - Accent3 2 15 4" xfId="11709"/>
    <cellStyle name="40% - Accent3 2 15 5" xfId="11704"/>
    <cellStyle name="40% - Accent3 2 16" xfId="3640"/>
    <cellStyle name="40% - Accent3 2 16 2" xfId="4541"/>
    <cellStyle name="40% - Accent3 2 16 2 2" xfId="11712"/>
    <cellStyle name="40% - Accent3 2 16 2 3" xfId="11711"/>
    <cellStyle name="40% - Accent3 2 16 3" xfId="11713"/>
    <cellStyle name="40% - Accent3 2 16 3 2" xfId="11714"/>
    <cellStyle name="40% - Accent3 2 16 4" xfId="11715"/>
    <cellStyle name="40% - Accent3 2 16 5" xfId="11710"/>
    <cellStyle name="40% - Accent3 2 17" xfId="11716"/>
    <cellStyle name="40% - Accent3 2 18" xfId="11653"/>
    <cellStyle name="40% - Accent3 2 19" xfId="24475"/>
    <cellStyle name="40% - Accent3 2 2" xfId="120"/>
    <cellStyle name="40% - Accent3 2 2 10" xfId="11718"/>
    <cellStyle name="40% - Accent3 2 2 10 2" xfId="11719"/>
    <cellStyle name="40% - Accent3 2 2 10 2 2" xfId="11720"/>
    <cellStyle name="40% - Accent3 2 2 10 3" xfId="11721"/>
    <cellStyle name="40% - Accent3 2 2 10 3 2" xfId="11722"/>
    <cellStyle name="40% - Accent3 2 2 10 4" xfId="11723"/>
    <cellStyle name="40% - Accent3 2 2 11" xfId="11724"/>
    <cellStyle name="40% - Accent3 2 2 11 2" xfId="11725"/>
    <cellStyle name="40% - Accent3 2 2 11 2 2" xfId="11726"/>
    <cellStyle name="40% - Accent3 2 2 11 3" xfId="11727"/>
    <cellStyle name="40% - Accent3 2 2 11 3 2" xfId="11728"/>
    <cellStyle name="40% - Accent3 2 2 11 4" xfId="11729"/>
    <cellStyle name="40% - Accent3 2 2 12" xfId="11730"/>
    <cellStyle name="40% - Accent3 2 2 12 2" xfId="11731"/>
    <cellStyle name="40% - Accent3 2 2 12 2 2" xfId="11732"/>
    <cellStyle name="40% - Accent3 2 2 12 3" xfId="11733"/>
    <cellStyle name="40% - Accent3 2 2 12 3 2" xfId="11734"/>
    <cellStyle name="40% - Accent3 2 2 12 4" xfId="11735"/>
    <cellStyle name="40% - Accent3 2 2 13" xfId="11736"/>
    <cellStyle name="40% - Accent3 2 2 13 2" xfId="11737"/>
    <cellStyle name="40% - Accent3 2 2 14" xfId="11738"/>
    <cellStyle name="40% - Accent3 2 2 14 2" xfId="11739"/>
    <cellStyle name="40% - Accent3 2 2 15" xfId="11740"/>
    <cellStyle name="40% - Accent3 2 2 15 2" xfId="11741"/>
    <cellStyle name="40% - Accent3 2 2 16" xfId="11742"/>
    <cellStyle name="40% - Accent3 2 2 17" xfId="11717"/>
    <cellStyle name="40% - Accent3 2 2 2" xfId="180"/>
    <cellStyle name="40% - Accent3 2 2 2 2" xfId="11744"/>
    <cellStyle name="40% - Accent3 2 2 2 2 2" xfId="11745"/>
    <cellStyle name="40% - Accent3 2 2 2 3" xfId="11746"/>
    <cellStyle name="40% - Accent3 2 2 2 3 2" xfId="11747"/>
    <cellStyle name="40% - Accent3 2 2 2 4" xfId="11748"/>
    <cellStyle name="40% - Accent3 2 2 2 5" xfId="11743"/>
    <cellStyle name="40% - Accent3 2 2 3" xfId="344"/>
    <cellStyle name="40% - Accent3 2 2 3 2" xfId="11750"/>
    <cellStyle name="40% - Accent3 2 2 3 2 2" xfId="11751"/>
    <cellStyle name="40% - Accent3 2 2 3 3" xfId="11752"/>
    <cellStyle name="40% - Accent3 2 2 3 3 2" xfId="11753"/>
    <cellStyle name="40% - Accent3 2 2 3 4" xfId="11754"/>
    <cellStyle name="40% - Accent3 2 2 3 5" xfId="11749"/>
    <cellStyle name="40% - Accent3 2 2 4" xfId="2166"/>
    <cellStyle name="40% - Accent3 2 2 4 2" xfId="11756"/>
    <cellStyle name="40% - Accent3 2 2 4 2 2" xfId="11757"/>
    <cellStyle name="40% - Accent3 2 2 4 3" xfId="11758"/>
    <cellStyle name="40% - Accent3 2 2 4 3 2" xfId="11759"/>
    <cellStyle name="40% - Accent3 2 2 4 4" xfId="11760"/>
    <cellStyle name="40% - Accent3 2 2 4 5" xfId="11755"/>
    <cellStyle name="40% - Accent3 2 2 5" xfId="2540"/>
    <cellStyle name="40% - Accent3 2 2 5 2" xfId="11762"/>
    <cellStyle name="40% - Accent3 2 2 5 2 2" xfId="11763"/>
    <cellStyle name="40% - Accent3 2 2 5 3" xfId="11764"/>
    <cellStyle name="40% - Accent3 2 2 5 3 2" xfId="11765"/>
    <cellStyle name="40% - Accent3 2 2 5 4" xfId="11766"/>
    <cellStyle name="40% - Accent3 2 2 5 5" xfId="11761"/>
    <cellStyle name="40% - Accent3 2 2 6" xfId="2912"/>
    <cellStyle name="40% - Accent3 2 2 6 2" xfId="11768"/>
    <cellStyle name="40% - Accent3 2 2 6 2 2" xfId="11769"/>
    <cellStyle name="40% - Accent3 2 2 6 3" xfId="11770"/>
    <cellStyle name="40% - Accent3 2 2 6 3 2" xfId="11771"/>
    <cellStyle name="40% - Accent3 2 2 6 4" xfId="11772"/>
    <cellStyle name="40% - Accent3 2 2 6 5" xfId="11767"/>
    <cellStyle name="40% - Accent3 2 2 7" xfId="3284"/>
    <cellStyle name="40% - Accent3 2 2 7 2" xfId="11774"/>
    <cellStyle name="40% - Accent3 2 2 7 2 2" xfId="11775"/>
    <cellStyle name="40% - Accent3 2 2 7 3" xfId="11776"/>
    <cellStyle name="40% - Accent3 2 2 7 3 2" xfId="11777"/>
    <cellStyle name="40% - Accent3 2 2 7 4" xfId="11778"/>
    <cellStyle name="40% - Accent3 2 2 7 5" xfId="11773"/>
    <cellStyle name="40% - Accent3 2 2 8" xfId="4542"/>
    <cellStyle name="40% - Accent3 2 2 8 2" xfId="11780"/>
    <cellStyle name="40% - Accent3 2 2 8 2 2" xfId="11781"/>
    <cellStyle name="40% - Accent3 2 2 8 3" xfId="11782"/>
    <cellStyle name="40% - Accent3 2 2 8 3 2" xfId="11783"/>
    <cellStyle name="40% - Accent3 2 2 8 4" xfId="11784"/>
    <cellStyle name="40% - Accent3 2 2 8 5" xfId="11779"/>
    <cellStyle name="40% - Accent3 2 2 9" xfId="11785"/>
    <cellStyle name="40% - Accent3 2 2 9 2" xfId="11786"/>
    <cellStyle name="40% - Accent3 2 2 9 2 2" xfId="11787"/>
    <cellStyle name="40% - Accent3 2 2 9 3" xfId="11788"/>
    <cellStyle name="40% - Accent3 2 2 9 3 2" xfId="11789"/>
    <cellStyle name="40% - Accent3 2 2 9 4" xfId="11790"/>
    <cellStyle name="40% - Accent3 2 3" xfId="285"/>
    <cellStyle name="40% - Accent3 2 3 2" xfId="1342"/>
    <cellStyle name="40% - Accent3 2 3 2 2" xfId="11793"/>
    <cellStyle name="40% - Accent3 2 3 2 2 2" xfId="11794"/>
    <cellStyle name="40% - Accent3 2 3 2 3" xfId="11795"/>
    <cellStyle name="40% - Accent3 2 3 2 3 2" xfId="11796"/>
    <cellStyle name="40% - Accent3 2 3 2 4" xfId="11797"/>
    <cellStyle name="40% - Accent3 2 3 2 5" xfId="11792"/>
    <cellStyle name="40% - Accent3 2 3 3" xfId="11798"/>
    <cellStyle name="40% - Accent3 2 3 3 2" xfId="11799"/>
    <cellStyle name="40% - Accent3 2 3 4" xfId="11800"/>
    <cellStyle name="40% - Accent3 2 3 4 2" xfId="11801"/>
    <cellStyle name="40% - Accent3 2 3 5" xfId="11802"/>
    <cellStyle name="40% - Accent3 2 3 6" xfId="11791"/>
    <cellStyle name="40% - Accent3 2 4" xfId="390"/>
    <cellStyle name="40% - Accent3 2 4 2" xfId="11804"/>
    <cellStyle name="40% - Accent3 2 4 2 2" xfId="11805"/>
    <cellStyle name="40% - Accent3 2 4 2 2 2" xfId="11806"/>
    <cellStyle name="40% - Accent3 2 4 2 3" xfId="11807"/>
    <cellStyle name="40% - Accent3 2 4 2 3 2" xfId="11808"/>
    <cellStyle name="40% - Accent3 2 4 2 4" xfId="11809"/>
    <cellStyle name="40% - Accent3 2 4 3" xfId="11810"/>
    <cellStyle name="40% - Accent3 2 4 3 2" xfId="11811"/>
    <cellStyle name="40% - Accent3 2 4 4" xfId="11812"/>
    <cellStyle name="40% - Accent3 2 4 4 2" xfId="11813"/>
    <cellStyle name="40% - Accent3 2 4 5" xfId="11814"/>
    <cellStyle name="40% - Accent3 2 4 6" xfId="11803"/>
    <cellStyle name="40% - Accent3 2 5" xfId="543"/>
    <cellStyle name="40% - Accent3 2 5 2" xfId="11816"/>
    <cellStyle name="40% - Accent3 2 5 2 2" xfId="11817"/>
    <cellStyle name="40% - Accent3 2 5 3" xfId="11818"/>
    <cellStyle name="40% - Accent3 2 5 3 2" xfId="11819"/>
    <cellStyle name="40% - Accent3 2 5 4" xfId="11820"/>
    <cellStyle name="40% - Accent3 2 5 5" xfId="11815"/>
    <cellStyle name="40% - Accent3 2 6" xfId="674"/>
    <cellStyle name="40% - Accent3 2 6 2" xfId="11822"/>
    <cellStyle name="40% - Accent3 2 6 2 2" xfId="11823"/>
    <cellStyle name="40% - Accent3 2 6 3" xfId="11824"/>
    <cellStyle name="40% - Accent3 2 6 3 2" xfId="11825"/>
    <cellStyle name="40% - Accent3 2 6 4" xfId="11826"/>
    <cellStyle name="40% - Accent3 2 6 5" xfId="11821"/>
    <cellStyle name="40% - Accent3 2 7" xfId="675"/>
    <cellStyle name="40% - Accent3 2 7 2" xfId="11828"/>
    <cellStyle name="40% - Accent3 2 7 2 2" xfId="11829"/>
    <cellStyle name="40% - Accent3 2 7 3" xfId="11830"/>
    <cellStyle name="40% - Accent3 2 7 3 2" xfId="11831"/>
    <cellStyle name="40% - Accent3 2 7 4" xfId="11832"/>
    <cellStyle name="40% - Accent3 2 7 5" xfId="11827"/>
    <cellStyle name="40% - Accent3 2 8" xfId="824"/>
    <cellStyle name="40% - Accent3 2 8 2" xfId="1404"/>
    <cellStyle name="40% - Accent3 2 8 2 2" xfId="11835"/>
    <cellStyle name="40% - Accent3 2 8 2 3" xfId="11834"/>
    <cellStyle name="40% - Accent3 2 8 3" xfId="11836"/>
    <cellStyle name="40% - Accent3 2 8 3 2" xfId="11837"/>
    <cellStyle name="40% - Accent3 2 8 4" xfId="11838"/>
    <cellStyle name="40% - Accent3 2 8 4 2" xfId="11839"/>
    <cellStyle name="40% - Accent3 2 8 5" xfId="11840"/>
    <cellStyle name="40% - Accent3 2 8 5 2" xfId="11841"/>
    <cellStyle name="40% - Accent3 2 8 6" xfId="11842"/>
    <cellStyle name="40% - Accent3 2 8 7" xfId="11833"/>
    <cellStyle name="40% - Accent3 2 9" xfId="938"/>
    <cellStyle name="40% - Accent3 2 9 2" xfId="1444"/>
    <cellStyle name="40% - Accent3 2 9 2 2" xfId="11845"/>
    <cellStyle name="40% - Accent3 2 9 2 3" xfId="11844"/>
    <cellStyle name="40% - Accent3 2 9 3" xfId="11846"/>
    <cellStyle name="40% - Accent3 2 9 3 2" xfId="11847"/>
    <cellStyle name="40% - Accent3 2 9 4" xfId="11848"/>
    <cellStyle name="40% - Accent3 2 9 4 2" xfId="11849"/>
    <cellStyle name="40% - Accent3 2 9 5" xfId="11850"/>
    <cellStyle name="40% - Accent3 2 9 5 2" xfId="11851"/>
    <cellStyle name="40% - Accent3 2 9 6" xfId="11852"/>
    <cellStyle name="40% - Accent3 2 9 7" xfId="11843"/>
    <cellStyle name="40% - Accent3 20" xfId="11853"/>
    <cellStyle name="40% - Accent3 20 2" xfId="11854"/>
    <cellStyle name="40% - Accent3 21" xfId="11855"/>
    <cellStyle name="40% - Accent3 21 2" xfId="11856"/>
    <cellStyle name="40% - Accent3 21 2 2" xfId="11857"/>
    <cellStyle name="40% - Accent3 21 2 2 2" xfId="11858"/>
    <cellStyle name="40% - Accent3 21 2 3" xfId="11859"/>
    <cellStyle name="40% - Accent3 21 2 3 2" xfId="11860"/>
    <cellStyle name="40% - Accent3 21 2 4" xfId="11861"/>
    <cellStyle name="40% - Accent3 21 3" xfId="11862"/>
    <cellStyle name="40% - Accent3 21 3 2" xfId="11863"/>
    <cellStyle name="40% - Accent3 21 4" xfId="11864"/>
    <cellStyle name="40% - Accent3 21 4 2" xfId="11865"/>
    <cellStyle name="40% - Accent3 21 5" xfId="11866"/>
    <cellStyle name="40% - Accent3 22" xfId="11867"/>
    <cellStyle name="40% - Accent3 22 2" xfId="11868"/>
    <cellStyle name="40% - Accent3 22 2 2" xfId="11869"/>
    <cellStyle name="40% - Accent3 22 2 2 2" xfId="11870"/>
    <cellStyle name="40% - Accent3 22 2 3" xfId="11871"/>
    <cellStyle name="40% - Accent3 22 2 3 2" xfId="11872"/>
    <cellStyle name="40% - Accent3 22 2 4" xfId="11873"/>
    <cellStyle name="40% - Accent3 22 3" xfId="11874"/>
    <cellStyle name="40% - Accent3 22 3 2" xfId="11875"/>
    <cellStyle name="40% - Accent3 22 4" xfId="11876"/>
    <cellStyle name="40% - Accent3 22 4 2" xfId="11877"/>
    <cellStyle name="40% - Accent3 22 5" xfId="11878"/>
    <cellStyle name="40% - Accent3 23" xfId="11879"/>
    <cellStyle name="40% - Accent3 23 2" xfId="11880"/>
    <cellStyle name="40% - Accent3 24" xfId="11881"/>
    <cellStyle name="40% - Accent3 24 2" xfId="11882"/>
    <cellStyle name="40% - Accent3 24 2 2" xfId="11883"/>
    <cellStyle name="40% - Accent3 24 2 2 2" xfId="11884"/>
    <cellStyle name="40% - Accent3 24 2 3" xfId="11885"/>
    <cellStyle name="40% - Accent3 24 2 3 2" xfId="11886"/>
    <cellStyle name="40% - Accent3 24 2 4" xfId="11887"/>
    <cellStyle name="40% - Accent3 24 3" xfId="11888"/>
    <cellStyle name="40% - Accent3 24 3 2" xfId="11889"/>
    <cellStyle name="40% - Accent3 24 4" xfId="11890"/>
    <cellStyle name="40% - Accent3 24 4 2" xfId="11891"/>
    <cellStyle name="40% - Accent3 24 5" xfId="11892"/>
    <cellStyle name="40% - Accent3 25" xfId="11893"/>
    <cellStyle name="40% - Accent3 25 2" xfId="11894"/>
    <cellStyle name="40% - Accent3 25 2 2" xfId="11895"/>
    <cellStyle name="40% - Accent3 25 2 2 2" xfId="11896"/>
    <cellStyle name="40% - Accent3 25 2 3" xfId="11897"/>
    <cellStyle name="40% - Accent3 25 2 3 2" xfId="11898"/>
    <cellStyle name="40% - Accent3 25 2 4" xfId="11899"/>
    <cellStyle name="40% - Accent3 25 3" xfId="11900"/>
    <cellStyle name="40% - Accent3 25 3 2" xfId="11901"/>
    <cellStyle name="40% - Accent3 25 4" xfId="11902"/>
    <cellStyle name="40% - Accent3 25 4 2" xfId="11903"/>
    <cellStyle name="40% - Accent3 25 5" xfId="11904"/>
    <cellStyle name="40% - Accent3 26" xfId="11905"/>
    <cellStyle name="40% - Accent3 26 2" xfId="11906"/>
    <cellStyle name="40% - Accent3 27" xfId="11907"/>
    <cellStyle name="40% - Accent3 27 2" xfId="11908"/>
    <cellStyle name="40% - Accent3 27 2 2" xfId="11909"/>
    <cellStyle name="40% - Accent3 27 2 2 2" xfId="11910"/>
    <cellStyle name="40% - Accent3 27 2 3" xfId="11911"/>
    <cellStyle name="40% - Accent3 27 2 3 2" xfId="11912"/>
    <cellStyle name="40% - Accent3 27 2 4" xfId="11913"/>
    <cellStyle name="40% - Accent3 27 3" xfId="11914"/>
    <cellStyle name="40% - Accent3 27 3 2" xfId="11915"/>
    <cellStyle name="40% - Accent3 27 4" xfId="11916"/>
    <cellStyle name="40% - Accent3 27 4 2" xfId="11917"/>
    <cellStyle name="40% - Accent3 27 5" xfId="11918"/>
    <cellStyle name="40% - Accent3 28" xfId="11919"/>
    <cellStyle name="40% - Accent3 28 2" xfId="11920"/>
    <cellStyle name="40% - Accent3 28 2 2" xfId="11921"/>
    <cellStyle name="40% - Accent3 28 3" xfId="11922"/>
    <cellStyle name="40% - Accent3 28 3 2" xfId="11923"/>
    <cellStyle name="40% - Accent3 28 4" xfId="11924"/>
    <cellStyle name="40% - Accent3 29" xfId="11925"/>
    <cellStyle name="40% - Accent3 29 2" xfId="11926"/>
    <cellStyle name="40% - Accent3 3" xfId="221"/>
    <cellStyle name="40% - Accent3 3 10" xfId="3683"/>
    <cellStyle name="40% - Accent3 3 10 2" xfId="4543"/>
    <cellStyle name="40% - Accent3 3 10 2 2" xfId="11930"/>
    <cellStyle name="40% - Accent3 3 10 2 3" xfId="11929"/>
    <cellStyle name="40% - Accent3 3 10 3" xfId="11931"/>
    <cellStyle name="40% - Accent3 3 10 3 2" xfId="11932"/>
    <cellStyle name="40% - Accent3 3 10 4" xfId="11933"/>
    <cellStyle name="40% - Accent3 3 10 4 2" xfId="11934"/>
    <cellStyle name="40% - Accent3 3 10 5" xfId="11935"/>
    <cellStyle name="40% - Accent3 3 10 5 2" xfId="11936"/>
    <cellStyle name="40% - Accent3 3 10 6" xfId="11937"/>
    <cellStyle name="40% - Accent3 3 10 7" xfId="11928"/>
    <cellStyle name="40% - Accent3 3 11" xfId="11938"/>
    <cellStyle name="40% - Accent3 3 11 2" xfId="11939"/>
    <cellStyle name="40% - Accent3 3 11 2 2" xfId="11940"/>
    <cellStyle name="40% - Accent3 3 11 3" xfId="11941"/>
    <cellStyle name="40% - Accent3 3 11 3 2" xfId="11942"/>
    <cellStyle name="40% - Accent3 3 11 4" xfId="11943"/>
    <cellStyle name="40% - Accent3 3 12" xfId="11944"/>
    <cellStyle name="40% - Accent3 3 12 2" xfId="11945"/>
    <cellStyle name="40% - Accent3 3 12 2 2" xfId="11946"/>
    <cellStyle name="40% - Accent3 3 12 3" xfId="11947"/>
    <cellStyle name="40% - Accent3 3 12 3 2" xfId="11948"/>
    <cellStyle name="40% - Accent3 3 12 4" xfId="11949"/>
    <cellStyle name="40% - Accent3 3 13" xfId="11950"/>
    <cellStyle name="40% - Accent3 3 13 2" xfId="11951"/>
    <cellStyle name="40% - Accent3 3 13 2 2" xfId="11952"/>
    <cellStyle name="40% - Accent3 3 13 3" xfId="11953"/>
    <cellStyle name="40% - Accent3 3 13 3 2" xfId="11954"/>
    <cellStyle name="40% - Accent3 3 13 4" xfId="11955"/>
    <cellStyle name="40% - Accent3 3 14" xfId="11956"/>
    <cellStyle name="40% - Accent3 3 14 2" xfId="11957"/>
    <cellStyle name="40% - Accent3 3 15" xfId="11958"/>
    <cellStyle name="40% - Accent3 3 15 2" xfId="11959"/>
    <cellStyle name="40% - Accent3 3 16" xfId="11960"/>
    <cellStyle name="40% - Accent3 3 17" xfId="11927"/>
    <cellStyle name="40% - Accent3 3 2" xfId="1456"/>
    <cellStyle name="40% - Accent3 3 2 10" xfId="11962"/>
    <cellStyle name="40% - Accent3 3 2 10 2" xfId="11963"/>
    <cellStyle name="40% - Accent3 3 2 10 2 2" xfId="11964"/>
    <cellStyle name="40% - Accent3 3 2 10 3" xfId="11965"/>
    <cellStyle name="40% - Accent3 3 2 10 3 2" xfId="11966"/>
    <cellStyle name="40% - Accent3 3 2 10 4" xfId="11967"/>
    <cellStyle name="40% - Accent3 3 2 11" xfId="11968"/>
    <cellStyle name="40% - Accent3 3 2 11 2" xfId="11969"/>
    <cellStyle name="40% - Accent3 3 2 11 2 2" xfId="11970"/>
    <cellStyle name="40% - Accent3 3 2 11 3" xfId="11971"/>
    <cellStyle name="40% - Accent3 3 2 11 3 2" xfId="11972"/>
    <cellStyle name="40% - Accent3 3 2 11 4" xfId="11973"/>
    <cellStyle name="40% - Accent3 3 2 12" xfId="11974"/>
    <cellStyle name="40% - Accent3 3 2 12 2" xfId="11975"/>
    <cellStyle name="40% - Accent3 3 2 12 2 2" xfId="11976"/>
    <cellStyle name="40% - Accent3 3 2 12 3" xfId="11977"/>
    <cellStyle name="40% - Accent3 3 2 12 3 2" xfId="11978"/>
    <cellStyle name="40% - Accent3 3 2 12 4" xfId="11979"/>
    <cellStyle name="40% - Accent3 3 2 13" xfId="11980"/>
    <cellStyle name="40% - Accent3 3 2 13 2" xfId="11981"/>
    <cellStyle name="40% - Accent3 3 2 14" xfId="11982"/>
    <cellStyle name="40% - Accent3 3 2 14 2" xfId="11983"/>
    <cellStyle name="40% - Accent3 3 2 15" xfId="11984"/>
    <cellStyle name="40% - Accent3 3 2 15 2" xfId="11985"/>
    <cellStyle name="40% - Accent3 3 2 16" xfId="11986"/>
    <cellStyle name="40% - Accent3 3 2 17" xfId="11961"/>
    <cellStyle name="40% - Accent3 3 2 2" xfId="1832"/>
    <cellStyle name="40% - Accent3 3 2 2 2" xfId="11988"/>
    <cellStyle name="40% - Accent3 3 2 2 2 2" xfId="11989"/>
    <cellStyle name="40% - Accent3 3 2 2 3" xfId="11990"/>
    <cellStyle name="40% - Accent3 3 2 2 3 2" xfId="11991"/>
    <cellStyle name="40% - Accent3 3 2 2 4" xfId="11992"/>
    <cellStyle name="40% - Accent3 3 2 2 5" xfId="11987"/>
    <cellStyle name="40% - Accent3 3 2 3" xfId="2207"/>
    <cellStyle name="40% - Accent3 3 2 3 2" xfId="11994"/>
    <cellStyle name="40% - Accent3 3 2 3 2 2" xfId="11995"/>
    <cellStyle name="40% - Accent3 3 2 3 3" xfId="11996"/>
    <cellStyle name="40% - Accent3 3 2 3 3 2" xfId="11997"/>
    <cellStyle name="40% - Accent3 3 2 3 4" xfId="11998"/>
    <cellStyle name="40% - Accent3 3 2 3 5" xfId="11993"/>
    <cellStyle name="40% - Accent3 3 2 4" xfId="2581"/>
    <cellStyle name="40% - Accent3 3 2 4 2" xfId="12000"/>
    <cellStyle name="40% - Accent3 3 2 4 2 2" xfId="12001"/>
    <cellStyle name="40% - Accent3 3 2 4 3" xfId="12002"/>
    <cellStyle name="40% - Accent3 3 2 4 3 2" xfId="12003"/>
    <cellStyle name="40% - Accent3 3 2 4 4" xfId="12004"/>
    <cellStyle name="40% - Accent3 3 2 4 5" xfId="11999"/>
    <cellStyle name="40% - Accent3 3 2 5" xfId="2953"/>
    <cellStyle name="40% - Accent3 3 2 5 2" xfId="12006"/>
    <cellStyle name="40% - Accent3 3 2 5 2 2" xfId="12007"/>
    <cellStyle name="40% - Accent3 3 2 5 3" xfId="12008"/>
    <cellStyle name="40% - Accent3 3 2 5 3 2" xfId="12009"/>
    <cellStyle name="40% - Accent3 3 2 5 4" xfId="12010"/>
    <cellStyle name="40% - Accent3 3 2 5 5" xfId="12005"/>
    <cellStyle name="40% - Accent3 3 2 6" xfId="3325"/>
    <cellStyle name="40% - Accent3 3 2 6 2" xfId="12012"/>
    <cellStyle name="40% - Accent3 3 2 6 2 2" xfId="12013"/>
    <cellStyle name="40% - Accent3 3 2 6 3" xfId="12014"/>
    <cellStyle name="40% - Accent3 3 2 6 3 2" xfId="12015"/>
    <cellStyle name="40% - Accent3 3 2 6 4" xfId="12016"/>
    <cellStyle name="40% - Accent3 3 2 6 5" xfId="12011"/>
    <cellStyle name="40% - Accent3 3 2 7" xfId="4544"/>
    <cellStyle name="40% - Accent3 3 2 7 2" xfId="12018"/>
    <cellStyle name="40% - Accent3 3 2 7 2 2" xfId="12019"/>
    <cellStyle name="40% - Accent3 3 2 7 3" xfId="12020"/>
    <cellStyle name="40% - Accent3 3 2 7 3 2" xfId="12021"/>
    <cellStyle name="40% - Accent3 3 2 7 4" xfId="12022"/>
    <cellStyle name="40% - Accent3 3 2 7 5" xfId="12017"/>
    <cellStyle name="40% - Accent3 3 2 8" xfId="12023"/>
    <cellStyle name="40% - Accent3 3 2 8 2" xfId="12024"/>
    <cellStyle name="40% - Accent3 3 2 8 2 2" xfId="12025"/>
    <cellStyle name="40% - Accent3 3 2 8 3" xfId="12026"/>
    <cellStyle name="40% - Accent3 3 2 8 3 2" xfId="12027"/>
    <cellStyle name="40% - Accent3 3 2 8 4" xfId="12028"/>
    <cellStyle name="40% - Accent3 3 2 9" xfId="12029"/>
    <cellStyle name="40% - Accent3 3 2 9 2" xfId="12030"/>
    <cellStyle name="40% - Accent3 3 2 9 2 2" xfId="12031"/>
    <cellStyle name="40% - Accent3 3 2 9 3" xfId="12032"/>
    <cellStyle name="40% - Accent3 3 2 9 3 2" xfId="12033"/>
    <cellStyle name="40% - Accent3 3 2 9 4" xfId="12034"/>
    <cellStyle name="40% - Accent3 3 3" xfId="1583"/>
    <cellStyle name="40% - Accent3 3 3 2" xfId="1909"/>
    <cellStyle name="40% - Accent3 3 3 2 2" xfId="12037"/>
    <cellStyle name="40% - Accent3 3 3 2 3" xfId="12036"/>
    <cellStyle name="40% - Accent3 3 3 3" xfId="2284"/>
    <cellStyle name="40% - Accent3 3 3 3 2" xfId="12039"/>
    <cellStyle name="40% - Accent3 3 3 3 3" xfId="12038"/>
    <cellStyle name="40% - Accent3 3 3 4" xfId="2657"/>
    <cellStyle name="40% - Accent3 3 3 4 2" xfId="12041"/>
    <cellStyle name="40% - Accent3 3 3 4 3" xfId="12040"/>
    <cellStyle name="40% - Accent3 3 3 5" xfId="3030"/>
    <cellStyle name="40% - Accent3 3 3 5 2" xfId="12043"/>
    <cellStyle name="40% - Accent3 3 3 5 3" xfId="12042"/>
    <cellStyle name="40% - Accent3 3 3 6" xfId="3401"/>
    <cellStyle name="40% - Accent3 3 3 6 2" xfId="12045"/>
    <cellStyle name="40% - Accent3 3 3 6 3" xfId="12044"/>
    <cellStyle name="40% - Accent3 3 3 7" xfId="4545"/>
    <cellStyle name="40% - Accent3 3 3 7 2" xfId="12047"/>
    <cellStyle name="40% - Accent3 3 3 7 3" xfId="12046"/>
    <cellStyle name="40% - Accent3 3 3 8" xfId="12048"/>
    <cellStyle name="40% - Accent3 3 3 9" xfId="12035"/>
    <cellStyle name="40% - Accent3 3 4" xfId="1720"/>
    <cellStyle name="40% - Accent3 3 4 2" xfId="1953"/>
    <cellStyle name="40% - Accent3 3 4 2 2" xfId="12051"/>
    <cellStyle name="40% - Accent3 3 4 2 3" xfId="12050"/>
    <cellStyle name="40% - Accent3 3 4 3" xfId="2328"/>
    <cellStyle name="40% - Accent3 3 4 3 2" xfId="12053"/>
    <cellStyle name="40% - Accent3 3 4 3 3" xfId="12052"/>
    <cellStyle name="40% - Accent3 3 4 4" xfId="2701"/>
    <cellStyle name="40% - Accent3 3 4 4 2" xfId="12055"/>
    <cellStyle name="40% - Accent3 3 4 4 3" xfId="12054"/>
    <cellStyle name="40% - Accent3 3 4 5" xfId="3074"/>
    <cellStyle name="40% - Accent3 3 4 5 2" xfId="12057"/>
    <cellStyle name="40% - Accent3 3 4 5 3" xfId="12056"/>
    <cellStyle name="40% - Accent3 3 4 6" xfId="3445"/>
    <cellStyle name="40% - Accent3 3 4 6 2" xfId="12059"/>
    <cellStyle name="40% - Accent3 3 4 6 3" xfId="12058"/>
    <cellStyle name="40% - Accent3 3 4 7" xfId="12060"/>
    <cellStyle name="40% - Accent3 3 4 8" xfId="12049"/>
    <cellStyle name="40% - Accent3 3 5" xfId="2055"/>
    <cellStyle name="40% - Accent3 3 5 2" xfId="12062"/>
    <cellStyle name="40% - Accent3 3 5 2 2" xfId="12063"/>
    <cellStyle name="40% - Accent3 3 5 3" xfId="12064"/>
    <cellStyle name="40% - Accent3 3 5 3 2" xfId="12065"/>
    <cellStyle name="40% - Accent3 3 5 4" xfId="12066"/>
    <cellStyle name="40% - Accent3 3 5 4 2" xfId="12067"/>
    <cellStyle name="40% - Accent3 3 5 5" xfId="12068"/>
    <cellStyle name="40% - Accent3 3 5 6" xfId="12061"/>
    <cellStyle name="40% - Accent3 3 6" xfId="2429"/>
    <cellStyle name="40% - Accent3 3 6 2" xfId="12070"/>
    <cellStyle name="40% - Accent3 3 6 2 2" xfId="12071"/>
    <cellStyle name="40% - Accent3 3 6 3" xfId="12072"/>
    <cellStyle name="40% - Accent3 3 6 3 2" xfId="12073"/>
    <cellStyle name="40% - Accent3 3 6 4" xfId="12074"/>
    <cellStyle name="40% - Accent3 3 6 4 2" xfId="12075"/>
    <cellStyle name="40% - Accent3 3 6 5" xfId="12076"/>
    <cellStyle name="40% - Accent3 3 6 6" xfId="12069"/>
    <cellStyle name="40% - Accent3 3 7" xfId="2801"/>
    <cellStyle name="40% - Accent3 3 7 2" xfId="12078"/>
    <cellStyle name="40% - Accent3 3 7 2 2" xfId="12079"/>
    <cellStyle name="40% - Accent3 3 7 3" xfId="12080"/>
    <cellStyle name="40% - Accent3 3 7 3 2" xfId="12081"/>
    <cellStyle name="40% - Accent3 3 7 4" xfId="12082"/>
    <cellStyle name="40% - Accent3 3 7 4 2" xfId="12083"/>
    <cellStyle name="40% - Accent3 3 7 5" xfId="12084"/>
    <cellStyle name="40% - Accent3 3 7 6" xfId="12077"/>
    <cellStyle name="40% - Accent3 3 8" xfId="3172"/>
    <cellStyle name="40% - Accent3 3 8 2" xfId="12086"/>
    <cellStyle name="40% - Accent3 3 8 2 2" xfId="12087"/>
    <cellStyle name="40% - Accent3 3 8 3" xfId="12088"/>
    <cellStyle name="40% - Accent3 3 8 3 2" xfId="12089"/>
    <cellStyle name="40% - Accent3 3 8 4" xfId="12090"/>
    <cellStyle name="40% - Accent3 3 8 4 2" xfId="12091"/>
    <cellStyle name="40% - Accent3 3 8 5" xfId="12092"/>
    <cellStyle name="40% - Accent3 3 8 6" xfId="12085"/>
    <cellStyle name="40% - Accent3 3 9" xfId="3547"/>
    <cellStyle name="40% - Accent3 3 9 2" xfId="4546"/>
    <cellStyle name="40% - Accent3 3 9 2 2" xfId="12095"/>
    <cellStyle name="40% - Accent3 3 9 2 3" xfId="12094"/>
    <cellStyle name="40% - Accent3 3 9 3" xfId="12096"/>
    <cellStyle name="40% - Accent3 3 9 3 2" xfId="12097"/>
    <cellStyle name="40% - Accent3 3 9 4" xfId="12098"/>
    <cellStyle name="40% - Accent3 3 9 4 2" xfId="12099"/>
    <cellStyle name="40% - Accent3 3 9 5" xfId="12100"/>
    <cellStyle name="40% - Accent3 3 9 5 2" xfId="12101"/>
    <cellStyle name="40% - Accent3 3 9 6" xfId="12102"/>
    <cellStyle name="40% - Accent3 3 9 7" xfId="12093"/>
    <cellStyle name="40% - Accent3 30" xfId="12103"/>
    <cellStyle name="40% - Accent3 31" xfId="11586"/>
    <cellStyle name="40% - Accent3 4" xfId="243"/>
    <cellStyle name="40% - Accent3 4 10" xfId="3727"/>
    <cellStyle name="40% - Accent3 4 10 2" xfId="4548"/>
    <cellStyle name="40% - Accent3 4 10 2 2" xfId="12107"/>
    <cellStyle name="40% - Accent3 4 10 2 3" xfId="12106"/>
    <cellStyle name="40% - Accent3 4 10 3" xfId="12108"/>
    <cellStyle name="40% - Accent3 4 10 3 2" xfId="12109"/>
    <cellStyle name="40% - Accent3 4 10 4" xfId="12110"/>
    <cellStyle name="40% - Accent3 4 10 4 2" xfId="12111"/>
    <cellStyle name="40% - Accent3 4 10 5" xfId="12112"/>
    <cellStyle name="40% - Accent3 4 10 5 2" xfId="12113"/>
    <cellStyle name="40% - Accent3 4 10 6" xfId="12114"/>
    <cellStyle name="40% - Accent3 4 10 7" xfId="12105"/>
    <cellStyle name="40% - Accent3 4 11" xfId="1303"/>
    <cellStyle name="40% - Accent3 4 11 10" xfId="24881"/>
    <cellStyle name="40% - Accent3 4 11 11" xfId="26377"/>
    <cellStyle name="40% - Accent3 4 11 2" xfId="4149"/>
    <cellStyle name="40% - Accent3 4 11 2 2" xfId="5402"/>
    <cellStyle name="40% - Accent3 4 11 2 2 2" xfId="6312"/>
    <cellStyle name="40% - Accent3 4 11 2 2 2 2" xfId="12118"/>
    <cellStyle name="40% - Accent3 4 11 2 2 2 3" xfId="26380"/>
    <cellStyle name="40% - Accent3 4 11 2 2 3" xfId="12117"/>
    <cellStyle name="40% - Accent3 4 11 2 2 4" xfId="26379"/>
    <cellStyle name="40% - Accent3 4 11 2 3" xfId="5712"/>
    <cellStyle name="40% - Accent3 4 11 2 3 2" xfId="6313"/>
    <cellStyle name="40% - Accent3 4 11 2 3 2 2" xfId="26382"/>
    <cellStyle name="40% - Accent3 4 11 2 3 3" xfId="12119"/>
    <cellStyle name="40% - Accent3 4 11 2 3 4" xfId="26381"/>
    <cellStyle name="40% - Accent3 4 11 2 4" xfId="4550"/>
    <cellStyle name="40% - Accent3 4 11 2 4 2" xfId="6314"/>
    <cellStyle name="40% - Accent3 4 11 2 4 2 2" xfId="26384"/>
    <cellStyle name="40% - Accent3 4 11 2 4 3" xfId="26383"/>
    <cellStyle name="40% - Accent3 4 11 2 5" xfId="6311"/>
    <cellStyle name="40% - Accent3 4 11 2 5 2" xfId="26385"/>
    <cellStyle name="40% - Accent3 4 11 2 6" xfId="12116"/>
    <cellStyle name="40% - Accent3 4 11 2 7" xfId="25001"/>
    <cellStyle name="40% - Accent3 4 11 2 8" xfId="26378"/>
    <cellStyle name="40% - Accent3 4 11 3" xfId="5401"/>
    <cellStyle name="40% - Accent3 4 11 3 2" xfId="6315"/>
    <cellStyle name="40% - Accent3 4 11 3 2 2" xfId="12121"/>
    <cellStyle name="40% - Accent3 4 11 3 2 3" xfId="26387"/>
    <cellStyle name="40% - Accent3 4 11 3 3" xfId="12120"/>
    <cellStyle name="40% - Accent3 4 11 3 4" xfId="26386"/>
    <cellStyle name="40% - Accent3 4 11 4" xfId="5711"/>
    <cellStyle name="40% - Accent3 4 11 4 2" xfId="6316"/>
    <cellStyle name="40% - Accent3 4 11 4 2 2" xfId="12123"/>
    <cellStyle name="40% - Accent3 4 11 4 2 3" xfId="26389"/>
    <cellStyle name="40% - Accent3 4 11 4 3" xfId="12122"/>
    <cellStyle name="40% - Accent3 4 11 4 4" xfId="26388"/>
    <cellStyle name="40% - Accent3 4 11 5" xfId="4549"/>
    <cellStyle name="40% - Accent3 4 11 5 2" xfId="6317"/>
    <cellStyle name="40% - Accent3 4 11 5 2 2" xfId="12126"/>
    <cellStyle name="40% - Accent3 4 11 5 2 3" xfId="12125"/>
    <cellStyle name="40% - Accent3 4 11 5 2 4" xfId="26391"/>
    <cellStyle name="40% - Accent3 4 11 5 3" xfId="12127"/>
    <cellStyle name="40% - Accent3 4 11 5 3 2" xfId="12128"/>
    <cellStyle name="40% - Accent3 4 11 5 4" xfId="12129"/>
    <cellStyle name="40% - Accent3 4 11 5 5" xfId="12124"/>
    <cellStyle name="40% - Accent3 4 11 5 6" xfId="26390"/>
    <cellStyle name="40% - Accent3 4 11 6" xfId="6310"/>
    <cellStyle name="40% - Accent3 4 11 6 2" xfId="12131"/>
    <cellStyle name="40% - Accent3 4 11 6 3" xfId="12130"/>
    <cellStyle name="40% - Accent3 4 11 6 4" xfId="26392"/>
    <cellStyle name="40% - Accent3 4 11 7" xfId="12132"/>
    <cellStyle name="40% - Accent3 4 11 7 2" xfId="12133"/>
    <cellStyle name="40% - Accent3 4 11 8" xfId="12134"/>
    <cellStyle name="40% - Accent3 4 11 9" xfId="12115"/>
    <cellStyle name="40% - Accent3 4 12" xfId="4551"/>
    <cellStyle name="40% - Accent3 4 12 2" xfId="5403"/>
    <cellStyle name="40% - Accent3 4 12 2 2" xfId="6319"/>
    <cellStyle name="40% - Accent3 4 12 2 2 2" xfId="12137"/>
    <cellStyle name="40% - Accent3 4 12 2 2 3" xfId="26395"/>
    <cellStyle name="40% - Accent3 4 12 2 3" xfId="12136"/>
    <cellStyle name="40% - Accent3 4 12 2 4" xfId="26394"/>
    <cellStyle name="40% - Accent3 4 12 3" xfId="5713"/>
    <cellStyle name="40% - Accent3 4 12 3 2" xfId="6320"/>
    <cellStyle name="40% - Accent3 4 12 3 2 2" xfId="12139"/>
    <cellStyle name="40% - Accent3 4 12 3 2 3" xfId="26397"/>
    <cellStyle name="40% - Accent3 4 12 3 3" xfId="12138"/>
    <cellStyle name="40% - Accent3 4 12 3 4" xfId="26396"/>
    <cellStyle name="40% - Accent3 4 12 4" xfId="6318"/>
    <cellStyle name="40% - Accent3 4 12 4 2" xfId="12141"/>
    <cellStyle name="40% - Accent3 4 12 4 3" xfId="12140"/>
    <cellStyle name="40% - Accent3 4 12 4 4" xfId="26398"/>
    <cellStyle name="40% - Accent3 4 12 5" xfId="12142"/>
    <cellStyle name="40% - Accent3 4 12 6" xfId="12135"/>
    <cellStyle name="40% - Accent3 4 12 7" xfId="26393"/>
    <cellStyle name="40% - Accent3 4 13" xfId="5400"/>
    <cellStyle name="40% - Accent3 4 13 2" xfId="6321"/>
    <cellStyle name="40% - Accent3 4 13 2 2" xfId="12145"/>
    <cellStyle name="40% - Accent3 4 13 2 3" xfId="12144"/>
    <cellStyle name="40% - Accent3 4 13 2 4" xfId="26400"/>
    <cellStyle name="40% - Accent3 4 13 3" xfId="12146"/>
    <cellStyle name="40% - Accent3 4 13 3 2" xfId="12147"/>
    <cellStyle name="40% - Accent3 4 13 4" xfId="12148"/>
    <cellStyle name="40% - Accent3 4 13 5" xfId="12143"/>
    <cellStyle name="40% - Accent3 4 13 6" xfId="26399"/>
    <cellStyle name="40% - Accent3 4 14" xfId="5710"/>
    <cellStyle name="40% - Accent3 4 14 2" xfId="6322"/>
    <cellStyle name="40% - Accent3 4 14 2 2" xfId="12150"/>
    <cellStyle name="40% - Accent3 4 14 2 3" xfId="26402"/>
    <cellStyle name="40% - Accent3 4 14 3" xfId="12149"/>
    <cellStyle name="40% - Accent3 4 14 4" xfId="26401"/>
    <cellStyle name="40% - Accent3 4 15" xfId="4547"/>
    <cellStyle name="40% - Accent3 4 15 2" xfId="6323"/>
    <cellStyle name="40% - Accent3 4 15 2 2" xfId="12152"/>
    <cellStyle name="40% - Accent3 4 15 2 3" xfId="26404"/>
    <cellStyle name="40% - Accent3 4 15 3" xfId="12151"/>
    <cellStyle name="40% - Accent3 4 15 4" xfId="26403"/>
    <cellStyle name="40% - Accent3 4 16" xfId="12153"/>
    <cellStyle name="40% - Accent3 4 16 2" xfId="12154"/>
    <cellStyle name="40% - Accent3 4 17" xfId="12155"/>
    <cellStyle name="40% - Accent3 4 17 2" xfId="12156"/>
    <cellStyle name="40% - Accent3 4 17 2 2" xfId="12157"/>
    <cellStyle name="40% - Accent3 4 17 3" xfId="12158"/>
    <cellStyle name="40% - Accent3 4 17 3 2" xfId="12159"/>
    <cellStyle name="40% - Accent3 4 17 4" xfId="12160"/>
    <cellStyle name="40% - Accent3 4 18" xfId="12161"/>
    <cellStyle name="40% - Accent3 4 18 2" xfId="12162"/>
    <cellStyle name="40% - Accent3 4 19" xfId="12163"/>
    <cellStyle name="40% - Accent3 4 19 2" xfId="12164"/>
    <cellStyle name="40% - Accent3 4 2" xfId="1501"/>
    <cellStyle name="40% - Accent3 4 2 10" xfId="12166"/>
    <cellStyle name="40% - Accent3 4 2 10 2" xfId="12167"/>
    <cellStyle name="40% - Accent3 4 2 10 2 2" xfId="12168"/>
    <cellStyle name="40% - Accent3 4 2 10 3" xfId="12169"/>
    <cellStyle name="40% - Accent3 4 2 10 3 2" xfId="12170"/>
    <cellStyle name="40% - Accent3 4 2 10 4" xfId="12171"/>
    <cellStyle name="40% - Accent3 4 2 11" xfId="12172"/>
    <cellStyle name="40% - Accent3 4 2 11 2" xfId="12173"/>
    <cellStyle name="40% - Accent3 4 2 11 2 2" xfId="12174"/>
    <cellStyle name="40% - Accent3 4 2 11 3" xfId="12175"/>
    <cellStyle name="40% - Accent3 4 2 11 3 2" xfId="12176"/>
    <cellStyle name="40% - Accent3 4 2 11 4" xfId="12177"/>
    <cellStyle name="40% - Accent3 4 2 12" xfId="12178"/>
    <cellStyle name="40% - Accent3 4 2 12 2" xfId="12179"/>
    <cellStyle name="40% - Accent3 4 2 12 2 2" xfId="12180"/>
    <cellStyle name="40% - Accent3 4 2 12 3" xfId="12181"/>
    <cellStyle name="40% - Accent3 4 2 12 3 2" xfId="12182"/>
    <cellStyle name="40% - Accent3 4 2 12 4" xfId="12183"/>
    <cellStyle name="40% - Accent3 4 2 13" xfId="12184"/>
    <cellStyle name="40% - Accent3 4 2 13 2" xfId="12185"/>
    <cellStyle name="40% - Accent3 4 2 14" xfId="12186"/>
    <cellStyle name="40% - Accent3 4 2 14 2" xfId="12187"/>
    <cellStyle name="40% - Accent3 4 2 15" xfId="12188"/>
    <cellStyle name="40% - Accent3 4 2 15 2" xfId="12189"/>
    <cellStyle name="40% - Accent3 4 2 16" xfId="12190"/>
    <cellStyle name="40% - Accent3 4 2 16 2" xfId="12191"/>
    <cellStyle name="40% - Accent3 4 2 17" xfId="12192"/>
    <cellStyle name="40% - Accent3 4 2 18" xfId="12165"/>
    <cellStyle name="40% - Accent3 4 2 2" xfId="4552"/>
    <cellStyle name="40% - Accent3 4 2 2 2" xfId="12194"/>
    <cellStyle name="40% - Accent3 4 2 2 2 2" xfId="12195"/>
    <cellStyle name="40% - Accent3 4 2 2 3" xfId="12196"/>
    <cellStyle name="40% - Accent3 4 2 2 3 2" xfId="12197"/>
    <cellStyle name="40% - Accent3 4 2 2 4" xfId="12198"/>
    <cellStyle name="40% - Accent3 4 2 2 5" xfId="12193"/>
    <cellStyle name="40% - Accent3 4 2 3" xfId="12199"/>
    <cellStyle name="40% - Accent3 4 2 3 2" xfId="12200"/>
    <cellStyle name="40% - Accent3 4 2 3 2 2" xfId="12201"/>
    <cellStyle name="40% - Accent3 4 2 3 3" xfId="12202"/>
    <cellStyle name="40% - Accent3 4 2 3 3 2" xfId="12203"/>
    <cellStyle name="40% - Accent3 4 2 3 4" xfId="12204"/>
    <cellStyle name="40% - Accent3 4 2 4" xfId="12205"/>
    <cellStyle name="40% - Accent3 4 2 4 2" xfId="12206"/>
    <cellStyle name="40% - Accent3 4 2 4 2 2" xfId="12207"/>
    <cellStyle name="40% - Accent3 4 2 4 3" xfId="12208"/>
    <cellStyle name="40% - Accent3 4 2 4 3 2" xfId="12209"/>
    <cellStyle name="40% - Accent3 4 2 4 4" xfId="12210"/>
    <cellStyle name="40% - Accent3 4 2 5" xfId="12211"/>
    <cellStyle name="40% - Accent3 4 2 5 2" xfId="12212"/>
    <cellStyle name="40% - Accent3 4 2 5 2 2" xfId="12213"/>
    <cellStyle name="40% - Accent3 4 2 5 3" xfId="12214"/>
    <cellStyle name="40% - Accent3 4 2 5 3 2" xfId="12215"/>
    <cellStyle name="40% - Accent3 4 2 5 4" xfId="12216"/>
    <cellStyle name="40% - Accent3 4 2 6" xfId="12217"/>
    <cellStyle name="40% - Accent3 4 2 6 2" xfId="12218"/>
    <cellStyle name="40% - Accent3 4 2 6 2 2" xfId="12219"/>
    <cellStyle name="40% - Accent3 4 2 6 3" xfId="12220"/>
    <cellStyle name="40% - Accent3 4 2 6 3 2" xfId="12221"/>
    <cellStyle name="40% - Accent3 4 2 6 4" xfId="12222"/>
    <cellStyle name="40% - Accent3 4 2 7" xfId="12223"/>
    <cellStyle name="40% - Accent3 4 2 7 2" xfId="12224"/>
    <cellStyle name="40% - Accent3 4 2 7 2 2" xfId="12225"/>
    <cellStyle name="40% - Accent3 4 2 7 3" xfId="12226"/>
    <cellStyle name="40% - Accent3 4 2 7 3 2" xfId="12227"/>
    <cellStyle name="40% - Accent3 4 2 7 4" xfId="12228"/>
    <cellStyle name="40% - Accent3 4 2 8" xfId="12229"/>
    <cellStyle name="40% - Accent3 4 2 8 2" xfId="12230"/>
    <cellStyle name="40% - Accent3 4 2 8 2 2" xfId="12231"/>
    <cellStyle name="40% - Accent3 4 2 8 3" xfId="12232"/>
    <cellStyle name="40% - Accent3 4 2 8 3 2" xfId="12233"/>
    <cellStyle name="40% - Accent3 4 2 8 4" xfId="12234"/>
    <cellStyle name="40% - Accent3 4 2 9" xfId="12235"/>
    <cellStyle name="40% - Accent3 4 2 9 2" xfId="12236"/>
    <cellStyle name="40% - Accent3 4 2 9 2 2" xfId="12237"/>
    <cellStyle name="40% - Accent3 4 2 9 3" xfId="12238"/>
    <cellStyle name="40% - Accent3 4 2 9 3 2" xfId="12239"/>
    <cellStyle name="40% - Accent3 4 2 9 4" xfId="12240"/>
    <cellStyle name="40% - Accent3 4 20" xfId="12241"/>
    <cellStyle name="40% - Accent3 4 21" xfId="12104"/>
    <cellStyle name="40% - Accent3 4 3" xfId="1626"/>
    <cellStyle name="40% - Accent3 4 3 2" xfId="4553"/>
    <cellStyle name="40% - Accent3 4 3 2 2" xfId="12244"/>
    <cellStyle name="40% - Accent3 4 3 2 3" xfId="12243"/>
    <cellStyle name="40% - Accent3 4 3 3" xfId="12245"/>
    <cellStyle name="40% - Accent3 4 3 3 2" xfId="12246"/>
    <cellStyle name="40% - Accent3 4 3 4" xfId="12247"/>
    <cellStyle name="40% - Accent3 4 3 4 2" xfId="12248"/>
    <cellStyle name="40% - Accent3 4 3 5" xfId="12249"/>
    <cellStyle name="40% - Accent3 4 3 5 2" xfId="12250"/>
    <cellStyle name="40% - Accent3 4 3 6" xfId="12251"/>
    <cellStyle name="40% - Accent3 4 3 7" xfId="12242"/>
    <cellStyle name="40% - Accent3 4 4" xfId="1797"/>
    <cellStyle name="40% - Accent3 4 4 2" xfId="12253"/>
    <cellStyle name="40% - Accent3 4 4 2 2" xfId="12254"/>
    <cellStyle name="40% - Accent3 4 4 3" xfId="12255"/>
    <cellStyle name="40% - Accent3 4 4 3 2" xfId="12256"/>
    <cellStyle name="40% - Accent3 4 4 4" xfId="12257"/>
    <cellStyle name="40% - Accent3 4 4 4 2" xfId="12258"/>
    <cellStyle name="40% - Accent3 4 4 5" xfId="12259"/>
    <cellStyle name="40% - Accent3 4 4 6" xfId="12252"/>
    <cellStyle name="40% - Accent3 4 5" xfId="2133"/>
    <cellStyle name="40% - Accent3 4 5 2" xfId="12261"/>
    <cellStyle name="40% - Accent3 4 5 2 2" xfId="12262"/>
    <cellStyle name="40% - Accent3 4 5 3" xfId="12263"/>
    <cellStyle name="40% - Accent3 4 5 3 2" xfId="12264"/>
    <cellStyle name="40% - Accent3 4 5 4" xfId="12265"/>
    <cellStyle name="40% - Accent3 4 5 4 2" xfId="12266"/>
    <cellStyle name="40% - Accent3 4 5 5" xfId="12267"/>
    <cellStyle name="40% - Accent3 4 5 6" xfId="12260"/>
    <cellStyle name="40% - Accent3 4 6" xfId="2507"/>
    <cellStyle name="40% - Accent3 4 6 2" xfId="12269"/>
    <cellStyle name="40% - Accent3 4 6 2 2" xfId="12270"/>
    <cellStyle name="40% - Accent3 4 6 3" xfId="12271"/>
    <cellStyle name="40% - Accent3 4 6 3 2" xfId="12272"/>
    <cellStyle name="40% - Accent3 4 6 4" xfId="12273"/>
    <cellStyle name="40% - Accent3 4 6 4 2" xfId="12274"/>
    <cellStyle name="40% - Accent3 4 6 5" xfId="12275"/>
    <cellStyle name="40% - Accent3 4 6 6" xfId="12268"/>
    <cellStyle name="40% - Accent3 4 7" xfId="2879"/>
    <cellStyle name="40% - Accent3 4 7 2" xfId="12277"/>
    <cellStyle name="40% - Accent3 4 7 2 2" xfId="12278"/>
    <cellStyle name="40% - Accent3 4 7 3" xfId="12279"/>
    <cellStyle name="40% - Accent3 4 7 3 2" xfId="12280"/>
    <cellStyle name="40% - Accent3 4 7 4" xfId="12281"/>
    <cellStyle name="40% - Accent3 4 7 4 2" xfId="12282"/>
    <cellStyle name="40% - Accent3 4 7 5" xfId="12283"/>
    <cellStyle name="40% - Accent3 4 7 6" xfId="12276"/>
    <cellStyle name="40% - Accent3 4 8" xfId="3250"/>
    <cellStyle name="40% - Accent3 4 8 2" xfId="12285"/>
    <cellStyle name="40% - Accent3 4 8 2 2" xfId="12286"/>
    <cellStyle name="40% - Accent3 4 8 3" xfId="12287"/>
    <cellStyle name="40% - Accent3 4 8 3 2" xfId="12288"/>
    <cellStyle name="40% - Accent3 4 8 4" xfId="12289"/>
    <cellStyle name="40% - Accent3 4 8 4 2" xfId="12290"/>
    <cellStyle name="40% - Accent3 4 8 5" xfId="12291"/>
    <cellStyle name="40% - Accent3 4 8 6" xfId="12284"/>
    <cellStyle name="40% - Accent3 4 9" xfId="3590"/>
    <cellStyle name="40% - Accent3 4 9 2" xfId="4554"/>
    <cellStyle name="40% - Accent3 4 9 2 2" xfId="12294"/>
    <cellStyle name="40% - Accent3 4 9 2 3" xfId="12293"/>
    <cellStyle name="40% - Accent3 4 9 3" xfId="12295"/>
    <cellStyle name="40% - Accent3 4 9 3 2" xfId="12296"/>
    <cellStyle name="40% - Accent3 4 9 4" xfId="12297"/>
    <cellStyle name="40% - Accent3 4 9 4 2" xfId="12298"/>
    <cellStyle name="40% - Accent3 4 9 5" xfId="12299"/>
    <cellStyle name="40% - Accent3 4 9 5 2" xfId="12300"/>
    <cellStyle name="40% - Accent3 4 9 6" xfId="12301"/>
    <cellStyle name="40% - Accent3 4 9 7" xfId="12292"/>
    <cellStyle name="40% - Accent3 5" xfId="391"/>
    <cellStyle name="40% - Accent3 5 10" xfId="12303"/>
    <cellStyle name="40% - Accent3 5 10 2" xfId="12304"/>
    <cellStyle name="40% - Accent3 5 10 2 2" xfId="12305"/>
    <cellStyle name="40% - Accent3 5 10 3" xfId="12306"/>
    <cellStyle name="40% - Accent3 5 10 3 2" xfId="12307"/>
    <cellStyle name="40% - Accent3 5 10 4" xfId="12308"/>
    <cellStyle name="40% - Accent3 5 11" xfId="12309"/>
    <cellStyle name="40% - Accent3 5 11 2" xfId="12310"/>
    <cellStyle name="40% - Accent3 5 11 2 2" xfId="12311"/>
    <cellStyle name="40% - Accent3 5 11 3" xfId="12312"/>
    <cellStyle name="40% - Accent3 5 11 3 2" xfId="12313"/>
    <cellStyle name="40% - Accent3 5 11 4" xfId="12314"/>
    <cellStyle name="40% - Accent3 5 12" xfId="12315"/>
    <cellStyle name="40% - Accent3 5 12 2" xfId="12316"/>
    <cellStyle name="40% - Accent3 5 12 2 2" xfId="12317"/>
    <cellStyle name="40% - Accent3 5 12 3" xfId="12318"/>
    <cellStyle name="40% - Accent3 5 12 3 2" xfId="12319"/>
    <cellStyle name="40% - Accent3 5 12 4" xfId="12320"/>
    <cellStyle name="40% - Accent3 5 13" xfId="12321"/>
    <cellStyle name="40% - Accent3 5 13 2" xfId="12322"/>
    <cellStyle name="40% - Accent3 5 13 2 2" xfId="12323"/>
    <cellStyle name="40% - Accent3 5 13 3" xfId="12324"/>
    <cellStyle name="40% - Accent3 5 13 3 2" xfId="12325"/>
    <cellStyle name="40% - Accent3 5 13 4" xfId="12326"/>
    <cellStyle name="40% - Accent3 5 14" xfId="12327"/>
    <cellStyle name="40% - Accent3 5 14 2" xfId="12328"/>
    <cellStyle name="40% - Accent3 5 15" xfId="12329"/>
    <cellStyle name="40% - Accent3 5 15 2" xfId="12330"/>
    <cellStyle name="40% - Accent3 5 16" xfId="12331"/>
    <cellStyle name="40% - Accent3 5 16 2" xfId="12332"/>
    <cellStyle name="40% - Accent3 5 17" xfId="12333"/>
    <cellStyle name="40% - Accent3 5 17 2" xfId="12334"/>
    <cellStyle name="40% - Accent3 5 18" xfId="12335"/>
    <cellStyle name="40% - Accent3 5 19" xfId="12302"/>
    <cellStyle name="40% - Accent3 5 2" xfId="1860"/>
    <cellStyle name="40% - Accent3 5 2 10" xfId="12337"/>
    <cellStyle name="40% - Accent3 5 2 10 2" xfId="12338"/>
    <cellStyle name="40% - Accent3 5 2 10 2 2" xfId="12339"/>
    <cellStyle name="40% - Accent3 5 2 10 3" xfId="12340"/>
    <cellStyle name="40% - Accent3 5 2 10 3 2" xfId="12341"/>
    <cellStyle name="40% - Accent3 5 2 10 4" xfId="12342"/>
    <cellStyle name="40% - Accent3 5 2 11" xfId="12343"/>
    <cellStyle name="40% - Accent3 5 2 11 2" xfId="12344"/>
    <cellStyle name="40% - Accent3 5 2 11 2 2" xfId="12345"/>
    <cellStyle name="40% - Accent3 5 2 11 3" xfId="12346"/>
    <cellStyle name="40% - Accent3 5 2 11 3 2" xfId="12347"/>
    <cellStyle name="40% - Accent3 5 2 11 4" xfId="12348"/>
    <cellStyle name="40% - Accent3 5 2 12" xfId="12349"/>
    <cellStyle name="40% - Accent3 5 2 12 2" xfId="12350"/>
    <cellStyle name="40% - Accent3 5 2 12 2 2" xfId="12351"/>
    <cellStyle name="40% - Accent3 5 2 12 3" xfId="12352"/>
    <cellStyle name="40% - Accent3 5 2 12 3 2" xfId="12353"/>
    <cellStyle name="40% - Accent3 5 2 12 4" xfId="12354"/>
    <cellStyle name="40% - Accent3 5 2 13" xfId="12355"/>
    <cellStyle name="40% - Accent3 5 2 13 2" xfId="12356"/>
    <cellStyle name="40% - Accent3 5 2 14" xfId="12357"/>
    <cellStyle name="40% - Accent3 5 2 14 2" xfId="12358"/>
    <cellStyle name="40% - Accent3 5 2 15" xfId="12359"/>
    <cellStyle name="40% - Accent3 5 2 15 2" xfId="12360"/>
    <cellStyle name="40% - Accent3 5 2 16" xfId="12361"/>
    <cellStyle name="40% - Accent3 5 2 17" xfId="12336"/>
    <cellStyle name="40% - Accent3 5 2 2" xfId="12362"/>
    <cellStyle name="40% - Accent3 5 2 2 2" xfId="12363"/>
    <cellStyle name="40% - Accent3 5 2 2 2 2" xfId="12364"/>
    <cellStyle name="40% - Accent3 5 2 2 3" xfId="12365"/>
    <cellStyle name="40% - Accent3 5 2 2 3 2" xfId="12366"/>
    <cellStyle name="40% - Accent3 5 2 2 4" xfId="12367"/>
    <cellStyle name="40% - Accent3 5 2 3" xfId="12368"/>
    <cellStyle name="40% - Accent3 5 2 3 2" xfId="12369"/>
    <cellStyle name="40% - Accent3 5 2 3 2 2" xfId="12370"/>
    <cellStyle name="40% - Accent3 5 2 3 3" xfId="12371"/>
    <cellStyle name="40% - Accent3 5 2 3 3 2" xfId="12372"/>
    <cellStyle name="40% - Accent3 5 2 3 4" xfId="12373"/>
    <cellStyle name="40% - Accent3 5 2 4" xfId="12374"/>
    <cellStyle name="40% - Accent3 5 2 4 2" xfId="12375"/>
    <cellStyle name="40% - Accent3 5 2 4 2 2" xfId="12376"/>
    <cellStyle name="40% - Accent3 5 2 4 3" xfId="12377"/>
    <cellStyle name="40% - Accent3 5 2 4 3 2" xfId="12378"/>
    <cellStyle name="40% - Accent3 5 2 4 4" xfId="12379"/>
    <cellStyle name="40% - Accent3 5 2 5" xfId="12380"/>
    <cellStyle name="40% - Accent3 5 2 5 2" xfId="12381"/>
    <cellStyle name="40% - Accent3 5 2 5 2 2" xfId="12382"/>
    <cellStyle name="40% - Accent3 5 2 5 3" xfId="12383"/>
    <cellStyle name="40% - Accent3 5 2 5 3 2" xfId="12384"/>
    <cellStyle name="40% - Accent3 5 2 5 4" xfId="12385"/>
    <cellStyle name="40% - Accent3 5 2 6" xfId="12386"/>
    <cellStyle name="40% - Accent3 5 2 6 2" xfId="12387"/>
    <cellStyle name="40% - Accent3 5 2 6 2 2" xfId="12388"/>
    <cellStyle name="40% - Accent3 5 2 6 3" xfId="12389"/>
    <cellStyle name="40% - Accent3 5 2 6 3 2" xfId="12390"/>
    <cellStyle name="40% - Accent3 5 2 6 4" xfId="12391"/>
    <cellStyle name="40% - Accent3 5 2 7" xfId="12392"/>
    <cellStyle name="40% - Accent3 5 2 7 2" xfId="12393"/>
    <cellStyle name="40% - Accent3 5 2 7 2 2" xfId="12394"/>
    <cellStyle name="40% - Accent3 5 2 7 3" xfId="12395"/>
    <cellStyle name="40% - Accent3 5 2 7 3 2" xfId="12396"/>
    <cellStyle name="40% - Accent3 5 2 7 4" xfId="12397"/>
    <cellStyle name="40% - Accent3 5 2 8" xfId="12398"/>
    <cellStyle name="40% - Accent3 5 2 8 2" xfId="12399"/>
    <cellStyle name="40% - Accent3 5 2 8 2 2" xfId="12400"/>
    <cellStyle name="40% - Accent3 5 2 8 3" xfId="12401"/>
    <cellStyle name="40% - Accent3 5 2 8 3 2" xfId="12402"/>
    <cellStyle name="40% - Accent3 5 2 8 4" xfId="12403"/>
    <cellStyle name="40% - Accent3 5 2 9" xfId="12404"/>
    <cellStyle name="40% - Accent3 5 2 9 2" xfId="12405"/>
    <cellStyle name="40% - Accent3 5 2 9 2 2" xfId="12406"/>
    <cellStyle name="40% - Accent3 5 2 9 3" xfId="12407"/>
    <cellStyle name="40% - Accent3 5 2 9 3 2" xfId="12408"/>
    <cellStyle name="40% - Accent3 5 2 9 4" xfId="12409"/>
    <cellStyle name="40% - Accent3 5 3" xfId="2235"/>
    <cellStyle name="40% - Accent3 5 3 2" xfId="12411"/>
    <cellStyle name="40% - Accent3 5 3 2 2" xfId="12412"/>
    <cellStyle name="40% - Accent3 5 3 3" xfId="12413"/>
    <cellStyle name="40% - Accent3 5 3 3 2" xfId="12414"/>
    <cellStyle name="40% - Accent3 5 3 4" xfId="12415"/>
    <cellStyle name="40% - Accent3 5 3 4 2" xfId="12416"/>
    <cellStyle name="40% - Accent3 5 3 5" xfId="12417"/>
    <cellStyle name="40% - Accent3 5 3 6" xfId="12410"/>
    <cellStyle name="40% - Accent3 5 4" xfId="2609"/>
    <cellStyle name="40% - Accent3 5 4 2" xfId="12419"/>
    <cellStyle name="40% - Accent3 5 4 2 2" xfId="12420"/>
    <cellStyle name="40% - Accent3 5 4 3" xfId="12421"/>
    <cellStyle name="40% - Accent3 5 4 3 2" xfId="12422"/>
    <cellStyle name="40% - Accent3 5 4 4" xfId="12423"/>
    <cellStyle name="40% - Accent3 5 4 4 2" xfId="12424"/>
    <cellStyle name="40% - Accent3 5 4 5" xfId="12425"/>
    <cellStyle name="40% - Accent3 5 4 6" xfId="12418"/>
    <cellStyle name="40% - Accent3 5 5" xfId="2981"/>
    <cellStyle name="40% - Accent3 5 5 2" xfId="12427"/>
    <cellStyle name="40% - Accent3 5 5 2 2" xfId="12428"/>
    <cellStyle name="40% - Accent3 5 5 3" xfId="12429"/>
    <cellStyle name="40% - Accent3 5 5 3 2" xfId="12430"/>
    <cellStyle name="40% - Accent3 5 5 4" xfId="12431"/>
    <cellStyle name="40% - Accent3 5 5 4 2" xfId="12432"/>
    <cellStyle name="40% - Accent3 5 5 5" xfId="12433"/>
    <cellStyle name="40% - Accent3 5 5 6" xfId="12426"/>
    <cellStyle name="40% - Accent3 5 6" xfId="3353"/>
    <cellStyle name="40% - Accent3 5 6 2" xfId="12435"/>
    <cellStyle name="40% - Accent3 5 6 2 2" xfId="12436"/>
    <cellStyle name="40% - Accent3 5 6 3" xfId="12437"/>
    <cellStyle name="40% - Accent3 5 6 3 2" xfId="12438"/>
    <cellStyle name="40% - Accent3 5 6 4" xfId="12439"/>
    <cellStyle name="40% - Accent3 5 6 4 2" xfId="12440"/>
    <cellStyle name="40% - Accent3 5 6 5" xfId="12441"/>
    <cellStyle name="40% - Accent3 5 6 6" xfId="12434"/>
    <cellStyle name="40% - Accent3 5 7" xfId="4555"/>
    <cellStyle name="40% - Accent3 5 7 2" xfId="12443"/>
    <cellStyle name="40% - Accent3 5 7 2 2" xfId="12444"/>
    <cellStyle name="40% - Accent3 5 7 3" xfId="12445"/>
    <cellStyle name="40% - Accent3 5 7 3 2" xfId="12446"/>
    <cellStyle name="40% - Accent3 5 7 4" xfId="12447"/>
    <cellStyle name="40% - Accent3 5 7 5" xfId="12442"/>
    <cellStyle name="40% - Accent3 5 8" xfId="12448"/>
    <cellStyle name="40% - Accent3 5 8 2" xfId="12449"/>
    <cellStyle name="40% - Accent3 5 8 2 2" xfId="12450"/>
    <cellStyle name="40% - Accent3 5 8 3" xfId="12451"/>
    <cellStyle name="40% - Accent3 5 8 3 2" xfId="12452"/>
    <cellStyle name="40% - Accent3 5 8 4" xfId="12453"/>
    <cellStyle name="40% - Accent3 5 9" xfId="12454"/>
    <cellStyle name="40% - Accent3 5 9 2" xfId="12455"/>
    <cellStyle name="40% - Accent3 5 9 2 2" xfId="12456"/>
    <cellStyle name="40% - Accent3 5 9 3" xfId="12457"/>
    <cellStyle name="40% - Accent3 5 9 3 2" xfId="12458"/>
    <cellStyle name="40% - Accent3 5 9 4" xfId="12459"/>
    <cellStyle name="40% - Accent3 6" xfId="392"/>
    <cellStyle name="40% - Accent3 6 10" xfId="5404"/>
    <cellStyle name="40% - Accent3 6 10 2" xfId="6325"/>
    <cellStyle name="40% - Accent3 6 10 2 2" xfId="12463"/>
    <cellStyle name="40% - Accent3 6 10 2 3" xfId="12462"/>
    <cellStyle name="40% - Accent3 6 10 2 4" xfId="26407"/>
    <cellStyle name="40% - Accent3 6 10 3" xfId="12464"/>
    <cellStyle name="40% - Accent3 6 10 3 2" xfId="12465"/>
    <cellStyle name="40% - Accent3 6 10 4" xfId="12466"/>
    <cellStyle name="40% - Accent3 6 10 5" xfId="12461"/>
    <cellStyle name="40% - Accent3 6 10 6" xfId="26406"/>
    <cellStyle name="40% - Accent3 6 11" xfId="5714"/>
    <cellStyle name="40% - Accent3 6 11 2" xfId="6326"/>
    <cellStyle name="40% - Accent3 6 11 2 2" xfId="12469"/>
    <cellStyle name="40% - Accent3 6 11 2 3" xfId="12468"/>
    <cellStyle name="40% - Accent3 6 11 2 4" xfId="26409"/>
    <cellStyle name="40% - Accent3 6 11 3" xfId="12470"/>
    <cellStyle name="40% - Accent3 6 11 3 2" xfId="12471"/>
    <cellStyle name="40% - Accent3 6 11 4" xfId="12472"/>
    <cellStyle name="40% - Accent3 6 11 5" xfId="12467"/>
    <cellStyle name="40% - Accent3 6 11 6" xfId="26408"/>
    <cellStyle name="40% - Accent3 6 12" xfId="4556"/>
    <cellStyle name="40% - Accent3 6 12 2" xfId="6327"/>
    <cellStyle name="40% - Accent3 6 12 2 2" xfId="12475"/>
    <cellStyle name="40% - Accent3 6 12 2 3" xfId="12474"/>
    <cellStyle name="40% - Accent3 6 12 2 4" xfId="26411"/>
    <cellStyle name="40% - Accent3 6 12 3" xfId="12476"/>
    <cellStyle name="40% - Accent3 6 12 3 2" xfId="12477"/>
    <cellStyle name="40% - Accent3 6 12 4" xfId="12478"/>
    <cellStyle name="40% - Accent3 6 12 5" xfId="12473"/>
    <cellStyle name="40% - Accent3 6 12 6" xfId="26410"/>
    <cellStyle name="40% - Accent3 6 13" xfId="6324"/>
    <cellStyle name="40% - Accent3 6 13 2" xfId="12480"/>
    <cellStyle name="40% - Accent3 6 13 3" xfId="12479"/>
    <cellStyle name="40% - Accent3 6 13 4" xfId="26412"/>
    <cellStyle name="40% - Accent3 6 14" xfId="12481"/>
    <cellStyle name="40% - Accent3 6 14 2" xfId="12482"/>
    <cellStyle name="40% - Accent3 6 15" xfId="12483"/>
    <cellStyle name="40% - Accent3 6 15 2" xfId="12484"/>
    <cellStyle name="40% - Accent3 6 16" xfId="12485"/>
    <cellStyle name="40% - Accent3 6 16 2" xfId="12486"/>
    <cellStyle name="40% - Accent3 6 16 2 2" xfId="12487"/>
    <cellStyle name="40% - Accent3 6 16 3" xfId="12488"/>
    <cellStyle name="40% - Accent3 6 16 3 2" xfId="12489"/>
    <cellStyle name="40% - Accent3 6 16 4" xfId="12490"/>
    <cellStyle name="40% - Accent3 6 17" xfId="12491"/>
    <cellStyle name="40% - Accent3 6 17 2" xfId="12492"/>
    <cellStyle name="40% - Accent3 6 18" xfId="12493"/>
    <cellStyle name="40% - Accent3 6 18 2" xfId="12494"/>
    <cellStyle name="40% - Accent3 6 19" xfId="12495"/>
    <cellStyle name="40% - Accent3 6 2" xfId="1977"/>
    <cellStyle name="40% - Accent3 6 2 2" xfId="4557"/>
    <cellStyle name="40% - Accent3 6 2 2 2" xfId="12498"/>
    <cellStyle name="40% - Accent3 6 2 2 3" xfId="12497"/>
    <cellStyle name="40% - Accent3 6 2 3" xfId="12499"/>
    <cellStyle name="40% - Accent3 6 2 3 2" xfId="12500"/>
    <cellStyle name="40% - Accent3 6 2 4" xfId="12501"/>
    <cellStyle name="40% - Accent3 6 2 4 2" xfId="12502"/>
    <cellStyle name="40% - Accent3 6 2 5" xfId="12503"/>
    <cellStyle name="40% - Accent3 6 2 5 2" xfId="12504"/>
    <cellStyle name="40% - Accent3 6 2 6" xfId="12505"/>
    <cellStyle name="40% - Accent3 6 2 7" xfId="12496"/>
    <cellStyle name="40% - Accent3 6 20" xfId="12460"/>
    <cellStyle name="40% - Accent3 6 21" xfId="24839"/>
    <cellStyle name="40% - Accent3 6 22" xfId="26405"/>
    <cellStyle name="40% - Accent3 6 3" xfId="2352"/>
    <cellStyle name="40% - Accent3 6 3 2" xfId="4558"/>
    <cellStyle name="40% - Accent3 6 3 2 2" xfId="12508"/>
    <cellStyle name="40% - Accent3 6 3 2 3" xfId="12507"/>
    <cellStyle name="40% - Accent3 6 3 3" xfId="12509"/>
    <cellStyle name="40% - Accent3 6 3 3 2" xfId="12510"/>
    <cellStyle name="40% - Accent3 6 3 4" xfId="12511"/>
    <cellStyle name="40% - Accent3 6 3 4 2" xfId="12512"/>
    <cellStyle name="40% - Accent3 6 3 5" xfId="12513"/>
    <cellStyle name="40% - Accent3 6 3 5 2" xfId="12514"/>
    <cellStyle name="40% - Accent3 6 3 6" xfId="12515"/>
    <cellStyle name="40% - Accent3 6 3 7" xfId="12506"/>
    <cellStyle name="40% - Accent3 6 4" xfId="2725"/>
    <cellStyle name="40% - Accent3 6 4 2" xfId="4559"/>
    <cellStyle name="40% - Accent3 6 4 2 2" xfId="12518"/>
    <cellStyle name="40% - Accent3 6 4 2 3" xfId="12517"/>
    <cellStyle name="40% - Accent3 6 4 3" xfId="12519"/>
    <cellStyle name="40% - Accent3 6 4 3 2" xfId="12520"/>
    <cellStyle name="40% - Accent3 6 4 4" xfId="12521"/>
    <cellStyle name="40% - Accent3 6 4 4 2" xfId="12522"/>
    <cellStyle name="40% - Accent3 6 4 5" xfId="12523"/>
    <cellStyle name="40% - Accent3 6 4 5 2" xfId="12524"/>
    <cellStyle name="40% - Accent3 6 4 6" xfId="12525"/>
    <cellStyle name="40% - Accent3 6 4 7" xfId="12516"/>
    <cellStyle name="40% - Accent3 6 5" xfId="3098"/>
    <cellStyle name="40% - Accent3 6 5 2" xfId="4560"/>
    <cellStyle name="40% - Accent3 6 5 2 2" xfId="12528"/>
    <cellStyle name="40% - Accent3 6 5 2 3" xfId="12527"/>
    <cellStyle name="40% - Accent3 6 5 3" xfId="12529"/>
    <cellStyle name="40% - Accent3 6 5 3 2" xfId="12530"/>
    <cellStyle name="40% - Accent3 6 5 4" xfId="12531"/>
    <cellStyle name="40% - Accent3 6 5 4 2" xfId="12532"/>
    <cellStyle name="40% - Accent3 6 5 5" xfId="12533"/>
    <cellStyle name="40% - Accent3 6 5 5 2" xfId="12534"/>
    <cellStyle name="40% - Accent3 6 5 6" xfId="12535"/>
    <cellStyle name="40% - Accent3 6 5 7" xfId="12526"/>
    <cellStyle name="40% - Accent3 6 6" xfId="3469"/>
    <cellStyle name="40% - Accent3 6 6 2" xfId="4561"/>
    <cellStyle name="40% - Accent3 6 6 2 2" xfId="12538"/>
    <cellStyle name="40% - Accent3 6 6 2 3" xfId="12537"/>
    <cellStyle name="40% - Accent3 6 6 3" xfId="12539"/>
    <cellStyle name="40% - Accent3 6 6 3 2" xfId="12540"/>
    <cellStyle name="40% - Accent3 6 6 4" xfId="12541"/>
    <cellStyle name="40% - Accent3 6 6 4 2" xfId="12542"/>
    <cellStyle name="40% - Accent3 6 6 5" xfId="12543"/>
    <cellStyle name="40% - Accent3 6 6 5 2" xfId="12544"/>
    <cellStyle name="40% - Accent3 6 6 6" xfId="12545"/>
    <cellStyle name="40% - Accent3 6 6 7" xfId="12536"/>
    <cellStyle name="40% - Accent3 6 7" xfId="3775"/>
    <cellStyle name="40% - Accent3 6 7 2" xfId="4562"/>
    <cellStyle name="40% - Accent3 6 7 2 2" xfId="12548"/>
    <cellStyle name="40% - Accent3 6 7 2 3" xfId="12547"/>
    <cellStyle name="40% - Accent3 6 7 3" xfId="12549"/>
    <cellStyle name="40% - Accent3 6 7 3 2" xfId="12550"/>
    <cellStyle name="40% - Accent3 6 7 4" xfId="12551"/>
    <cellStyle name="40% - Accent3 6 7 4 2" xfId="12552"/>
    <cellStyle name="40% - Accent3 6 7 5" xfId="12553"/>
    <cellStyle name="40% - Accent3 6 7 5 2" xfId="12554"/>
    <cellStyle name="40% - Accent3 6 7 6" xfId="12555"/>
    <cellStyle name="40% - Accent3 6 7 7" xfId="12546"/>
    <cellStyle name="40% - Accent3 6 8" xfId="1359"/>
    <cellStyle name="40% - Accent3 6 8 10" xfId="24891"/>
    <cellStyle name="40% - Accent3 6 8 11" xfId="26413"/>
    <cellStyle name="40% - Accent3 6 8 2" xfId="4159"/>
    <cellStyle name="40% - Accent3 6 8 2 2" xfId="5406"/>
    <cellStyle name="40% - Accent3 6 8 2 2 2" xfId="6330"/>
    <cellStyle name="40% - Accent3 6 8 2 2 2 2" xfId="12559"/>
    <cellStyle name="40% - Accent3 6 8 2 2 2 3" xfId="26416"/>
    <cellStyle name="40% - Accent3 6 8 2 2 3" xfId="12558"/>
    <cellStyle name="40% - Accent3 6 8 2 2 4" xfId="26415"/>
    <cellStyle name="40% - Accent3 6 8 2 3" xfId="5716"/>
    <cellStyle name="40% - Accent3 6 8 2 3 2" xfId="6331"/>
    <cellStyle name="40% - Accent3 6 8 2 3 2 2" xfId="26418"/>
    <cellStyle name="40% - Accent3 6 8 2 3 3" xfId="12560"/>
    <cellStyle name="40% - Accent3 6 8 2 3 4" xfId="26417"/>
    <cellStyle name="40% - Accent3 6 8 2 4" xfId="4564"/>
    <cellStyle name="40% - Accent3 6 8 2 4 2" xfId="6332"/>
    <cellStyle name="40% - Accent3 6 8 2 4 2 2" xfId="26420"/>
    <cellStyle name="40% - Accent3 6 8 2 4 3" xfId="26419"/>
    <cellStyle name="40% - Accent3 6 8 2 5" xfId="6329"/>
    <cellStyle name="40% - Accent3 6 8 2 5 2" xfId="26421"/>
    <cellStyle name="40% - Accent3 6 8 2 6" xfId="12557"/>
    <cellStyle name="40% - Accent3 6 8 2 7" xfId="25011"/>
    <cellStyle name="40% - Accent3 6 8 2 8" xfId="26414"/>
    <cellStyle name="40% - Accent3 6 8 3" xfId="5405"/>
    <cellStyle name="40% - Accent3 6 8 3 2" xfId="6333"/>
    <cellStyle name="40% - Accent3 6 8 3 2 2" xfId="12562"/>
    <cellStyle name="40% - Accent3 6 8 3 2 3" xfId="26423"/>
    <cellStyle name="40% - Accent3 6 8 3 3" xfId="12561"/>
    <cellStyle name="40% - Accent3 6 8 3 4" xfId="26422"/>
    <cellStyle name="40% - Accent3 6 8 4" xfId="5715"/>
    <cellStyle name="40% - Accent3 6 8 4 2" xfId="6334"/>
    <cellStyle name="40% - Accent3 6 8 4 2 2" xfId="12564"/>
    <cellStyle name="40% - Accent3 6 8 4 2 3" xfId="26425"/>
    <cellStyle name="40% - Accent3 6 8 4 3" xfId="12563"/>
    <cellStyle name="40% - Accent3 6 8 4 4" xfId="26424"/>
    <cellStyle name="40% - Accent3 6 8 5" xfId="4563"/>
    <cellStyle name="40% - Accent3 6 8 5 2" xfId="6335"/>
    <cellStyle name="40% - Accent3 6 8 5 2 2" xfId="12567"/>
    <cellStyle name="40% - Accent3 6 8 5 2 3" xfId="12566"/>
    <cellStyle name="40% - Accent3 6 8 5 2 4" xfId="26427"/>
    <cellStyle name="40% - Accent3 6 8 5 3" xfId="12568"/>
    <cellStyle name="40% - Accent3 6 8 5 3 2" xfId="12569"/>
    <cellStyle name="40% - Accent3 6 8 5 4" xfId="12570"/>
    <cellStyle name="40% - Accent3 6 8 5 5" xfId="12565"/>
    <cellStyle name="40% - Accent3 6 8 5 6" xfId="26426"/>
    <cellStyle name="40% - Accent3 6 8 6" xfId="6328"/>
    <cellStyle name="40% - Accent3 6 8 6 2" xfId="12572"/>
    <cellStyle name="40% - Accent3 6 8 6 3" xfId="12571"/>
    <cellStyle name="40% - Accent3 6 8 6 4" xfId="26428"/>
    <cellStyle name="40% - Accent3 6 8 7" xfId="12573"/>
    <cellStyle name="40% - Accent3 6 8 7 2" xfId="12574"/>
    <cellStyle name="40% - Accent3 6 8 8" xfId="12575"/>
    <cellStyle name="40% - Accent3 6 8 9" xfId="12556"/>
    <cellStyle name="40% - Accent3 6 9" xfId="3825"/>
    <cellStyle name="40% - Accent3 6 9 2" xfId="5407"/>
    <cellStyle name="40% - Accent3 6 9 2 2" xfId="6337"/>
    <cellStyle name="40% - Accent3 6 9 2 2 2" xfId="12578"/>
    <cellStyle name="40% - Accent3 6 9 2 2 3" xfId="26431"/>
    <cellStyle name="40% - Accent3 6 9 2 3" xfId="12577"/>
    <cellStyle name="40% - Accent3 6 9 2 4" xfId="26430"/>
    <cellStyle name="40% - Accent3 6 9 3" xfId="5717"/>
    <cellStyle name="40% - Accent3 6 9 3 2" xfId="6338"/>
    <cellStyle name="40% - Accent3 6 9 3 2 2" xfId="12580"/>
    <cellStyle name="40% - Accent3 6 9 3 2 3" xfId="26433"/>
    <cellStyle name="40% - Accent3 6 9 3 3" xfId="12579"/>
    <cellStyle name="40% - Accent3 6 9 3 4" xfId="26432"/>
    <cellStyle name="40% - Accent3 6 9 4" xfId="4565"/>
    <cellStyle name="40% - Accent3 6 9 4 2" xfId="6339"/>
    <cellStyle name="40% - Accent3 6 9 4 2 2" xfId="12582"/>
    <cellStyle name="40% - Accent3 6 9 4 2 3" xfId="26435"/>
    <cellStyle name="40% - Accent3 6 9 4 3" xfId="12581"/>
    <cellStyle name="40% - Accent3 6 9 4 4" xfId="26434"/>
    <cellStyle name="40% - Accent3 6 9 5" xfId="6336"/>
    <cellStyle name="40% - Accent3 6 9 5 2" xfId="12583"/>
    <cellStyle name="40% - Accent3 6 9 5 3" xfId="26436"/>
    <cellStyle name="40% - Accent3 6 9 6" xfId="12576"/>
    <cellStyle name="40% - Accent3 6 9 7" xfId="24961"/>
    <cellStyle name="40% - Accent3 6 9 8" xfId="26429"/>
    <cellStyle name="40% - Accent3 7" xfId="393"/>
    <cellStyle name="40% - Accent3 7 10" xfId="12585"/>
    <cellStyle name="40% - Accent3 7 10 2" xfId="12586"/>
    <cellStyle name="40% - Accent3 7 10 2 2" xfId="12587"/>
    <cellStyle name="40% - Accent3 7 10 3" xfId="12588"/>
    <cellStyle name="40% - Accent3 7 10 3 2" xfId="12589"/>
    <cellStyle name="40% - Accent3 7 10 4" xfId="12590"/>
    <cellStyle name="40% - Accent3 7 11" xfId="12591"/>
    <cellStyle name="40% - Accent3 7 11 2" xfId="12592"/>
    <cellStyle name="40% - Accent3 7 11 2 2" xfId="12593"/>
    <cellStyle name="40% - Accent3 7 11 3" xfId="12594"/>
    <cellStyle name="40% - Accent3 7 11 3 2" xfId="12595"/>
    <cellStyle name="40% - Accent3 7 11 4" xfId="12596"/>
    <cellStyle name="40% - Accent3 7 12" xfId="12597"/>
    <cellStyle name="40% - Accent3 7 12 2" xfId="12598"/>
    <cellStyle name="40% - Accent3 7 12 2 2" xfId="12599"/>
    <cellStyle name="40% - Accent3 7 12 3" xfId="12600"/>
    <cellStyle name="40% - Accent3 7 12 3 2" xfId="12601"/>
    <cellStyle name="40% - Accent3 7 12 4" xfId="12602"/>
    <cellStyle name="40% - Accent3 7 13" xfId="12603"/>
    <cellStyle name="40% - Accent3 7 13 2" xfId="12604"/>
    <cellStyle name="40% - Accent3 7 14" xfId="12605"/>
    <cellStyle name="40% - Accent3 7 14 2" xfId="12606"/>
    <cellStyle name="40% - Accent3 7 15" xfId="12607"/>
    <cellStyle name="40% - Accent3 7 15 2" xfId="12608"/>
    <cellStyle name="40% - Accent3 7 16" xfId="12609"/>
    <cellStyle name="40% - Accent3 7 16 2" xfId="12610"/>
    <cellStyle name="40% - Accent3 7 17" xfId="12611"/>
    <cellStyle name="40% - Accent3 7 18" xfId="12584"/>
    <cellStyle name="40% - Accent3 7 2" xfId="4566"/>
    <cellStyle name="40% - Accent3 7 2 2" xfId="12613"/>
    <cellStyle name="40% - Accent3 7 2 2 2" xfId="12614"/>
    <cellStyle name="40% - Accent3 7 2 3" xfId="12615"/>
    <cellStyle name="40% - Accent3 7 2 3 2" xfId="12616"/>
    <cellStyle name="40% - Accent3 7 2 4" xfId="12617"/>
    <cellStyle name="40% - Accent3 7 2 5" xfId="12612"/>
    <cellStyle name="40% - Accent3 7 3" xfId="12618"/>
    <cellStyle name="40% - Accent3 7 3 2" xfId="12619"/>
    <cellStyle name="40% - Accent3 7 3 2 2" xfId="12620"/>
    <cellStyle name="40% - Accent3 7 3 3" xfId="12621"/>
    <cellStyle name="40% - Accent3 7 3 3 2" xfId="12622"/>
    <cellStyle name="40% - Accent3 7 3 4" xfId="12623"/>
    <cellStyle name="40% - Accent3 7 4" xfId="12624"/>
    <cellStyle name="40% - Accent3 7 4 2" xfId="12625"/>
    <cellStyle name="40% - Accent3 7 4 2 2" xfId="12626"/>
    <cellStyle name="40% - Accent3 7 4 3" xfId="12627"/>
    <cellStyle name="40% - Accent3 7 4 3 2" xfId="12628"/>
    <cellStyle name="40% - Accent3 7 4 4" xfId="12629"/>
    <cellStyle name="40% - Accent3 7 5" xfId="12630"/>
    <cellStyle name="40% - Accent3 7 5 2" xfId="12631"/>
    <cellStyle name="40% - Accent3 7 5 2 2" xfId="12632"/>
    <cellStyle name="40% - Accent3 7 5 3" xfId="12633"/>
    <cellStyle name="40% - Accent3 7 5 3 2" xfId="12634"/>
    <cellStyle name="40% - Accent3 7 5 4" xfId="12635"/>
    <cellStyle name="40% - Accent3 7 6" xfId="12636"/>
    <cellStyle name="40% - Accent3 7 6 2" xfId="12637"/>
    <cellStyle name="40% - Accent3 7 6 2 2" xfId="12638"/>
    <cellStyle name="40% - Accent3 7 6 3" xfId="12639"/>
    <cellStyle name="40% - Accent3 7 6 3 2" xfId="12640"/>
    <cellStyle name="40% - Accent3 7 6 4" xfId="12641"/>
    <cellStyle name="40% - Accent3 7 7" xfId="12642"/>
    <cellStyle name="40% - Accent3 7 7 2" xfId="12643"/>
    <cellStyle name="40% - Accent3 7 7 2 2" xfId="12644"/>
    <cellStyle name="40% - Accent3 7 7 3" xfId="12645"/>
    <cellStyle name="40% - Accent3 7 7 3 2" xfId="12646"/>
    <cellStyle name="40% - Accent3 7 7 4" xfId="12647"/>
    <cellStyle name="40% - Accent3 7 8" xfId="12648"/>
    <cellStyle name="40% - Accent3 7 8 2" xfId="12649"/>
    <cellStyle name="40% - Accent3 7 8 2 2" xfId="12650"/>
    <cellStyle name="40% - Accent3 7 8 3" xfId="12651"/>
    <cellStyle name="40% - Accent3 7 8 3 2" xfId="12652"/>
    <cellStyle name="40% - Accent3 7 8 4" xfId="12653"/>
    <cellStyle name="40% - Accent3 7 9" xfId="12654"/>
    <cellStyle name="40% - Accent3 7 9 2" xfId="12655"/>
    <cellStyle name="40% - Accent3 7 9 2 2" xfId="12656"/>
    <cellStyle name="40% - Accent3 7 9 3" xfId="12657"/>
    <cellStyle name="40% - Accent3 7 9 3 2" xfId="12658"/>
    <cellStyle name="40% - Accent3 7 9 4" xfId="12659"/>
    <cellStyle name="40% - Accent3 8" xfId="544"/>
    <cellStyle name="40% - Accent3 8 10" xfId="12660"/>
    <cellStyle name="40% - Accent3 8 11" xfId="24853"/>
    <cellStyle name="40% - Accent3 8 12" xfId="26437"/>
    <cellStyle name="40% - Accent3 8 2" xfId="1377"/>
    <cellStyle name="40% - Accent3 8 2 10" xfId="24909"/>
    <cellStyle name="40% - Accent3 8 2 11" xfId="26438"/>
    <cellStyle name="40% - Accent3 8 2 2" xfId="4177"/>
    <cellStyle name="40% - Accent3 8 2 2 2" xfId="5410"/>
    <cellStyle name="40% - Accent3 8 2 2 2 2" xfId="6343"/>
    <cellStyle name="40% - Accent3 8 2 2 2 2 2" xfId="12664"/>
    <cellStyle name="40% - Accent3 8 2 2 2 2 3" xfId="26441"/>
    <cellStyle name="40% - Accent3 8 2 2 2 3" xfId="12663"/>
    <cellStyle name="40% - Accent3 8 2 2 2 4" xfId="26440"/>
    <cellStyle name="40% - Accent3 8 2 2 3" xfId="5720"/>
    <cellStyle name="40% - Accent3 8 2 2 3 2" xfId="6344"/>
    <cellStyle name="40% - Accent3 8 2 2 3 2 2" xfId="26443"/>
    <cellStyle name="40% - Accent3 8 2 2 3 3" xfId="12665"/>
    <cellStyle name="40% - Accent3 8 2 2 3 4" xfId="26442"/>
    <cellStyle name="40% - Accent3 8 2 2 4" xfId="4569"/>
    <cellStyle name="40% - Accent3 8 2 2 4 2" xfId="6345"/>
    <cellStyle name="40% - Accent3 8 2 2 4 2 2" xfId="26445"/>
    <cellStyle name="40% - Accent3 8 2 2 4 3" xfId="26444"/>
    <cellStyle name="40% - Accent3 8 2 2 5" xfId="6342"/>
    <cellStyle name="40% - Accent3 8 2 2 5 2" xfId="26446"/>
    <cellStyle name="40% - Accent3 8 2 2 6" xfId="12662"/>
    <cellStyle name="40% - Accent3 8 2 2 7" xfId="25029"/>
    <cellStyle name="40% - Accent3 8 2 2 8" xfId="26439"/>
    <cellStyle name="40% - Accent3 8 2 3" xfId="5409"/>
    <cellStyle name="40% - Accent3 8 2 3 2" xfId="6346"/>
    <cellStyle name="40% - Accent3 8 2 3 2 2" xfId="12667"/>
    <cellStyle name="40% - Accent3 8 2 3 2 3" xfId="26448"/>
    <cellStyle name="40% - Accent3 8 2 3 3" xfId="12666"/>
    <cellStyle name="40% - Accent3 8 2 3 4" xfId="26447"/>
    <cellStyle name="40% - Accent3 8 2 4" xfId="5719"/>
    <cellStyle name="40% - Accent3 8 2 4 2" xfId="6347"/>
    <cellStyle name="40% - Accent3 8 2 4 2 2" xfId="12669"/>
    <cellStyle name="40% - Accent3 8 2 4 2 3" xfId="26450"/>
    <cellStyle name="40% - Accent3 8 2 4 3" xfId="12668"/>
    <cellStyle name="40% - Accent3 8 2 4 4" xfId="26449"/>
    <cellStyle name="40% - Accent3 8 2 5" xfId="4568"/>
    <cellStyle name="40% - Accent3 8 2 5 2" xfId="6348"/>
    <cellStyle name="40% - Accent3 8 2 5 2 2" xfId="12672"/>
    <cellStyle name="40% - Accent3 8 2 5 2 3" xfId="12671"/>
    <cellStyle name="40% - Accent3 8 2 5 2 4" xfId="26452"/>
    <cellStyle name="40% - Accent3 8 2 5 3" xfId="12673"/>
    <cellStyle name="40% - Accent3 8 2 5 3 2" xfId="12674"/>
    <cellStyle name="40% - Accent3 8 2 5 4" xfId="12675"/>
    <cellStyle name="40% - Accent3 8 2 5 5" xfId="12670"/>
    <cellStyle name="40% - Accent3 8 2 5 6" xfId="26451"/>
    <cellStyle name="40% - Accent3 8 2 6" xfId="6341"/>
    <cellStyle name="40% - Accent3 8 2 6 2" xfId="12677"/>
    <cellStyle name="40% - Accent3 8 2 6 3" xfId="12676"/>
    <cellStyle name="40% - Accent3 8 2 6 4" xfId="26453"/>
    <cellStyle name="40% - Accent3 8 2 7" xfId="12678"/>
    <cellStyle name="40% - Accent3 8 2 7 2" xfId="12679"/>
    <cellStyle name="40% - Accent3 8 2 8" xfId="12680"/>
    <cellStyle name="40% - Accent3 8 2 9" xfId="12661"/>
    <cellStyle name="40% - Accent3 8 3" xfId="3839"/>
    <cellStyle name="40% - Accent3 8 3 2" xfId="5411"/>
    <cellStyle name="40% - Accent3 8 3 2 2" xfId="6350"/>
    <cellStyle name="40% - Accent3 8 3 2 2 2" xfId="12683"/>
    <cellStyle name="40% - Accent3 8 3 2 2 3" xfId="26456"/>
    <cellStyle name="40% - Accent3 8 3 2 3" xfId="12682"/>
    <cellStyle name="40% - Accent3 8 3 2 4" xfId="26455"/>
    <cellStyle name="40% - Accent3 8 3 3" xfId="5721"/>
    <cellStyle name="40% - Accent3 8 3 3 2" xfId="6351"/>
    <cellStyle name="40% - Accent3 8 3 3 2 2" xfId="26458"/>
    <cellStyle name="40% - Accent3 8 3 3 3" xfId="12684"/>
    <cellStyle name="40% - Accent3 8 3 3 4" xfId="26457"/>
    <cellStyle name="40% - Accent3 8 3 4" xfId="4570"/>
    <cellStyle name="40% - Accent3 8 3 4 2" xfId="6352"/>
    <cellStyle name="40% - Accent3 8 3 4 2 2" xfId="26460"/>
    <cellStyle name="40% - Accent3 8 3 4 3" xfId="26459"/>
    <cellStyle name="40% - Accent3 8 3 5" xfId="6349"/>
    <cellStyle name="40% - Accent3 8 3 5 2" xfId="26461"/>
    <cellStyle name="40% - Accent3 8 3 6" xfId="12681"/>
    <cellStyle name="40% - Accent3 8 3 7" xfId="24975"/>
    <cellStyle name="40% - Accent3 8 3 8" xfId="26454"/>
    <cellStyle name="40% - Accent3 8 4" xfId="5408"/>
    <cellStyle name="40% - Accent3 8 4 2" xfId="6353"/>
    <cellStyle name="40% - Accent3 8 4 2 2" xfId="12686"/>
    <cellStyle name="40% - Accent3 8 4 2 3" xfId="26463"/>
    <cellStyle name="40% - Accent3 8 4 3" xfId="12685"/>
    <cellStyle name="40% - Accent3 8 4 4" xfId="26462"/>
    <cellStyle name="40% - Accent3 8 5" xfId="5718"/>
    <cellStyle name="40% - Accent3 8 5 2" xfId="6354"/>
    <cellStyle name="40% - Accent3 8 5 2 2" xfId="12688"/>
    <cellStyle name="40% - Accent3 8 5 2 3" xfId="26465"/>
    <cellStyle name="40% - Accent3 8 5 3" xfId="12687"/>
    <cellStyle name="40% - Accent3 8 5 4" xfId="26464"/>
    <cellStyle name="40% - Accent3 8 6" xfId="4567"/>
    <cellStyle name="40% - Accent3 8 6 2" xfId="6355"/>
    <cellStyle name="40% - Accent3 8 6 2 2" xfId="12691"/>
    <cellStyle name="40% - Accent3 8 6 2 3" xfId="12690"/>
    <cellStyle name="40% - Accent3 8 6 2 4" xfId="26467"/>
    <cellStyle name="40% - Accent3 8 6 3" xfId="12692"/>
    <cellStyle name="40% - Accent3 8 6 3 2" xfId="12693"/>
    <cellStyle name="40% - Accent3 8 6 4" xfId="12694"/>
    <cellStyle name="40% - Accent3 8 6 5" xfId="12689"/>
    <cellStyle name="40% - Accent3 8 6 6" xfId="26466"/>
    <cellStyle name="40% - Accent3 8 7" xfId="6340"/>
    <cellStyle name="40% - Accent3 8 7 2" xfId="12696"/>
    <cellStyle name="40% - Accent3 8 7 3" xfId="12695"/>
    <cellStyle name="40% - Accent3 8 7 4" xfId="26468"/>
    <cellStyle name="40% - Accent3 8 8" xfId="12697"/>
    <cellStyle name="40% - Accent3 8 8 2" xfId="12698"/>
    <cellStyle name="40% - Accent3 8 9" xfId="12699"/>
    <cellStyle name="40% - Accent3 9" xfId="545"/>
    <cellStyle name="40% - Accent3 9 2" xfId="4571"/>
    <cellStyle name="40% - Accent3 9 2 2" xfId="12702"/>
    <cellStyle name="40% - Accent3 9 2 2 2" xfId="12703"/>
    <cellStyle name="40% - Accent3 9 2 3" xfId="12704"/>
    <cellStyle name="40% - Accent3 9 2 3 2" xfId="12705"/>
    <cellStyle name="40% - Accent3 9 2 4" xfId="12706"/>
    <cellStyle name="40% - Accent3 9 2 5" xfId="12701"/>
    <cellStyle name="40% - Accent3 9 3" xfId="12707"/>
    <cellStyle name="40% - Accent3 9 3 2" xfId="12708"/>
    <cellStyle name="40% - Accent3 9 4" xfId="12709"/>
    <cellStyle name="40% - Accent3 9 4 2" xfId="12710"/>
    <cellStyle name="40% - Accent3 9 5" xfId="12711"/>
    <cellStyle name="40% - Accent3 9 5 2" xfId="12712"/>
    <cellStyle name="40% - Accent3 9 6" xfId="12713"/>
    <cellStyle name="40% - Accent3 9 6 2" xfId="12714"/>
    <cellStyle name="40% - Accent3 9 7" xfId="12715"/>
    <cellStyle name="40% - Accent3 9 8" xfId="12700"/>
    <cellStyle name="40% - Accent4 10" xfId="676"/>
    <cellStyle name="40% - Accent4 10 2" xfId="4572"/>
    <cellStyle name="40% - Accent4 10 2 2" xfId="12719"/>
    <cellStyle name="40% - Accent4 10 2 3" xfId="12718"/>
    <cellStyle name="40% - Accent4 10 3" xfId="12720"/>
    <cellStyle name="40% - Accent4 10 3 2" xfId="12721"/>
    <cellStyle name="40% - Accent4 10 4" xfId="12722"/>
    <cellStyle name="40% - Accent4 10 4 2" xfId="12723"/>
    <cellStyle name="40% - Accent4 10 5" xfId="12724"/>
    <cellStyle name="40% - Accent4 10 5 2" xfId="12725"/>
    <cellStyle name="40% - Accent4 10 6" xfId="12726"/>
    <cellStyle name="40% - Accent4 10 7" xfId="12717"/>
    <cellStyle name="40% - Accent4 11" xfId="677"/>
    <cellStyle name="40% - Accent4 11 2" xfId="4573"/>
    <cellStyle name="40% - Accent4 11 2 2" xfId="12729"/>
    <cellStyle name="40% - Accent4 11 2 3" xfId="12728"/>
    <cellStyle name="40% - Accent4 11 3" xfId="12730"/>
    <cellStyle name="40% - Accent4 11 3 2" xfId="12731"/>
    <cellStyle name="40% - Accent4 11 4" xfId="12732"/>
    <cellStyle name="40% - Accent4 11 4 2" xfId="12733"/>
    <cellStyle name="40% - Accent4 11 5" xfId="12734"/>
    <cellStyle name="40% - Accent4 11 5 2" xfId="12735"/>
    <cellStyle name="40% - Accent4 11 6" xfId="12736"/>
    <cellStyle name="40% - Accent4 11 7" xfId="12727"/>
    <cellStyle name="40% - Accent4 12" xfId="825"/>
    <cellStyle name="40% - Accent4 12 2" xfId="12738"/>
    <cellStyle name="40% - Accent4 12 2 2" xfId="12739"/>
    <cellStyle name="40% - Accent4 12 3" xfId="12740"/>
    <cellStyle name="40% - Accent4 12 3 2" xfId="12741"/>
    <cellStyle name="40% - Accent4 12 4" xfId="12742"/>
    <cellStyle name="40% - Accent4 12 5" xfId="12737"/>
    <cellStyle name="40% - Accent4 13" xfId="826"/>
    <cellStyle name="40% - Accent4 13 2" xfId="3854"/>
    <cellStyle name="40% - Accent4 13 2 2" xfId="6357"/>
    <cellStyle name="40% - Accent4 13 2 2 2" xfId="12745"/>
    <cellStyle name="40% - Accent4 13 2 2 3" xfId="26471"/>
    <cellStyle name="40% - Accent4 13 2 3" xfId="12744"/>
    <cellStyle name="40% - Accent4 13 2 4" xfId="24990"/>
    <cellStyle name="40% - Accent4 13 2 5" xfId="26470"/>
    <cellStyle name="40% - Accent4 13 3" xfId="6356"/>
    <cellStyle name="40% - Accent4 13 3 2" xfId="12747"/>
    <cellStyle name="40% - Accent4 13 3 3" xfId="12746"/>
    <cellStyle name="40% - Accent4 13 3 4" xfId="26472"/>
    <cellStyle name="40% - Accent4 13 4" xfId="12748"/>
    <cellStyle name="40% - Accent4 13 5" xfId="12743"/>
    <cellStyle name="40% - Accent4 13 6" xfId="24869"/>
    <cellStyle name="40% - Accent4 13 7" xfId="26469"/>
    <cellStyle name="40% - Accent4 14" xfId="939"/>
    <cellStyle name="40% - Accent4 14 2" xfId="12750"/>
    <cellStyle name="40% - Accent4 14 2 2" xfId="12751"/>
    <cellStyle name="40% - Accent4 14 3" xfId="12752"/>
    <cellStyle name="40% - Accent4 14 3 2" xfId="12753"/>
    <cellStyle name="40% - Accent4 14 4" xfId="12754"/>
    <cellStyle name="40% - Accent4 14 5" xfId="12749"/>
    <cellStyle name="40% - Accent4 15" xfId="12755"/>
    <cellStyle name="40% - Accent4 15 2" xfId="12756"/>
    <cellStyle name="40% - Accent4 15 2 2" xfId="12757"/>
    <cellStyle name="40% - Accent4 15 3" xfId="12758"/>
    <cellStyle name="40% - Accent4 15 3 2" xfId="12759"/>
    <cellStyle name="40% - Accent4 15 4" xfId="12760"/>
    <cellStyle name="40% - Accent4 16" xfId="12761"/>
    <cellStyle name="40% - Accent4 16 2" xfId="12762"/>
    <cellStyle name="40% - Accent4 16 2 2" xfId="12763"/>
    <cellStyle name="40% - Accent4 16 3" xfId="12764"/>
    <cellStyle name="40% - Accent4 16 3 2" xfId="12765"/>
    <cellStyle name="40% - Accent4 16 4" xfId="12766"/>
    <cellStyle name="40% - Accent4 17" xfId="12767"/>
    <cellStyle name="40% - Accent4 17 2" xfId="12768"/>
    <cellStyle name="40% - Accent4 17 2 2" xfId="12769"/>
    <cellStyle name="40% - Accent4 17 3" xfId="12770"/>
    <cellStyle name="40% - Accent4 17 3 2" xfId="12771"/>
    <cellStyle name="40% - Accent4 17 4" xfId="12772"/>
    <cellStyle name="40% - Accent4 18" xfId="12773"/>
    <cellStyle name="40% - Accent4 18 2" xfId="12774"/>
    <cellStyle name="40% - Accent4 18 2 2" xfId="12775"/>
    <cellStyle name="40% - Accent4 18 3" xfId="12776"/>
    <cellStyle name="40% - Accent4 18 3 2" xfId="12777"/>
    <cellStyle name="40% - Accent4 18 4" xfId="12778"/>
    <cellStyle name="40% - Accent4 19" xfId="12779"/>
    <cellStyle name="40% - Accent4 19 2" xfId="12780"/>
    <cellStyle name="40% - Accent4 19 2 2" xfId="12781"/>
    <cellStyle name="40% - Accent4 19 3" xfId="12782"/>
    <cellStyle name="40% - Accent4 2" xfId="77"/>
    <cellStyle name="40% - Accent4 2 10" xfId="1676"/>
    <cellStyle name="40% - Accent4 2 10 2" xfId="4574"/>
    <cellStyle name="40% - Accent4 2 10 2 2" xfId="12786"/>
    <cellStyle name="40% - Accent4 2 10 2 3" xfId="12785"/>
    <cellStyle name="40% - Accent4 2 10 3" xfId="12787"/>
    <cellStyle name="40% - Accent4 2 10 3 2" xfId="12788"/>
    <cellStyle name="40% - Accent4 2 10 4" xfId="12789"/>
    <cellStyle name="40% - Accent4 2 10 4 2" xfId="12790"/>
    <cellStyle name="40% - Accent4 2 10 5" xfId="12791"/>
    <cellStyle name="40% - Accent4 2 10 5 2" xfId="12792"/>
    <cellStyle name="40% - Accent4 2 10 6" xfId="12793"/>
    <cellStyle name="40% - Accent4 2 10 7" xfId="12784"/>
    <cellStyle name="40% - Accent4 2 11" xfId="2011"/>
    <cellStyle name="40% - Accent4 2 11 2" xfId="4575"/>
    <cellStyle name="40% - Accent4 2 11 2 2" xfId="12796"/>
    <cellStyle name="40% - Accent4 2 11 2 3" xfId="12795"/>
    <cellStyle name="40% - Accent4 2 11 3" xfId="12797"/>
    <cellStyle name="40% - Accent4 2 11 3 2" xfId="12798"/>
    <cellStyle name="40% - Accent4 2 11 4" xfId="12799"/>
    <cellStyle name="40% - Accent4 2 11 4 2" xfId="12800"/>
    <cellStyle name="40% - Accent4 2 11 5" xfId="12801"/>
    <cellStyle name="40% - Accent4 2 11 5 2" xfId="12802"/>
    <cellStyle name="40% - Accent4 2 11 6" xfId="12803"/>
    <cellStyle name="40% - Accent4 2 11 7" xfId="12794"/>
    <cellStyle name="40% - Accent4 2 12" xfId="2385"/>
    <cellStyle name="40% - Accent4 2 12 2" xfId="4576"/>
    <cellStyle name="40% - Accent4 2 12 2 2" xfId="12806"/>
    <cellStyle name="40% - Accent4 2 12 2 3" xfId="12805"/>
    <cellStyle name="40% - Accent4 2 12 3" xfId="12807"/>
    <cellStyle name="40% - Accent4 2 12 3 2" xfId="12808"/>
    <cellStyle name="40% - Accent4 2 12 4" xfId="12809"/>
    <cellStyle name="40% - Accent4 2 12 4 2" xfId="12810"/>
    <cellStyle name="40% - Accent4 2 12 5" xfId="12811"/>
    <cellStyle name="40% - Accent4 2 12 5 2" xfId="12812"/>
    <cellStyle name="40% - Accent4 2 12 6" xfId="12813"/>
    <cellStyle name="40% - Accent4 2 12 7" xfId="12804"/>
    <cellStyle name="40% - Accent4 2 13" xfId="2758"/>
    <cellStyle name="40% - Accent4 2 13 2" xfId="4577"/>
    <cellStyle name="40% - Accent4 2 13 2 2" xfId="12816"/>
    <cellStyle name="40% - Accent4 2 13 2 3" xfId="12815"/>
    <cellStyle name="40% - Accent4 2 13 3" xfId="12817"/>
    <cellStyle name="40% - Accent4 2 13 3 2" xfId="12818"/>
    <cellStyle name="40% - Accent4 2 13 4" xfId="12819"/>
    <cellStyle name="40% - Accent4 2 13 4 2" xfId="12820"/>
    <cellStyle name="40% - Accent4 2 13 5" xfId="12821"/>
    <cellStyle name="40% - Accent4 2 13 5 2" xfId="12822"/>
    <cellStyle name="40% - Accent4 2 13 6" xfId="12823"/>
    <cellStyle name="40% - Accent4 2 13 7" xfId="12814"/>
    <cellStyle name="40% - Accent4 2 14" xfId="3132"/>
    <cellStyle name="40% - Accent4 2 14 2" xfId="4578"/>
    <cellStyle name="40% - Accent4 2 14 2 2" xfId="12826"/>
    <cellStyle name="40% - Accent4 2 14 2 3" xfId="12825"/>
    <cellStyle name="40% - Accent4 2 14 3" xfId="12827"/>
    <cellStyle name="40% - Accent4 2 14 3 2" xfId="12828"/>
    <cellStyle name="40% - Accent4 2 14 4" xfId="12829"/>
    <cellStyle name="40% - Accent4 2 14 4 2" xfId="12830"/>
    <cellStyle name="40% - Accent4 2 14 5" xfId="12831"/>
    <cellStyle name="40% - Accent4 2 14 5 2" xfId="12832"/>
    <cellStyle name="40% - Accent4 2 14 6" xfId="12833"/>
    <cellStyle name="40% - Accent4 2 14 7" xfId="12824"/>
    <cellStyle name="40% - Accent4 2 15" xfId="3503"/>
    <cellStyle name="40% - Accent4 2 15 2" xfId="4579"/>
    <cellStyle name="40% - Accent4 2 15 2 2" xfId="12836"/>
    <cellStyle name="40% - Accent4 2 15 2 3" xfId="12835"/>
    <cellStyle name="40% - Accent4 2 15 3" xfId="12837"/>
    <cellStyle name="40% - Accent4 2 15 3 2" xfId="12838"/>
    <cellStyle name="40% - Accent4 2 15 4" xfId="12839"/>
    <cellStyle name="40% - Accent4 2 15 5" xfId="12834"/>
    <cellStyle name="40% - Accent4 2 16" xfId="3641"/>
    <cellStyle name="40% - Accent4 2 16 2" xfId="4580"/>
    <cellStyle name="40% - Accent4 2 16 2 2" xfId="12842"/>
    <cellStyle name="40% - Accent4 2 16 2 3" xfId="12841"/>
    <cellStyle name="40% - Accent4 2 16 3" xfId="12843"/>
    <cellStyle name="40% - Accent4 2 16 3 2" xfId="12844"/>
    <cellStyle name="40% - Accent4 2 16 4" xfId="12845"/>
    <cellStyle name="40% - Accent4 2 16 5" xfId="12840"/>
    <cellStyle name="40% - Accent4 2 17" xfId="12846"/>
    <cellStyle name="40% - Accent4 2 18" xfId="12783"/>
    <cellStyle name="40% - Accent4 2 19" xfId="24476"/>
    <cellStyle name="40% - Accent4 2 2" xfId="121"/>
    <cellStyle name="40% - Accent4 2 2 10" xfId="12848"/>
    <cellStyle name="40% - Accent4 2 2 10 2" xfId="12849"/>
    <cellStyle name="40% - Accent4 2 2 10 2 2" xfId="12850"/>
    <cellStyle name="40% - Accent4 2 2 10 3" xfId="12851"/>
    <cellStyle name="40% - Accent4 2 2 10 3 2" xfId="12852"/>
    <cellStyle name="40% - Accent4 2 2 10 4" xfId="12853"/>
    <cellStyle name="40% - Accent4 2 2 11" xfId="12854"/>
    <cellStyle name="40% - Accent4 2 2 11 2" xfId="12855"/>
    <cellStyle name="40% - Accent4 2 2 11 2 2" xfId="12856"/>
    <cellStyle name="40% - Accent4 2 2 11 3" xfId="12857"/>
    <cellStyle name="40% - Accent4 2 2 11 3 2" xfId="12858"/>
    <cellStyle name="40% - Accent4 2 2 11 4" xfId="12859"/>
    <cellStyle name="40% - Accent4 2 2 12" xfId="12860"/>
    <cellStyle name="40% - Accent4 2 2 12 2" xfId="12861"/>
    <cellStyle name="40% - Accent4 2 2 12 2 2" xfId="12862"/>
    <cellStyle name="40% - Accent4 2 2 12 3" xfId="12863"/>
    <cellStyle name="40% - Accent4 2 2 12 3 2" xfId="12864"/>
    <cellStyle name="40% - Accent4 2 2 12 4" xfId="12865"/>
    <cellStyle name="40% - Accent4 2 2 13" xfId="12866"/>
    <cellStyle name="40% - Accent4 2 2 13 2" xfId="12867"/>
    <cellStyle name="40% - Accent4 2 2 14" xfId="12868"/>
    <cellStyle name="40% - Accent4 2 2 14 2" xfId="12869"/>
    <cellStyle name="40% - Accent4 2 2 15" xfId="12870"/>
    <cellStyle name="40% - Accent4 2 2 15 2" xfId="12871"/>
    <cellStyle name="40% - Accent4 2 2 16" xfId="12872"/>
    <cellStyle name="40% - Accent4 2 2 17" xfId="12847"/>
    <cellStyle name="40% - Accent4 2 2 2" xfId="184"/>
    <cellStyle name="40% - Accent4 2 2 2 2" xfId="12874"/>
    <cellStyle name="40% - Accent4 2 2 2 2 2" xfId="12875"/>
    <cellStyle name="40% - Accent4 2 2 2 3" xfId="12876"/>
    <cellStyle name="40% - Accent4 2 2 2 3 2" xfId="12877"/>
    <cellStyle name="40% - Accent4 2 2 2 4" xfId="12878"/>
    <cellStyle name="40% - Accent4 2 2 2 5" xfId="12873"/>
    <cellStyle name="40% - Accent4 2 2 3" xfId="348"/>
    <cellStyle name="40% - Accent4 2 2 3 2" xfId="12880"/>
    <cellStyle name="40% - Accent4 2 2 3 2 2" xfId="12881"/>
    <cellStyle name="40% - Accent4 2 2 3 3" xfId="12882"/>
    <cellStyle name="40% - Accent4 2 2 3 3 2" xfId="12883"/>
    <cellStyle name="40% - Accent4 2 2 3 4" xfId="12884"/>
    <cellStyle name="40% - Accent4 2 2 3 5" xfId="12879"/>
    <cellStyle name="40% - Accent4 2 2 4" xfId="2170"/>
    <cellStyle name="40% - Accent4 2 2 4 2" xfId="12886"/>
    <cellStyle name="40% - Accent4 2 2 4 2 2" xfId="12887"/>
    <cellStyle name="40% - Accent4 2 2 4 3" xfId="12888"/>
    <cellStyle name="40% - Accent4 2 2 4 3 2" xfId="12889"/>
    <cellStyle name="40% - Accent4 2 2 4 4" xfId="12890"/>
    <cellStyle name="40% - Accent4 2 2 4 5" xfId="12885"/>
    <cellStyle name="40% - Accent4 2 2 5" xfId="2544"/>
    <cellStyle name="40% - Accent4 2 2 5 2" xfId="12892"/>
    <cellStyle name="40% - Accent4 2 2 5 2 2" xfId="12893"/>
    <cellStyle name="40% - Accent4 2 2 5 3" xfId="12894"/>
    <cellStyle name="40% - Accent4 2 2 5 3 2" xfId="12895"/>
    <cellStyle name="40% - Accent4 2 2 5 4" xfId="12896"/>
    <cellStyle name="40% - Accent4 2 2 5 5" xfId="12891"/>
    <cellStyle name="40% - Accent4 2 2 6" xfId="2916"/>
    <cellStyle name="40% - Accent4 2 2 6 2" xfId="12898"/>
    <cellStyle name="40% - Accent4 2 2 6 2 2" xfId="12899"/>
    <cellStyle name="40% - Accent4 2 2 6 3" xfId="12900"/>
    <cellStyle name="40% - Accent4 2 2 6 3 2" xfId="12901"/>
    <cellStyle name="40% - Accent4 2 2 6 4" xfId="12902"/>
    <cellStyle name="40% - Accent4 2 2 6 5" xfId="12897"/>
    <cellStyle name="40% - Accent4 2 2 7" xfId="3288"/>
    <cellStyle name="40% - Accent4 2 2 7 2" xfId="12904"/>
    <cellStyle name="40% - Accent4 2 2 7 2 2" xfId="12905"/>
    <cellStyle name="40% - Accent4 2 2 7 3" xfId="12906"/>
    <cellStyle name="40% - Accent4 2 2 7 3 2" xfId="12907"/>
    <cellStyle name="40% - Accent4 2 2 7 4" xfId="12908"/>
    <cellStyle name="40% - Accent4 2 2 7 5" xfId="12903"/>
    <cellStyle name="40% - Accent4 2 2 8" xfId="4581"/>
    <cellStyle name="40% - Accent4 2 2 8 2" xfId="12910"/>
    <cellStyle name="40% - Accent4 2 2 8 2 2" xfId="12911"/>
    <cellStyle name="40% - Accent4 2 2 8 3" xfId="12912"/>
    <cellStyle name="40% - Accent4 2 2 8 3 2" xfId="12913"/>
    <cellStyle name="40% - Accent4 2 2 8 4" xfId="12914"/>
    <cellStyle name="40% - Accent4 2 2 8 5" xfId="12909"/>
    <cellStyle name="40% - Accent4 2 2 9" xfId="12915"/>
    <cellStyle name="40% - Accent4 2 2 9 2" xfId="12916"/>
    <cellStyle name="40% - Accent4 2 2 9 2 2" xfId="12917"/>
    <cellStyle name="40% - Accent4 2 2 9 3" xfId="12918"/>
    <cellStyle name="40% - Accent4 2 2 9 3 2" xfId="12919"/>
    <cellStyle name="40% - Accent4 2 2 9 4" xfId="12920"/>
    <cellStyle name="40% - Accent4 2 3" xfId="286"/>
    <cellStyle name="40% - Accent4 2 3 2" xfId="1346"/>
    <cellStyle name="40% - Accent4 2 3 2 2" xfId="12923"/>
    <cellStyle name="40% - Accent4 2 3 2 2 2" xfId="12924"/>
    <cellStyle name="40% - Accent4 2 3 2 3" xfId="12925"/>
    <cellStyle name="40% - Accent4 2 3 2 3 2" xfId="12926"/>
    <cellStyle name="40% - Accent4 2 3 2 4" xfId="12927"/>
    <cellStyle name="40% - Accent4 2 3 2 5" xfId="12922"/>
    <cellStyle name="40% - Accent4 2 3 3" xfId="12928"/>
    <cellStyle name="40% - Accent4 2 3 3 2" xfId="12929"/>
    <cellStyle name="40% - Accent4 2 3 4" xfId="12930"/>
    <cellStyle name="40% - Accent4 2 3 4 2" xfId="12931"/>
    <cellStyle name="40% - Accent4 2 3 5" xfId="12932"/>
    <cellStyle name="40% - Accent4 2 3 6" xfId="12921"/>
    <cellStyle name="40% - Accent4 2 4" xfId="394"/>
    <cellStyle name="40% - Accent4 2 4 2" xfId="12934"/>
    <cellStyle name="40% - Accent4 2 4 2 2" xfId="12935"/>
    <cellStyle name="40% - Accent4 2 4 2 2 2" xfId="12936"/>
    <cellStyle name="40% - Accent4 2 4 2 3" xfId="12937"/>
    <cellStyle name="40% - Accent4 2 4 2 3 2" xfId="12938"/>
    <cellStyle name="40% - Accent4 2 4 2 4" xfId="12939"/>
    <cellStyle name="40% - Accent4 2 4 3" xfId="12940"/>
    <cellStyle name="40% - Accent4 2 4 3 2" xfId="12941"/>
    <cellStyle name="40% - Accent4 2 4 4" xfId="12942"/>
    <cellStyle name="40% - Accent4 2 4 4 2" xfId="12943"/>
    <cellStyle name="40% - Accent4 2 4 5" xfId="12944"/>
    <cellStyle name="40% - Accent4 2 4 6" xfId="12933"/>
    <cellStyle name="40% - Accent4 2 5" xfId="546"/>
    <cellStyle name="40% - Accent4 2 5 2" xfId="12946"/>
    <cellStyle name="40% - Accent4 2 5 2 2" xfId="12947"/>
    <cellStyle name="40% - Accent4 2 5 3" xfId="12948"/>
    <cellStyle name="40% - Accent4 2 5 3 2" xfId="12949"/>
    <cellStyle name="40% - Accent4 2 5 4" xfId="12950"/>
    <cellStyle name="40% - Accent4 2 5 5" xfId="12945"/>
    <cellStyle name="40% - Accent4 2 6" xfId="678"/>
    <cellStyle name="40% - Accent4 2 6 2" xfId="12952"/>
    <cellStyle name="40% - Accent4 2 6 2 2" xfId="12953"/>
    <cellStyle name="40% - Accent4 2 6 3" xfId="12954"/>
    <cellStyle name="40% - Accent4 2 6 3 2" xfId="12955"/>
    <cellStyle name="40% - Accent4 2 6 4" xfId="12956"/>
    <cellStyle name="40% - Accent4 2 6 5" xfId="12951"/>
    <cellStyle name="40% - Accent4 2 7" xfId="679"/>
    <cellStyle name="40% - Accent4 2 7 2" xfId="12958"/>
    <cellStyle name="40% - Accent4 2 7 2 2" xfId="12959"/>
    <cellStyle name="40% - Accent4 2 7 3" xfId="12960"/>
    <cellStyle name="40% - Accent4 2 7 3 2" xfId="12961"/>
    <cellStyle name="40% - Accent4 2 7 4" xfId="12962"/>
    <cellStyle name="40% - Accent4 2 7 5" xfId="12957"/>
    <cellStyle name="40% - Accent4 2 8" xfId="827"/>
    <cellStyle name="40% - Accent4 2 8 2" xfId="1405"/>
    <cellStyle name="40% - Accent4 2 8 2 2" xfId="12965"/>
    <cellStyle name="40% - Accent4 2 8 2 3" xfId="12964"/>
    <cellStyle name="40% - Accent4 2 8 3" xfId="12966"/>
    <cellStyle name="40% - Accent4 2 8 3 2" xfId="12967"/>
    <cellStyle name="40% - Accent4 2 8 4" xfId="12968"/>
    <cellStyle name="40% - Accent4 2 8 4 2" xfId="12969"/>
    <cellStyle name="40% - Accent4 2 8 5" xfId="12970"/>
    <cellStyle name="40% - Accent4 2 8 5 2" xfId="12971"/>
    <cellStyle name="40% - Accent4 2 8 6" xfId="12972"/>
    <cellStyle name="40% - Accent4 2 8 7" xfId="12963"/>
    <cellStyle name="40% - Accent4 2 9" xfId="940"/>
    <cellStyle name="40% - Accent4 2 9 2" xfId="1442"/>
    <cellStyle name="40% - Accent4 2 9 2 2" xfId="12975"/>
    <cellStyle name="40% - Accent4 2 9 2 3" xfId="12974"/>
    <cellStyle name="40% - Accent4 2 9 3" xfId="12976"/>
    <cellStyle name="40% - Accent4 2 9 3 2" xfId="12977"/>
    <cellStyle name="40% - Accent4 2 9 4" xfId="12978"/>
    <cellStyle name="40% - Accent4 2 9 4 2" xfId="12979"/>
    <cellStyle name="40% - Accent4 2 9 5" xfId="12980"/>
    <cellStyle name="40% - Accent4 2 9 5 2" xfId="12981"/>
    <cellStyle name="40% - Accent4 2 9 6" xfId="12982"/>
    <cellStyle name="40% - Accent4 2 9 7" xfId="12973"/>
    <cellStyle name="40% - Accent4 20" xfId="12983"/>
    <cellStyle name="40% - Accent4 20 2" xfId="12984"/>
    <cellStyle name="40% - Accent4 21" xfId="12985"/>
    <cellStyle name="40% - Accent4 21 2" xfId="12986"/>
    <cellStyle name="40% - Accent4 21 2 2" xfId="12987"/>
    <cellStyle name="40% - Accent4 21 2 2 2" xfId="12988"/>
    <cellStyle name="40% - Accent4 21 2 3" xfId="12989"/>
    <cellStyle name="40% - Accent4 21 2 3 2" xfId="12990"/>
    <cellStyle name="40% - Accent4 21 2 4" xfId="12991"/>
    <cellStyle name="40% - Accent4 21 3" xfId="12992"/>
    <cellStyle name="40% - Accent4 21 3 2" xfId="12993"/>
    <cellStyle name="40% - Accent4 21 4" xfId="12994"/>
    <cellStyle name="40% - Accent4 21 4 2" xfId="12995"/>
    <cellStyle name="40% - Accent4 21 5" xfId="12996"/>
    <cellStyle name="40% - Accent4 22" xfId="12997"/>
    <cellStyle name="40% - Accent4 22 2" xfId="12998"/>
    <cellStyle name="40% - Accent4 22 2 2" xfId="12999"/>
    <cellStyle name="40% - Accent4 22 2 2 2" xfId="13000"/>
    <cellStyle name="40% - Accent4 22 2 3" xfId="13001"/>
    <cellStyle name="40% - Accent4 22 2 3 2" xfId="13002"/>
    <cellStyle name="40% - Accent4 22 2 4" xfId="13003"/>
    <cellStyle name="40% - Accent4 22 3" xfId="13004"/>
    <cellStyle name="40% - Accent4 22 3 2" xfId="13005"/>
    <cellStyle name="40% - Accent4 22 4" xfId="13006"/>
    <cellStyle name="40% - Accent4 22 4 2" xfId="13007"/>
    <cellStyle name="40% - Accent4 22 5" xfId="13008"/>
    <cellStyle name="40% - Accent4 23" xfId="13009"/>
    <cellStyle name="40% - Accent4 23 2" xfId="13010"/>
    <cellStyle name="40% - Accent4 24" xfId="13011"/>
    <cellStyle name="40% - Accent4 24 2" xfId="13012"/>
    <cellStyle name="40% - Accent4 24 2 2" xfId="13013"/>
    <cellStyle name="40% - Accent4 24 2 2 2" xfId="13014"/>
    <cellStyle name="40% - Accent4 24 2 3" xfId="13015"/>
    <cellStyle name="40% - Accent4 24 2 3 2" xfId="13016"/>
    <cellStyle name="40% - Accent4 24 2 4" xfId="13017"/>
    <cellStyle name="40% - Accent4 24 3" xfId="13018"/>
    <cellStyle name="40% - Accent4 24 3 2" xfId="13019"/>
    <cellStyle name="40% - Accent4 24 4" xfId="13020"/>
    <cellStyle name="40% - Accent4 24 4 2" xfId="13021"/>
    <cellStyle name="40% - Accent4 24 5" xfId="13022"/>
    <cellStyle name="40% - Accent4 25" xfId="13023"/>
    <cellStyle name="40% - Accent4 25 2" xfId="13024"/>
    <cellStyle name="40% - Accent4 25 2 2" xfId="13025"/>
    <cellStyle name="40% - Accent4 25 2 2 2" xfId="13026"/>
    <cellStyle name="40% - Accent4 25 2 3" xfId="13027"/>
    <cellStyle name="40% - Accent4 25 2 3 2" xfId="13028"/>
    <cellStyle name="40% - Accent4 25 2 4" xfId="13029"/>
    <cellStyle name="40% - Accent4 25 3" xfId="13030"/>
    <cellStyle name="40% - Accent4 25 3 2" xfId="13031"/>
    <cellStyle name="40% - Accent4 25 4" xfId="13032"/>
    <cellStyle name="40% - Accent4 25 4 2" xfId="13033"/>
    <cellStyle name="40% - Accent4 25 5" xfId="13034"/>
    <cellStyle name="40% - Accent4 26" xfId="13035"/>
    <cellStyle name="40% - Accent4 26 2" xfId="13036"/>
    <cellStyle name="40% - Accent4 27" xfId="13037"/>
    <cellStyle name="40% - Accent4 27 2" xfId="13038"/>
    <cellStyle name="40% - Accent4 27 2 2" xfId="13039"/>
    <cellStyle name="40% - Accent4 27 2 2 2" xfId="13040"/>
    <cellStyle name="40% - Accent4 27 2 3" xfId="13041"/>
    <cellStyle name="40% - Accent4 27 2 3 2" xfId="13042"/>
    <cellStyle name="40% - Accent4 27 2 4" xfId="13043"/>
    <cellStyle name="40% - Accent4 27 3" xfId="13044"/>
    <cellStyle name="40% - Accent4 27 3 2" xfId="13045"/>
    <cellStyle name="40% - Accent4 27 4" xfId="13046"/>
    <cellStyle name="40% - Accent4 27 4 2" xfId="13047"/>
    <cellStyle name="40% - Accent4 27 5" xfId="13048"/>
    <cellStyle name="40% - Accent4 28" xfId="13049"/>
    <cellStyle name="40% - Accent4 28 2" xfId="13050"/>
    <cellStyle name="40% - Accent4 28 2 2" xfId="13051"/>
    <cellStyle name="40% - Accent4 28 3" xfId="13052"/>
    <cellStyle name="40% - Accent4 28 3 2" xfId="13053"/>
    <cellStyle name="40% - Accent4 28 4" xfId="13054"/>
    <cellStyle name="40% - Accent4 29" xfId="13055"/>
    <cellStyle name="40% - Accent4 29 2" xfId="13056"/>
    <cellStyle name="40% - Accent4 3" xfId="225"/>
    <cellStyle name="40% - Accent4 3 10" xfId="3684"/>
    <cellStyle name="40% - Accent4 3 10 2" xfId="4582"/>
    <cellStyle name="40% - Accent4 3 10 2 2" xfId="13060"/>
    <cellStyle name="40% - Accent4 3 10 2 3" xfId="13059"/>
    <cellStyle name="40% - Accent4 3 10 3" xfId="13061"/>
    <cellStyle name="40% - Accent4 3 10 3 2" xfId="13062"/>
    <cellStyle name="40% - Accent4 3 10 4" xfId="13063"/>
    <cellStyle name="40% - Accent4 3 10 4 2" xfId="13064"/>
    <cellStyle name="40% - Accent4 3 10 5" xfId="13065"/>
    <cellStyle name="40% - Accent4 3 10 5 2" xfId="13066"/>
    <cellStyle name="40% - Accent4 3 10 6" xfId="13067"/>
    <cellStyle name="40% - Accent4 3 10 7" xfId="13058"/>
    <cellStyle name="40% - Accent4 3 11" xfId="13068"/>
    <cellStyle name="40% - Accent4 3 11 2" xfId="13069"/>
    <cellStyle name="40% - Accent4 3 11 2 2" xfId="13070"/>
    <cellStyle name="40% - Accent4 3 11 3" xfId="13071"/>
    <cellStyle name="40% - Accent4 3 11 3 2" xfId="13072"/>
    <cellStyle name="40% - Accent4 3 11 4" xfId="13073"/>
    <cellStyle name="40% - Accent4 3 12" xfId="13074"/>
    <cellStyle name="40% - Accent4 3 12 2" xfId="13075"/>
    <cellStyle name="40% - Accent4 3 12 2 2" xfId="13076"/>
    <cellStyle name="40% - Accent4 3 12 3" xfId="13077"/>
    <cellStyle name="40% - Accent4 3 12 3 2" xfId="13078"/>
    <cellStyle name="40% - Accent4 3 12 4" xfId="13079"/>
    <cellStyle name="40% - Accent4 3 13" xfId="13080"/>
    <cellStyle name="40% - Accent4 3 13 2" xfId="13081"/>
    <cellStyle name="40% - Accent4 3 13 2 2" xfId="13082"/>
    <cellStyle name="40% - Accent4 3 13 3" xfId="13083"/>
    <cellStyle name="40% - Accent4 3 13 3 2" xfId="13084"/>
    <cellStyle name="40% - Accent4 3 13 4" xfId="13085"/>
    <cellStyle name="40% - Accent4 3 14" xfId="13086"/>
    <cellStyle name="40% - Accent4 3 14 2" xfId="13087"/>
    <cellStyle name="40% - Accent4 3 15" xfId="13088"/>
    <cellStyle name="40% - Accent4 3 15 2" xfId="13089"/>
    <cellStyle name="40% - Accent4 3 16" xfId="13090"/>
    <cellStyle name="40% - Accent4 3 17" xfId="13057"/>
    <cellStyle name="40% - Accent4 3 2" xfId="1457"/>
    <cellStyle name="40% - Accent4 3 2 10" xfId="13092"/>
    <cellStyle name="40% - Accent4 3 2 10 2" xfId="13093"/>
    <cellStyle name="40% - Accent4 3 2 10 2 2" xfId="13094"/>
    <cellStyle name="40% - Accent4 3 2 10 3" xfId="13095"/>
    <cellStyle name="40% - Accent4 3 2 10 3 2" xfId="13096"/>
    <cellStyle name="40% - Accent4 3 2 10 4" xfId="13097"/>
    <cellStyle name="40% - Accent4 3 2 11" xfId="13098"/>
    <cellStyle name="40% - Accent4 3 2 11 2" xfId="13099"/>
    <cellStyle name="40% - Accent4 3 2 11 2 2" xfId="13100"/>
    <cellStyle name="40% - Accent4 3 2 11 3" xfId="13101"/>
    <cellStyle name="40% - Accent4 3 2 11 3 2" xfId="13102"/>
    <cellStyle name="40% - Accent4 3 2 11 4" xfId="13103"/>
    <cellStyle name="40% - Accent4 3 2 12" xfId="13104"/>
    <cellStyle name="40% - Accent4 3 2 12 2" xfId="13105"/>
    <cellStyle name="40% - Accent4 3 2 12 2 2" xfId="13106"/>
    <cellStyle name="40% - Accent4 3 2 12 3" xfId="13107"/>
    <cellStyle name="40% - Accent4 3 2 12 3 2" xfId="13108"/>
    <cellStyle name="40% - Accent4 3 2 12 4" xfId="13109"/>
    <cellStyle name="40% - Accent4 3 2 13" xfId="13110"/>
    <cellStyle name="40% - Accent4 3 2 13 2" xfId="13111"/>
    <cellStyle name="40% - Accent4 3 2 14" xfId="13112"/>
    <cellStyle name="40% - Accent4 3 2 14 2" xfId="13113"/>
    <cellStyle name="40% - Accent4 3 2 15" xfId="13114"/>
    <cellStyle name="40% - Accent4 3 2 15 2" xfId="13115"/>
    <cellStyle name="40% - Accent4 3 2 16" xfId="13116"/>
    <cellStyle name="40% - Accent4 3 2 17" xfId="13091"/>
    <cellStyle name="40% - Accent4 3 2 2" xfId="1836"/>
    <cellStyle name="40% - Accent4 3 2 2 2" xfId="13118"/>
    <cellStyle name="40% - Accent4 3 2 2 2 2" xfId="13119"/>
    <cellStyle name="40% - Accent4 3 2 2 3" xfId="13120"/>
    <cellStyle name="40% - Accent4 3 2 2 3 2" xfId="13121"/>
    <cellStyle name="40% - Accent4 3 2 2 4" xfId="13122"/>
    <cellStyle name="40% - Accent4 3 2 2 5" xfId="13117"/>
    <cellStyle name="40% - Accent4 3 2 3" xfId="2211"/>
    <cellStyle name="40% - Accent4 3 2 3 2" xfId="13124"/>
    <cellStyle name="40% - Accent4 3 2 3 2 2" xfId="13125"/>
    <cellStyle name="40% - Accent4 3 2 3 3" xfId="13126"/>
    <cellStyle name="40% - Accent4 3 2 3 3 2" xfId="13127"/>
    <cellStyle name="40% - Accent4 3 2 3 4" xfId="13128"/>
    <cellStyle name="40% - Accent4 3 2 3 5" xfId="13123"/>
    <cellStyle name="40% - Accent4 3 2 4" xfId="2585"/>
    <cellStyle name="40% - Accent4 3 2 4 2" xfId="13130"/>
    <cellStyle name="40% - Accent4 3 2 4 2 2" xfId="13131"/>
    <cellStyle name="40% - Accent4 3 2 4 3" xfId="13132"/>
    <cellStyle name="40% - Accent4 3 2 4 3 2" xfId="13133"/>
    <cellStyle name="40% - Accent4 3 2 4 4" xfId="13134"/>
    <cellStyle name="40% - Accent4 3 2 4 5" xfId="13129"/>
    <cellStyle name="40% - Accent4 3 2 5" xfId="2957"/>
    <cellStyle name="40% - Accent4 3 2 5 2" xfId="13136"/>
    <cellStyle name="40% - Accent4 3 2 5 2 2" xfId="13137"/>
    <cellStyle name="40% - Accent4 3 2 5 3" xfId="13138"/>
    <cellStyle name="40% - Accent4 3 2 5 3 2" xfId="13139"/>
    <cellStyle name="40% - Accent4 3 2 5 4" xfId="13140"/>
    <cellStyle name="40% - Accent4 3 2 5 5" xfId="13135"/>
    <cellStyle name="40% - Accent4 3 2 6" xfId="3329"/>
    <cellStyle name="40% - Accent4 3 2 6 2" xfId="13142"/>
    <cellStyle name="40% - Accent4 3 2 6 2 2" xfId="13143"/>
    <cellStyle name="40% - Accent4 3 2 6 3" xfId="13144"/>
    <cellStyle name="40% - Accent4 3 2 6 3 2" xfId="13145"/>
    <cellStyle name="40% - Accent4 3 2 6 4" xfId="13146"/>
    <cellStyle name="40% - Accent4 3 2 6 5" xfId="13141"/>
    <cellStyle name="40% - Accent4 3 2 7" xfId="4583"/>
    <cellStyle name="40% - Accent4 3 2 7 2" xfId="13148"/>
    <cellStyle name="40% - Accent4 3 2 7 2 2" xfId="13149"/>
    <cellStyle name="40% - Accent4 3 2 7 3" xfId="13150"/>
    <cellStyle name="40% - Accent4 3 2 7 3 2" xfId="13151"/>
    <cellStyle name="40% - Accent4 3 2 7 4" xfId="13152"/>
    <cellStyle name="40% - Accent4 3 2 7 5" xfId="13147"/>
    <cellStyle name="40% - Accent4 3 2 8" xfId="13153"/>
    <cellStyle name="40% - Accent4 3 2 8 2" xfId="13154"/>
    <cellStyle name="40% - Accent4 3 2 8 2 2" xfId="13155"/>
    <cellStyle name="40% - Accent4 3 2 8 3" xfId="13156"/>
    <cellStyle name="40% - Accent4 3 2 8 3 2" xfId="13157"/>
    <cellStyle name="40% - Accent4 3 2 8 4" xfId="13158"/>
    <cellStyle name="40% - Accent4 3 2 9" xfId="13159"/>
    <cellStyle name="40% - Accent4 3 2 9 2" xfId="13160"/>
    <cellStyle name="40% - Accent4 3 2 9 2 2" xfId="13161"/>
    <cellStyle name="40% - Accent4 3 2 9 3" xfId="13162"/>
    <cellStyle name="40% - Accent4 3 2 9 3 2" xfId="13163"/>
    <cellStyle name="40% - Accent4 3 2 9 4" xfId="13164"/>
    <cellStyle name="40% - Accent4 3 3" xfId="1584"/>
    <cellStyle name="40% - Accent4 3 3 2" xfId="1913"/>
    <cellStyle name="40% - Accent4 3 3 2 2" xfId="13167"/>
    <cellStyle name="40% - Accent4 3 3 2 3" xfId="13166"/>
    <cellStyle name="40% - Accent4 3 3 3" xfId="2288"/>
    <cellStyle name="40% - Accent4 3 3 3 2" xfId="13169"/>
    <cellStyle name="40% - Accent4 3 3 3 3" xfId="13168"/>
    <cellStyle name="40% - Accent4 3 3 4" xfId="2661"/>
    <cellStyle name="40% - Accent4 3 3 4 2" xfId="13171"/>
    <cellStyle name="40% - Accent4 3 3 4 3" xfId="13170"/>
    <cellStyle name="40% - Accent4 3 3 5" xfId="3034"/>
    <cellStyle name="40% - Accent4 3 3 5 2" xfId="13173"/>
    <cellStyle name="40% - Accent4 3 3 5 3" xfId="13172"/>
    <cellStyle name="40% - Accent4 3 3 6" xfId="3405"/>
    <cellStyle name="40% - Accent4 3 3 6 2" xfId="13175"/>
    <cellStyle name="40% - Accent4 3 3 6 3" xfId="13174"/>
    <cellStyle name="40% - Accent4 3 3 7" xfId="4584"/>
    <cellStyle name="40% - Accent4 3 3 7 2" xfId="13177"/>
    <cellStyle name="40% - Accent4 3 3 7 3" xfId="13176"/>
    <cellStyle name="40% - Accent4 3 3 8" xfId="13178"/>
    <cellStyle name="40% - Accent4 3 3 9" xfId="13165"/>
    <cellStyle name="40% - Accent4 3 4" xfId="1721"/>
    <cellStyle name="40% - Accent4 3 4 2" xfId="1957"/>
    <cellStyle name="40% - Accent4 3 4 2 2" xfId="13181"/>
    <cellStyle name="40% - Accent4 3 4 2 3" xfId="13180"/>
    <cellStyle name="40% - Accent4 3 4 3" xfId="2332"/>
    <cellStyle name="40% - Accent4 3 4 3 2" xfId="13183"/>
    <cellStyle name="40% - Accent4 3 4 3 3" xfId="13182"/>
    <cellStyle name="40% - Accent4 3 4 4" xfId="2705"/>
    <cellStyle name="40% - Accent4 3 4 4 2" xfId="13185"/>
    <cellStyle name="40% - Accent4 3 4 4 3" xfId="13184"/>
    <cellStyle name="40% - Accent4 3 4 5" xfId="3078"/>
    <cellStyle name="40% - Accent4 3 4 5 2" xfId="13187"/>
    <cellStyle name="40% - Accent4 3 4 5 3" xfId="13186"/>
    <cellStyle name="40% - Accent4 3 4 6" xfId="3449"/>
    <cellStyle name="40% - Accent4 3 4 6 2" xfId="13189"/>
    <cellStyle name="40% - Accent4 3 4 6 3" xfId="13188"/>
    <cellStyle name="40% - Accent4 3 4 7" xfId="13190"/>
    <cellStyle name="40% - Accent4 3 4 8" xfId="13179"/>
    <cellStyle name="40% - Accent4 3 5" xfId="2056"/>
    <cellStyle name="40% - Accent4 3 5 2" xfId="13192"/>
    <cellStyle name="40% - Accent4 3 5 2 2" xfId="13193"/>
    <cellStyle name="40% - Accent4 3 5 3" xfId="13194"/>
    <cellStyle name="40% - Accent4 3 5 3 2" xfId="13195"/>
    <cellStyle name="40% - Accent4 3 5 4" xfId="13196"/>
    <cellStyle name="40% - Accent4 3 5 4 2" xfId="13197"/>
    <cellStyle name="40% - Accent4 3 5 5" xfId="13198"/>
    <cellStyle name="40% - Accent4 3 5 6" xfId="13191"/>
    <cellStyle name="40% - Accent4 3 6" xfId="2430"/>
    <cellStyle name="40% - Accent4 3 6 2" xfId="13200"/>
    <cellStyle name="40% - Accent4 3 6 2 2" xfId="13201"/>
    <cellStyle name="40% - Accent4 3 6 3" xfId="13202"/>
    <cellStyle name="40% - Accent4 3 6 3 2" xfId="13203"/>
    <cellStyle name="40% - Accent4 3 6 4" xfId="13204"/>
    <cellStyle name="40% - Accent4 3 6 4 2" xfId="13205"/>
    <cellStyle name="40% - Accent4 3 6 5" xfId="13206"/>
    <cellStyle name="40% - Accent4 3 6 6" xfId="13199"/>
    <cellStyle name="40% - Accent4 3 7" xfId="2802"/>
    <cellStyle name="40% - Accent4 3 7 2" xfId="13208"/>
    <cellStyle name="40% - Accent4 3 7 2 2" xfId="13209"/>
    <cellStyle name="40% - Accent4 3 7 3" xfId="13210"/>
    <cellStyle name="40% - Accent4 3 7 3 2" xfId="13211"/>
    <cellStyle name="40% - Accent4 3 7 4" xfId="13212"/>
    <cellStyle name="40% - Accent4 3 7 4 2" xfId="13213"/>
    <cellStyle name="40% - Accent4 3 7 5" xfId="13214"/>
    <cellStyle name="40% - Accent4 3 7 6" xfId="13207"/>
    <cellStyle name="40% - Accent4 3 8" xfId="3173"/>
    <cellStyle name="40% - Accent4 3 8 2" xfId="13216"/>
    <cellStyle name="40% - Accent4 3 8 2 2" xfId="13217"/>
    <cellStyle name="40% - Accent4 3 8 3" xfId="13218"/>
    <cellStyle name="40% - Accent4 3 8 3 2" xfId="13219"/>
    <cellStyle name="40% - Accent4 3 8 4" xfId="13220"/>
    <cellStyle name="40% - Accent4 3 8 4 2" xfId="13221"/>
    <cellStyle name="40% - Accent4 3 8 5" xfId="13222"/>
    <cellStyle name="40% - Accent4 3 8 6" xfId="13215"/>
    <cellStyle name="40% - Accent4 3 9" xfId="3548"/>
    <cellStyle name="40% - Accent4 3 9 2" xfId="4585"/>
    <cellStyle name="40% - Accent4 3 9 2 2" xfId="13225"/>
    <cellStyle name="40% - Accent4 3 9 2 3" xfId="13224"/>
    <cellStyle name="40% - Accent4 3 9 3" xfId="13226"/>
    <cellStyle name="40% - Accent4 3 9 3 2" xfId="13227"/>
    <cellStyle name="40% - Accent4 3 9 4" xfId="13228"/>
    <cellStyle name="40% - Accent4 3 9 4 2" xfId="13229"/>
    <cellStyle name="40% - Accent4 3 9 5" xfId="13230"/>
    <cellStyle name="40% - Accent4 3 9 5 2" xfId="13231"/>
    <cellStyle name="40% - Accent4 3 9 6" xfId="13232"/>
    <cellStyle name="40% - Accent4 3 9 7" xfId="13223"/>
    <cellStyle name="40% - Accent4 30" xfId="13233"/>
    <cellStyle name="40% - Accent4 31" xfId="12716"/>
    <cellStyle name="40% - Accent4 4" xfId="244"/>
    <cellStyle name="40% - Accent4 4 10" xfId="3728"/>
    <cellStyle name="40% - Accent4 4 10 2" xfId="4587"/>
    <cellStyle name="40% - Accent4 4 10 2 2" xfId="13237"/>
    <cellStyle name="40% - Accent4 4 10 2 3" xfId="13236"/>
    <cellStyle name="40% - Accent4 4 10 3" xfId="13238"/>
    <cellStyle name="40% - Accent4 4 10 3 2" xfId="13239"/>
    <cellStyle name="40% - Accent4 4 10 4" xfId="13240"/>
    <cellStyle name="40% - Accent4 4 10 4 2" xfId="13241"/>
    <cellStyle name="40% - Accent4 4 10 5" xfId="13242"/>
    <cellStyle name="40% - Accent4 4 10 5 2" xfId="13243"/>
    <cellStyle name="40% - Accent4 4 10 6" xfId="13244"/>
    <cellStyle name="40% - Accent4 4 10 7" xfId="13235"/>
    <cellStyle name="40% - Accent4 4 11" xfId="1307"/>
    <cellStyle name="40% - Accent4 4 11 10" xfId="24883"/>
    <cellStyle name="40% - Accent4 4 11 11" xfId="26473"/>
    <cellStyle name="40% - Accent4 4 11 2" xfId="4151"/>
    <cellStyle name="40% - Accent4 4 11 2 2" xfId="5414"/>
    <cellStyle name="40% - Accent4 4 11 2 2 2" xfId="6360"/>
    <cellStyle name="40% - Accent4 4 11 2 2 2 2" xfId="13248"/>
    <cellStyle name="40% - Accent4 4 11 2 2 2 3" xfId="26476"/>
    <cellStyle name="40% - Accent4 4 11 2 2 3" xfId="13247"/>
    <cellStyle name="40% - Accent4 4 11 2 2 4" xfId="26475"/>
    <cellStyle name="40% - Accent4 4 11 2 3" xfId="5724"/>
    <cellStyle name="40% - Accent4 4 11 2 3 2" xfId="6361"/>
    <cellStyle name="40% - Accent4 4 11 2 3 2 2" xfId="26478"/>
    <cellStyle name="40% - Accent4 4 11 2 3 3" xfId="13249"/>
    <cellStyle name="40% - Accent4 4 11 2 3 4" xfId="26477"/>
    <cellStyle name="40% - Accent4 4 11 2 4" xfId="4589"/>
    <cellStyle name="40% - Accent4 4 11 2 4 2" xfId="6362"/>
    <cellStyle name="40% - Accent4 4 11 2 4 2 2" xfId="26480"/>
    <cellStyle name="40% - Accent4 4 11 2 4 3" xfId="26479"/>
    <cellStyle name="40% - Accent4 4 11 2 5" xfId="6359"/>
    <cellStyle name="40% - Accent4 4 11 2 5 2" xfId="26481"/>
    <cellStyle name="40% - Accent4 4 11 2 6" xfId="13246"/>
    <cellStyle name="40% - Accent4 4 11 2 7" xfId="25003"/>
    <cellStyle name="40% - Accent4 4 11 2 8" xfId="26474"/>
    <cellStyle name="40% - Accent4 4 11 3" xfId="5413"/>
    <cellStyle name="40% - Accent4 4 11 3 2" xfId="6363"/>
    <cellStyle name="40% - Accent4 4 11 3 2 2" xfId="13251"/>
    <cellStyle name="40% - Accent4 4 11 3 2 3" xfId="26483"/>
    <cellStyle name="40% - Accent4 4 11 3 3" xfId="13250"/>
    <cellStyle name="40% - Accent4 4 11 3 4" xfId="26482"/>
    <cellStyle name="40% - Accent4 4 11 4" xfId="5723"/>
    <cellStyle name="40% - Accent4 4 11 4 2" xfId="6364"/>
    <cellStyle name="40% - Accent4 4 11 4 2 2" xfId="13253"/>
    <cellStyle name="40% - Accent4 4 11 4 2 3" xfId="26485"/>
    <cellStyle name="40% - Accent4 4 11 4 3" xfId="13252"/>
    <cellStyle name="40% - Accent4 4 11 4 4" xfId="26484"/>
    <cellStyle name="40% - Accent4 4 11 5" xfId="4588"/>
    <cellStyle name="40% - Accent4 4 11 5 2" xfId="6365"/>
    <cellStyle name="40% - Accent4 4 11 5 2 2" xfId="13256"/>
    <cellStyle name="40% - Accent4 4 11 5 2 3" xfId="13255"/>
    <cellStyle name="40% - Accent4 4 11 5 2 4" xfId="26487"/>
    <cellStyle name="40% - Accent4 4 11 5 3" xfId="13257"/>
    <cellStyle name="40% - Accent4 4 11 5 3 2" xfId="13258"/>
    <cellStyle name="40% - Accent4 4 11 5 4" xfId="13259"/>
    <cellStyle name="40% - Accent4 4 11 5 5" xfId="13254"/>
    <cellStyle name="40% - Accent4 4 11 5 6" xfId="26486"/>
    <cellStyle name="40% - Accent4 4 11 6" xfId="6358"/>
    <cellStyle name="40% - Accent4 4 11 6 2" xfId="13261"/>
    <cellStyle name="40% - Accent4 4 11 6 3" xfId="13260"/>
    <cellStyle name="40% - Accent4 4 11 6 4" xfId="26488"/>
    <cellStyle name="40% - Accent4 4 11 7" xfId="13262"/>
    <cellStyle name="40% - Accent4 4 11 7 2" xfId="13263"/>
    <cellStyle name="40% - Accent4 4 11 8" xfId="13264"/>
    <cellStyle name="40% - Accent4 4 11 9" xfId="13245"/>
    <cellStyle name="40% - Accent4 4 12" xfId="4590"/>
    <cellStyle name="40% - Accent4 4 12 2" xfId="5415"/>
    <cellStyle name="40% - Accent4 4 12 2 2" xfId="6367"/>
    <cellStyle name="40% - Accent4 4 12 2 2 2" xfId="13267"/>
    <cellStyle name="40% - Accent4 4 12 2 2 3" xfId="26491"/>
    <cellStyle name="40% - Accent4 4 12 2 3" xfId="13266"/>
    <cellStyle name="40% - Accent4 4 12 2 4" xfId="26490"/>
    <cellStyle name="40% - Accent4 4 12 3" xfId="5725"/>
    <cellStyle name="40% - Accent4 4 12 3 2" xfId="6368"/>
    <cellStyle name="40% - Accent4 4 12 3 2 2" xfId="13269"/>
    <cellStyle name="40% - Accent4 4 12 3 2 3" xfId="26493"/>
    <cellStyle name="40% - Accent4 4 12 3 3" xfId="13268"/>
    <cellStyle name="40% - Accent4 4 12 3 4" xfId="26492"/>
    <cellStyle name="40% - Accent4 4 12 4" xfId="6366"/>
    <cellStyle name="40% - Accent4 4 12 4 2" xfId="13271"/>
    <cellStyle name="40% - Accent4 4 12 4 3" xfId="13270"/>
    <cellStyle name="40% - Accent4 4 12 4 4" xfId="26494"/>
    <cellStyle name="40% - Accent4 4 12 5" xfId="13272"/>
    <cellStyle name="40% - Accent4 4 12 6" xfId="13265"/>
    <cellStyle name="40% - Accent4 4 12 7" xfId="26489"/>
    <cellStyle name="40% - Accent4 4 13" xfId="5412"/>
    <cellStyle name="40% - Accent4 4 13 2" xfId="6369"/>
    <cellStyle name="40% - Accent4 4 13 2 2" xfId="13275"/>
    <cellStyle name="40% - Accent4 4 13 2 3" xfId="13274"/>
    <cellStyle name="40% - Accent4 4 13 2 4" xfId="26496"/>
    <cellStyle name="40% - Accent4 4 13 3" xfId="13276"/>
    <cellStyle name="40% - Accent4 4 13 3 2" xfId="13277"/>
    <cellStyle name="40% - Accent4 4 13 4" xfId="13278"/>
    <cellStyle name="40% - Accent4 4 13 5" xfId="13273"/>
    <cellStyle name="40% - Accent4 4 13 6" xfId="26495"/>
    <cellStyle name="40% - Accent4 4 14" xfId="5722"/>
    <cellStyle name="40% - Accent4 4 14 2" xfId="6370"/>
    <cellStyle name="40% - Accent4 4 14 2 2" xfId="13280"/>
    <cellStyle name="40% - Accent4 4 14 2 3" xfId="26498"/>
    <cellStyle name="40% - Accent4 4 14 3" xfId="13279"/>
    <cellStyle name="40% - Accent4 4 14 4" xfId="26497"/>
    <cellStyle name="40% - Accent4 4 15" xfId="4586"/>
    <cellStyle name="40% - Accent4 4 15 2" xfId="6371"/>
    <cellStyle name="40% - Accent4 4 15 2 2" xfId="13282"/>
    <cellStyle name="40% - Accent4 4 15 2 3" xfId="26500"/>
    <cellStyle name="40% - Accent4 4 15 3" xfId="13281"/>
    <cellStyle name="40% - Accent4 4 15 4" xfId="26499"/>
    <cellStyle name="40% - Accent4 4 16" xfId="13283"/>
    <cellStyle name="40% - Accent4 4 16 2" xfId="13284"/>
    <cellStyle name="40% - Accent4 4 17" xfId="13285"/>
    <cellStyle name="40% - Accent4 4 17 2" xfId="13286"/>
    <cellStyle name="40% - Accent4 4 17 2 2" xfId="13287"/>
    <cellStyle name="40% - Accent4 4 17 3" xfId="13288"/>
    <cellStyle name="40% - Accent4 4 17 3 2" xfId="13289"/>
    <cellStyle name="40% - Accent4 4 17 4" xfId="13290"/>
    <cellStyle name="40% - Accent4 4 18" xfId="13291"/>
    <cellStyle name="40% - Accent4 4 18 2" xfId="13292"/>
    <cellStyle name="40% - Accent4 4 19" xfId="13293"/>
    <cellStyle name="40% - Accent4 4 19 2" xfId="13294"/>
    <cellStyle name="40% - Accent4 4 2" xfId="1502"/>
    <cellStyle name="40% - Accent4 4 2 10" xfId="13296"/>
    <cellStyle name="40% - Accent4 4 2 10 2" xfId="13297"/>
    <cellStyle name="40% - Accent4 4 2 10 2 2" xfId="13298"/>
    <cellStyle name="40% - Accent4 4 2 10 3" xfId="13299"/>
    <cellStyle name="40% - Accent4 4 2 10 3 2" xfId="13300"/>
    <cellStyle name="40% - Accent4 4 2 10 4" xfId="13301"/>
    <cellStyle name="40% - Accent4 4 2 11" xfId="13302"/>
    <cellStyle name="40% - Accent4 4 2 11 2" xfId="13303"/>
    <cellStyle name="40% - Accent4 4 2 11 2 2" xfId="13304"/>
    <cellStyle name="40% - Accent4 4 2 11 3" xfId="13305"/>
    <cellStyle name="40% - Accent4 4 2 11 3 2" xfId="13306"/>
    <cellStyle name="40% - Accent4 4 2 11 4" xfId="13307"/>
    <cellStyle name="40% - Accent4 4 2 12" xfId="13308"/>
    <cellStyle name="40% - Accent4 4 2 12 2" xfId="13309"/>
    <cellStyle name="40% - Accent4 4 2 12 2 2" xfId="13310"/>
    <cellStyle name="40% - Accent4 4 2 12 3" xfId="13311"/>
    <cellStyle name="40% - Accent4 4 2 12 3 2" xfId="13312"/>
    <cellStyle name="40% - Accent4 4 2 12 4" xfId="13313"/>
    <cellStyle name="40% - Accent4 4 2 13" xfId="13314"/>
    <cellStyle name="40% - Accent4 4 2 13 2" xfId="13315"/>
    <cellStyle name="40% - Accent4 4 2 14" xfId="13316"/>
    <cellStyle name="40% - Accent4 4 2 14 2" xfId="13317"/>
    <cellStyle name="40% - Accent4 4 2 15" xfId="13318"/>
    <cellStyle name="40% - Accent4 4 2 15 2" xfId="13319"/>
    <cellStyle name="40% - Accent4 4 2 16" xfId="13320"/>
    <cellStyle name="40% - Accent4 4 2 16 2" xfId="13321"/>
    <cellStyle name="40% - Accent4 4 2 17" xfId="13322"/>
    <cellStyle name="40% - Accent4 4 2 18" xfId="13295"/>
    <cellStyle name="40% - Accent4 4 2 2" xfId="4591"/>
    <cellStyle name="40% - Accent4 4 2 2 2" xfId="13324"/>
    <cellStyle name="40% - Accent4 4 2 2 2 2" xfId="13325"/>
    <cellStyle name="40% - Accent4 4 2 2 3" xfId="13326"/>
    <cellStyle name="40% - Accent4 4 2 2 3 2" xfId="13327"/>
    <cellStyle name="40% - Accent4 4 2 2 4" xfId="13328"/>
    <cellStyle name="40% - Accent4 4 2 2 5" xfId="13323"/>
    <cellStyle name="40% - Accent4 4 2 3" xfId="13329"/>
    <cellStyle name="40% - Accent4 4 2 3 2" xfId="13330"/>
    <cellStyle name="40% - Accent4 4 2 3 2 2" xfId="13331"/>
    <cellStyle name="40% - Accent4 4 2 3 3" xfId="13332"/>
    <cellStyle name="40% - Accent4 4 2 3 3 2" xfId="13333"/>
    <cellStyle name="40% - Accent4 4 2 3 4" xfId="13334"/>
    <cellStyle name="40% - Accent4 4 2 4" xfId="13335"/>
    <cellStyle name="40% - Accent4 4 2 4 2" xfId="13336"/>
    <cellStyle name="40% - Accent4 4 2 4 2 2" xfId="13337"/>
    <cellStyle name="40% - Accent4 4 2 4 3" xfId="13338"/>
    <cellStyle name="40% - Accent4 4 2 4 3 2" xfId="13339"/>
    <cellStyle name="40% - Accent4 4 2 4 4" xfId="13340"/>
    <cellStyle name="40% - Accent4 4 2 5" xfId="13341"/>
    <cellStyle name="40% - Accent4 4 2 5 2" xfId="13342"/>
    <cellStyle name="40% - Accent4 4 2 5 2 2" xfId="13343"/>
    <cellStyle name="40% - Accent4 4 2 5 3" xfId="13344"/>
    <cellStyle name="40% - Accent4 4 2 5 3 2" xfId="13345"/>
    <cellStyle name="40% - Accent4 4 2 5 4" xfId="13346"/>
    <cellStyle name="40% - Accent4 4 2 6" xfId="13347"/>
    <cellStyle name="40% - Accent4 4 2 6 2" xfId="13348"/>
    <cellStyle name="40% - Accent4 4 2 6 2 2" xfId="13349"/>
    <cellStyle name="40% - Accent4 4 2 6 3" xfId="13350"/>
    <cellStyle name="40% - Accent4 4 2 6 3 2" xfId="13351"/>
    <cellStyle name="40% - Accent4 4 2 6 4" xfId="13352"/>
    <cellStyle name="40% - Accent4 4 2 7" xfId="13353"/>
    <cellStyle name="40% - Accent4 4 2 7 2" xfId="13354"/>
    <cellStyle name="40% - Accent4 4 2 7 2 2" xfId="13355"/>
    <cellStyle name="40% - Accent4 4 2 7 3" xfId="13356"/>
    <cellStyle name="40% - Accent4 4 2 7 3 2" xfId="13357"/>
    <cellStyle name="40% - Accent4 4 2 7 4" xfId="13358"/>
    <cellStyle name="40% - Accent4 4 2 8" xfId="13359"/>
    <cellStyle name="40% - Accent4 4 2 8 2" xfId="13360"/>
    <cellStyle name="40% - Accent4 4 2 8 2 2" xfId="13361"/>
    <cellStyle name="40% - Accent4 4 2 8 3" xfId="13362"/>
    <cellStyle name="40% - Accent4 4 2 8 3 2" xfId="13363"/>
    <cellStyle name="40% - Accent4 4 2 8 4" xfId="13364"/>
    <cellStyle name="40% - Accent4 4 2 9" xfId="13365"/>
    <cellStyle name="40% - Accent4 4 2 9 2" xfId="13366"/>
    <cellStyle name="40% - Accent4 4 2 9 2 2" xfId="13367"/>
    <cellStyle name="40% - Accent4 4 2 9 3" xfId="13368"/>
    <cellStyle name="40% - Accent4 4 2 9 3 2" xfId="13369"/>
    <cellStyle name="40% - Accent4 4 2 9 4" xfId="13370"/>
    <cellStyle name="40% - Accent4 4 20" xfId="13371"/>
    <cellStyle name="40% - Accent4 4 21" xfId="13234"/>
    <cellStyle name="40% - Accent4 4 3" xfId="1627"/>
    <cellStyle name="40% - Accent4 4 3 2" xfId="4592"/>
    <cellStyle name="40% - Accent4 4 3 2 2" xfId="13374"/>
    <cellStyle name="40% - Accent4 4 3 2 3" xfId="13373"/>
    <cellStyle name="40% - Accent4 4 3 3" xfId="13375"/>
    <cellStyle name="40% - Accent4 4 3 3 2" xfId="13376"/>
    <cellStyle name="40% - Accent4 4 3 4" xfId="13377"/>
    <cellStyle name="40% - Accent4 4 3 4 2" xfId="13378"/>
    <cellStyle name="40% - Accent4 4 3 5" xfId="13379"/>
    <cellStyle name="40% - Accent4 4 3 5 2" xfId="13380"/>
    <cellStyle name="40% - Accent4 4 3 6" xfId="13381"/>
    <cellStyle name="40% - Accent4 4 3 7" xfId="13372"/>
    <cellStyle name="40% - Accent4 4 4" xfId="1752"/>
    <cellStyle name="40% - Accent4 4 4 2" xfId="13383"/>
    <cellStyle name="40% - Accent4 4 4 2 2" xfId="13384"/>
    <cellStyle name="40% - Accent4 4 4 3" xfId="13385"/>
    <cellStyle name="40% - Accent4 4 4 3 2" xfId="13386"/>
    <cellStyle name="40% - Accent4 4 4 4" xfId="13387"/>
    <cellStyle name="40% - Accent4 4 4 4 2" xfId="13388"/>
    <cellStyle name="40% - Accent4 4 4 5" xfId="13389"/>
    <cellStyle name="40% - Accent4 4 4 6" xfId="13382"/>
    <cellStyle name="40% - Accent4 4 5" xfId="2087"/>
    <cellStyle name="40% - Accent4 4 5 2" xfId="13391"/>
    <cellStyle name="40% - Accent4 4 5 2 2" xfId="13392"/>
    <cellStyle name="40% - Accent4 4 5 3" xfId="13393"/>
    <cellStyle name="40% - Accent4 4 5 3 2" xfId="13394"/>
    <cellStyle name="40% - Accent4 4 5 4" xfId="13395"/>
    <cellStyle name="40% - Accent4 4 5 4 2" xfId="13396"/>
    <cellStyle name="40% - Accent4 4 5 5" xfId="13397"/>
    <cellStyle name="40% - Accent4 4 5 6" xfId="13390"/>
    <cellStyle name="40% - Accent4 4 6" xfId="2461"/>
    <cellStyle name="40% - Accent4 4 6 2" xfId="13399"/>
    <cellStyle name="40% - Accent4 4 6 2 2" xfId="13400"/>
    <cellStyle name="40% - Accent4 4 6 3" xfId="13401"/>
    <cellStyle name="40% - Accent4 4 6 3 2" xfId="13402"/>
    <cellStyle name="40% - Accent4 4 6 4" xfId="13403"/>
    <cellStyle name="40% - Accent4 4 6 4 2" xfId="13404"/>
    <cellStyle name="40% - Accent4 4 6 5" xfId="13405"/>
    <cellStyle name="40% - Accent4 4 6 6" xfId="13398"/>
    <cellStyle name="40% - Accent4 4 7" xfId="2833"/>
    <cellStyle name="40% - Accent4 4 7 2" xfId="13407"/>
    <cellStyle name="40% - Accent4 4 7 2 2" xfId="13408"/>
    <cellStyle name="40% - Accent4 4 7 3" xfId="13409"/>
    <cellStyle name="40% - Accent4 4 7 3 2" xfId="13410"/>
    <cellStyle name="40% - Accent4 4 7 4" xfId="13411"/>
    <cellStyle name="40% - Accent4 4 7 4 2" xfId="13412"/>
    <cellStyle name="40% - Accent4 4 7 5" xfId="13413"/>
    <cellStyle name="40% - Accent4 4 7 6" xfId="13406"/>
    <cellStyle name="40% - Accent4 4 8" xfId="3204"/>
    <cellStyle name="40% - Accent4 4 8 2" xfId="13415"/>
    <cellStyle name="40% - Accent4 4 8 2 2" xfId="13416"/>
    <cellStyle name="40% - Accent4 4 8 3" xfId="13417"/>
    <cellStyle name="40% - Accent4 4 8 3 2" xfId="13418"/>
    <cellStyle name="40% - Accent4 4 8 4" xfId="13419"/>
    <cellStyle name="40% - Accent4 4 8 4 2" xfId="13420"/>
    <cellStyle name="40% - Accent4 4 8 5" xfId="13421"/>
    <cellStyle name="40% - Accent4 4 8 6" xfId="13414"/>
    <cellStyle name="40% - Accent4 4 9" xfId="3591"/>
    <cellStyle name="40% - Accent4 4 9 2" xfId="4593"/>
    <cellStyle name="40% - Accent4 4 9 2 2" xfId="13424"/>
    <cellStyle name="40% - Accent4 4 9 2 3" xfId="13423"/>
    <cellStyle name="40% - Accent4 4 9 3" xfId="13425"/>
    <cellStyle name="40% - Accent4 4 9 3 2" xfId="13426"/>
    <cellStyle name="40% - Accent4 4 9 4" xfId="13427"/>
    <cellStyle name="40% - Accent4 4 9 4 2" xfId="13428"/>
    <cellStyle name="40% - Accent4 4 9 5" xfId="13429"/>
    <cellStyle name="40% - Accent4 4 9 5 2" xfId="13430"/>
    <cellStyle name="40% - Accent4 4 9 6" xfId="13431"/>
    <cellStyle name="40% - Accent4 4 9 7" xfId="13422"/>
    <cellStyle name="40% - Accent4 5" xfId="395"/>
    <cellStyle name="40% - Accent4 5 10" xfId="13433"/>
    <cellStyle name="40% - Accent4 5 10 2" xfId="13434"/>
    <cellStyle name="40% - Accent4 5 10 2 2" xfId="13435"/>
    <cellStyle name="40% - Accent4 5 10 3" xfId="13436"/>
    <cellStyle name="40% - Accent4 5 10 3 2" xfId="13437"/>
    <cellStyle name="40% - Accent4 5 10 4" xfId="13438"/>
    <cellStyle name="40% - Accent4 5 11" xfId="13439"/>
    <cellStyle name="40% - Accent4 5 11 2" xfId="13440"/>
    <cellStyle name="40% - Accent4 5 11 2 2" xfId="13441"/>
    <cellStyle name="40% - Accent4 5 11 3" xfId="13442"/>
    <cellStyle name="40% - Accent4 5 11 3 2" xfId="13443"/>
    <cellStyle name="40% - Accent4 5 11 4" xfId="13444"/>
    <cellStyle name="40% - Accent4 5 12" xfId="13445"/>
    <cellStyle name="40% - Accent4 5 12 2" xfId="13446"/>
    <cellStyle name="40% - Accent4 5 12 2 2" xfId="13447"/>
    <cellStyle name="40% - Accent4 5 12 3" xfId="13448"/>
    <cellStyle name="40% - Accent4 5 12 3 2" xfId="13449"/>
    <cellStyle name="40% - Accent4 5 12 4" xfId="13450"/>
    <cellStyle name="40% - Accent4 5 13" xfId="13451"/>
    <cellStyle name="40% - Accent4 5 13 2" xfId="13452"/>
    <cellStyle name="40% - Accent4 5 13 2 2" xfId="13453"/>
    <cellStyle name="40% - Accent4 5 13 3" xfId="13454"/>
    <cellStyle name="40% - Accent4 5 13 3 2" xfId="13455"/>
    <cellStyle name="40% - Accent4 5 13 4" xfId="13456"/>
    <cellStyle name="40% - Accent4 5 14" xfId="13457"/>
    <cellStyle name="40% - Accent4 5 14 2" xfId="13458"/>
    <cellStyle name="40% - Accent4 5 15" xfId="13459"/>
    <cellStyle name="40% - Accent4 5 15 2" xfId="13460"/>
    <cellStyle name="40% - Accent4 5 16" xfId="13461"/>
    <cellStyle name="40% - Accent4 5 16 2" xfId="13462"/>
    <cellStyle name="40% - Accent4 5 17" xfId="13463"/>
    <cellStyle name="40% - Accent4 5 17 2" xfId="13464"/>
    <cellStyle name="40% - Accent4 5 18" xfId="13465"/>
    <cellStyle name="40% - Accent4 5 19" xfId="13432"/>
    <cellStyle name="40% - Accent4 5 2" xfId="1766"/>
    <cellStyle name="40% - Accent4 5 2 10" xfId="13467"/>
    <cellStyle name="40% - Accent4 5 2 10 2" xfId="13468"/>
    <cellStyle name="40% - Accent4 5 2 10 2 2" xfId="13469"/>
    <cellStyle name="40% - Accent4 5 2 10 3" xfId="13470"/>
    <cellStyle name="40% - Accent4 5 2 10 3 2" xfId="13471"/>
    <cellStyle name="40% - Accent4 5 2 10 4" xfId="13472"/>
    <cellStyle name="40% - Accent4 5 2 11" xfId="13473"/>
    <cellStyle name="40% - Accent4 5 2 11 2" xfId="13474"/>
    <cellStyle name="40% - Accent4 5 2 11 2 2" xfId="13475"/>
    <cellStyle name="40% - Accent4 5 2 11 3" xfId="13476"/>
    <cellStyle name="40% - Accent4 5 2 11 3 2" xfId="13477"/>
    <cellStyle name="40% - Accent4 5 2 11 4" xfId="13478"/>
    <cellStyle name="40% - Accent4 5 2 12" xfId="13479"/>
    <cellStyle name="40% - Accent4 5 2 12 2" xfId="13480"/>
    <cellStyle name="40% - Accent4 5 2 12 2 2" xfId="13481"/>
    <cellStyle name="40% - Accent4 5 2 12 3" xfId="13482"/>
    <cellStyle name="40% - Accent4 5 2 12 3 2" xfId="13483"/>
    <cellStyle name="40% - Accent4 5 2 12 4" xfId="13484"/>
    <cellStyle name="40% - Accent4 5 2 13" xfId="13485"/>
    <cellStyle name="40% - Accent4 5 2 13 2" xfId="13486"/>
    <cellStyle name="40% - Accent4 5 2 14" xfId="13487"/>
    <cellStyle name="40% - Accent4 5 2 14 2" xfId="13488"/>
    <cellStyle name="40% - Accent4 5 2 15" xfId="13489"/>
    <cellStyle name="40% - Accent4 5 2 15 2" xfId="13490"/>
    <cellStyle name="40% - Accent4 5 2 16" xfId="13491"/>
    <cellStyle name="40% - Accent4 5 2 17" xfId="13466"/>
    <cellStyle name="40% - Accent4 5 2 2" xfId="13492"/>
    <cellStyle name="40% - Accent4 5 2 2 2" xfId="13493"/>
    <cellStyle name="40% - Accent4 5 2 2 2 2" xfId="13494"/>
    <cellStyle name="40% - Accent4 5 2 2 3" xfId="13495"/>
    <cellStyle name="40% - Accent4 5 2 2 3 2" xfId="13496"/>
    <cellStyle name="40% - Accent4 5 2 2 4" xfId="13497"/>
    <cellStyle name="40% - Accent4 5 2 3" xfId="13498"/>
    <cellStyle name="40% - Accent4 5 2 3 2" xfId="13499"/>
    <cellStyle name="40% - Accent4 5 2 3 2 2" xfId="13500"/>
    <cellStyle name="40% - Accent4 5 2 3 3" xfId="13501"/>
    <cellStyle name="40% - Accent4 5 2 3 3 2" xfId="13502"/>
    <cellStyle name="40% - Accent4 5 2 3 4" xfId="13503"/>
    <cellStyle name="40% - Accent4 5 2 4" xfId="13504"/>
    <cellStyle name="40% - Accent4 5 2 4 2" xfId="13505"/>
    <cellStyle name="40% - Accent4 5 2 4 2 2" xfId="13506"/>
    <cellStyle name="40% - Accent4 5 2 4 3" xfId="13507"/>
    <cellStyle name="40% - Accent4 5 2 4 3 2" xfId="13508"/>
    <cellStyle name="40% - Accent4 5 2 4 4" xfId="13509"/>
    <cellStyle name="40% - Accent4 5 2 5" xfId="13510"/>
    <cellStyle name="40% - Accent4 5 2 5 2" xfId="13511"/>
    <cellStyle name="40% - Accent4 5 2 5 2 2" xfId="13512"/>
    <cellStyle name="40% - Accent4 5 2 5 3" xfId="13513"/>
    <cellStyle name="40% - Accent4 5 2 5 3 2" xfId="13514"/>
    <cellStyle name="40% - Accent4 5 2 5 4" xfId="13515"/>
    <cellStyle name="40% - Accent4 5 2 6" xfId="13516"/>
    <cellStyle name="40% - Accent4 5 2 6 2" xfId="13517"/>
    <cellStyle name="40% - Accent4 5 2 6 2 2" xfId="13518"/>
    <cellStyle name="40% - Accent4 5 2 6 3" xfId="13519"/>
    <cellStyle name="40% - Accent4 5 2 6 3 2" xfId="13520"/>
    <cellStyle name="40% - Accent4 5 2 6 4" xfId="13521"/>
    <cellStyle name="40% - Accent4 5 2 7" xfId="13522"/>
    <cellStyle name="40% - Accent4 5 2 7 2" xfId="13523"/>
    <cellStyle name="40% - Accent4 5 2 7 2 2" xfId="13524"/>
    <cellStyle name="40% - Accent4 5 2 7 3" xfId="13525"/>
    <cellStyle name="40% - Accent4 5 2 7 3 2" xfId="13526"/>
    <cellStyle name="40% - Accent4 5 2 7 4" xfId="13527"/>
    <cellStyle name="40% - Accent4 5 2 8" xfId="13528"/>
    <cellStyle name="40% - Accent4 5 2 8 2" xfId="13529"/>
    <cellStyle name="40% - Accent4 5 2 8 2 2" xfId="13530"/>
    <cellStyle name="40% - Accent4 5 2 8 3" xfId="13531"/>
    <cellStyle name="40% - Accent4 5 2 8 3 2" xfId="13532"/>
    <cellStyle name="40% - Accent4 5 2 8 4" xfId="13533"/>
    <cellStyle name="40% - Accent4 5 2 9" xfId="13534"/>
    <cellStyle name="40% - Accent4 5 2 9 2" xfId="13535"/>
    <cellStyle name="40% - Accent4 5 2 9 2 2" xfId="13536"/>
    <cellStyle name="40% - Accent4 5 2 9 3" xfId="13537"/>
    <cellStyle name="40% - Accent4 5 2 9 3 2" xfId="13538"/>
    <cellStyle name="40% - Accent4 5 2 9 4" xfId="13539"/>
    <cellStyle name="40% - Accent4 5 3" xfId="2101"/>
    <cellStyle name="40% - Accent4 5 3 2" xfId="13541"/>
    <cellStyle name="40% - Accent4 5 3 2 2" xfId="13542"/>
    <cellStyle name="40% - Accent4 5 3 3" xfId="13543"/>
    <cellStyle name="40% - Accent4 5 3 3 2" xfId="13544"/>
    <cellStyle name="40% - Accent4 5 3 4" xfId="13545"/>
    <cellStyle name="40% - Accent4 5 3 4 2" xfId="13546"/>
    <cellStyle name="40% - Accent4 5 3 5" xfId="13547"/>
    <cellStyle name="40% - Accent4 5 3 6" xfId="13540"/>
    <cellStyle name="40% - Accent4 5 4" xfId="2475"/>
    <cellStyle name="40% - Accent4 5 4 2" xfId="13549"/>
    <cellStyle name="40% - Accent4 5 4 2 2" xfId="13550"/>
    <cellStyle name="40% - Accent4 5 4 3" xfId="13551"/>
    <cellStyle name="40% - Accent4 5 4 3 2" xfId="13552"/>
    <cellStyle name="40% - Accent4 5 4 4" xfId="13553"/>
    <cellStyle name="40% - Accent4 5 4 4 2" xfId="13554"/>
    <cellStyle name="40% - Accent4 5 4 5" xfId="13555"/>
    <cellStyle name="40% - Accent4 5 4 6" xfId="13548"/>
    <cellStyle name="40% - Accent4 5 5" xfId="2847"/>
    <cellStyle name="40% - Accent4 5 5 2" xfId="13557"/>
    <cellStyle name="40% - Accent4 5 5 2 2" xfId="13558"/>
    <cellStyle name="40% - Accent4 5 5 3" xfId="13559"/>
    <cellStyle name="40% - Accent4 5 5 3 2" xfId="13560"/>
    <cellStyle name="40% - Accent4 5 5 4" xfId="13561"/>
    <cellStyle name="40% - Accent4 5 5 4 2" xfId="13562"/>
    <cellStyle name="40% - Accent4 5 5 5" xfId="13563"/>
    <cellStyle name="40% - Accent4 5 5 6" xfId="13556"/>
    <cellStyle name="40% - Accent4 5 6" xfId="3218"/>
    <cellStyle name="40% - Accent4 5 6 2" xfId="13565"/>
    <cellStyle name="40% - Accent4 5 6 2 2" xfId="13566"/>
    <cellStyle name="40% - Accent4 5 6 3" xfId="13567"/>
    <cellStyle name="40% - Accent4 5 6 3 2" xfId="13568"/>
    <cellStyle name="40% - Accent4 5 6 4" xfId="13569"/>
    <cellStyle name="40% - Accent4 5 6 4 2" xfId="13570"/>
    <cellStyle name="40% - Accent4 5 6 5" xfId="13571"/>
    <cellStyle name="40% - Accent4 5 6 6" xfId="13564"/>
    <cellStyle name="40% - Accent4 5 7" xfId="4594"/>
    <cellStyle name="40% - Accent4 5 7 2" xfId="13573"/>
    <cellStyle name="40% - Accent4 5 7 2 2" xfId="13574"/>
    <cellStyle name="40% - Accent4 5 7 3" xfId="13575"/>
    <cellStyle name="40% - Accent4 5 7 3 2" xfId="13576"/>
    <cellStyle name="40% - Accent4 5 7 4" xfId="13577"/>
    <cellStyle name="40% - Accent4 5 7 5" xfId="13572"/>
    <cellStyle name="40% - Accent4 5 8" xfId="13578"/>
    <cellStyle name="40% - Accent4 5 8 2" xfId="13579"/>
    <cellStyle name="40% - Accent4 5 8 2 2" xfId="13580"/>
    <cellStyle name="40% - Accent4 5 8 3" xfId="13581"/>
    <cellStyle name="40% - Accent4 5 8 3 2" xfId="13582"/>
    <cellStyle name="40% - Accent4 5 8 4" xfId="13583"/>
    <cellStyle name="40% - Accent4 5 9" xfId="13584"/>
    <cellStyle name="40% - Accent4 5 9 2" xfId="13585"/>
    <cellStyle name="40% - Accent4 5 9 2 2" xfId="13586"/>
    <cellStyle name="40% - Accent4 5 9 3" xfId="13587"/>
    <cellStyle name="40% - Accent4 5 9 3 2" xfId="13588"/>
    <cellStyle name="40% - Accent4 5 9 4" xfId="13589"/>
    <cellStyle name="40% - Accent4 6" xfId="396"/>
    <cellStyle name="40% - Accent4 6 10" xfId="5416"/>
    <cellStyle name="40% - Accent4 6 10 2" xfId="6373"/>
    <cellStyle name="40% - Accent4 6 10 2 2" xfId="13593"/>
    <cellStyle name="40% - Accent4 6 10 2 3" xfId="13592"/>
    <cellStyle name="40% - Accent4 6 10 2 4" xfId="26503"/>
    <cellStyle name="40% - Accent4 6 10 3" xfId="13594"/>
    <cellStyle name="40% - Accent4 6 10 3 2" xfId="13595"/>
    <cellStyle name="40% - Accent4 6 10 4" xfId="13596"/>
    <cellStyle name="40% - Accent4 6 10 5" xfId="13591"/>
    <cellStyle name="40% - Accent4 6 10 6" xfId="26502"/>
    <cellStyle name="40% - Accent4 6 11" xfId="5726"/>
    <cellStyle name="40% - Accent4 6 11 2" xfId="6374"/>
    <cellStyle name="40% - Accent4 6 11 2 2" xfId="13599"/>
    <cellStyle name="40% - Accent4 6 11 2 3" xfId="13598"/>
    <cellStyle name="40% - Accent4 6 11 2 4" xfId="26505"/>
    <cellStyle name="40% - Accent4 6 11 3" xfId="13600"/>
    <cellStyle name="40% - Accent4 6 11 3 2" xfId="13601"/>
    <cellStyle name="40% - Accent4 6 11 4" xfId="13602"/>
    <cellStyle name="40% - Accent4 6 11 5" xfId="13597"/>
    <cellStyle name="40% - Accent4 6 11 6" xfId="26504"/>
    <cellStyle name="40% - Accent4 6 12" xfId="4595"/>
    <cellStyle name="40% - Accent4 6 12 2" xfId="6375"/>
    <cellStyle name="40% - Accent4 6 12 2 2" xfId="13605"/>
    <cellStyle name="40% - Accent4 6 12 2 3" xfId="13604"/>
    <cellStyle name="40% - Accent4 6 12 2 4" xfId="26507"/>
    <cellStyle name="40% - Accent4 6 12 3" xfId="13606"/>
    <cellStyle name="40% - Accent4 6 12 3 2" xfId="13607"/>
    <cellStyle name="40% - Accent4 6 12 4" xfId="13608"/>
    <cellStyle name="40% - Accent4 6 12 5" xfId="13603"/>
    <cellStyle name="40% - Accent4 6 12 6" xfId="26506"/>
    <cellStyle name="40% - Accent4 6 13" xfId="6372"/>
    <cellStyle name="40% - Accent4 6 13 2" xfId="13610"/>
    <cellStyle name="40% - Accent4 6 13 3" xfId="13609"/>
    <cellStyle name="40% - Accent4 6 13 4" xfId="26508"/>
    <cellStyle name="40% - Accent4 6 14" xfId="13611"/>
    <cellStyle name="40% - Accent4 6 14 2" xfId="13612"/>
    <cellStyle name="40% - Accent4 6 15" xfId="13613"/>
    <cellStyle name="40% - Accent4 6 15 2" xfId="13614"/>
    <cellStyle name="40% - Accent4 6 16" xfId="13615"/>
    <cellStyle name="40% - Accent4 6 16 2" xfId="13616"/>
    <cellStyle name="40% - Accent4 6 16 2 2" xfId="13617"/>
    <cellStyle name="40% - Accent4 6 16 3" xfId="13618"/>
    <cellStyle name="40% - Accent4 6 16 3 2" xfId="13619"/>
    <cellStyle name="40% - Accent4 6 16 4" xfId="13620"/>
    <cellStyle name="40% - Accent4 6 17" xfId="13621"/>
    <cellStyle name="40% - Accent4 6 17 2" xfId="13622"/>
    <cellStyle name="40% - Accent4 6 18" xfId="13623"/>
    <cellStyle name="40% - Accent4 6 18 2" xfId="13624"/>
    <cellStyle name="40% - Accent4 6 19" xfId="13625"/>
    <cellStyle name="40% - Accent4 6 2" xfId="1978"/>
    <cellStyle name="40% - Accent4 6 2 2" xfId="4596"/>
    <cellStyle name="40% - Accent4 6 2 2 2" xfId="13628"/>
    <cellStyle name="40% - Accent4 6 2 2 3" xfId="13627"/>
    <cellStyle name="40% - Accent4 6 2 3" xfId="13629"/>
    <cellStyle name="40% - Accent4 6 2 3 2" xfId="13630"/>
    <cellStyle name="40% - Accent4 6 2 4" xfId="13631"/>
    <cellStyle name="40% - Accent4 6 2 4 2" xfId="13632"/>
    <cellStyle name="40% - Accent4 6 2 5" xfId="13633"/>
    <cellStyle name="40% - Accent4 6 2 5 2" xfId="13634"/>
    <cellStyle name="40% - Accent4 6 2 6" xfId="13635"/>
    <cellStyle name="40% - Accent4 6 2 7" xfId="13626"/>
    <cellStyle name="40% - Accent4 6 20" xfId="13590"/>
    <cellStyle name="40% - Accent4 6 21" xfId="24840"/>
    <cellStyle name="40% - Accent4 6 22" xfId="26501"/>
    <cellStyle name="40% - Accent4 6 3" xfId="2353"/>
    <cellStyle name="40% - Accent4 6 3 2" xfId="4597"/>
    <cellStyle name="40% - Accent4 6 3 2 2" xfId="13638"/>
    <cellStyle name="40% - Accent4 6 3 2 3" xfId="13637"/>
    <cellStyle name="40% - Accent4 6 3 3" xfId="13639"/>
    <cellStyle name="40% - Accent4 6 3 3 2" xfId="13640"/>
    <cellStyle name="40% - Accent4 6 3 4" xfId="13641"/>
    <cellStyle name="40% - Accent4 6 3 4 2" xfId="13642"/>
    <cellStyle name="40% - Accent4 6 3 5" xfId="13643"/>
    <cellStyle name="40% - Accent4 6 3 5 2" xfId="13644"/>
    <cellStyle name="40% - Accent4 6 3 6" xfId="13645"/>
    <cellStyle name="40% - Accent4 6 3 7" xfId="13636"/>
    <cellStyle name="40% - Accent4 6 4" xfId="2726"/>
    <cellStyle name="40% - Accent4 6 4 2" xfId="4598"/>
    <cellStyle name="40% - Accent4 6 4 2 2" xfId="13648"/>
    <cellStyle name="40% - Accent4 6 4 2 3" xfId="13647"/>
    <cellStyle name="40% - Accent4 6 4 3" xfId="13649"/>
    <cellStyle name="40% - Accent4 6 4 3 2" xfId="13650"/>
    <cellStyle name="40% - Accent4 6 4 4" xfId="13651"/>
    <cellStyle name="40% - Accent4 6 4 4 2" xfId="13652"/>
    <cellStyle name="40% - Accent4 6 4 5" xfId="13653"/>
    <cellStyle name="40% - Accent4 6 4 5 2" xfId="13654"/>
    <cellStyle name="40% - Accent4 6 4 6" xfId="13655"/>
    <cellStyle name="40% - Accent4 6 4 7" xfId="13646"/>
    <cellStyle name="40% - Accent4 6 5" xfId="3099"/>
    <cellStyle name="40% - Accent4 6 5 2" xfId="4599"/>
    <cellStyle name="40% - Accent4 6 5 2 2" xfId="13658"/>
    <cellStyle name="40% - Accent4 6 5 2 3" xfId="13657"/>
    <cellStyle name="40% - Accent4 6 5 3" xfId="13659"/>
    <cellStyle name="40% - Accent4 6 5 3 2" xfId="13660"/>
    <cellStyle name="40% - Accent4 6 5 4" xfId="13661"/>
    <cellStyle name="40% - Accent4 6 5 4 2" xfId="13662"/>
    <cellStyle name="40% - Accent4 6 5 5" xfId="13663"/>
    <cellStyle name="40% - Accent4 6 5 5 2" xfId="13664"/>
    <cellStyle name="40% - Accent4 6 5 6" xfId="13665"/>
    <cellStyle name="40% - Accent4 6 5 7" xfId="13656"/>
    <cellStyle name="40% - Accent4 6 6" xfId="3470"/>
    <cellStyle name="40% - Accent4 6 6 2" xfId="4600"/>
    <cellStyle name="40% - Accent4 6 6 2 2" xfId="13668"/>
    <cellStyle name="40% - Accent4 6 6 2 3" xfId="13667"/>
    <cellStyle name="40% - Accent4 6 6 3" xfId="13669"/>
    <cellStyle name="40% - Accent4 6 6 3 2" xfId="13670"/>
    <cellStyle name="40% - Accent4 6 6 4" xfId="13671"/>
    <cellStyle name="40% - Accent4 6 6 4 2" xfId="13672"/>
    <cellStyle name="40% - Accent4 6 6 5" xfId="13673"/>
    <cellStyle name="40% - Accent4 6 6 5 2" xfId="13674"/>
    <cellStyle name="40% - Accent4 6 6 6" xfId="13675"/>
    <cellStyle name="40% - Accent4 6 6 7" xfId="13666"/>
    <cellStyle name="40% - Accent4 6 7" xfId="3776"/>
    <cellStyle name="40% - Accent4 6 7 2" xfId="4601"/>
    <cellStyle name="40% - Accent4 6 7 2 2" xfId="13678"/>
    <cellStyle name="40% - Accent4 6 7 2 3" xfId="13677"/>
    <cellStyle name="40% - Accent4 6 7 3" xfId="13679"/>
    <cellStyle name="40% - Accent4 6 7 3 2" xfId="13680"/>
    <cellStyle name="40% - Accent4 6 7 4" xfId="13681"/>
    <cellStyle name="40% - Accent4 6 7 4 2" xfId="13682"/>
    <cellStyle name="40% - Accent4 6 7 5" xfId="13683"/>
    <cellStyle name="40% - Accent4 6 7 5 2" xfId="13684"/>
    <cellStyle name="40% - Accent4 6 7 6" xfId="13685"/>
    <cellStyle name="40% - Accent4 6 7 7" xfId="13676"/>
    <cellStyle name="40% - Accent4 6 8" xfId="1366"/>
    <cellStyle name="40% - Accent4 6 8 10" xfId="24898"/>
    <cellStyle name="40% - Accent4 6 8 11" xfId="26509"/>
    <cellStyle name="40% - Accent4 6 8 2" xfId="4166"/>
    <cellStyle name="40% - Accent4 6 8 2 2" xfId="5418"/>
    <cellStyle name="40% - Accent4 6 8 2 2 2" xfId="6378"/>
    <cellStyle name="40% - Accent4 6 8 2 2 2 2" xfId="13689"/>
    <cellStyle name="40% - Accent4 6 8 2 2 2 3" xfId="26512"/>
    <cellStyle name="40% - Accent4 6 8 2 2 3" xfId="13688"/>
    <cellStyle name="40% - Accent4 6 8 2 2 4" xfId="26511"/>
    <cellStyle name="40% - Accent4 6 8 2 3" xfId="5728"/>
    <cellStyle name="40% - Accent4 6 8 2 3 2" xfId="6379"/>
    <cellStyle name="40% - Accent4 6 8 2 3 2 2" xfId="26514"/>
    <cellStyle name="40% - Accent4 6 8 2 3 3" xfId="13690"/>
    <cellStyle name="40% - Accent4 6 8 2 3 4" xfId="26513"/>
    <cellStyle name="40% - Accent4 6 8 2 4" xfId="4603"/>
    <cellStyle name="40% - Accent4 6 8 2 4 2" xfId="6380"/>
    <cellStyle name="40% - Accent4 6 8 2 4 2 2" xfId="26516"/>
    <cellStyle name="40% - Accent4 6 8 2 4 3" xfId="26515"/>
    <cellStyle name="40% - Accent4 6 8 2 5" xfId="6377"/>
    <cellStyle name="40% - Accent4 6 8 2 5 2" xfId="26517"/>
    <cellStyle name="40% - Accent4 6 8 2 6" xfId="13687"/>
    <cellStyle name="40% - Accent4 6 8 2 7" xfId="25018"/>
    <cellStyle name="40% - Accent4 6 8 2 8" xfId="26510"/>
    <cellStyle name="40% - Accent4 6 8 3" xfId="5417"/>
    <cellStyle name="40% - Accent4 6 8 3 2" xfId="6381"/>
    <cellStyle name="40% - Accent4 6 8 3 2 2" xfId="13692"/>
    <cellStyle name="40% - Accent4 6 8 3 2 3" xfId="26519"/>
    <cellStyle name="40% - Accent4 6 8 3 3" xfId="13691"/>
    <cellStyle name="40% - Accent4 6 8 3 4" xfId="26518"/>
    <cellStyle name="40% - Accent4 6 8 4" xfId="5727"/>
    <cellStyle name="40% - Accent4 6 8 4 2" xfId="6382"/>
    <cellStyle name="40% - Accent4 6 8 4 2 2" xfId="13694"/>
    <cellStyle name="40% - Accent4 6 8 4 2 3" xfId="26521"/>
    <cellStyle name="40% - Accent4 6 8 4 3" xfId="13693"/>
    <cellStyle name="40% - Accent4 6 8 4 4" xfId="26520"/>
    <cellStyle name="40% - Accent4 6 8 5" xfId="4602"/>
    <cellStyle name="40% - Accent4 6 8 5 2" xfId="6383"/>
    <cellStyle name="40% - Accent4 6 8 5 2 2" xfId="13697"/>
    <cellStyle name="40% - Accent4 6 8 5 2 3" xfId="13696"/>
    <cellStyle name="40% - Accent4 6 8 5 2 4" xfId="26523"/>
    <cellStyle name="40% - Accent4 6 8 5 3" xfId="13698"/>
    <cellStyle name="40% - Accent4 6 8 5 3 2" xfId="13699"/>
    <cellStyle name="40% - Accent4 6 8 5 4" xfId="13700"/>
    <cellStyle name="40% - Accent4 6 8 5 5" xfId="13695"/>
    <cellStyle name="40% - Accent4 6 8 5 6" xfId="26522"/>
    <cellStyle name="40% - Accent4 6 8 6" xfId="6376"/>
    <cellStyle name="40% - Accent4 6 8 6 2" xfId="13702"/>
    <cellStyle name="40% - Accent4 6 8 6 3" xfId="13701"/>
    <cellStyle name="40% - Accent4 6 8 6 4" xfId="26524"/>
    <cellStyle name="40% - Accent4 6 8 7" xfId="13703"/>
    <cellStyle name="40% - Accent4 6 8 7 2" xfId="13704"/>
    <cellStyle name="40% - Accent4 6 8 8" xfId="13705"/>
    <cellStyle name="40% - Accent4 6 8 9" xfId="13686"/>
    <cellStyle name="40% - Accent4 6 9" xfId="3826"/>
    <cellStyle name="40% - Accent4 6 9 2" xfId="5419"/>
    <cellStyle name="40% - Accent4 6 9 2 2" xfId="6385"/>
    <cellStyle name="40% - Accent4 6 9 2 2 2" xfId="13708"/>
    <cellStyle name="40% - Accent4 6 9 2 2 3" xfId="26527"/>
    <cellStyle name="40% - Accent4 6 9 2 3" xfId="13707"/>
    <cellStyle name="40% - Accent4 6 9 2 4" xfId="26526"/>
    <cellStyle name="40% - Accent4 6 9 3" xfId="5729"/>
    <cellStyle name="40% - Accent4 6 9 3 2" xfId="6386"/>
    <cellStyle name="40% - Accent4 6 9 3 2 2" xfId="13710"/>
    <cellStyle name="40% - Accent4 6 9 3 2 3" xfId="26529"/>
    <cellStyle name="40% - Accent4 6 9 3 3" xfId="13709"/>
    <cellStyle name="40% - Accent4 6 9 3 4" xfId="26528"/>
    <cellStyle name="40% - Accent4 6 9 4" xfId="4604"/>
    <cellStyle name="40% - Accent4 6 9 4 2" xfId="6387"/>
    <cellStyle name="40% - Accent4 6 9 4 2 2" xfId="13712"/>
    <cellStyle name="40% - Accent4 6 9 4 2 3" xfId="26531"/>
    <cellStyle name="40% - Accent4 6 9 4 3" xfId="13711"/>
    <cellStyle name="40% - Accent4 6 9 4 4" xfId="26530"/>
    <cellStyle name="40% - Accent4 6 9 5" xfId="6384"/>
    <cellStyle name="40% - Accent4 6 9 5 2" xfId="13713"/>
    <cellStyle name="40% - Accent4 6 9 5 3" xfId="26532"/>
    <cellStyle name="40% - Accent4 6 9 6" xfId="13706"/>
    <cellStyle name="40% - Accent4 6 9 7" xfId="24962"/>
    <cellStyle name="40% - Accent4 6 9 8" xfId="26525"/>
    <cellStyle name="40% - Accent4 7" xfId="397"/>
    <cellStyle name="40% - Accent4 7 10" xfId="13715"/>
    <cellStyle name="40% - Accent4 7 10 2" xfId="13716"/>
    <cellStyle name="40% - Accent4 7 10 2 2" xfId="13717"/>
    <cellStyle name="40% - Accent4 7 10 3" xfId="13718"/>
    <cellStyle name="40% - Accent4 7 10 3 2" xfId="13719"/>
    <cellStyle name="40% - Accent4 7 10 4" xfId="13720"/>
    <cellStyle name="40% - Accent4 7 11" xfId="13721"/>
    <cellStyle name="40% - Accent4 7 11 2" xfId="13722"/>
    <cellStyle name="40% - Accent4 7 11 2 2" xfId="13723"/>
    <cellStyle name="40% - Accent4 7 11 3" xfId="13724"/>
    <cellStyle name="40% - Accent4 7 11 3 2" xfId="13725"/>
    <cellStyle name="40% - Accent4 7 11 4" xfId="13726"/>
    <cellStyle name="40% - Accent4 7 12" xfId="13727"/>
    <cellStyle name="40% - Accent4 7 12 2" xfId="13728"/>
    <cellStyle name="40% - Accent4 7 12 2 2" xfId="13729"/>
    <cellStyle name="40% - Accent4 7 12 3" xfId="13730"/>
    <cellStyle name="40% - Accent4 7 12 3 2" xfId="13731"/>
    <cellStyle name="40% - Accent4 7 12 4" xfId="13732"/>
    <cellStyle name="40% - Accent4 7 13" xfId="13733"/>
    <cellStyle name="40% - Accent4 7 13 2" xfId="13734"/>
    <cellStyle name="40% - Accent4 7 14" xfId="13735"/>
    <cellStyle name="40% - Accent4 7 14 2" xfId="13736"/>
    <cellStyle name="40% - Accent4 7 15" xfId="13737"/>
    <cellStyle name="40% - Accent4 7 15 2" xfId="13738"/>
    <cellStyle name="40% - Accent4 7 16" xfId="13739"/>
    <cellStyle name="40% - Accent4 7 16 2" xfId="13740"/>
    <cellStyle name="40% - Accent4 7 17" xfId="13741"/>
    <cellStyle name="40% - Accent4 7 18" xfId="13714"/>
    <cellStyle name="40% - Accent4 7 2" xfId="4605"/>
    <cellStyle name="40% - Accent4 7 2 2" xfId="13743"/>
    <cellStyle name="40% - Accent4 7 2 2 2" xfId="13744"/>
    <cellStyle name="40% - Accent4 7 2 3" xfId="13745"/>
    <cellStyle name="40% - Accent4 7 2 3 2" xfId="13746"/>
    <cellStyle name="40% - Accent4 7 2 4" xfId="13747"/>
    <cellStyle name="40% - Accent4 7 2 5" xfId="13742"/>
    <cellStyle name="40% - Accent4 7 3" xfId="13748"/>
    <cellStyle name="40% - Accent4 7 3 2" xfId="13749"/>
    <cellStyle name="40% - Accent4 7 3 2 2" xfId="13750"/>
    <cellStyle name="40% - Accent4 7 3 3" xfId="13751"/>
    <cellStyle name="40% - Accent4 7 3 3 2" xfId="13752"/>
    <cellStyle name="40% - Accent4 7 3 4" xfId="13753"/>
    <cellStyle name="40% - Accent4 7 4" xfId="13754"/>
    <cellStyle name="40% - Accent4 7 4 2" xfId="13755"/>
    <cellStyle name="40% - Accent4 7 4 2 2" xfId="13756"/>
    <cellStyle name="40% - Accent4 7 4 3" xfId="13757"/>
    <cellStyle name="40% - Accent4 7 4 3 2" xfId="13758"/>
    <cellStyle name="40% - Accent4 7 4 4" xfId="13759"/>
    <cellStyle name="40% - Accent4 7 5" xfId="13760"/>
    <cellStyle name="40% - Accent4 7 5 2" xfId="13761"/>
    <cellStyle name="40% - Accent4 7 5 2 2" xfId="13762"/>
    <cellStyle name="40% - Accent4 7 5 3" xfId="13763"/>
    <cellStyle name="40% - Accent4 7 5 3 2" xfId="13764"/>
    <cellStyle name="40% - Accent4 7 5 4" xfId="13765"/>
    <cellStyle name="40% - Accent4 7 6" xfId="13766"/>
    <cellStyle name="40% - Accent4 7 6 2" xfId="13767"/>
    <cellStyle name="40% - Accent4 7 6 2 2" xfId="13768"/>
    <cellStyle name="40% - Accent4 7 6 3" xfId="13769"/>
    <cellStyle name="40% - Accent4 7 6 3 2" xfId="13770"/>
    <cellStyle name="40% - Accent4 7 6 4" xfId="13771"/>
    <cellStyle name="40% - Accent4 7 7" xfId="13772"/>
    <cellStyle name="40% - Accent4 7 7 2" xfId="13773"/>
    <cellStyle name="40% - Accent4 7 7 2 2" xfId="13774"/>
    <cellStyle name="40% - Accent4 7 7 3" xfId="13775"/>
    <cellStyle name="40% - Accent4 7 7 3 2" xfId="13776"/>
    <cellStyle name="40% - Accent4 7 7 4" xfId="13777"/>
    <cellStyle name="40% - Accent4 7 8" xfId="13778"/>
    <cellStyle name="40% - Accent4 7 8 2" xfId="13779"/>
    <cellStyle name="40% - Accent4 7 8 2 2" xfId="13780"/>
    <cellStyle name="40% - Accent4 7 8 3" xfId="13781"/>
    <cellStyle name="40% - Accent4 7 8 3 2" xfId="13782"/>
    <cellStyle name="40% - Accent4 7 8 4" xfId="13783"/>
    <cellStyle name="40% - Accent4 7 9" xfId="13784"/>
    <cellStyle name="40% - Accent4 7 9 2" xfId="13785"/>
    <cellStyle name="40% - Accent4 7 9 2 2" xfId="13786"/>
    <cellStyle name="40% - Accent4 7 9 3" xfId="13787"/>
    <cellStyle name="40% - Accent4 7 9 3 2" xfId="13788"/>
    <cellStyle name="40% - Accent4 7 9 4" xfId="13789"/>
    <cellStyle name="40% - Accent4 8" xfId="547"/>
    <cellStyle name="40% - Accent4 8 10" xfId="13790"/>
    <cellStyle name="40% - Accent4 8 11" xfId="24854"/>
    <cellStyle name="40% - Accent4 8 12" xfId="26533"/>
    <cellStyle name="40% - Accent4 8 2" xfId="1379"/>
    <cellStyle name="40% - Accent4 8 2 10" xfId="24911"/>
    <cellStyle name="40% - Accent4 8 2 11" xfId="26534"/>
    <cellStyle name="40% - Accent4 8 2 2" xfId="4179"/>
    <cellStyle name="40% - Accent4 8 2 2 2" xfId="5422"/>
    <cellStyle name="40% - Accent4 8 2 2 2 2" xfId="6391"/>
    <cellStyle name="40% - Accent4 8 2 2 2 2 2" xfId="13794"/>
    <cellStyle name="40% - Accent4 8 2 2 2 2 3" xfId="26537"/>
    <cellStyle name="40% - Accent4 8 2 2 2 3" xfId="13793"/>
    <cellStyle name="40% - Accent4 8 2 2 2 4" xfId="26536"/>
    <cellStyle name="40% - Accent4 8 2 2 3" xfId="5732"/>
    <cellStyle name="40% - Accent4 8 2 2 3 2" xfId="6392"/>
    <cellStyle name="40% - Accent4 8 2 2 3 2 2" xfId="26539"/>
    <cellStyle name="40% - Accent4 8 2 2 3 3" xfId="13795"/>
    <cellStyle name="40% - Accent4 8 2 2 3 4" xfId="26538"/>
    <cellStyle name="40% - Accent4 8 2 2 4" xfId="4608"/>
    <cellStyle name="40% - Accent4 8 2 2 4 2" xfId="6393"/>
    <cellStyle name="40% - Accent4 8 2 2 4 2 2" xfId="26541"/>
    <cellStyle name="40% - Accent4 8 2 2 4 3" xfId="26540"/>
    <cellStyle name="40% - Accent4 8 2 2 5" xfId="6390"/>
    <cellStyle name="40% - Accent4 8 2 2 5 2" xfId="26542"/>
    <cellStyle name="40% - Accent4 8 2 2 6" xfId="13792"/>
    <cellStyle name="40% - Accent4 8 2 2 7" xfId="25031"/>
    <cellStyle name="40% - Accent4 8 2 2 8" xfId="26535"/>
    <cellStyle name="40% - Accent4 8 2 3" xfId="5421"/>
    <cellStyle name="40% - Accent4 8 2 3 2" xfId="6394"/>
    <cellStyle name="40% - Accent4 8 2 3 2 2" xfId="13797"/>
    <cellStyle name="40% - Accent4 8 2 3 2 3" xfId="26544"/>
    <cellStyle name="40% - Accent4 8 2 3 3" xfId="13796"/>
    <cellStyle name="40% - Accent4 8 2 3 4" xfId="26543"/>
    <cellStyle name="40% - Accent4 8 2 4" xfId="5731"/>
    <cellStyle name="40% - Accent4 8 2 4 2" xfId="6395"/>
    <cellStyle name="40% - Accent4 8 2 4 2 2" xfId="13799"/>
    <cellStyle name="40% - Accent4 8 2 4 2 3" xfId="26546"/>
    <cellStyle name="40% - Accent4 8 2 4 3" xfId="13798"/>
    <cellStyle name="40% - Accent4 8 2 4 4" xfId="26545"/>
    <cellStyle name="40% - Accent4 8 2 5" xfId="4607"/>
    <cellStyle name="40% - Accent4 8 2 5 2" xfId="6396"/>
    <cellStyle name="40% - Accent4 8 2 5 2 2" xfId="13802"/>
    <cellStyle name="40% - Accent4 8 2 5 2 3" xfId="13801"/>
    <cellStyle name="40% - Accent4 8 2 5 2 4" xfId="26548"/>
    <cellStyle name="40% - Accent4 8 2 5 3" xfId="13803"/>
    <cellStyle name="40% - Accent4 8 2 5 3 2" xfId="13804"/>
    <cellStyle name="40% - Accent4 8 2 5 4" xfId="13805"/>
    <cellStyle name="40% - Accent4 8 2 5 5" xfId="13800"/>
    <cellStyle name="40% - Accent4 8 2 5 6" xfId="26547"/>
    <cellStyle name="40% - Accent4 8 2 6" xfId="6389"/>
    <cellStyle name="40% - Accent4 8 2 6 2" xfId="13807"/>
    <cellStyle name="40% - Accent4 8 2 6 3" xfId="13806"/>
    <cellStyle name="40% - Accent4 8 2 6 4" xfId="26549"/>
    <cellStyle name="40% - Accent4 8 2 7" xfId="13808"/>
    <cellStyle name="40% - Accent4 8 2 7 2" xfId="13809"/>
    <cellStyle name="40% - Accent4 8 2 8" xfId="13810"/>
    <cellStyle name="40% - Accent4 8 2 9" xfId="13791"/>
    <cellStyle name="40% - Accent4 8 3" xfId="3840"/>
    <cellStyle name="40% - Accent4 8 3 2" xfId="5423"/>
    <cellStyle name="40% - Accent4 8 3 2 2" xfId="6398"/>
    <cellStyle name="40% - Accent4 8 3 2 2 2" xfId="13813"/>
    <cellStyle name="40% - Accent4 8 3 2 2 3" xfId="26552"/>
    <cellStyle name="40% - Accent4 8 3 2 3" xfId="13812"/>
    <cellStyle name="40% - Accent4 8 3 2 4" xfId="26551"/>
    <cellStyle name="40% - Accent4 8 3 3" xfId="5733"/>
    <cellStyle name="40% - Accent4 8 3 3 2" xfId="6399"/>
    <cellStyle name="40% - Accent4 8 3 3 2 2" xfId="26554"/>
    <cellStyle name="40% - Accent4 8 3 3 3" xfId="13814"/>
    <cellStyle name="40% - Accent4 8 3 3 4" xfId="26553"/>
    <cellStyle name="40% - Accent4 8 3 4" xfId="4609"/>
    <cellStyle name="40% - Accent4 8 3 4 2" xfId="6400"/>
    <cellStyle name="40% - Accent4 8 3 4 2 2" xfId="26556"/>
    <cellStyle name="40% - Accent4 8 3 4 3" xfId="26555"/>
    <cellStyle name="40% - Accent4 8 3 5" xfId="6397"/>
    <cellStyle name="40% - Accent4 8 3 5 2" xfId="26557"/>
    <cellStyle name="40% - Accent4 8 3 6" xfId="13811"/>
    <cellStyle name="40% - Accent4 8 3 7" xfId="24976"/>
    <cellStyle name="40% - Accent4 8 3 8" xfId="26550"/>
    <cellStyle name="40% - Accent4 8 4" xfId="5420"/>
    <cellStyle name="40% - Accent4 8 4 2" xfId="6401"/>
    <cellStyle name="40% - Accent4 8 4 2 2" xfId="13816"/>
    <cellStyle name="40% - Accent4 8 4 2 3" xfId="26559"/>
    <cellStyle name="40% - Accent4 8 4 3" xfId="13815"/>
    <cellStyle name="40% - Accent4 8 4 4" xfId="26558"/>
    <cellStyle name="40% - Accent4 8 5" xfId="5730"/>
    <cellStyle name="40% - Accent4 8 5 2" xfId="6402"/>
    <cellStyle name="40% - Accent4 8 5 2 2" xfId="13818"/>
    <cellStyle name="40% - Accent4 8 5 2 3" xfId="26561"/>
    <cellStyle name="40% - Accent4 8 5 3" xfId="13817"/>
    <cellStyle name="40% - Accent4 8 5 4" xfId="26560"/>
    <cellStyle name="40% - Accent4 8 6" xfId="4606"/>
    <cellStyle name="40% - Accent4 8 6 2" xfId="6403"/>
    <cellStyle name="40% - Accent4 8 6 2 2" xfId="13821"/>
    <cellStyle name="40% - Accent4 8 6 2 3" xfId="13820"/>
    <cellStyle name="40% - Accent4 8 6 2 4" xfId="26563"/>
    <cellStyle name="40% - Accent4 8 6 3" xfId="13822"/>
    <cellStyle name="40% - Accent4 8 6 3 2" xfId="13823"/>
    <cellStyle name="40% - Accent4 8 6 4" xfId="13824"/>
    <cellStyle name="40% - Accent4 8 6 5" xfId="13819"/>
    <cellStyle name="40% - Accent4 8 6 6" xfId="26562"/>
    <cellStyle name="40% - Accent4 8 7" xfId="6388"/>
    <cellStyle name="40% - Accent4 8 7 2" xfId="13826"/>
    <cellStyle name="40% - Accent4 8 7 3" xfId="13825"/>
    <cellStyle name="40% - Accent4 8 7 4" xfId="26564"/>
    <cellStyle name="40% - Accent4 8 8" xfId="13827"/>
    <cellStyle name="40% - Accent4 8 8 2" xfId="13828"/>
    <cellStyle name="40% - Accent4 8 9" xfId="13829"/>
    <cellStyle name="40% - Accent4 9" xfId="548"/>
    <cellStyle name="40% - Accent4 9 2" xfId="4610"/>
    <cellStyle name="40% - Accent4 9 2 2" xfId="13832"/>
    <cellStyle name="40% - Accent4 9 2 2 2" xfId="13833"/>
    <cellStyle name="40% - Accent4 9 2 3" xfId="13834"/>
    <cellStyle name="40% - Accent4 9 2 3 2" xfId="13835"/>
    <cellStyle name="40% - Accent4 9 2 4" xfId="13836"/>
    <cellStyle name="40% - Accent4 9 2 5" xfId="13831"/>
    <cellStyle name="40% - Accent4 9 3" xfId="13837"/>
    <cellStyle name="40% - Accent4 9 3 2" xfId="13838"/>
    <cellStyle name="40% - Accent4 9 4" xfId="13839"/>
    <cellStyle name="40% - Accent4 9 4 2" xfId="13840"/>
    <cellStyle name="40% - Accent4 9 5" xfId="13841"/>
    <cellStyle name="40% - Accent4 9 5 2" xfId="13842"/>
    <cellStyle name="40% - Accent4 9 6" xfId="13843"/>
    <cellStyle name="40% - Accent4 9 6 2" xfId="13844"/>
    <cellStyle name="40% - Accent4 9 7" xfId="13845"/>
    <cellStyle name="40% - Accent4 9 8" xfId="13830"/>
    <cellStyle name="40% - Accent5 10" xfId="680"/>
    <cellStyle name="40% - Accent5 10 2" xfId="4611"/>
    <cellStyle name="40% - Accent5 10 2 2" xfId="13849"/>
    <cellStyle name="40% - Accent5 10 2 3" xfId="13848"/>
    <cellStyle name="40% - Accent5 10 3" xfId="13850"/>
    <cellStyle name="40% - Accent5 10 3 2" xfId="13851"/>
    <cellStyle name="40% - Accent5 10 4" xfId="13852"/>
    <cellStyle name="40% - Accent5 10 4 2" xfId="13853"/>
    <cellStyle name="40% - Accent5 10 5" xfId="13854"/>
    <cellStyle name="40% - Accent5 10 5 2" xfId="13855"/>
    <cellStyle name="40% - Accent5 10 6" xfId="13856"/>
    <cellStyle name="40% - Accent5 10 7" xfId="13847"/>
    <cellStyle name="40% - Accent5 11" xfId="681"/>
    <cellStyle name="40% - Accent5 11 2" xfId="4612"/>
    <cellStyle name="40% - Accent5 11 2 2" xfId="13859"/>
    <cellStyle name="40% - Accent5 11 2 3" xfId="13858"/>
    <cellStyle name="40% - Accent5 11 3" xfId="13860"/>
    <cellStyle name="40% - Accent5 11 3 2" xfId="13861"/>
    <cellStyle name="40% - Accent5 11 4" xfId="13862"/>
    <cellStyle name="40% - Accent5 11 4 2" xfId="13863"/>
    <cellStyle name="40% - Accent5 11 5" xfId="13864"/>
    <cellStyle name="40% - Accent5 11 5 2" xfId="13865"/>
    <cellStyle name="40% - Accent5 11 6" xfId="13866"/>
    <cellStyle name="40% - Accent5 11 7" xfId="13857"/>
    <cellStyle name="40% - Accent5 12" xfId="828"/>
    <cellStyle name="40% - Accent5 12 2" xfId="13868"/>
    <cellStyle name="40% - Accent5 12 2 2" xfId="13869"/>
    <cellStyle name="40% - Accent5 12 3" xfId="13870"/>
    <cellStyle name="40% - Accent5 12 3 2" xfId="13871"/>
    <cellStyle name="40% - Accent5 12 4" xfId="13872"/>
    <cellStyle name="40% - Accent5 12 5" xfId="13867"/>
    <cellStyle name="40% - Accent5 13" xfId="829"/>
    <cellStyle name="40% - Accent5 13 2" xfId="3855"/>
    <cellStyle name="40% - Accent5 13 2 2" xfId="6405"/>
    <cellStyle name="40% - Accent5 13 2 2 2" xfId="13875"/>
    <cellStyle name="40% - Accent5 13 2 2 3" xfId="26567"/>
    <cellStyle name="40% - Accent5 13 2 3" xfId="13874"/>
    <cellStyle name="40% - Accent5 13 2 4" xfId="24991"/>
    <cellStyle name="40% - Accent5 13 2 5" xfId="26566"/>
    <cellStyle name="40% - Accent5 13 3" xfId="6404"/>
    <cellStyle name="40% - Accent5 13 3 2" xfId="13877"/>
    <cellStyle name="40% - Accent5 13 3 3" xfId="13876"/>
    <cellStyle name="40% - Accent5 13 3 4" xfId="26568"/>
    <cellStyle name="40% - Accent5 13 4" xfId="13878"/>
    <cellStyle name="40% - Accent5 13 5" xfId="13873"/>
    <cellStyle name="40% - Accent5 13 6" xfId="24870"/>
    <cellStyle name="40% - Accent5 13 7" xfId="26565"/>
    <cellStyle name="40% - Accent5 14" xfId="941"/>
    <cellStyle name="40% - Accent5 14 2" xfId="13880"/>
    <cellStyle name="40% - Accent5 14 2 2" xfId="13881"/>
    <cellStyle name="40% - Accent5 14 3" xfId="13882"/>
    <cellStyle name="40% - Accent5 14 3 2" xfId="13883"/>
    <cellStyle name="40% - Accent5 14 4" xfId="13884"/>
    <cellStyle name="40% - Accent5 14 5" xfId="13879"/>
    <cellStyle name="40% - Accent5 15" xfId="13885"/>
    <cellStyle name="40% - Accent5 15 2" xfId="13886"/>
    <cellStyle name="40% - Accent5 15 2 2" xfId="13887"/>
    <cellStyle name="40% - Accent5 15 3" xfId="13888"/>
    <cellStyle name="40% - Accent5 15 3 2" xfId="13889"/>
    <cellStyle name="40% - Accent5 15 4" xfId="13890"/>
    <cellStyle name="40% - Accent5 16" xfId="13891"/>
    <cellStyle name="40% - Accent5 16 2" xfId="13892"/>
    <cellStyle name="40% - Accent5 16 2 2" xfId="13893"/>
    <cellStyle name="40% - Accent5 16 3" xfId="13894"/>
    <cellStyle name="40% - Accent5 16 3 2" xfId="13895"/>
    <cellStyle name="40% - Accent5 16 4" xfId="13896"/>
    <cellStyle name="40% - Accent5 17" xfId="13897"/>
    <cellStyle name="40% - Accent5 17 2" xfId="13898"/>
    <cellStyle name="40% - Accent5 17 2 2" xfId="13899"/>
    <cellStyle name="40% - Accent5 17 3" xfId="13900"/>
    <cellStyle name="40% - Accent5 17 3 2" xfId="13901"/>
    <cellStyle name="40% - Accent5 17 4" xfId="13902"/>
    <cellStyle name="40% - Accent5 18" xfId="13903"/>
    <cellStyle name="40% - Accent5 18 2" xfId="13904"/>
    <cellStyle name="40% - Accent5 18 2 2" xfId="13905"/>
    <cellStyle name="40% - Accent5 18 3" xfId="13906"/>
    <cellStyle name="40% - Accent5 18 3 2" xfId="13907"/>
    <cellStyle name="40% - Accent5 18 4" xfId="13908"/>
    <cellStyle name="40% - Accent5 19" xfId="13909"/>
    <cellStyle name="40% - Accent5 19 2" xfId="13910"/>
    <cellStyle name="40% - Accent5 19 2 2" xfId="13911"/>
    <cellStyle name="40% - Accent5 19 3" xfId="13912"/>
    <cellStyle name="40% - Accent5 2" xfId="78"/>
    <cellStyle name="40% - Accent5 2 10" xfId="1677"/>
    <cellStyle name="40% - Accent5 2 10 2" xfId="4613"/>
    <cellStyle name="40% - Accent5 2 10 2 2" xfId="13916"/>
    <cellStyle name="40% - Accent5 2 10 2 3" xfId="13915"/>
    <cellStyle name="40% - Accent5 2 10 3" xfId="13917"/>
    <cellStyle name="40% - Accent5 2 10 3 2" xfId="13918"/>
    <cellStyle name="40% - Accent5 2 10 4" xfId="13919"/>
    <cellStyle name="40% - Accent5 2 10 4 2" xfId="13920"/>
    <cellStyle name="40% - Accent5 2 10 5" xfId="13921"/>
    <cellStyle name="40% - Accent5 2 10 5 2" xfId="13922"/>
    <cellStyle name="40% - Accent5 2 10 6" xfId="13923"/>
    <cellStyle name="40% - Accent5 2 10 7" xfId="13914"/>
    <cellStyle name="40% - Accent5 2 11" xfId="2012"/>
    <cellStyle name="40% - Accent5 2 11 2" xfId="4614"/>
    <cellStyle name="40% - Accent5 2 11 2 2" xfId="13926"/>
    <cellStyle name="40% - Accent5 2 11 2 3" xfId="13925"/>
    <cellStyle name="40% - Accent5 2 11 3" xfId="13927"/>
    <cellStyle name="40% - Accent5 2 11 3 2" xfId="13928"/>
    <cellStyle name="40% - Accent5 2 11 4" xfId="13929"/>
    <cellStyle name="40% - Accent5 2 11 4 2" xfId="13930"/>
    <cellStyle name="40% - Accent5 2 11 5" xfId="13931"/>
    <cellStyle name="40% - Accent5 2 11 5 2" xfId="13932"/>
    <cellStyle name="40% - Accent5 2 11 6" xfId="13933"/>
    <cellStyle name="40% - Accent5 2 11 7" xfId="13924"/>
    <cellStyle name="40% - Accent5 2 12" xfId="2386"/>
    <cellStyle name="40% - Accent5 2 12 2" xfId="4615"/>
    <cellStyle name="40% - Accent5 2 12 2 2" xfId="13936"/>
    <cellStyle name="40% - Accent5 2 12 2 3" xfId="13935"/>
    <cellStyle name="40% - Accent5 2 12 3" xfId="13937"/>
    <cellStyle name="40% - Accent5 2 12 3 2" xfId="13938"/>
    <cellStyle name="40% - Accent5 2 12 4" xfId="13939"/>
    <cellStyle name="40% - Accent5 2 12 4 2" xfId="13940"/>
    <cellStyle name="40% - Accent5 2 12 5" xfId="13941"/>
    <cellStyle name="40% - Accent5 2 12 5 2" xfId="13942"/>
    <cellStyle name="40% - Accent5 2 12 6" xfId="13943"/>
    <cellStyle name="40% - Accent5 2 12 7" xfId="13934"/>
    <cellStyle name="40% - Accent5 2 13" xfId="2759"/>
    <cellStyle name="40% - Accent5 2 13 2" xfId="4616"/>
    <cellStyle name="40% - Accent5 2 13 2 2" xfId="13946"/>
    <cellStyle name="40% - Accent5 2 13 2 3" xfId="13945"/>
    <cellStyle name="40% - Accent5 2 13 3" xfId="13947"/>
    <cellStyle name="40% - Accent5 2 13 3 2" xfId="13948"/>
    <cellStyle name="40% - Accent5 2 13 4" xfId="13949"/>
    <cellStyle name="40% - Accent5 2 13 4 2" xfId="13950"/>
    <cellStyle name="40% - Accent5 2 13 5" xfId="13951"/>
    <cellStyle name="40% - Accent5 2 13 5 2" xfId="13952"/>
    <cellStyle name="40% - Accent5 2 13 6" xfId="13953"/>
    <cellStyle name="40% - Accent5 2 13 7" xfId="13944"/>
    <cellStyle name="40% - Accent5 2 14" xfId="3133"/>
    <cellStyle name="40% - Accent5 2 14 2" xfId="4617"/>
    <cellStyle name="40% - Accent5 2 14 2 2" xfId="13956"/>
    <cellStyle name="40% - Accent5 2 14 2 3" xfId="13955"/>
    <cellStyle name="40% - Accent5 2 14 3" xfId="13957"/>
    <cellStyle name="40% - Accent5 2 14 3 2" xfId="13958"/>
    <cellStyle name="40% - Accent5 2 14 4" xfId="13959"/>
    <cellStyle name="40% - Accent5 2 14 4 2" xfId="13960"/>
    <cellStyle name="40% - Accent5 2 14 5" xfId="13961"/>
    <cellStyle name="40% - Accent5 2 14 5 2" xfId="13962"/>
    <cellStyle name="40% - Accent5 2 14 6" xfId="13963"/>
    <cellStyle name="40% - Accent5 2 14 7" xfId="13954"/>
    <cellStyle name="40% - Accent5 2 15" xfId="3504"/>
    <cellStyle name="40% - Accent5 2 15 2" xfId="4618"/>
    <cellStyle name="40% - Accent5 2 15 2 2" xfId="13966"/>
    <cellStyle name="40% - Accent5 2 15 2 3" xfId="13965"/>
    <cellStyle name="40% - Accent5 2 15 3" xfId="13967"/>
    <cellStyle name="40% - Accent5 2 15 3 2" xfId="13968"/>
    <cellStyle name="40% - Accent5 2 15 4" xfId="13969"/>
    <cellStyle name="40% - Accent5 2 15 5" xfId="13964"/>
    <cellStyle name="40% - Accent5 2 16" xfId="3642"/>
    <cellStyle name="40% - Accent5 2 16 2" xfId="4619"/>
    <cellStyle name="40% - Accent5 2 16 2 2" xfId="13972"/>
    <cellStyle name="40% - Accent5 2 16 2 3" xfId="13971"/>
    <cellStyle name="40% - Accent5 2 16 3" xfId="13973"/>
    <cellStyle name="40% - Accent5 2 16 3 2" xfId="13974"/>
    <cellStyle name="40% - Accent5 2 16 4" xfId="13975"/>
    <cellStyle name="40% - Accent5 2 16 5" xfId="13970"/>
    <cellStyle name="40% - Accent5 2 17" xfId="13976"/>
    <cellStyle name="40% - Accent5 2 18" xfId="13913"/>
    <cellStyle name="40% - Accent5 2 19" xfId="20908"/>
    <cellStyle name="40% - Accent5 2 2" xfId="122"/>
    <cellStyle name="40% - Accent5 2 2 10" xfId="13978"/>
    <cellStyle name="40% - Accent5 2 2 10 2" xfId="13979"/>
    <cellStyle name="40% - Accent5 2 2 10 2 2" xfId="13980"/>
    <cellStyle name="40% - Accent5 2 2 10 3" xfId="13981"/>
    <cellStyle name="40% - Accent5 2 2 10 3 2" xfId="13982"/>
    <cellStyle name="40% - Accent5 2 2 10 4" xfId="13983"/>
    <cellStyle name="40% - Accent5 2 2 11" xfId="13984"/>
    <cellStyle name="40% - Accent5 2 2 11 2" xfId="13985"/>
    <cellStyle name="40% - Accent5 2 2 11 2 2" xfId="13986"/>
    <cellStyle name="40% - Accent5 2 2 11 3" xfId="13987"/>
    <cellStyle name="40% - Accent5 2 2 11 3 2" xfId="13988"/>
    <cellStyle name="40% - Accent5 2 2 11 4" xfId="13989"/>
    <cellStyle name="40% - Accent5 2 2 12" xfId="13990"/>
    <cellStyle name="40% - Accent5 2 2 12 2" xfId="13991"/>
    <cellStyle name="40% - Accent5 2 2 12 2 2" xfId="13992"/>
    <cellStyle name="40% - Accent5 2 2 12 3" xfId="13993"/>
    <cellStyle name="40% - Accent5 2 2 12 3 2" xfId="13994"/>
    <cellStyle name="40% - Accent5 2 2 12 4" xfId="13995"/>
    <cellStyle name="40% - Accent5 2 2 13" xfId="13996"/>
    <cellStyle name="40% - Accent5 2 2 13 2" xfId="13997"/>
    <cellStyle name="40% - Accent5 2 2 14" xfId="13998"/>
    <cellStyle name="40% - Accent5 2 2 14 2" xfId="13999"/>
    <cellStyle name="40% - Accent5 2 2 15" xfId="14000"/>
    <cellStyle name="40% - Accent5 2 2 15 2" xfId="14001"/>
    <cellStyle name="40% - Accent5 2 2 16" xfId="14002"/>
    <cellStyle name="40% - Accent5 2 2 17" xfId="13977"/>
    <cellStyle name="40% - Accent5 2 2 2" xfId="188"/>
    <cellStyle name="40% - Accent5 2 2 2 2" xfId="14004"/>
    <cellStyle name="40% - Accent5 2 2 2 2 2" xfId="14005"/>
    <cellStyle name="40% - Accent5 2 2 2 3" xfId="14006"/>
    <cellStyle name="40% - Accent5 2 2 2 3 2" xfId="14007"/>
    <cellStyle name="40% - Accent5 2 2 2 4" xfId="14008"/>
    <cellStyle name="40% - Accent5 2 2 2 5" xfId="14003"/>
    <cellStyle name="40% - Accent5 2 2 3" xfId="352"/>
    <cellStyle name="40% - Accent5 2 2 3 2" xfId="14010"/>
    <cellStyle name="40% - Accent5 2 2 3 2 2" xfId="14011"/>
    <cellStyle name="40% - Accent5 2 2 3 3" xfId="14012"/>
    <cellStyle name="40% - Accent5 2 2 3 3 2" xfId="14013"/>
    <cellStyle name="40% - Accent5 2 2 3 4" xfId="14014"/>
    <cellStyle name="40% - Accent5 2 2 3 5" xfId="14009"/>
    <cellStyle name="40% - Accent5 2 2 4" xfId="2174"/>
    <cellStyle name="40% - Accent5 2 2 4 2" xfId="14016"/>
    <cellStyle name="40% - Accent5 2 2 4 2 2" xfId="14017"/>
    <cellStyle name="40% - Accent5 2 2 4 3" xfId="14018"/>
    <cellStyle name="40% - Accent5 2 2 4 3 2" xfId="14019"/>
    <cellStyle name="40% - Accent5 2 2 4 4" xfId="14020"/>
    <cellStyle name="40% - Accent5 2 2 4 5" xfId="14015"/>
    <cellStyle name="40% - Accent5 2 2 5" xfId="2548"/>
    <cellStyle name="40% - Accent5 2 2 5 2" xfId="14022"/>
    <cellStyle name="40% - Accent5 2 2 5 2 2" xfId="14023"/>
    <cellStyle name="40% - Accent5 2 2 5 3" xfId="14024"/>
    <cellStyle name="40% - Accent5 2 2 5 3 2" xfId="14025"/>
    <cellStyle name="40% - Accent5 2 2 5 4" xfId="14026"/>
    <cellStyle name="40% - Accent5 2 2 5 5" xfId="14021"/>
    <cellStyle name="40% - Accent5 2 2 6" xfId="2920"/>
    <cellStyle name="40% - Accent5 2 2 6 2" xfId="14028"/>
    <cellStyle name="40% - Accent5 2 2 6 2 2" xfId="14029"/>
    <cellStyle name="40% - Accent5 2 2 6 3" xfId="14030"/>
    <cellStyle name="40% - Accent5 2 2 6 3 2" xfId="14031"/>
    <cellStyle name="40% - Accent5 2 2 6 4" xfId="14032"/>
    <cellStyle name="40% - Accent5 2 2 6 5" xfId="14027"/>
    <cellStyle name="40% - Accent5 2 2 7" xfId="3292"/>
    <cellStyle name="40% - Accent5 2 2 7 2" xfId="14034"/>
    <cellStyle name="40% - Accent5 2 2 7 2 2" xfId="14035"/>
    <cellStyle name="40% - Accent5 2 2 7 3" xfId="14036"/>
    <cellStyle name="40% - Accent5 2 2 7 3 2" xfId="14037"/>
    <cellStyle name="40% - Accent5 2 2 7 4" xfId="14038"/>
    <cellStyle name="40% - Accent5 2 2 7 5" xfId="14033"/>
    <cellStyle name="40% - Accent5 2 2 8" xfId="4620"/>
    <cellStyle name="40% - Accent5 2 2 8 2" xfId="14040"/>
    <cellStyle name="40% - Accent5 2 2 8 2 2" xfId="14041"/>
    <cellStyle name="40% - Accent5 2 2 8 3" xfId="14042"/>
    <cellStyle name="40% - Accent5 2 2 8 3 2" xfId="14043"/>
    <cellStyle name="40% - Accent5 2 2 8 4" xfId="14044"/>
    <cellStyle name="40% - Accent5 2 2 8 5" xfId="14039"/>
    <cellStyle name="40% - Accent5 2 2 9" xfId="14045"/>
    <cellStyle name="40% - Accent5 2 2 9 2" xfId="14046"/>
    <cellStyle name="40% - Accent5 2 2 9 2 2" xfId="14047"/>
    <cellStyle name="40% - Accent5 2 2 9 3" xfId="14048"/>
    <cellStyle name="40% - Accent5 2 2 9 3 2" xfId="14049"/>
    <cellStyle name="40% - Accent5 2 2 9 4" xfId="14050"/>
    <cellStyle name="40% - Accent5 2 3" xfId="287"/>
    <cellStyle name="40% - Accent5 2 3 2" xfId="1350"/>
    <cellStyle name="40% - Accent5 2 3 2 2" xfId="14053"/>
    <cellStyle name="40% - Accent5 2 3 2 2 2" xfId="14054"/>
    <cellStyle name="40% - Accent5 2 3 2 3" xfId="14055"/>
    <cellStyle name="40% - Accent5 2 3 2 3 2" xfId="14056"/>
    <cellStyle name="40% - Accent5 2 3 2 4" xfId="14057"/>
    <cellStyle name="40% - Accent5 2 3 2 5" xfId="14052"/>
    <cellStyle name="40% - Accent5 2 3 3" xfId="14058"/>
    <cellStyle name="40% - Accent5 2 3 3 2" xfId="14059"/>
    <cellStyle name="40% - Accent5 2 3 4" xfId="14060"/>
    <cellStyle name="40% - Accent5 2 3 4 2" xfId="14061"/>
    <cellStyle name="40% - Accent5 2 3 5" xfId="14062"/>
    <cellStyle name="40% - Accent5 2 3 6" xfId="14051"/>
    <cellStyle name="40% - Accent5 2 4" xfId="398"/>
    <cellStyle name="40% - Accent5 2 4 2" xfId="14064"/>
    <cellStyle name="40% - Accent5 2 4 2 2" xfId="14065"/>
    <cellStyle name="40% - Accent5 2 4 2 2 2" xfId="14066"/>
    <cellStyle name="40% - Accent5 2 4 2 3" xfId="14067"/>
    <cellStyle name="40% - Accent5 2 4 2 3 2" xfId="14068"/>
    <cellStyle name="40% - Accent5 2 4 2 4" xfId="14069"/>
    <cellStyle name="40% - Accent5 2 4 3" xfId="14070"/>
    <cellStyle name="40% - Accent5 2 4 3 2" xfId="14071"/>
    <cellStyle name="40% - Accent5 2 4 4" xfId="14072"/>
    <cellStyle name="40% - Accent5 2 4 4 2" xfId="14073"/>
    <cellStyle name="40% - Accent5 2 4 5" xfId="14074"/>
    <cellStyle name="40% - Accent5 2 4 6" xfId="14063"/>
    <cellStyle name="40% - Accent5 2 5" xfId="549"/>
    <cellStyle name="40% - Accent5 2 5 2" xfId="14076"/>
    <cellStyle name="40% - Accent5 2 5 2 2" xfId="14077"/>
    <cellStyle name="40% - Accent5 2 5 3" xfId="14078"/>
    <cellStyle name="40% - Accent5 2 5 3 2" xfId="14079"/>
    <cellStyle name="40% - Accent5 2 5 4" xfId="14080"/>
    <cellStyle name="40% - Accent5 2 5 5" xfId="14075"/>
    <cellStyle name="40% - Accent5 2 6" xfId="682"/>
    <cellStyle name="40% - Accent5 2 6 2" xfId="14082"/>
    <cellStyle name="40% - Accent5 2 6 2 2" xfId="14083"/>
    <cellStyle name="40% - Accent5 2 6 3" xfId="14084"/>
    <cellStyle name="40% - Accent5 2 6 3 2" xfId="14085"/>
    <cellStyle name="40% - Accent5 2 6 4" xfId="14086"/>
    <cellStyle name="40% - Accent5 2 6 5" xfId="14081"/>
    <cellStyle name="40% - Accent5 2 7" xfId="683"/>
    <cellStyle name="40% - Accent5 2 7 2" xfId="14088"/>
    <cellStyle name="40% - Accent5 2 7 2 2" xfId="14089"/>
    <cellStyle name="40% - Accent5 2 7 3" xfId="14090"/>
    <cellStyle name="40% - Accent5 2 7 3 2" xfId="14091"/>
    <cellStyle name="40% - Accent5 2 7 4" xfId="14092"/>
    <cellStyle name="40% - Accent5 2 7 5" xfId="14087"/>
    <cellStyle name="40% - Accent5 2 8" xfId="830"/>
    <cellStyle name="40% - Accent5 2 8 2" xfId="1406"/>
    <cellStyle name="40% - Accent5 2 8 2 2" xfId="14095"/>
    <cellStyle name="40% - Accent5 2 8 2 3" xfId="14094"/>
    <cellStyle name="40% - Accent5 2 8 3" xfId="14096"/>
    <cellStyle name="40% - Accent5 2 8 3 2" xfId="14097"/>
    <cellStyle name="40% - Accent5 2 8 4" xfId="14098"/>
    <cellStyle name="40% - Accent5 2 8 4 2" xfId="14099"/>
    <cellStyle name="40% - Accent5 2 8 5" xfId="14100"/>
    <cellStyle name="40% - Accent5 2 8 5 2" xfId="14101"/>
    <cellStyle name="40% - Accent5 2 8 6" xfId="14102"/>
    <cellStyle name="40% - Accent5 2 8 7" xfId="14093"/>
    <cellStyle name="40% - Accent5 2 9" xfId="942"/>
    <cellStyle name="40% - Accent5 2 9 2" xfId="1441"/>
    <cellStyle name="40% - Accent5 2 9 2 2" xfId="14105"/>
    <cellStyle name="40% - Accent5 2 9 2 3" xfId="14104"/>
    <cellStyle name="40% - Accent5 2 9 3" xfId="14106"/>
    <cellStyle name="40% - Accent5 2 9 3 2" xfId="14107"/>
    <cellStyle name="40% - Accent5 2 9 4" xfId="14108"/>
    <cellStyle name="40% - Accent5 2 9 4 2" xfId="14109"/>
    <cellStyle name="40% - Accent5 2 9 5" xfId="14110"/>
    <cellStyle name="40% - Accent5 2 9 5 2" xfId="14111"/>
    <cellStyle name="40% - Accent5 2 9 6" xfId="14112"/>
    <cellStyle name="40% - Accent5 2 9 7" xfId="14103"/>
    <cellStyle name="40% - Accent5 20" xfId="14113"/>
    <cellStyle name="40% - Accent5 20 2" xfId="14114"/>
    <cellStyle name="40% - Accent5 21" xfId="14115"/>
    <cellStyle name="40% - Accent5 21 2" xfId="14116"/>
    <cellStyle name="40% - Accent5 21 2 2" xfId="14117"/>
    <cellStyle name="40% - Accent5 21 2 2 2" xfId="14118"/>
    <cellStyle name="40% - Accent5 21 2 3" xfId="14119"/>
    <cellStyle name="40% - Accent5 21 2 3 2" xfId="14120"/>
    <cellStyle name="40% - Accent5 21 2 4" xfId="14121"/>
    <cellStyle name="40% - Accent5 21 3" xfId="14122"/>
    <cellStyle name="40% - Accent5 21 3 2" xfId="14123"/>
    <cellStyle name="40% - Accent5 21 4" xfId="14124"/>
    <cellStyle name="40% - Accent5 21 4 2" xfId="14125"/>
    <cellStyle name="40% - Accent5 21 5" xfId="14126"/>
    <cellStyle name="40% - Accent5 22" xfId="14127"/>
    <cellStyle name="40% - Accent5 22 2" xfId="14128"/>
    <cellStyle name="40% - Accent5 22 2 2" xfId="14129"/>
    <cellStyle name="40% - Accent5 22 2 2 2" xfId="14130"/>
    <cellStyle name="40% - Accent5 22 2 3" xfId="14131"/>
    <cellStyle name="40% - Accent5 22 2 3 2" xfId="14132"/>
    <cellStyle name="40% - Accent5 22 2 4" xfId="14133"/>
    <cellStyle name="40% - Accent5 22 3" xfId="14134"/>
    <cellStyle name="40% - Accent5 22 3 2" xfId="14135"/>
    <cellStyle name="40% - Accent5 22 4" xfId="14136"/>
    <cellStyle name="40% - Accent5 22 4 2" xfId="14137"/>
    <cellStyle name="40% - Accent5 22 5" xfId="14138"/>
    <cellStyle name="40% - Accent5 23" xfId="14139"/>
    <cellStyle name="40% - Accent5 23 2" xfId="14140"/>
    <cellStyle name="40% - Accent5 24" xfId="14141"/>
    <cellStyle name="40% - Accent5 24 2" xfId="14142"/>
    <cellStyle name="40% - Accent5 24 2 2" xfId="14143"/>
    <cellStyle name="40% - Accent5 24 2 2 2" xfId="14144"/>
    <cellStyle name="40% - Accent5 24 2 3" xfId="14145"/>
    <cellStyle name="40% - Accent5 24 2 3 2" xfId="14146"/>
    <cellStyle name="40% - Accent5 24 2 4" xfId="14147"/>
    <cellStyle name="40% - Accent5 24 3" xfId="14148"/>
    <cellStyle name="40% - Accent5 24 3 2" xfId="14149"/>
    <cellStyle name="40% - Accent5 24 4" xfId="14150"/>
    <cellStyle name="40% - Accent5 24 4 2" xfId="14151"/>
    <cellStyle name="40% - Accent5 24 5" xfId="14152"/>
    <cellStyle name="40% - Accent5 25" xfId="14153"/>
    <cellStyle name="40% - Accent5 25 2" xfId="14154"/>
    <cellStyle name="40% - Accent5 25 2 2" xfId="14155"/>
    <cellStyle name="40% - Accent5 25 2 2 2" xfId="14156"/>
    <cellStyle name="40% - Accent5 25 2 3" xfId="14157"/>
    <cellStyle name="40% - Accent5 25 2 3 2" xfId="14158"/>
    <cellStyle name="40% - Accent5 25 2 4" xfId="14159"/>
    <cellStyle name="40% - Accent5 25 3" xfId="14160"/>
    <cellStyle name="40% - Accent5 25 3 2" xfId="14161"/>
    <cellStyle name="40% - Accent5 25 4" xfId="14162"/>
    <cellStyle name="40% - Accent5 25 4 2" xfId="14163"/>
    <cellStyle name="40% - Accent5 25 5" xfId="14164"/>
    <cellStyle name="40% - Accent5 26" xfId="14165"/>
    <cellStyle name="40% - Accent5 26 2" xfId="14166"/>
    <cellStyle name="40% - Accent5 27" xfId="14167"/>
    <cellStyle name="40% - Accent5 27 2" xfId="14168"/>
    <cellStyle name="40% - Accent5 27 2 2" xfId="14169"/>
    <cellStyle name="40% - Accent5 27 2 2 2" xfId="14170"/>
    <cellStyle name="40% - Accent5 27 2 3" xfId="14171"/>
    <cellStyle name="40% - Accent5 27 2 3 2" xfId="14172"/>
    <cellStyle name="40% - Accent5 27 2 4" xfId="14173"/>
    <cellStyle name="40% - Accent5 27 3" xfId="14174"/>
    <cellStyle name="40% - Accent5 27 3 2" xfId="14175"/>
    <cellStyle name="40% - Accent5 27 4" xfId="14176"/>
    <cellStyle name="40% - Accent5 27 4 2" xfId="14177"/>
    <cellStyle name="40% - Accent5 27 5" xfId="14178"/>
    <cellStyle name="40% - Accent5 28" xfId="14179"/>
    <cellStyle name="40% - Accent5 28 2" xfId="14180"/>
    <cellStyle name="40% - Accent5 28 2 2" xfId="14181"/>
    <cellStyle name="40% - Accent5 28 3" xfId="14182"/>
    <cellStyle name="40% - Accent5 28 3 2" xfId="14183"/>
    <cellStyle name="40% - Accent5 28 4" xfId="14184"/>
    <cellStyle name="40% - Accent5 29" xfId="14185"/>
    <cellStyle name="40% - Accent5 29 2" xfId="14186"/>
    <cellStyle name="40% - Accent5 3" xfId="229"/>
    <cellStyle name="40% - Accent5 3 10" xfId="3685"/>
    <cellStyle name="40% - Accent5 3 10 2" xfId="4621"/>
    <cellStyle name="40% - Accent5 3 10 2 2" xfId="14190"/>
    <cellStyle name="40% - Accent5 3 10 2 3" xfId="14189"/>
    <cellStyle name="40% - Accent5 3 10 3" xfId="14191"/>
    <cellStyle name="40% - Accent5 3 10 3 2" xfId="14192"/>
    <cellStyle name="40% - Accent5 3 10 4" xfId="14193"/>
    <cellStyle name="40% - Accent5 3 10 4 2" xfId="14194"/>
    <cellStyle name="40% - Accent5 3 10 5" xfId="14195"/>
    <cellStyle name="40% - Accent5 3 10 5 2" xfId="14196"/>
    <cellStyle name="40% - Accent5 3 10 6" xfId="14197"/>
    <cellStyle name="40% - Accent5 3 10 7" xfId="14188"/>
    <cellStyle name="40% - Accent5 3 11" xfId="14198"/>
    <cellStyle name="40% - Accent5 3 11 2" xfId="14199"/>
    <cellStyle name="40% - Accent5 3 11 2 2" xfId="14200"/>
    <cellStyle name="40% - Accent5 3 11 3" xfId="14201"/>
    <cellStyle name="40% - Accent5 3 11 3 2" xfId="14202"/>
    <cellStyle name="40% - Accent5 3 11 4" xfId="14203"/>
    <cellStyle name="40% - Accent5 3 12" xfId="14204"/>
    <cellStyle name="40% - Accent5 3 12 2" xfId="14205"/>
    <cellStyle name="40% - Accent5 3 12 2 2" xfId="14206"/>
    <cellStyle name="40% - Accent5 3 12 3" xfId="14207"/>
    <cellStyle name="40% - Accent5 3 12 3 2" xfId="14208"/>
    <cellStyle name="40% - Accent5 3 12 4" xfId="14209"/>
    <cellStyle name="40% - Accent5 3 13" xfId="14210"/>
    <cellStyle name="40% - Accent5 3 13 2" xfId="14211"/>
    <cellStyle name="40% - Accent5 3 13 2 2" xfId="14212"/>
    <cellStyle name="40% - Accent5 3 13 3" xfId="14213"/>
    <cellStyle name="40% - Accent5 3 13 3 2" xfId="14214"/>
    <cellStyle name="40% - Accent5 3 13 4" xfId="14215"/>
    <cellStyle name="40% - Accent5 3 14" xfId="14216"/>
    <cellStyle name="40% - Accent5 3 14 2" xfId="14217"/>
    <cellStyle name="40% - Accent5 3 15" xfId="14218"/>
    <cellStyle name="40% - Accent5 3 15 2" xfId="14219"/>
    <cellStyle name="40% - Accent5 3 16" xfId="14220"/>
    <cellStyle name="40% - Accent5 3 17" xfId="14187"/>
    <cellStyle name="40% - Accent5 3 2" xfId="1458"/>
    <cellStyle name="40% - Accent5 3 2 10" xfId="14222"/>
    <cellStyle name="40% - Accent5 3 2 10 2" xfId="14223"/>
    <cellStyle name="40% - Accent5 3 2 10 2 2" xfId="14224"/>
    <cellStyle name="40% - Accent5 3 2 10 3" xfId="14225"/>
    <cellStyle name="40% - Accent5 3 2 10 3 2" xfId="14226"/>
    <cellStyle name="40% - Accent5 3 2 10 4" xfId="14227"/>
    <cellStyle name="40% - Accent5 3 2 11" xfId="14228"/>
    <cellStyle name="40% - Accent5 3 2 11 2" xfId="14229"/>
    <cellStyle name="40% - Accent5 3 2 11 2 2" xfId="14230"/>
    <cellStyle name="40% - Accent5 3 2 11 3" xfId="14231"/>
    <cellStyle name="40% - Accent5 3 2 11 3 2" xfId="14232"/>
    <cellStyle name="40% - Accent5 3 2 11 4" xfId="14233"/>
    <cellStyle name="40% - Accent5 3 2 12" xfId="14234"/>
    <cellStyle name="40% - Accent5 3 2 12 2" xfId="14235"/>
    <cellStyle name="40% - Accent5 3 2 12 2 2" xfId="14236"/>
    <cellStyle name="40% - Accent5 3 2 12 3" xfId="14237"/>
    <cellStyle name="40% - Accent5 3 2 12 3 2" xfId="14238"/>
    <cellStyle name="40% - Accent5 3 2 12 4" xfId="14239"/>
    <cellStyle name="40% - Accent5 3 2 13" xfId="14240"/>
    <cellStyle name="40% - Accent5 3 2 13 2" xfId="14241"/>
    <cellStyle name="40% - Accent5 3 2 14" xfId="14242"/>
    <cellStyle name="40% - Accent5 3 2 14 2" xfId="14243"/>
    <cellStyle name="40% - Accent5 3 2 15" xfId="14244"/>
    <cellStyle name="40% - Accent5 3 2 15 2" xfId="14245"/>
    <cellStyle name="40% - Accent5 3 2 16" xfId="14246"/>
    <cellStyle name="40% - Accent5 3 2 17" xfId="14221"/>
    <cellStyle name="40% - Accent5 3 2 2" xfId="1840"/>
    <cellStyle name="40% - Accent5 3 2 2 2" xfId="14248"/>
    <cellStyle name="40% - Accent5 3 2 2 2 2" xfId="14249"/>
    <cellStyle name="40% - Accent5 3 2 2 3" xfId="14250"/>
    <cellStyle name="40% - Accent5 3 2 2 3 2" xfId="14251"/>
    <cellStyle name="40% - Accent5 3 2 2 4" xfId="14252"/>
    <cellStyle name="40% - Accent5 3 2 2 5" xfId="14247"/>
    <cellStyle name="40% - Accent5 3 2 3" xfId="2215"/>
    <cellStyle name="40% - Accent5 3 2 3 2" xfId="14254"/>
    <cellStyle name="40% - Accent5 3 2 3 2 2" xfId="14255"/>
    <cellStyle name="40% - Accent5 3 2 3 3" xfId="14256"/>
    <cellStyle name="40% - Accent5 3 2 3 3 2" xfId="14257"/>
    <cellStyle name="40% - Accent5 3 2 3 4" xfId="14258"/>
    <cellStyle name="40% - Accent5 3 2 3 5" xfId="14253"/>
    <cellStyle name="40% - Accent5 3 2 4" xfId="2589"/>
    <cellStyle name="40% - Accent5 3 2 4 2" xfId="14260"/>
    <cellStyle name="40% - Accent5 3 2 4 2 2" xfId="14261"/>
    <cellStyle name="40% - Accent5 3 2 4 3" xfId="14262"/>
    <cellStyle name="40% - Accent5 3 2 4 3 2" xfId="14263"/>
    <cellStyle name="40% - Accent5 3 2 4 4" xfId="14264"/>
    <cellStyle name="40% - Accent5 3 2 4 5" xfId="14259"/>
    <cellStyle name="40% - Accent5 3 2 5" xfId="2961"/>
    <cellStyle name="40% - Accent5 3 2 5 2" xfId="14266"/>
    <cellStyle name="40% - Accent5 3 2 5 2 2" xfId="14267"/>
    <cellStyle name="40% - Accent5 3 2 5 3" xfId="14268"/>
    <cellStyle name="40% - Accent5 3 2 5 3 2" xfId="14269"/>
    <cellStyle name="40% - Accent5 3 2 5 4" xfId="14270"/>
    <cellStyle name="40% - Accent5 3 2 5 5" xfId="14265"/>
    <cellStyle name="40% - Accent5 3 2 6" xfId="3333"/>
    <cellStyle name="40% - Accent5 3 2 6 2" xfId="14272"/>
    <cellStyle name="40% - Accent5 3 2 6 2 2" xfId="14273"/>
    <cellStyle name="40% - Accent5 3 2 6 3" xfId="14274"/>
    <cellStyle name="40% - Accent5 3 2 6 3 2" xfId="14275"/>
    <cellStyle name="40% - Accent5 3 2 6 4" xfId="14276"/>
    <cellStyle name="40% - Accent5 3 2 6 5" xfId="14271"/>
    <cellStyle name="40% - Accent5 3 2 7" xfId="4622"/>
    <cellStyle name="40% - Accent5 3 2 7 2" xfId="14278"/>
    <cellStyle name="40% - Accent5 3 2 7 2 2" xfId="14279"/>
    <cellStyle name="40% - Accent5 3 2 7 3" xfId="14280"/>
    <cellStyle name="40% - Accent5 3 2 7 3 2" xfId="14281"/>
    <cellStyle name="40% - Accent5 3 2 7 4" xfId="14282"/>
    <cellStyle name="40% - Accent5 3 2 7 5" xfId="14277"/>
    <cellStyle name="40% - Accent5 3 2 8" xfId="14283"/>
    <cellStyle name="40% - Accent5 3 2 8 2" xfId="14284"/>
    <cellStyle name="40% - Accent5 3 2 8 2 2" xfId="14285"/>
    <cellStyle name="40% - Accent5 3 2 8 3" xfId="14286"/>
    <cellStyle name="40% - Accent5 3 2 8 3 2" xfId="14287"/>
    <cellStyle name="40% - Accent5 3 2 8 4" xfId="14288"/>
    <cellStyle name="40% - Accent5 3 2 9" xfId="14289"/>
    <cellStyle name="40% - Accent5 3 2 9 2" xfId="14290"/>
    <cellStyle name="40% - Accent5 3 2 9 2 2" xfId="14291"/>
    <cellStyle name="40% - Accent5 3 2 9 3" xfId="14292"/>
    <cellStyle name="40% - Accent5 3 2 9 3 2" xfId="14293"/>
    <cellStyle name="40% - Accent5 3 2 9 4" xfId="14294"/>
    <cellStyle name="40% - Accent5 3 3" xfId="1585"/>
    <cellStyle name="40% - Accent5 3 3 2" xfId="1917"/>
    <cellStyle name="40% - Accent5 3 3 2 2" xfId="14297"/>
    <cellStyle name="40% - Accent5 3 3 2 3" xfId="14296"/>
    <cellStyle name="40% - Accent5 3 3 3" xfId="2292"/>
    <cellStyle name="40% - Accent5 3 3 3 2" xfId="14299"/>
    <cellStyle name="40% - Accent5 3 3 3 3" xfId="14298"/>
    <cellStyle name="40% - Accent5 3 3 4" xfId="2665"/>
    <cellStyle name="40% - Accent5 3 3 4 2" xfId="14301"/>
    <cellStyle name="40% - Accent5 3 3 4 3" xfId="14300"/>
    <cellStyle name="40% - Accent5 3 3 5" xfId="3038"/>
    <cellStyle name="40% - Accent5 3 3 5 2" xfId="14303"/>
    <cellStyle name="40% - Accent5 3 3 5 3" xfId="14302"/>
    <cellStyle name="40% - Accent5 3 3 6" xfId="3409"/>
    <cellStyle name="40% - Accent5 3 3 6 2" xfId="14305"/>
    <cellStyle name="40% - Accent5 3 3 6 3" xfId="14304"/>
    <cellStyle name="40% - Accent5 3 3 7" xfId="4623"/>
    <cellStyle name="40% - Accent5 3 3 7 2" xfId="14307"/>
    <cellStyle name="40% - Accent5 3 3 7 3" xfId="14306"/>
    <cellStyle name="40% - Accent5 3 3 8" xfId="14308"/>
    <cellStyle name="40% - Accent5 3 3 9" xfId="14295"/>
    <cellStyle name="40% - Accent5 3 4" xfId="1722"/>
    <cellStyle name="40% - Accent5 3 4 2" xfId="1961"/>
    <cellStyle name="40% - Accent5 3 4 2 2" xfId="14311"/>
    <cellStyle name="40% - Accent5 3 4 2 3" xfId="14310"/>
    <cellStyle name="40% - Accent5 3 4 3" xfId="2336"/>
    <cellStyle name="40% - Accent5 3 4 3 2" xfId="14313"/>
    <cellStyle name="40% - Accent5 3 4 3 3" xfId="14312"/>
    <cellStyle name="40% - Accent5 3 4 4" xfId="2709"/>
    <cellStyle name="40% - Accent5 3 4 4 2" xfId="14315"/>
    <cellStyle name="40% - Accent5 3 4 4 3" xfId="14314"/>
    <cellStyle name="40% - Accent5 3 4 5" xfId="3082"/>
    <cellStyle name="40% - Accent5 3 4 5 2" xfId="14317"/>
    <cellStyle name="40% - Accent5 3 4 5 3" xfId="14316"/>
    <cellStyle name="40% - Accent5 3 4 6" xfId="3453"/>
    <cellStyle name="40% - Accent5 3 4 6 2" xfId="14319"/>
    <cellStyle name="40% - Accent5 3 4 6 3" xfId="14318"/>
    <cellStyle name="40% - Accent5 3 4 7" xfId="14320"/>
    <cellStyle name="40% - Accent5 3 4 8" xfId="14309"/>
    <cellStyle name="40% - Accent5 3 5" xfId="2057"/>
    <cellStyle name="40% - Accent5 3 5 2" xfId="14322"/>
    <cellStyle name="40% - Accent5 3 5 2 2" xfId="14323"/>
    <cellStyle name="40% - Accent5 3 5 3" xfId="14324"/>
    <cellStyle name="40% - Accent5 3 5 3 2" xfId="14325"/>
    <cellStyle name="40% - Accent5 3 5 4" xfId="14326"/>
    <cellStyle name="40% - Accent5 3 5 4 2" xfId="14327"/>
    <cellStyle name="40% - Accent5 3 5 5" xfId="14328"/>
    <cellStyle name="40% - Accent5 3 5 6" xfId="14321"/>
    <cellStyle name="40% - Accent5 3 6" xfId="2431"/>
    <cellStyle name="40% - Accent5 3 6 2" xfId="14330"/>
    <cellStyle name="40% - Accent5 3 6 2 2" xfId="14331"/>
    <cellStyle name="40% - Accent5 3 6 3" xfId="14332"/>
    <cellStyle name="40% - Accent5 3 6 3 2" xfId="14333"/>
    <cellStyle name="40% - Accent5 3 6 4" xfId="14334"/>
    <cellStyle name="40% - Accent5 3 6 4 2" xfId="14335"/>
    <cellStyle name="40% - Accent5 3 6 5" xfId="14336"/>
    <cellStyle name="40% - Accent5 3 6 6" xfId="14329"/>
    <cellStyle name="40% - Accent5 3 7" xfId="2803"/>
    <cellStyle name="40% - Accent5 3 7 2" xfId="14338"/>
    <cellStyle name="40% - Accent5 3 7 2 2" xfId="14339"/>
    <cellStyle name="40% - Accent5 3 7 3" xfId="14340"/>
    <cellStyle name="40% - Accent5 3 7 3 2" xfId="14341"/>
    <cellStyle name="40% - Accent5 3 7 4" xfId="14342"/>
    <cellStyle name="40% - Accent5 3 7 4 2" xfId="14343"/>
    <cellStyle name="40% - Accent5 3 7 5" xfId="14344"/>
    <cellStyle name="40% - Accent5 3 7 6" xfId="14337"/>
    <cellStyle name="40% - Accent5 3 8" xfId="3174"/>
    <cellStyle name="40% - Accent5 3 8 2" xfId="14346"/>
    <cellStyle name="40% - Accent5 3 8 2 2" xfId="14347"/>
    <cellStyle name="40% - Accent5 3 8 3" xfId="14348"/>
    <cellStyle name="40% - Accent5 3 8 3 2" xfId="14349"/>
    <cellStyle name="40% - Accent5 3 8 4" xfId="14350"/>
    <cellStyle name="40% - Accent5 3 8 4 2" xfId="14351"/>
    <cellStyle name="40% - Accent5 3 8 5" xfId="14352"/>
    <cellStyle name="40% - Accent5 3 8 6" xfId="14345"/>
    <cellStyle name="40% - Accent5 3 9" xfId="3549"/>
    <cellStyle name="40% - Accent5 3 9 2" xfId="4624"/>
    <cellStyle name="40% - Accent5 3 9 2 2" xfId="14355"/>
    <cellStyle name="40% - Accent5 3 9 2 3" xfId="14354"/>
    <cellStyle name="40% - Accent5 3 9 3" xfId="14356"/>
    <cellStyle name="40% - Accent5 3 9 3 2" xfId="14357"/>
    <cellStyle name="40% - Accent5 3 9 4" xfId="14358"/>
    <cellStyle name="40% - Accent5 3 9 4 2" xfId="14359"/>
    <cellStyle name="40% - Accent5 3 9 5" xfId="14360"/>
    <cellStyle name="40% - Accent5 3 9 5 2" xfId="14361"/>
    <cellStyle name="40% - Accent5 3 9 6" xfId="14362"/>
    <cellStyle name="40% - Accent5 3 9 7" xfId="14353"/>
    <cellStyle name="40% - Accent5 30" xfId="14363"/>
    <cellStyle name="40% - Accent5 31" xfId="13846"/>
    <cellStyle name="40% - Accent5 4" xfId="245"/>
    <cellStyle name="40% - Accent5 4 10" xfId="3729"/>
    <cellStyle name="40% - Accent5 4 10 2" xfId="4626"/>
    <cellStyle name="40% - Accent5 4 10 2 2" xfId="14367"/>
    <cellStyle name="40% - Accent5 4 10 2 3" xfId="14366"/>
    <cellStyle name="40% - Accent5 4 10 3" xfId="14368"/>
    <cellStyle name="40% - Accent5 4 10 3 2" xfId="14369"/>
    <cellStyle name="40% - Accent5 4 10 4" xfId="14370"/>
    <cellStyle name="40% - Accent5 4 10 4 2" xfId="14371"/>
    <cellStyle name="40% - Accent5 4 10 5" xfId="14372"/>
    <cellStyle name="40% - Accent5 4 10 5 2" xfId="14373"/>
    <cellStyle name="40% - Accent5 4 10 6" xfId="14374"/>
    <cellStyle name="40% - Accent5 4 10 7" xfId="14365"/>
    <cellStyle name="40% - Accent5 4 11" xfId="1311"/>
    <cellStyle name="40% - Accent5 4 11 10" xfId="24885"/>
    <cellStyle name="40% - Accent5 4 11 11" xfId="26569"/>
    <cellStyle name="40% - Accent5 4 11 2" xfId="4153"/>
    <cellStyle name="40% - Accent5 4 11 2 2" xfId="5426"/>
    <cellStyle name="40% - Accent5 4 11 2 2 2" xfId="6408"/>
    <cellStyle name="40% - Accent5 4 11 2 2 2 2" xfId="14378"/>
    <cellStyle name="40% - Accent5 4 11 2 2 2 3" xfId="26572"/>
    <cellStyle name="40% - Accent5 4 11 2 2 3" xfId="14377"/>
    <cellStyle name="40% - Accent5 4 11 2 2 4" xfId="26571"/>
    <cellStyle name="40% - Accent5 4 11 2 3" xfId="5736"/>
    <cellStyle name="40% - Accent5 4 11 2 3 2" xfId="6409"/>
    <cellStyle name="40% - Accent5 4 11 2 3 2 2" xfId="26574"/>
    <cellStyle name="40% - Accent5 4 11 2 3 3" xfId="14379"/>
    <cellStyle name="40% - Accent5 4 11 2 3 4" xfId="26573"/>
    <cellStyle name="40% - Accent5 4 11 2 4" xfId="4628"/>
    <cellStyle name="40% - Accent5 4 11 2 4 2" xfId="6410"/>
    <cellStyle name="40% - Accent5 4 11 2 4 2 2" xfId="26576"/>
    <cellStyle name="40% - Accent5 4 11 2 4 3" xfId="26575"/>
    <cellStyle name="40% - Accent5 4 11 2 5" xfId="6407"/>
    <cellStyle name="40% - Accent5 4 11 2 5 2" xfId="26577"/>
    <cellStyle name="40% - Accent5 4 11 2 6" xfId="14376"/>
    <cellStyle name="40% - Accent5 4 11 2 7" xfId="25005"/>
    <cellStyle name="40% - Accent5 4 11 2 8" xfId="26570"/>
    <cellStyle name="40% - Accent5 4 11 3" xfId="5425"/>
    <cellStyle name="40% - Accent5 4 11 3 2" xfId="6411"/>
    <cellStyle name="40% - Accent5 4 11 3 2 2" xfId="14381"/>
    <cellStyle name="40% - Accent5 4 11 3 2 3" xfId="26579"/>
    <cellStyle name="40% - Accent5 4 11 3 3" xfId="14380"/>
    <cellStyle name="40% - Accent5 4 11 3 4" xfId="26578"/>
    <cellStyle name="40% - Accent5 4 11 4" xfId="5735"/>
    <cellStyle name="40% - Accent5 4 11 4 2" xfId="6412"/>
    <cellStyle name="40% - Accent5 4 11 4 2 2" xfId="14383"/>
    <cellStyle name="40% - Accent5 4 11 4 2 3" xfId="26581"/>
    <cellStyle name="40% - Accent5 4 11 4 3" xfId="14382"/>
    <cellStyle name="40% - Accent5 4 11 4 4" xfId="26580"/>
    <cellStyle name="40% - Accent5 4 11 5" xfId="4627"/>
    <cellStyle name="40% - Accent5 4 11 5 2" xfId="6413"/>
    <cellStyle name="40% - Accent5 4 11 5 2 2" xfId="14386"/>
    <cellStyle name="40% - Accent5 4 11 5 2 3" xfId="14385"/>
    <cellStyle name="40% - Accent5 4 11 5 2 4" xfId="26583"/>
    <cellStyle name="40% - Accent5 4 11 5 3" xfId="14387"/>
    <cellStyle name="40% - Accent5 4 11 5 3 2" xfId="14388"/>
    <cellStyle name="40% - Accent5 4 11 5 4" xfId="14389"/>
    <cellStyle name="40% - Accent5 4 11 5 5" xfId="14384"/>
    <cellStyle name="40% - Accent5 4 11 5 6" xfId="26582"/>
    <cellStyle name="40% - Accent5 4 11 6" xfId="6406"/>
    <cellStyle name="40% - Accent5 4 11 6 2" xfId="14391"/>
    <cellStyle name="40% - Accent5 4 11 6 3" xfId="14390"/>
    <cellStyle name="40% - Accent5 4 11 6 4" xfId="26584"/>
    <cellStyle name="40% - Accent5 4 11 7" xfId="14392"/>
    <cellStyle name="40% - Accent5 4 11 7 2" xfId="14393"/>
    <cellStyle name="40% - Accent5 4 11 8" xfId="14394"/>
    <cellStyle name="40% - Accent5 4 11 9" xfId="14375"/>
    <cellStyle name="40% - Accent5 4 12" xfId="4629"/>
    <cellStyle name="40% - Accent5 4 12 2" xfId="5427"/>
    <cellStyle name="40% - Accent5 4 12 2 2" xfId="6415"/>
    <cellStyle name="40% - Accent5 4 12 2 2 2" xfId="14397"/>
    <cellStyle name="40% - Accent5 4 12 2 2 3" xfId="26587"/>
    <cellStyle name="40% - Accent5 4 12 2 3" xfId="14396"/>
    <cellStyle name="40% - Accent5 4 12 2 4" xfId="26586"/>
    <cellStyle name="40% - Accent5 4 12 3" xfId="5737"/>
    <cellStyle name="40% - Accent5 4 12 3 2" xfId="6416"/>
    <cellStyle name="40% - Accent5 4 12 3 2 2" xfId="14399"/>
    <cellStyle name="40% - Accent5 4 12 3 2 3" xfId="26589"/>
    <cellStyle name="40% - Accent5 4 12 3 3" xfId="14398"/>
    <cellStyle name="40% - Accent5 4 12 3 4" xfId="26588"/>
    <cellStyle name="40% - Accent5 4 12 4" xfId="6414"/>
    <cellStyle name="40% - Accent5 4 12 4 2" xfId="14401"/>
    <cellStyle name="40% - Accent5 4 12 4 3" xfId="14400"/>
    <cellStyle name="40% - Accent5 4 12 4 4" xfId="26590"/>
    <cellStyle name="40% - Accent5 4 12 5" xfId="14402"/>
    <cellStyle name="40% - Accent5 4 12 6" xfId="14395"/>
    <cellStyle name="40% - Accent5 4 12 7" xfId="26585"/>
    <cellStyle name="40% - Accent5 4 13" xfId="5424"/>
    <cellStyle name="40% - Accent5 4 13 2" xfId="6417"/>
    <cellStyle name="40% - Accent5 4 13 2 2" xfId="14405"/>
    <cellStyle name="40% - Accent5 4 13 2 3" xfId="14404"/>
    <cellStyle name="40% - Accent5 4 13 2 4" xfId="26592"/>
    <cellStyle name="40% - Accent5 4 13 3" xfId="14406"/>
    <cellStyle name="40% - Accent5 4 13 3 2" xfId="14407"/>
    <cellStyle name="40% - Accent5 4 13 4" xfId="14408"/>
    <cellStyle name="40% - Accent5 4 13 5" xfId="14403"/>
    <cellStyle name="40% - Accent5 4 13 6" xfId="26591"/>
    <cellStyle name="40% - Accent5 4 14" xfId="5734"/>
    <cellStyle name="40% - Accent5 4 14 2" xfId="6418"/>
    <cellStyle name="40% - Accent5 4 14 2 2" xfId="14410"/>
    <cellStyle name="40% - Accent5 4 14 2 3" xfId="26594"/>
    <cellStyle name="40% - Accent5 4 14 3" xfId="14409"/>
    <cellStyle name="40% - Accent5 4 14 4" xfId="26593"/>
    <cellStyle name="40% - Accent5 4 15" xfId="4625"/>
    <cellStyle name="40% - Accent5 4 15 2" xfId="6419"/>
    <cellStyle name="40% - Accent5 4 15 2 2" xfId="14412"/>
    <cellStyle name="40% - Accent5 4 15 2 3" xfId="26596"/>
    <cellStyle name="40% - Accent5 4 15 3" xfId="14411"/>
    <cellStyle name="40% - Accent5 4 15 4" xfId="26595"/>
    <cellStyle name="40% - Accent5 4 16" xfId="14413"/>
    <cellStyle name="40% - Accent5 4 16 2" xfId="14414"/>
    <cellStyle name="40% - Accent5 4 17" xfId="14415"/>
    <cellStyle name="40% - Accent5 4 17 2" xfId="14416"/>
    <cellStyle name="40% - Accent5 4 17 2 2" xfId="14417"/>
    <cellStyle name="40% - Accent5 4 17 3" xfId="14418"/>
    <cellStyle name="40% - Accent5 4 17 3 2" xfId="14419"/>
    <cellStyle name="40% - Accent5 4 17 4" xfId="14420"/>
    <cellStyle name="40% - Accent5 4 18" xfId="14421"/>
    <cellStyle name="40% - Accent5 4 18 2" xfId="14422"/>
    <cellStyle name="40% - Accent5 4 19" xfId="14423"/>
    <cellStyle name="40% - Accent5 4 19 2" xfId="14424"/>
    <cellStyle name="40% - Accent5 4 2" xfId="1503"/>
    <cellStyle name="40% - Accent5 4 2 10" xfId="14426"/>
    <cellStyle name="40% - Accent5 4 2 10 2" xfId="14427"/>
    <cellStyle name="40% - Accent5 4 2 10 2 2" xfId="14428"/>
    <cellStyle name="40% - Accent5 4 2 10 3" xfId="14429"/>
    <cellStyle name="40% - Accent5 4 2 10 3 2" xfId="14430"/>
    <cellStyle name="40% - Accent5 4 2 10 4" xfId="14431"/>
    <cellStyle name="40% - Accent5 4 2 11" xfId="14432"/>
    <cellStyle name="40% - Accent5 4 2 11 2" xfId="14433"/>
    <cellStyle name="40% - Accent5 4 2 11 2 2" xfId="14434"/>
    <cellStyle name="40% - Accent5 4 2 11 3" xfId="14435"/>
    <cellStyle name="40% - Accent5 4 2 11 3 2" xfId="14436"/>
    <cellStyle name="40% - Accent5 4 2 11 4" xfId="14437"/>
    <cellStyle name="40% - Accent5 4 2 12" xfId="14438"/>
    <cellStyle name="40% - Accent5 4 2 12 2" xfId="14439"/>
    <cellStyle name="40% - Accent5 4 2 12 2 2" xfId="14440"/>
    <cellStyle name="40% - Accent5 4 2 12 3" xfId="14441"/>
    <cellStyle name="40% - Accent5 4 2 12 3 2" xfId="14442"/>
    <cellStyle name="40% - Accent5 4 2 12 4" xfId="14443"/>
    <cellStyle name="40% - Accent5 4 2 13" xfId="14444"/>
    <cellStyle name="40% - Accent5 4 2 13 2" xfId="14445"/>
    <cellStyle name="40% - Accent5 4 2 14" xfId="14446"/>
    <cellStyle name="40% - Accent5 4 2 14 2" xfId="14447"/>
    <cellStyle name="40% - Accent5 4 2 15" xfId="14448"/>
    <cellStyle name="40% - Accent5 4 2 15 2" xfId="14449"/>
    <cellStyle name="40% - Accent5 4 2 16" xfId="14450"/>
    <cellStyle name="40% - Accent5 4 2 16 2" xfId="14451"/>
    <cellStyle name="40% - Accent5 4 2 17" xfId="14452"/>
    <cellStyle name="40% - Accent5 4 2 18" xfId="14425"/>
    <cellStyle name="40% - Accent5 4 2 2" xfId="4630"/>
    <cellStyle name="40% - Accent5 4 2 2 2" xfId="14454"/>
    <cellStyle name="40% - Accent5 4 2 2 2 2" xfId="14455"/>
    <cellStyle name="40% - Accent5 4 2 2 3" xfId="14456"/>
    <cellStyle name="40% - Accent5 4 2 2 3 2" xfId="14457"/>
    <cellStyle name="40% - Accent5 4 2 2 4" xfId="14458"/>
    <cellStyle name="40% - Accent5 4 2 2 5" xfId="14453"/>
    <cellStyle name="40% - Accent5 4 2 3" xfId="14459"/>
    <cellStyle name="40% - Accent5 4 2 3 2" xfId="14460"/>
    <cellStyle name="40% - Accent5 4 2 3 2 2" xfId="14461"/>
    <cellStyle name="40% - Accent5 4 2 3 3" xfId="14462"/>
    <cellStyle name="40% - Accent5 4 2 3 3 2" xfId="14463"/>
    <cellStyle name="40% - Accent5 4 2 3 4" xfId="14464"/>
    <cellStyle name="40% - Accent5 4 2 4" xfId="14465"/>
    <cellStyle name="40% - Accent5 4 2 4 2" xfId="14466"/>
    <cellStyle name="40% - Accent5 4 2 4 2 2" xfId="14467"/>
    <cellStyle name="40% - Accent5 4 2 4 3" xfId="14468"/>
    <cellStyle name="40% - Accent5 4 2 4 3 2" xfId="14469"/>
    <cellStyle name="40% - Accent5 4 2 4 4" xfId="14470"/>
    <cellStyle name="40% - Accent5 4 2 5" xfId="14471"/>
    <cellStyle name="40% - Accent5 4 2 5 2" xfId="14472"/>
    <cellStyle name="40% - Accent5 4 2 5 2 2" xfId="14473"/>
    <cellStyle name="40% - Accent5 4 2 5 3" xfId="14474"/>
    <cellStyle name="40% - Accent5 4 2 5 3 2" xfId="14475"/>
    <cellStyle name="40% - Accent5 4 2 5 4" xfId="14476"/>
    <cellStyle name="40% - Accent5 4 2 6" xfId="14477"/>
    <cellStyle name="40% - Accent5 4 2 6 2" xfId="14478"/>
    <cellStyle name="40% - Accent5 4 2 6 2 2" xfId="14479"/>
    <cellStyle name="40% - Accent5 4 2 6 3" xfId="14480"/>
    <cellStyle name="40% - Accent5 4 2 6 3 2" xfId="14481"/>
    <cellStyle name="40% - Accent5 4 2 6 4" xfId="14482"/>
    <cellStyle name="40% - Accent5 4 2 7" xfId="14483"/>
    <cellStyle name="40% - Accent5 4 2 7 2" xfId="14484"/>
    <cellStyle name="40% - Accent5 4 2 7 2 2" xfId="14485"/>
    <cellStyle name="40% - Accent5 4 2 7 3" xfId="14486"/>
    <cellStyle name="40% - Accent5 4 2 7 3 2" xfId="14487"/>
    <cellStyle name="40% - Accent5 4 2 7 4" xfId="14488"/>
    <cellStyle name="40% - Accent5 4 2 8" xfId="14489"/>
    <cellStyle name="40% - Accent5 4 2 8 2" xfId="14490"/>
    <cellStyle name="40% - Accent5 4 2 8 2 2" xfId="14491"/>
    <cellStyle name="40% - Accent5 4 2 8 3" xfId="14492"/>
    <cellStyle name="40% - Accent5 4 2 8 3 2" xfId="14493"/>
    <cellStyle name="40% - Accent5 4 2 8 4" xfId="14494"/>
    <cellStyle name="40% - Accent5 4 2 9" xfId="14495"/>
    <cellStyle name="40% - Accent5 4 2 9 2" xfId="14496"/>
    <cellStyle name="40% - Accent5 4 2 9 2 2" xfId="14497"/>
    <cellStyle name="40% - Accent5 4 2 9 3" xfId="14498"/>
    <cellStyle name="40% - Accent5 4 2 9 3 2" xfId="14499"/>
    <cellStyle name="40% - Accent5 4 2 9 4" xfId="14500"/>
    <cellStyle name="40% - Accent5 4 20" xfId="14501"/>
    <cellStyle name="40% - Accent5 4 21" xfId="14364"/>
    <cellStyle name="40% - Accent5 4 3" xfId="1628"/>
    <cellStyle name="40% - Accent5 4 3 2" xfId="4631"/>
    <cellStyle name="40% - Accent5 4 3 2 2" xfId="14504"/>
    <cellStyle name="40% - Accent5 4 3 2 3" xfId="14503"/>
    <cellStyle name="40% - Accent5 4 3 3" xfId="14505"/>
    <cellStyle name="40% - Accent5 4 3 3 2" xfId="14506"/>
    <cellStyle name="40% - Accent5 4 3 4" xfId="14507"/>
    <cellStyle name="40% - Accent5 4 3 4 2" xfId="14508"/>
    <cellStyle name="40% - Accent5 4 3 5" xfId="14509"/>
    <cellStyle name="40% - Accent5 4 3 5 2" xfId="14510"/>
    <cellStyle name="40% - Accent5 4 3 6" xfId="14511"/>
    <cellStyle name="40% - Accent5 4 3 7" xfId="14502"/>
    <cellStyle name="40% - Accent5 4 4" xfId="1751"/>
    <cellStyle name="40% - Accent5 4 4 2" xfId="14513"/>
    <cellStyle name="40% - Accent5 4 4 2 2" xfId="14514"/>
    <cellStyle name="40% - Accent5 4 4 3" xfId="14515"/>
    <cellStyle name="40% - Accent5 4 4 3 2" xfId="14516"/>
    <cellStyle name="40% - Accent5 4 4 4" xfId="14517"/>
    <cellStyle name="40% - Accent5 4 4 4 2" xfId="14518"/>
    <cellStyle name="40% - Accent5 4 4 5" xfId="14519"/>
    <cellStyle name="40% - Accent5 4 4 6" xfId="14512"/>
    <cellStyle name="40% - Accent5 4 5" xfId="2086"/>
    <cellStyle name="40% - Accent5 4 5 2" xfId="14521"/>
    <cellStyle name="40% - Accent5 4 5 2 2" xfId="14522"/>
    <cellStyle name="40% - Accent5 4 5 3" xfId="14523"/>
    <cellStyle name="40% - Accent5 4 5 3 2" xfId="14524"/>
    <cellStyle name="40% - Accent5 4 5 4" xfId="14525"/>
    <cellStyle name="40% - Accent5 4 5 4 2" xfId="14526"/>
    <cellStyle name="40% - Accent5 4 5 5" xfId="14527"/>
    <cellStyle name="40% - Accent5 4 5 6" xfId="14520"/>
    <cellStyle name="40% - Accent5 4 6" xfId="2460"/>
    <cellStyle name="40% - Accent5 4 6 2" xfId="14529"/>
    <cellStyle name="40% - Accent5 4 6 2 2" xfId="14530"/>
    <cellStyle name="40% - Accent5 4 6 3" xfId="14531"/>
    <cellStyle name="40% - Accent5 4 6 3 2" xfId="14532"/>
    <cellStyle name="40% - Accent5 4 6 4" xfId="14533"/>
    <cellStyle name="40% - Accent5 4 6 4 2" xfId="14534"/>
    <cellStyle name="40% - Accent5 4 6 5" xfId="14535"/>
    <cellStyle name="40% - Accent5 4 6 6" xfId="14528"/>
    <cellStyle name="40% - Accent5 4 7" xfId="2832"/>
    <cellStyle name="40% - Accent5 4 7 2" xfId="14537"/>
    <cellStyle name="40% - Accent5 4 7 2 2" xfId="14538"/>
    <cellStyle name="40% - Accent5 4 7 3" xfId="14539"/>
    <cellStyle name="40% - Accent5 4 7 3 2" xfId="14540"/>
    <cellStyle name="40% - Accent5 4 7 4" xfId="14541"/>
    <cellStyle name="40% - Accent5 4 7 4 2" xfId="14542"/>
    <cellStyle name="40% - Accent5 4 7 5" xfId="14543"/>
    <cellStyle name="40% - Accent5 4 7 6" xfId="14536"/>
    <cellStyle name="40% - Accent5 4 8" xfId="3203"/>
    <cellStyle name="40% - Accent5 4 8 2" xfId="14545"/>
    <cellStyle name="40% - Accent5 4 8 2 2" xfId="14546"/>
    <cellStyle name="40% - Accent5 4 8 3" xfId="14547"/>
    <cellStyle name="40% - Accent5 4 8 3 2" xfId="14548"/>
    <cellStyle name="40% - Accent5 4 8 4" xfId="14549"/>
    <cellStyle name="40% - Accent5 4 8 4 2" xfId="14550"/>
    <cellStyle name="40% - Accent5 4 8 5" xfId="14551"/>
    <cellStyle name="40% - Accent5 4 8 6" xfId="14544"/>
    <cellStyle name="40% - Accent5 4 9" xfId="3592"/>
    <cellStyle name="40% - Accent5 4 9 2" xfId="4632"/>
    <cellStyle name="40% - Accent5 4 9 2 2" xfId="14554"/>
    <cellStyle name="40% - Accent5 4 9 2 3" xfId="14553"/>
    <cellStyle name="40% - Accent5 4 9 3" xfId="14555"/>
    <cellStyle name="40% - Accent5 4 9 3 2" xfId="14556"/>
    <cellStyle name="40% - Accent5 4 9 4" xfId="14557"/>
    <cellStyle name="40% - Accent5 4 9 4 2" xfId="14558"/>
    <cellStyle name="40% - Accent5 4 9 5" xfId="14559"/>
    <cellStyle name="40% - Accent5 4 9 5 2" xfId="14560"/>
    <cellStyle name="40% - Accent5 4 9 6" xfId="14561"/>
    <cellStyle name="40% - Accent5 4 9 7" xfId="14552"/>
    <cellStyle name="40% - Accent5 5" xfId="399"/>
    <cellStyle name="40% - Accent5 5 10" xfId="14563"/>
    <cellStyle name="40% - Accent5 5 10 2" xfId="14564"/>
    <cellStyle name="40% - Accent5 5 10 2 2" xfId="14565"/>
    <cellStyle name="40% - Accent5 5 10 3" xfId="14566"/>
    <cellStyle name="40% - Accent5 5 10 3 2" xfId="14567"/>
    <cellStyle name="40% - Accent5 5 10 4" xfId="14568"/>
    <cellStyle name="40% - Accent5 5 11" xfId="14569"/>
    <cellStyle name="40% - Accent5 5 11 2" xfId="14570"/>
    <cellStyle name="40% - Accent5 5 11 2 2" xfId="14571"/>
    <cellStyle name="40% - Accent5 5 11 3" xfId="14572"/>
    <cellStyle name="40% - Accent5 5 11 3 2" xfId="14573"/>
    <cellStyle name="40% - Accent5 5 11 4" xfId="14574"/>
    <cellStyle name="40% - Accent5 5 12" xfId="14575"/>
    <cellStyle name="40% - Accent5 5 12 2" xfId="14576"/>
    <cellStyle name="40% - Accent5 5 12 2 2" xfId="14577"/>
    <cellStyle name="40% - Accent5 5 12 3" xfId="14578"/>
    <cellStyle name="40% - Accent5 5 12 3 2" xfId="14579"/>
    <cellStyle name="40% - Accent5 5 12 4" xfId="14580"/>
    <cellStyle name="40% - Accent5 5 13" xfId="14581"/>
    <cellStyle name="40% - Accent5 5 13 2" xfId="14582"/>
    <cellStyle name="40% - Accent5 5 13 2 2" xfId="14583"/>
    <cellStyle name="40% - Accent5 5 13 3" xfId="14584"/>
    <cellStyle name="40% - Accent5 5 13 3 2" xfId="14585"/>
    <cellStyle name="40% - Accent5 5 13 4" xfId="14586"/>
    <cellStyle name="40% - Accent5 5 14" xfId="14587"/>
    <cellStyle name="40% - Accent5 5 14 2" xfId="14588"/>
    <cellStyle name="40% - Accent5 5 15" xfId="14589"/>
    <cellStyle name="40% - Accent5 5 15 2" xfId="14590"/>
    <cellStyle name="40% - Accent5 5 16" xfId="14591"/>
    <cellStyle name="40% - Accent5 5 16 2" xfId="14592"/>
    <cellStyle name="40% - Accent5 5 17" xfId="14593"/>
    <cellStyle name="40% - Accent5 5 17 2" xfId="14594"/>
    <cellStyle name="40% - Accent5 5 18" xfId="14595"/>
    <cellStyle name="40% - Accent5 5 19" xfId="14562"/>
    <cellStyle name="40% - Accent5 5 2" xfId="1875"/>
    <cellStyle name="40% - Accent5 5 2 10" xfId="14597"/>
    <cellStyle name="40% - Accent5 5 2 10 2" xfId="14598"/>
    <cellStyle name="40% - Accent5 5 2 10 2 2" xfId="14599"/>
    <cellStyle name="40% - Accent5 5 2 10 3" xfId="14600"/>
    <cellStyle name="40% - Accent5 5 2 10 3 2" xfId="14601"/>
    <cellStyle name="40% - Accent5 5 2 10 4" xfId="14602"/>
    <cellStyle name="40% - Accent5 5 2 11" xfId="14603"/>
    <cellStyle name="40% - Accent5 5 2 11 2" xfId="14604"/>
    <cellStyle name="40% - Accent5 5 2 11 2 2" xfId="14605"/>
    <cellStyle name="40% - Accent5 5 2 11 3" xfId="14606"/>
    <cellStyle name="40% - Accent5 5 2 11 3 2" xfId="14607"/>
    <cellStyle name="40% - Accent5 5 2 11 4" xfId="14608"/>
    <cellStyle name="40% - Accent5 5 2 12" xfId="14609"/>
    <cellStyle name="40% - Accent5 5 2 12 2" xfId="14610"/>
    <cellStyle name="40% - Accent5 5 2 12 2 2" xfId="14611"/>
    <cellStyle name="40% - Accent5 5 2 12 3" xfId="14612"/>
    <cellStyle name="40% - Accent5 5 2 12 3 2" xfId="14613"/>
    <cellStyle name="40% - Accent5 5 2 12 4" xfId="14614"/>
    <cellStyle name="40% - Accent5 5 2 13" xfId="14615"/>
    <cellStyle name="40% - Accent5 5 2 13 2" xfId="14616"/>
    <cellStyle name="40% - Accent5 5 2 14" xfId="14617"/>
    <cellStyle name="40% - Accent5 5 2 14 2" xfId="14618"/>
    <cellStyle name="40% - Accent5 5 2 15" xfId="14619"/>
    <cellStyle name="40% - Accent5 5 2 15 2" xfId="14620"/>
    <cellStyle name="40% - Accent5 5 2 16" xfId="14621"/>
    <cellStyle name="40% - Accent5 5 2 17" xfId="14596"/>
    <cellStyle name="40% - Accent5 5 2 2" xfId="14622"/>
    <cellStyle name="40% - Accent5 5 2 2 2" xfId="14623"/>
    <cellStyle name="40% - Accent5 5 2 2 2 2" xfId="14624"/>
    <cellStyle name="40% - Accent5 5 2 2 3" xfId="14625"/>
    <cellStyle name="40% - Accent5 5 2 2 3 2" xfId="14626"/>
    <cellStyle name="40% - Accent5 5 2 2 4" xfId="14627"/>
    <cellStyle name="40% - Accent5 5 2 3" xfId="14628"/>
    <cellStyle name="40% - Accent5 5 2 3 2" xfId="14629"/>
    <cellStyle name="40% - Accent5 5 2 3 2 2" xfId="14630"/>
    <cellStyle name="40% - Accent5 5 2 3 3" xfId="14631"/>
    <cellStyle name="40% - Accent5 5 2 3 3 2" xfId="14632"/>
    <cellStyle name="40% - Accent5 5 2 3 4" xfId="14633"/>
    <cellStyle name="40% - Accent5 5 2 4" xfId="14634"/>
    <cellStyle name="40% - Accent5 5 2 4 2" xfId="14635"/>
    <cellStyle name="40% - Accent5 5 2 4 2 2" xfId="14636"/>
    <cellStyle name="40% - Accent5 5 2 4 3" xfId="14637"/>
    <cellStyle name="40% - Accent5 5 2 4 3 2" xfId="14638"/>
    <cellStyle name="40% - Accent5 5 2 4 4" xfId="14639"/>
    <cellStyle name="40% - Accent5 5 2 5" xfId="14640"/>
    <cellStyle name="40% - Accent5 5 2 5 2" xfId="14641"/>
    <cellStyle name="40% - Accent5 5 2 5 2 2" xfId="14642"/>
    <cellStyle name="40% - Accent5 5 2 5 3" xfId="14643"/>
    <cellStyle name="40% - Accent5 5 2 5 3 2" xfId="14644"/>
    <cellStyle name="40% - Accent5 5 2 5 4" xfId="14645"/>
    <cellStyle name="40% - Accent5 5 2 6" xfId="14646"/>
    <cellStyle name="40% - Accent5 5 2 6 2" xfId="14647"/>
    <cellStyle name="40% - Accent5 5 2 6 2 2" xfId="14648"/>
    <cellStyle name="40% - Accent5 5 2 6 3" xfId="14649"/>
    <cellStyle name="40% - Accent5 5 2 6 3 2" xfId="14650"/>
    <cellStyle name="40% - Accent5 5 2 6 4" xfId="14651"/>
    <cellStyle name="40% - Accent5 5 2 7" xfId="14652"/>
    <cellStyle name="40% - Accent5 5 2 7 2" xfId="14653"/>
    <cellStyle name="40% - Accent5 5 2 7 2 2" xfId="14654"/>
    <cellStyle name="40% - Accent5 5 2 7 3" xfId="14655"/>
    <cellStyle name="40% - Accent5 5 2 7 3 2" xfId="14656"/>
    <cellStyle name="40% - Accent5 5 2 7 4" xfId="14657"/>
    <cellStyle name="40% - Accent5 5 2 8" xfId="14658"/>
    <cellStyle name="40% - Accent5 5 2 8 2" xfId="14659"/>
    <cellStyle name="40% - Accent5 5 2 8 2 2" xfId="14660"/>
    <cellStyle name="40% - Accent5 5 2 8 3" xfId="14661"/>
    <cellStyle name="40% - Accent5 5 2 8 3 2" xfId="14662"/>
    <cellStyle name="40% - Accent5 5 2 8 4" xfId="14663"/>
    <cellStyle name="40% - Accent5 5 2 9" xfId="14664"/>
    <cellStyle name="40% - Accent5 5 2 9 2" xfId="14665"/>
    <cellStyle name="40% - Accent5 5 2 9 2 2" xfId="14666"/>
    <cellStyle name="40% - Accent5 5 2 9 3" xfId="14667"/>
    <cellStyle name="40% - Accent5 5 2 9 3 2" xfId="14668"/>
    <cellStyle name="40% - Accent5 5 2 9 4" xfId="14669"/>
    <cellStyle name="40% - Accent5 5 3" xfId="2250"/>
    <cellStyle name="40% - Accent5 5 3 2" xfId="14671"/>
    <cellStyle name="40% - Accent5 5 3 2 2" xfId="14672"/>
    <cellStyle name="40% - Accent5 5 3 3" xfId="14673"/>
    <cellStyle name="40% - Accent5 5 3 3 2" xfId="14674"/>
    <cellStyle name="40% - Accent5 5 3 4" xfId="14675"/>
    <cellStyle name="40% - Accent5 5 3 4 2" xfId="14676"/>
    <cellStyle name="40% - Accent5 5 3 5" xfId="14677"/>
    <cellStyle name="40% - Accent5 5 3 6" xfId="14670"/>
    <cellStyle name="40% - Accent5 5 4" xfId="2624"/>
    <cellStyle name="40% - Accent5 5 4 2" xfId="14679"/>
    <cellStyle name="40% - Accent5 5 4 2 2" xfId="14680"/>
    <cellStyle name="40% - Accent5 5 4 3" xfId="14681"/>
    <cellStyle name="40% - Accent5 5 4 3 2" xfId="14682"/>
    <cellStyle name="40% - Accent5 5 4 4" xfId="14683"/>
    <cellStyle name="40% - Accent5 5 4 4 2" xfId="14684"/>
    <cellStyle name="40% - Accent5 5 4 5" xfId="14685"/>
    <cellStyle name="40% - Accent5 5 4 6" xfId="14678"/>
    <cellStyle name="40% - Accent5 5 5" xfId="2996"/>
    <cellStyle name="40% - Accent5 5 5 2" xfId="14687"/>
    <cellStyle name="40% - Accent5 5 5 2 2" xfId="14688"/>
    <cellStyle name="40% - Accent5 5 5 3" xfId="14689"/>
    <cellStyle name="40% - Accent5 5 5 3 2" xfId="14690"/>
    <cellStyle name="40% - Accent5 5 5 4" xfId="14691"/>
    <cellStyle name="40% - Accent5 5 5 4 2" xfId="14692"/>
    <cellStyle name="40% - Accent5 5 5 5" xfId="14693"/>
    <cellStyle name="40% - Accent5 5 5 6" xfId="14686"/>
    <cellStyle name="40% - Accent5 5 6" xfId="3368"/>
    <cellStyle name="40% - Accent5 5 6 2" xfId="14695"/>
    <cellStyle name="40% - Accent5 5 6 2 2" xfId="14696"/>
    <cellStyle name="40% - Accent5 5 6 3" xfId="14697"/>
    <cellStyle name="40% - Accent5 5 6 3 2" xfId="14698"/>
    <cellStyle name="40% - Accent5 5 6 4" xfId="14699"/>
    <cellStyle name="40% - Accent5 5 6 4 2" xfId="14700"/>
    <cellStyle name="40% - Accent5 5 6 5" xfId="14701"/>
    <cellStyle name="40% - Accent5 5 6 6" xfId="14694"/>
    <cellStyle name="40% - Accent5 5 7" xfId="4633"/>
    <cellStyle name="40% - Accent5 5 7 2" xfId="14703"/>
    <cellStyle name="40% - Accent5 5 7 2 2" xfId="14704"/>
    <cellStyle name="40% - Accent5 5 7 3" xfId="14705"/>
    <cellStyle name="40% - Accent5 5 7 3 2" xfId="14706"/>
    <cellStyle name="40% - Accent5 5 7 4" xfId="14707"/>
    <cellStyle name="40% - Accent5 5 7 5" xfId="14702"/>
    <cellStyle name="40% - Accent5 5 8" xfId="14708"/>
    <cellStyle name="40% - Accent5 5 8 2" xfId="14709"/>
    <cellStyle name="40% - Accent5 5 8 2 2" xfId="14710"/>
    <cellStyle name="40% - Accent5 5 8 3" xfId="14711"/>
    <cellStyle name="40% - Accent5 5 8 3 2" xfId="14712"/>
    <cellStyle name="40% - Accent5 5 8 4" xfId="14713"/>
    <cellStyle name="40% - Accent5 5 9" xfId="14714"/>
    <cellStyle name="40% - Accent5 5 9 2" xfId="14715"/>
    <cellStyle name="40% - Accent5 5 9 2 2" xfId="14716"/>
    <cellStyle name="40% - Accent5 5 9 3" xfId="14717"/>
    <cellStyle name="40% - Accent5 5 9 3 2" xfId="14718"/>
    <cellStyle name="40% - Accent5 5 9 4" xfId="14719"/>
    <cellStyle name="40% - Accent5 6" xfId="400"/>
    <cellStyle name="40% - Accent5 6 10" xfId="5428"/>
    <cellStyle name="40% - Accent5 6 10 2" xfId="6421"/>
    <cellStyle name="40% - Accent5 6 10 2 2" xfId="14723"/>
    <cellStyle name="40% - Accent5 6 10 2 3" xfId="14722"/>
    <cellStyle name="40% - Accent5 6 10 2 4" xfId="26599"/>
    <cellStyle name="40% - Accent5 6 10 3" xfId="14724"/>
    <cellStyle name="40% - Accent5 6 10 3 2" xfId="14725"/>
    <cellStyle name="40% - Accent5 6 10 4" xfId="14726"/>
    <cellStyle name="40% - Accent5 6 10 5" xfId="14721"/>
    <cellStyle name="40% - Accent5 6 10 6" xfId="26598"/>
    <cellStyle name="40% - Accent5 6 11" xfId="5738"/>
    <cellStyle name="40% - Accent5 6 11 2" xfId="6422"/>
    <cellStyle name="40% - Accent5 6 11 2 2" xfId="14729"/>
    <cellStyle name="40% - Accent5 6 11 2 3" xfId="14728"/>
    <cellStyle name="40% - Accent5 6 11 2 4" xfId="26601"/>
    <cellStyle name="40% - Accent5 6 11 3" xfId="14730"/>
    <cellStyle name="40% - Accent5 6 11 3 2" xfId="14731"/>
    <cellStyle name="40% - Accent5 6 11 4" xfId="14732"/>
    <cellStyle name="40% - Accent5 6 11 5" xfId="14727"/>
    <cellStyle name="40% - Accent5 6 11 6" xfId="26600"/>
    <cellStyle name="40% - Accent5 6 12" xfId="4634"/>
    <cellStyle name="40% - Accent5 6 12 2" xfId="6423"/>
    <cellStyle name="40% - Accent5 6 12 2 2" xfId="14735"/>
    <cellStyle name="40% - Accent5 6 12 2 3" xfId="14734"/>
    <cellStyle name="40% - Accent5 6 12 2 4" xfId="26603"/>
    <cellStyle name="40% - Accent5 6 12 3" xfId="14736"/>
    <cellStyle name="40% - Accent5 6 12 3 2" xfId="14737"/>
    <cellStyle name="40% - Accent5 6 12 4" xfId="14738"/>
    <cellStyle name="40% - Accent5 6 12 5" xfId="14733"/>
    <cellStyle name="40% - Accent5 6 12 6" xfId="26602"/>
    <cellStyle name="40% - Accent5 6 13" xfId="6420"/>
    <cellStyle name="40% - Accent5 6 13 2" xfId="14740"/>
    <cellStyle name="40% - Accent5 6 13 3" xfId="14739"/>
    <cellStyle name="40% - Accent5 6 13 4" xfId="26604"/>
    <cellStyle name="40% - Accent5 6 14" xfId="14741"/>
    <cellStyle name="40% - Accent5 6 14 2" xfId="14742"/>
    <cellStyle name="40% - Accent5 6 15" xfId="14743"/>
    <cellStyle name="40% - Accent5 6 15 2" xfId="14744"/>
    <cellStyle name="40% - Accent5 6 16" xfId="14745"/>
    <cellStyle name="40% - Accent5 6 16 2" xfId="14746"/>
    <cellStyle name="40% - Accent5 6 16 2 2" xfId="14747"/>
    <cellStyle name="40% - Accent5 6 16 3" xfId="14748"/>
    <cellStyle name="40% - Accent5 6 16 3 2" xfId="14749"/>
    <cellStyle name="40% - Accent5 6 16 4" xfId="14750"/>
    <cellStyle name="40% - Accent5 6 17" xfId="14751"/>
    <cellStyle name="40% - Accent5 6 17 2" xfId="14752"/>
    <cellStyle name="40% - Accent5 6 18" xfId="14753"/>
    <cellStyle name="40% - Accent5 6 18 2" xfId="14754"/>
    <cellStyle name="40% - Accent5 6 19" xfId="14755"/>
    <cellStyle name="40% - Accent5 6 2" xfId="1979"/>
    <cellStyle name="40% - Accent5 6 2 2" xfId="4635"/>
    <cellStyle name="40% - Accent5 6 2 2 2" xfId="14758"/>
    <cellStyle name="40% - Accent5 6 2 2 3" xfId="14757"/>
    <cellStyle name="40% - Accent5 6 2 3" xfId="14759"/>
    <cellStyle name="40% - Accent5 6 2 3 2" xfId="14760"/>
    <cellStyle name="40% - Accent5 6 2 4" xfId="14761"/>
    <cellStyle name="40% - Accent5 6 2 4 2" xfId="14762"/>
    <cellStyle name="40% - Accent5 6 2 5" xfId="14763"/>
    <cellStyle name="40% - Accent5 6 2 5 2" xfId="14764"/>
    <cellStyle name="40% - Accent5 6 2 6" xfId="14765"/>
    <cellStyle name="40% - Accent5 6 2 7" xfId="14756"/>
    <cellStyle name="40% - Accent5 6 20" xfId="14720"/>
    <cellStyle name="40% - Accent5 6 21" xfId="24841"/>
    <cellStyle name="40% - Accent5 6 22" xfId="26597"/>
    <cellStyle name="40% - Accent5 6 3" xfId="2354"/>
    <cellStyle name="40% - Accent5 6 3 2" xfId="4636"/>
    <cellStyle name="40% - Accent5 6 3 2 2" xfId="14768"/>
    <cellStyle name="40% - Accent5 6 3 2 3" xfId="14767"/>
    <cellStyle name="40% - Accent5 6 3 3" xfId="14769"/>
    <cellStyle name="40% - Accent5 6 3 3 2" xfId="14770"/>
    <cellStyle name="40% - Accent5 6 3 4" xfId="14771"/>
    <cellStyle name="40% - Accent5 6 3 4 2" xfId="14772"/>
    <cellStyle name="40% - Accent5 6 3 5" xfId="14773"/>
    <cellStyle name="40% - Accent5 6 3 5 2" xfId="14774"/>
    <cellStyle name="40% - Accent5 6 3 6" xfId="14775"/>
    <cellStyle name="40% - Accent5 6 3 7" xfId="14766"/>
    <cellStyle name="40% - Accent5 6 4" xfId="2727"/>
    <cellStyle name="40% - Accent5 6 4 2" xfId="4637"/>
    <cellStyle name="40% - Accent5 6 4 2 2" xfId="14778"/>
    <cellStyle name="40% - Accent5 6 4 2 3" xfId="14777"/>
    <cellStyle name="40% - Accent5 6 4 3" xfId="14779"/>
    <cellStyle name="40% - Accent5 6 4 3 2" xfId="14780"/>
    <cellStyle name="40% - Accent5 6 4 4" xfId="14781"/>
    <cellStyle name="40% - Accent5 6 4 4 2" xfId="14782"/>
    <cellStyle name="40% - Accent5 6 4 5" xfId="14783"/>
    <cellStyle name="40% - Accent5 6 4 5 2" xfId="14784"/>
    <cellStyle name="40% - Accent5 6 4 6" xfId="14785"/>
    <cellStyle name="40% - Accent5 6 4 7" xfId="14776"/>
    <cellStyle name="40% - Accent5 6 5" xfId="3100"/>
    <cellStyle name="40% - Accent5 6 5 2" xfId="4638"/>
    <cellStyle name="40% - Accent5 6 5 2 2" xfId="14788"/>
    <cellStyle name="40% - Accent5 6 5 2 3" xfId="14787"/>
    <cellStyle name="40% - Accent5 6 5 3" xfId="14789"/>
    <cellStyle name="40% - Accent5 6 5 3 2" xfId="14790"/>
    <cellStyle name="40% - Accent5 6 5 4" xfId="14791"/>
    <cellStyle name="40% - Accent5 6 5 4 2" xfId="14792"/>
    <cellStyle name="40% - Accent5 6 5 5" xfId="14793"/>
    <cellStyle name="40% - Accent5 6 5 5 2" xfId="14794"/>
    <cellStyle name="40% - Accent5 6 5 6" xfId="14795"/>
    <cellStyle name="40% - Accent5 6 5 7" xfId="14786"/>
    <cellStyle name="40% - Accent5 6 6" xfId="3471"/>
    <cellStyle name="40% - Accent5 6 6 2" xfId="4639"/>
    <cellStyle name="40% - Accent5 6 6 2 2" xfId="14798"/>
    <cellStyle name="40% - Accent5 6 6 2 3" xfId="14797"/>
    <cellStyle name="40% - Accent5 6 6 3" xfId="14799"/>
    <cellStyle name="40% - Accent5 6 6 3 2" xfId="14800"/>
    <cellStyle name="40% - Accent5 6 6 4" xfId="14801"/>
    <cellStyle name="40% - Accent5 6 6 4 2" xfId="14802"/>
    <cellStyle name="40% - Accent5 6 6 5" xfId="14803"/>
    <cellStyle name="40% - Accent5 6 6 5 2" xfId="14804"/>
    <cellStyle name="40% - Accent5 6 6 6" xfId="14805"/>
    <cellStyle name="40% - Accent5 6 6 7" xfId="14796"/>
    <cellStyle name="40% - Accent5 6 7" xfId="3777"/>
    <cellStyle name="40% - Accent5 6 7 2" xfId="4640"/>
    <cellStyle name="40% - Accent5 6 7 2 2" xfId="14808"/>
    <cellStyle name="40% - Accent5 6 7 2 3" xfId="14807"/>
    <cellStyle name="40% - Accent5 6 7 3" xfId="14809"/>
    <cellStyle name="40% - Accent5 6 7 3 2" xfId="14810"/>
    <cellStyle name="40% - Accent5 6 7 4" xfId="14811"/>
    <cellStyle name="40% - Accent5 6 7 4 2" xfId="14812"/>
    <cellStyle name="40% - Accent5 6 7 5" xfId="14813"/>
    <cellStyle name="40% - Accent5 6 7 5 2" xfId="14814"/>
    <cellStyle name="40% - Accent5 6 7 6" xfId="14815"/>
    <cellStyle name="40% - Accent5 6 7 7" xfId="14806"/>
    <cellStyle name="40% - Accent5 6 8" xfId="1368"/>
    <cellStyle name="40% - Accent5 6 8 10" xfId="24900"/>
    <cellStyle name="40% - Accent5 6 8 11" xfId="26605"/>
    <cellStyle name="40% - Accent5 6 8 2" xfId="4168"/>
    <cellStyle name="40% - Accent5 6 8 2 2" xfId="5430"/>
    <cellStyle name="40% - Accent5 6 8 2 2 2" xfId="6426"/>
    <cellStyle name="40% - Accent5 6 8 2 2 2 2" xfId="14819"/>
    <cellStyle name="40% - Accent5 6 8 2 2 2 3" xfId="26608"/>
    <cellStyle name="40% - Accent5 6 8 2 2 3" xfId="14818"/>
    <cellStyle name="40% - Accent5 6 8 2 2 4" xfId="26607"/>
    <cellStyle name="40% - Accent5 6 8 2 3" xfId="5740"/>
    <cellStyle name="40% - Accent5 6 8 2 3 2" xfId="6427"/>
    <cellStyle name="40% - Accent5 6 8 2 3 2 2" xfId="26610"/>
    <cellStyle name="40% - Accent5 6 8 2 3 3" xfId="14820"/>
    <cellStyle name="40% - Accent5 6 8 2 3 4" xfId="26609"/>
    <cellStyle name="40% - Accent5 6 8 2 4" xfId="4642"/>
    <cellStyle name="40% - Accent5 6 8 2 4 2" xfId="6428"/>
    <cellStyle name="40% - Accent5 6 8 2 4 2 2" xfId="26612"/>
    <cellStyle name="40% - Accent5 6 8 2 4 3" xfId="26611"/>
    <cellStyle name="40% - Accent5 6 8 2 5" xfId="6425"/>
    <cellStyle name="40% - Accent5 6 8 2 5 2" xfId="26613"/>
    <cellStyle name="40% - Accent5 6 8 2 6" xfId="14817"/>
    <cellStyle name="40% - Accent5 6 8 2 7" xfId="25020"/>
    <cellStyle name="40% - Accent5 6 8 2 8" xfId="26606"/>
    <cellStyle name="40% - Accent5 6 8 3" xfId="5429"/>
    <cellStyle name="40% - Accent5 6 8 3 2" xfId="6429"/>
    <cellStyle name="40% - Accent5 6 8 3 2 2" xfId="14822"/>
    <cellStyle name="40% - Accent5 6 8 3 2 3" xfId="26615"/>
    <cellStyle name="40% - Accent5 6 8 3 3" xfId="14821"/>
    <cellStyle name="40% - Accent5 6 8 3 4" xfId="26614"/>
    <cellStyle name="40% - Accent5 6 8 4" xfId="5739"/>
    <cellStyle name="40% - Accent5 6 8 4 2" xfId="6430"/>
    <cellStyle name="40% - Accent5 6 8 4 2 2" xfId="14824"/>
    <cellStyle name="40% - Accent5 6 8 4 2 3" xfId="26617"/>
    <cellStyle name="40% - Accent5 6 8 4 3" xfId="14823"/>
    <cellStyle name="40% - Accent5 6 8 4 4" xfId="26616"/>
    <cellStyle name="40% - Accent5 6 8 5" xfId="4641"/>
    <cellStyle name="40% - Accent5 6 8 5 2" xfId="6431"/>
    <cellStyle name="40% - Accent5 6 8 5 2 2" xfId="14827"/>
    <cellStyle name="40% - Accent5 6 8 5 2 3" xfId="14826"/>
    <cellStyle name="40% - Accent5 6 8 5 2 4" xfId="26619"/>
    <cellStyle name="40% - Accent5 6 8 5 3" xfId="14828"/>
    <cellStyle name="40% - Accent5 6 8 5 3 2" xfId="14829"/>
    <cellStyle name="40% - Accent5 6 8 5 4" xfId="14830"/>
    <cellStyle name="40% - Accent5 6 8 5 5" xfId="14825"/>
    <cellStyle name="40% - Accent5 6 8 5 6" xfId="26618"/>
    <cellStyle name="40% - Accent5 6 8 6" xfId="6424"/>
    <cellStyle name="40% - Accent5 6 8 6 2" xfId="14832"/>
    <cellStyle name="40% - Accent5 6 8 6 3" xfId="14831"/>
    <cellStyle name="40% - Accent5 6 8 6 4" xfId="26620"/>
    <cellStyle name="40% - Accent5 6 8 7" xfId="14833"/>
    <cellStyle name="40% - Accent5 6 8 7 2" xfId="14834"/>
    <cellStyle name="40% - Accent5 6 8 8" xfId="14835"/>
    <cellStyle name="40% - Accent5 6 8 9" xfId="14816"/>
    <cellStyle name="40% - Accent5 6 9" xfId="3827"/>
    <cellStyle name="40% - Accent5 6 9 2" xfId="5431"/>
    <cellStyle name="40% - Accent5 6 9 2 2" xfId="6433"/>
    <cellStyle name="40% - Accent5 6 9 2 2 2" xfId="14838"/>
    <cellStyle name="40% - Accent5 6 9 2 2 3" xfId="26623"/>
    <cellStyle name="40% - Accent5 6 9 2 3" xfId="14837"/>
    <cellStyle name="40% - Accent5 6 9 2 4" xfId="26622"/>
    <cellStyle name="40% - Accent5 6 9 3" xfId="5741"/>
    <cellStyle name="40% - Accent5 6 9 3 2" xfId="6434"/>
    <cellStyle name="40% - Accent5 6 9 3 2 2" xfId="14840"/>
    <cellStyle name="40% - Accent5 6 9 3 2 3" xfId="26625"/>
    <cellStyle name="40% - Accent5 6 9 3 3" xfId="14839"/>
    <cellStyle name="40% - Accent5 6 9 3 4" xfId="26624"/>
    <cellStyle name="40% - Accent5 6 9 4" xfId="4643"/>
    <cellStyle name="40% - Accent5 6 9 4 2" xfId="6435"/>
    <cellStyle name="40% - Accent5 6 9 4 2 2" xfId="14842"/>
    <cellStyle name="40% - Accent5 6 9 4 2 3" xfId="26627"/>
    <cellStyle name="40% - Accent5 6 9 4 3" xfId="14841"/>
    <cellStyle name="40% - Accent5 6 9 4 4" xfId="26626"/>
    <cellStyle name="40% - Accent5 6 9 5" xfId="6432"/>
    <cellStyle name="40% - Accent5 6 9 5 2" xfId="14843"/>
    <cellStyle name="40% - Accent5 6 9 5 3" xfId="26628"/>
    <cellStyle name="40% - Accent5 6 9 6" xfId="14836"/>
    <cellStyle name="40% - Accent5 6 9 7" xfId="24963"/>
    <cellStyle name="40% - Accent5 6 9 8" xfId="26621"/>
    <cellStyle name="40% - Accent5 7" xfId="401"/>
    <cellStyle name="40% - Accent5 7 10" xfId="14845"/>
    <cellStyle name="40% - Accent5 7 10 2" xfId="14846"/>
    <cellStyle name="40% - Accent5 7 10 2 2" xfId="14847"/>
    <cellStyle name="40% - Accent5 7 10 3" xfId="14848"/>
    <cellStyle name="40% - Accent5 7 10 3 2" xfId="14849"/>
    <cellStyle name="40% - Accent5 7 10 4" xfId="14850"/>
    <cellStyle name="40% - Accent5 7 11" xfId="14851"/>
    <cellStyle name="40% - Accent5 7 11 2" xfId="14852"/>
    <cellStyle name="40% - Accent5 7 11 2 2" xfId="14853"/>
    <cellStyle name="40% - Accent5 7 11 3" xfId="14854"/>
    <cellStyle name="40% - Accent5 7 11 3 2" xfId="14855"/>
    <cellStyle name="40% - Accent5 7 11 4" xfId="14856"/>
    <cellStyle name="40% - Accent5 7 12" xfId="14857"/>
    <cellStyle name="40% - Accent5 7 12 2" xfId="14858"/>
    <cellStyle name="40% - Accent5 7 12 2 2" xfId="14859"/>
    <cellStyle name="40% - Accent5 7 12 3" xfId="14860"/>
    <cellStyle name="40% - Accent5 7 12 3 2" xfId="14861"/>
    <cellStyle name="40% - Accent5 7 12 4" xfId="14862"/>
    <cellStyle name="40% - Accent5 7 13" xfId="14863"/>
    <cellStyle name="40% - Accent5 7 13 2" xfId="14864"/>
    <cellStyle name="40% - Accent5 7 14" xfId="14865"/>
    <cellStyle name="40% - Accent5 7 14 2" xfId="14866"/>
    <cellStyle name="40% - Accent5 7 15" xfId="14867"/>
    <cellStyle name="40% - Accent5 7 15 2" xfId="14868"/>
    <cellStyle name="40% - Accent5 7 16" xfId="14869"/>
    <cellStyle name="40% - Accent5 7 16 2" xfId="14870"/>
    <cellStyle name="40% - Accent5 7 17" xfId="14871"/>
    <cellStyle name="40% - Accent5 7 18" xfId="14844"/>
    <cellStyle name="40% - Accent5 7 2" xfId="4644"/>
    <cellStyle name="40% - Accent5 7 2 2" xfId="14873"/>
    <cellStyle name="40% - Accent5 7 2 2 2" xfId="14874"/>
    <cellStyle name="40% - Accent5 7 2 3" xfId="14875"/>
    <cellStyle name="40% - Accent5 7 2 3 2" xfId="14876"/>
    <cellStyle name="40% - Accent5 7 2 4" xfId="14877"/>
    <cellStyle name="40% - Accent5 7 2 5" xfId="14872"/>
    <cellStyle name="40% - Accent5 7 3" xfId="14878"/>
    <cellStyle name="40% - Accent5 7 3 2" xfId="14879"/>
    <cellStyle name="40% - Accent5 7 3 2 2" xfId="14880"/>
    <cellStyle name="40% - Accent5 7 3 3" xfId="14881"/>
    <cellStyle name="40% - Accent5 7 3 3 2" xfId="14882"/>
    <cellStyle name="40% - Accent5 7 3 4" xfId="14883"/>
    <cellStyle name="40% - Accent5 7 4" xfId="14884"/>
    <cellStyle name="40% - Accent5 7 4 2" xfId="14885"/>
    <cellStyle name="40% - Accent5 7 4 2 2" xfId="14886"/>
    <cellStyle name="40% - Accent5 7 4 3" xfId="14887"/>
    <cellStyle name="40% - Accent5 7 4 3 2" xfId="14888"/>
    <cellStyle name="40% - Accent5 7 4 4" xfId="14889"/>
    <cellStyle name="40% - Accent5 7 5" xfId="14890"/>
    <cellStyle name="40% - Accent5 7 5 2" xfId="14891"/>
    <cellStyle name="40% - Accent5 7 5 2 2" xfId="14892"/>
    <cellStyle name="40% - Accent5 7 5 3" xfId="14893"/>
    <cellStyle name="40% - Accent5 7 5 3 2" xfId="14894"/>
    <cellStyle name="40% - Accent5 7 5 4" xfId="14895"/>
    <cellStyle name="40% - Accent5 7 6" xfId="14896"/>
    <cellStyle name="40% - Accent5 7 6 2" xfId="14897"/>
    <cellStyle name="40% - Accent5 7 6 2 2" xfId="14898"/>
    <cellStyle name="40% - Accent5 7 6 3" xfId="14899"/>
    <cellStyle name="40% - Accent5 7 6 3 2" xfId="14900"/>
    <cellStyle name="40% - Accent5 7 6 4" xfId="14901"/>
    <cellStyle name="40% - Accent5 7 7" xfId="14902"/>
    <cellStyle name="40% - Accent5 7 7 2" xfId="14903"/>
    <cellStyle name="40% - Accent5 7 7 2 2" xfId="14904"/>
    <cellStyle name="40% - Accent5 7 7 3" xfId="14905"/>
    <cellStyle name="40% - Accent5 7 7 3 2" xfId="14906"/>
    <cellStyle name="40% - Accent5 7 7 4" xfId="14907"/>
    <cellStyle name="40% - Accent5 7 8" xfId="14908"/>
    <cellStyle name="40% - Accent5 7 8 2" xfId="14909"/>
    <cellStyle name="40% - Accent5 7 8 2 2" xfId="14910"/>
    <cellStyle name="40% - Accent5 7 8 3" xfId="14911"/>
    <cellStyle name="40% - Accent5 7 8 3 2" xfId="14912"/>
    <cellStyle name="40% - Accent5 7 8 4" xfId="14913"/>
    <cellStyle name="40% - Accent5 7 9" xfId="14914"/>
    <cellStyle name="40% - Accent5 7 9 2" xfId="14915"/>
    <cellStyle name="40% - Accent5 7 9 2 2" xfId="14916"/>
    <cellStyle name="40% - Accent5 7 9 3" xfId="14917"/>
    <cellStyle name="40% - Accent5 7 9 3 2" xfId="14918"/>
    <cellStyle name="40% - Accent5 7 9 4" xfId="14919"/>
    <cellStyle name="40% - Accent5 8" xfId="550"/>
    <cellStyle name="40% - Accent5 8 10" xfId="14920"/>
    <cellStyle name="40% - Accent5 8 11" xfId="24855"/>
    <cellStyle name="40% - Accent5 8 12" xfId="26629"/>
    <cellStyle name="40% - Accent5 8 2" xfId="1381"/>
    <cellStyle name="40% - Accent5 8 2 10" xfId="24913"/>
    <cellStyle name="40% - Accent5 8 2 11" xfId="26630"/>
    <cellStyle name="40% - Accent5 8 2 2" xfId="4181"/>
    <cellStyle name="40% - Accent5 8 2 2 2" xfId="5434"/>
    <cellStyle name="40% - Accent5 8 2 2 2 2" xfId="6439"/>
    <cellStyle name="40% - Accent5 8 2 2 2 2 2" xfId="14924"/>
    <cellStyle name="40% - Accent5 8 2 2 2 2 3" xfId="26633"/>
    <cellStyle name="40% - Accent5 8 2 2 2 3" xfId="14923"/>
    <cellStyle name="40% - Accent5 8 2 2 2 4" xfId="26632"/>
    <cellStyle name="40% - Accent5 8 2 2 3" xfId="5744"/>
    <cellStyle name="40% - Accent5 8 2 2 3 2" xfId="6440"/>
    <cellStyle name="40% - Accent5 8 2 2 3 2 2" xfId="26635"/>
    <cellStyle name="40% - Accent5 8 2 2 3 3" xfId="14925"/>
    <cellStyle name="40% - Accent5 8 2 2 3 4" xfId="26634"/>
    <cellStyle name="40% - Accent5 8 2 2 4" xfId="4647"/>
    <cellStyle name="40% - Accent5 8 2 2 4 2" xfId="6441"/>
    <cellStyle name="40% - Accent5 8 2 2 4 2 2" xfId="26637"/>
    <cellStyle name="40% - Accent5 8 2 2 4 3" xfId="26636"/>
    <cellStyle name="40% - Accent5 8 2 2 5" xfId="6438"/>
    <cellStyle name="40% - Accent5 8 2 2 5 2" xfId="26638"/>
    <cellStyle name="40% - Accent5 8 2 2 6" xfId="14922"/>
    <cellStyle name="40% - Accent5 8 2 2 7" xfId="25033"/>
    <cellStyle name="40% - Accent5 8 2 2 8" xfId="26631"/>
    <cellStyle name="40% - Accent5 8 2 3" xfId="5433"/>
    <cellStyle name="40% - Accent5 8 2 3 2" xfId="6442"/>
    <cellStyle name="40% - Accent5 8 2 3 2 2" xfId="14927"/>
    <cellStyle name="40% - Accent5 8 2 3 2 3" xfId="26640"/>
    <cellStyle name="40% - Accent5 8 2 3 3" xfId="14926"/>
    <cellStyle name="40% - Accent5 8 2 3 4" xfId="26639"/>
    <cellStyle name="40% - Accent5 8 2 4" xfId="5743"/>
    <cellStyle name="40% - Accent5 8 2 4 2" xfId="6443"/>
    <cellStyle name="40% - Accent5 8 2 4 2 2" xfId="14929"/>
    <cellStyle name="40% - Accent5 8 2 4 2 3" xfId="26642"/>
    <cellStyle name="40% - Accent5 8 2 4 3" xfId="14928"/>
    <cellStyle name="40% - Accent5 8 2 4 4" xfId="26641"/>
    <cellStyle name="40% - Accent5 8 2 5" xfId="4646"/>
    <cellStyle name="40% - Accent5 8 2 5 2" xfId="6444"/>
    <cellStyle name="40% - Accent5 8 2 5 2 2" xfId="14932"/>
    <cellStyle name="40% - Accent5 8 2 5 2 3" xfId="14931"/>
    <cellStyle name="40% - Accent5 8 2 5 2 4" xfId="26644"/>
    <cellStyle name="40% - Accent5 8 2 5 3" xfId="14933"/>
    <cellStyle name="40% - Accent5 8 2 5 3 2" xfId="14934"/>
    <cellStyle name="40% - Accent5 8 2 5 4" xfId="14935"/>
    <cellStyle name="40% - Accent5 8 2 5 5" xfId="14930"/>
    <cellStyle name="40% - Accent5 8 2 5 6" xfId="26643"/>
    <cellStyle name="40% - Accent5 8 2 6" xfId="6437"/>
    <cellStyle name="40% - Accent5 8 2 6 2" xfId="14937"/>
    <cellStyle name="40% - Accent5 8 2 6 3" xfId="14936"/>
    <cellStyle name="40% - Accent5 8 2 6 4" xfId="26645"/>
    <cellStyle name="40% - Accent5 8 2 7" xfId="14938"/>
    <cellStyle name="40% - Accent5 8 2 7 2" xfId="14939"/>
    <cellStyle name="40% - Accent5 8 2 8" xfId="14940"/>
    <cellStyle name="40% - Accent5 8 2 9" xfId="14921"/>
    <cellStyle name="40% - Accent5 8 3" xfId="3841"/>
    <cellStyle name="40% - Accent5 8 3 2" xfId="5435"/>
    <cellStyle name="40% - Accent5 8 3 2 2" xfId="6446"/>
    <cellStyle name="40% - Accent5 8 3 2 2 2" xfId="14943"/>
    <cellStyle name="40% - Accent5 8 3 2 2 3" xfId="26648"/>
    <cellStyle name="40% - Accent5 8 3 2 3" xfId="14942"/>
    <cellStyle name="40% - Accent5 8 3 2 4" xfId="26647"/>
    <cellStyle name="40% - Accent5 8 3 3" xfId="5745"/>
    <cellStyle name="40% - Accent5 8 3 3 2" xfId="6447"/>
    <cellStyle name="40% - Accent5 8 3 3 2 2" xfId="26650"/>
    <cellStyle name="40% - Accent5 8 3 3 3" xfId="14944"/>
    <cellStyle name="40% - Accent5 8 3 3 4" xfId="26649"/>
    <cellStyle name="40% - Accent5 8 3 4" xfId="4648"/>
    <cellStyle name="40% - Accent5 8 3 4 2" xfId="6448"/>
    <cellStyle name="40% - Accent5 8 3 4 2 2" xfId="26652"/>
    <cellStyle name="40% - Accent5 8 3 4 3" xfId="26651"/>
    <cellStyle name="40% - Accent5 8 3 5" xfId="6445"/>
    <cellStyle name="40% - Accent5 8 3 5 2" xfId="26653"/>
    <cellStyle name="40% - Accent5 8 3 6" xfId="14941"/>
    <cellStyle name="40% - Accent5 8 3 7" xfId="24977"/>
    <cellStyle name="40% - Accent5 8 3 8" xfId="26646"/>
    <cellStyle name="40% - Accent5 8 4" xfId="5432"/>
    <cellStyle name="40% - Accent5 8 4 2" xfId="6449"/>
    <cellStyle name="40% - Accent5 8 4 2 2" xfId="14946"/>
    <cellStyle name="40% - Accent5 8 4 2 3" xfId="26655"/>
    <cellStyle name="40% - Accent5 8 4 3" xfId="14945"/>
    <cellStyle name="40% - Accent5 8 4 4" xfId="26654"/>
    <cellStyle name="40% - Accent5 8 5" xfId="5742"/>
    <cellStyle name="40% - Accent5 8 5 2" xfId="6450"/>
    <cellStyle name="40% - Accent5 8 5 2 2" xfId="14948"/>
    <cellStyle name="40% - Accent5 8 5 2 3" xfId="26657"/>
    <cellStyle name="40% - Accent5 8 5 3" xfId="14947"/>
    <cellStyle name="40% - Accent5 8 5 4" xfId="26656"/>
    <cellStyle name="40% - Accent5 8 6" xfId="4645"/>
    <cellStyle name="40% - Accent5 8 6 2" xfId="6451"/>
    <cellStyle name="40% - Accent5 8 6 2 2" xfId="14951"/>
    <cellStyle name="40% - Accent5 8 6 2 3" xfId="14950"/>
    <cellStyle name="40% - Accent5 8 6 2 4" xfId="26659"/>
    <cellStyle name="40% - Accent5 8 6 3" xfId="14952"/>
    <cellStyle name="40% - Accent5 8 6 3 2" xfId="14953"/>
    <cellStyle name="40% - Accent5 8 6 4" xfId="14954"/>
    <cellStyle name="40% - Accent5 8 6 5" xfId="14949"/>
    <cellStyle name="40% - Accent5 8 6 6" xfId="26658"/>
    <cellStyle name="40% - Accent5 8 7" xfId="6436"/>
    <cellStyle name="40% - Accent5 8 7 2" xfId="14956"/>
    <cellStyle name="40% - Accent5 8 7 3" xfId="14955"/>
    <cellStyle name="40% - Accent5 8 7 4" xfId="26660"/>
    <cellStyle name="40% - Accent5 8 8" xfId="14957"/>
    <cellStyle name="40% - Accent5 8 8 2" xfId="14958"/>
    <cellStyle name="40% - Accent5 8 9" xfId="14959"/>
    <cellStyle name="40% - Accent5 9" xfId="551"/>
    <cellStyle name="40% - Accent5 9 2" xfId="4649"/>
    <cellStyle name="40% - Accent5 9 2 2" xfId="14962"/>
    <cellStyle name="40% - Accent5 9 2 2 2" xfId="14963"/>
    <cellStyle name="40% - Accent5 9 2 3" xfId="14964"/>
    <cellStyle name="40% - Accent5 9 2 3 2" xfId="14965"/>
    <cellStyle name="40% - Accent5 9 2 4" xfId="14966"/>
    <cellStyle name="40% - Accent5 9 2 5" xfId="14961"/>
    <cellStyle name="40% - Accent5 9 3" xfId="14967"/>
    <cellStyle name="40% - Accent5 9 3 2" xfId="14968"/>
    <cellStyle name="40% - Accent5 9 4" xfId="14969"/>
    <cellStyle name="40% - Accent5 9 4 2" xfId="14970"/>
    <cellStyle name="40% - Accent5 9 5" xfId="14971"/>
    <cellStyle name="40% - Accent5 9 5 2" xfId="14972"/>
    <cellStyle name="40% - Accent5 9 6" xfId="14973"/>
    <cellStyle name="40% - Accent5 9 6 2" xfId="14974"/>
    <cellStyle name="40% - Accent5 9 7" xfId="14975"/>
    <cellStyle name="40% - Accent5 9 8" xfId="14960"/>
    <cellStyle name="40% - Accent6 10" xfId="684"/>
    <cellStyle name="40% - Accent6 10 2" xfId="4650"/>
    <cellStyle name="40% - Accent6 10 2 2" xfId="14979"/>
    <cellStyle name="40% - Accent6 10 2 3" xfId="14978"/>
    <cellStyle name="40% - Accent6 10 3" xfId="14980"/>
    <cellStyle name="40% - Accent6 10 3 2" xfId="14981"/>
    <cellStyle name="40% - Accent6 10 4" xfId="14982"/>
    <cellStyle name="40% - Accent6 10 4 2" xfId="14983"/>
    <cellStyle name="40% - Accent6 10 5" xfId="14984"/>
    <cellStyle name="40% - Accent6 10 5 2" xfId="14985"/>
    <cellStyle name="40% - Accent6 10 6" xfId="14986"/>
    <cellStyle name="40% - Accent6 10 7" xfId="14977"/>
    <cellStyle name="40% - Accent6 11" xfId="685"/>
    <cellStyle name="40% - Accent6 11 2" xfId="4651"/>
    <cellStyle name="40% - Accent6 11 2 2" xfId="14989"/>
    <cellStyle name="40% - Accent6 11 2 3" xfId="14988"/>
    <cellStyle name="40% - Accent6 11 3" xfId="14990"/>
    <cellStyle name="40% - Accent6 11 3 2" xfId="14991"/>
    <cellStyle name="40% - Accent6 11 4" xfId="14992"/>
    <cellStyle name="40% - Accent6 11 4 2" xfId="14993"/>
    <cellStyle name="40% - Accent6 11 5" xfId="14994"/>
    <cellStyle name="40% - Accent6 11 5 2" xfId="14995"/>
    <cellStyle name="40% - Accent6 11 6" xfId="14996"/>
    <cellStyle name="40% - Accent6 11 7" xfId="14987"/>
    <cellStyle name="40% - Accent6 12" xfId="831"/>
    <cellStyle name="40% - Accent6 12 2" xfId="14998"/>
    <cellStyle name="40% - Accent6 12 2 2" xfId="14999"/>
    <cellStyle name="40% - Accent6 12 3" xfId="15000"/>
    <cellStyle name="40% - Accent6 12 3 2" xfId="15001"/>
    <cellStyle name="40% - Accent6 12 4" xfId="15002"/>
    <cellStyle name="40% - Accent6 12 5" xfId="14997"/>
    <cellStyle name="40% - Accent6 13" xfId="832"/>
    <cellStyle name="40% - Accent6 13 2" xfId="3856"/>
    <cellStyle name="40% - Accent6 13 2 2" xfId="6453"/>
    <cellStyle name="40% - Accent6 13 2 2 2" xfId="15005"/>
    <cellStyle name="40% - Accent6 13 2 2 3" xfId="26663"/>
    <cellStyle name="40% - Accent6 13 2 3" xfId="15004"/>
    <cellStyle name="40% - Accent6 13 2 4" xfId="24992"/>
    <cellStyle name="40% - Accent6 13 2 5" xfId="26662"/>
    <cellStyle name="40% - Accent6 13 3" xfId="6452"/>
    <cellStyle name="40% - Accent6 13 3 2" xfId="15007"/>
    <cellStyle name="40% - Accent6 13 3 3" xfId="15006"/>
    <cellStyle name="40% - Accent6 13 3 4" xfId="26664"/>
    <cellStyle name="40% - Accent6 13 4" xfId="15008"/>
    <cellStyle name="40% - Accent6 13 5" xfId="15003"/>
    <cellStyle name="40% - Accent6 13 6" xfId="24871"/>
    <cellStyle name="40% - Accent6 13 7" xfId="26661"/>
    <cellStyle name="40% - Accent6 14" xfId="943"/>
    <cellStyle name="40% - Accent6 14 2" xfId="15010"/>
    <cellStyle name="40% - Accent6 14 2 2" xfId="15011"/>
    <cellStyle name="40% - Accent6 14 3" xfId="15012"/>
    <cellStyle name="40% - Accent6 14 3 2" xfId="15013"/>
    <cellStyle name="40% - Accent6 14 4" xfId="15014"/>
    <cellStyle name="40% - Accent6 14 5" xfId="15009"/>
    <cellStyle name="40% - Accent6 15" xfId="15015"/>
    <cellStyle name="40% - Accent6 15 2" xfId="15016"/>
    <cellStyle name="40% - Accent6 15 2 2" xfId="15017"/>
    <cellStyle name="40% - Accent6 15 3" xfId="15018"/>
    <cellStyle name="40% - Accent6 15 3 2" xfId="15019"/>
    <cellStyle name="40% - Accent6 15 4" xfId="15020"/>
    <cellStyle name="40% - Accent6 16" xfId="15021"/>
    <cellStyle name="40% - Accent6 16 2" xfId="15022"/>
    <cellStyle name="40% - Accent6 16 2 2" xfId="15023"/>
    <cellStyle name="40% - Accent6 16 3" xfId="15024"/>
    <cellStyle name="40% - Accent6 16 3 2" xfId="15025"/>
    <cellStyle name="40% - Accent6 16 4" xfId="15026"/>
    <cellStyle name="40% - Accent6 17" xfId="15027"/>
    <cellStyle name="40% - Accent6 17 2" xfId="15028"/>
    <cellStyle name="40% - Accent6 17 2 2" xfId="15029"/>
    <cellStyle name="40% - Accent6 17 3" xfId="15030"/>
    <cellStyle name="40% - Accent6 17 3 2" xfId="15031"/>
    <cellStyle name="40% - Accent6 17 4" xfId="15032"/>
    <cellStyle name="40% - Accent6 18" xfId="15033"/>
    <cellStyle name="40% - Accent6 18 2" xfId="15034"/>
    <cellStyle name="40% - Accent6 18 2 2" xfId="15035"/>
    <cellStyle name="40% - Accent6 18 3" xfId="15036"/>
    <cellStyle name="40% - Accent6 18 3 2" xfId="15037"/>
    <cellStyle name="40% - Accent6 18 4" xfId="15038"/>
    <cellStyle name="40% - Accent6 19" xfId="15039"/>
    <cellStyle name="40% - Accent6 19 2" xfId="15040"/>
    <cellStyle name="40% - Accent6 19 2 2" xfId="15041"/>
    <cellStyle name="40% - Accent6 19 3" xfId="15042"/>
    <cellStyle name="40% - Accent6 2" xfId="79"/>
    <cellStyle name="40% - Accent6 2 10" xfId="1678"/>
    <cellStyle name="40% - Accent6 2 10 2" xfId="4652"/>
    <cellStyle name="40% - Accent6 2 10 2 2" xfId="15046"/>
    <cellStyle name="40% - Accent6 2 10 2 3" xfId="15045"/>
    <cellStyle name="40% - Accent6 2 10 3" xfId="15047"/>
    <cellStyle name="40% - Accent6 2 10 3 2" xfId="15048"/>
    <cellStyle name="40% - Accent6 2 10 4" xfId="15049"/>
    <cellStyle name="40% - Accent6 2 10 4 2" xfId="15050"/>
    <cellStyle name="40% - Accent6 2 10 5" xfId="15051"/>
    <cellStyle name="40% - Accent6 2 10 5 2" xfId="15052"/>
    <cellStyle name="40% - Accent6 2 10 6" xfId="15053"/>
    <cellStyle name="40% - Accent6 2 10 7" xfId="15044"/>
    <cellStyle name="40% - Accent6 2 11" xfId="2013"/>
    <cellStyle name="40% - Accent6 2 11 2" xfId="4653"/>
    <cellStyle name="40% - Accent6 2 11 2 2" xfId="15056"/>
    <cellStyle name="40% - Accent6 2 11 2 3" xfId="15055"/>
    <cellStyle name="40% - Accent6 2 11 3" xfId="15057"/>
    <cellStyle name="40% - Accent6 2 11 3 2" xfId="15058"/>
    <cellStyle name="40% - Accent6 2 11 4" xfId="15059"/>
    <cellStyle name="40% - Accent6 2 11 4 2" xfId="15060"/>
    <cellStyle name="40% - Accent6 2 11 5" xfId="15061"/>
    <cellStyle name="40% - Accent6 2 11 5 2" xfId="15062"/>
    <cellStyle name="40% - Accent6 2 11 6" xfId="15063"/>
    <cellStyle name="40% - Accent6 2 11 7" xfId="15054"/>
    <cellStyle name="40% - Accent6 2 12" xfId="2387"/>
    <cellStyle name="40% - Accent6 2 12 2" xfId="4654"/>
    <cellStyle name="40% - Accent6 2 12 2 2" xfId="15066"/>
    <cellStyle name="40% - Accent6 2 12 2 3" xfId="15065"/>
    <cellStyle name="40% - Accent6 2 12 3" xfId="15067"/>
    <cellStyle name="40% - Accent6 2 12 3 2" xfId="15068"/>
    <cellStyle name="40% - Accent6 2 12 4" xfId="15069"/>
    <cellStyle name="40% - Accent6 2 12 4 2" xfId="15070"/>
    <cellStyle name="40% - Accent6 2 12 5" xfId="15071"/>
    <cellStyle name="40% - Accent6 2 12 5 2" xfId="15072"/>
    <cellStyle name="40% - Accent6 2 12 6" xfId="15073"/>
    <cellStyle name="40% - Accent6 2 12 7" xfId="15064"/>
    <cellStyle name="40% - Accent6 2 13" xfId="2760"/>
    <cellStyle name="40% - Accent6 2 13 2" xfId="4655"/>
    <cellStyle name="40% - Accent6 2 13 2 2" xfId="15076"/>
    <cellStyle name="40% - Accent6 2 13 2 3" xfId="15075"/>
    <cellStyle name="40% - Accent6 2 13 3" xfId="15077"/>
    <cellStyle name="40% - Accent6 2 13 3 2" xfId="15078"/>
    <cellStyle name="40% - Accent6 2 13 4" xfId="15079"/>
    <cellStyle name="40% - Accent6 2 13 4 2" xfId="15080"/>
    <cellStyle name="40% - Accent6 2 13 5" xfId="15081"/>
    <cellStyle name="40% - Accent6 2 13 5 2" xfId="15082"/>
    <cellStyle name="40% - Accent6 2 13 6" xfId="15083"/>
    <cellStyle name="40% - Accent6 2 13 7" xfId="15074"/>
    <cellStyle name="40% - Accent6 2 14" xfId="3134"/>
    <cellStyle name="40% - Accent6 2 14 2" xfId="4656"/>
    <cellStyle name="40% - Accent6 2 14 2 2" xfId="15086"/>
    <cellStyle name="40% - Accent6 2 14 2 3" xfId="15085"/>
    <cellStyle name="40% - Accent6 2 14 3" xfId="15087"/>
    <cellStyle name="40% - Accent6 2 14 3 2" xfId="15088"/>
    <cellStyle name="40% - Accent6 2 14 4" xfId="15089"/>
    <cellStyle name="40% - Accent6 2 14 4 2" xfId="15090"/>
    <cellStyle name="40% - Accent6 2 14 5" xfId="15091"/>
    <cellStyle name="40% - Accent6 2 14 5 2" xfId="15092"/>
    <cellStyle name="40% - Accent6 2 14 6" xfId="15093"/>
    <cellStyle name="40% - Accent6 2 14 7" xfId="15084"/>
    <cellStyle name="40% - Accent6 2 15" xfId="3505"/>
    <cellStyle name="40% - Accent6 2 15 2" xfId="4657"/>
    <cellStyle name="40% - Accent6 2 15 2 2" xfId="15096"/>
    <cellStyle name="40% - Accent6 2 15 2 3" xfId="15095"/>
    <cellStyle name="40% - Accent6 2 15 3" xfId="15097"/>
    <cellStyle name="40% - Accent6 2 15 3 2" xfId="15098"/>
    <cellStyle name="40% - Accent6 2 15 4" xfId="15099"/>
    <cellStyle name="40% - Accent6 2 15 5" xfId="15094"/>
    <cellStyle name="40% - Accent6 2 16" xfId="3643"/>
    <cellStyle name="40% - Accent6 2 16 2" xfId="4658"/>
    <cellStyle name="40% - Accent6 2 16 2 2" xfId="15102"/>
    <cellStyle name="40% - Accent6 2 16 2 3" xfId="15101"/>
    <cellStyle name="40% - Accent6 2 16 3" xfId="15103"/>
    <cellStyle name="40% - Accent6 2 16 3 2" xfId="15104"/>
    <cellStyle name="40% - Accent6 2 16 4" xfId="15105"/>
    <cellStyle name="40% - Accent6 2 16 5" xfId="15100"/>
    <cellStyle name="40% - Accent6 2 17" xfId="15106"/>
    <cellStyle name="40% - Accent6 2 18" xfId="15043"/>
    <cellStyle name="40% - Accent6 2 19" xfId="24477"/>
    <cellStyle name="40% - Accent6 2 2" xfId="123"/>
    <cellStyle name="40% - Accent6 2 2 10" xfId="15108"/>
    <cellStyle name="40% - Accent6 2 2 10 2" xfId="15109"/>
    <cellStyle name="40% - Accent6 2 2 10 2 2" xfId="15110"/>
    <cellStyle name="40% - Accent6 2 2 10 3" xfId="15111"/>
    <cellStyle name="40% - Accent6 2 2 10 3 2" xfId="15112"/>
    <cellStyle name="40% - Accent6 2 2 10 4" xfId="15113"/>
    <cellStyle name="40% - Accent6 2 2 11" xfId="15114"/>
    <cellStyle name="40% - Accent6 2 2 11 2" xfId="15115"/>
    <cellStyle name="40% - Accent6 2 2 11 2 2" xfId="15116"/>
    <cellStyle name="40% - Accent6 2 2 11 3" xfId="15117"/>
    <cellStyle name="40% - Accent6 2 2 11 3 2" xfId="15118"/>
    <cellStyle name="40% - Accent6 2 2 11 4" xfId="15119"/>
    <cellStyle name="40% - Accent6 2 2 12" xfId="15120"/>
    <cellStyle name="40% - Accent6 2 2 12 2" xfId="15121"/>
    <cellStyle name="40% - Accent6 2 2 12 2 2" xfId="15122"/>
    <cellStyle name="40% - Accent6 2 2 12 3" xfId="15123"/>
    <cellStyle name="40% - Accent6 2 2 12 3 2" xfId="15124"/>
    <cellStyle name="40% - Accent6 2 2 12 4" xfId="15125"/>
    <cellStyle name="40% - Accent6 2 2 13" xfId="15126"/>
    <cellStyle name="40% - Accent6 2 2 13 2" xfId="15127"/>
    <cellStyle name="40% - Accent6 2 2 14" xfId="15128"/>
    <cellStyle name="40% - Accent6 2 2 14 2" xfId="15129"/>
    <cellStyle name="40% - Accent6 2 2 15" xfId="15130"/>
    <cellStyle name="40% - Accent6 2 2 15 2" xfId="15131"/>
    <cellStyle name="40% - Accent6 2 2 16" xfId="15132"/>
    <cellStyle name="40% - Accent6 2 2 17" xfId="15107"/>
    <cellStyle name="40% - Accent6 2 2 2" xfId="192"/>
    <cellStyle name="40% - Accent6 2 2 2 2" xfId="15134"/>
    <cellStyle name="40% - Accent6 2 2 2 2 2" xfId="15135"/>
    <cellStyle name="40% - Accent6 2 2 2 3" xfId="15136"/>
    <cellStyle name="40% - Accent6 2 2 2 3 2" xfId="15137"/>
    <cellStyle name="40% - Accent6 2 2 2 4" xfId="15138"/>
    <cellStyle name="40% - Accent6 2 2 2 5" xfId="15133"/>
    <cellStyle name="40% - Accent6 2 2 3" xfId="356"/>
    <cellStyle name="40% - Accent6 2 2 3 2" xfId="15140"/>
    <cellStyle name="40% - Accent6 2 2 3 2 2" xfId="15141"/>
    <cellStyle name="40% - Accent6 2 2 3 3" xfId="15142"/>
    <cellStyle name="40% - Accent6 2 2 3 3 2" xfId="15143"/>
    <cellStyle name="40% - Accent6 2 2 3 4" xfId="15144"/>
    <cellStyle name="40% - Accent6 2 2 3 5" xfId="15139"/>
    <cellStyle name="40% - Accent6 2 2 4" xfId="2178"/>
    <cellStyle name="40% - Accent6 2 2 4 2" xfId="15146"/>
    <cellStyle name="40% - Accent6 2 2 4 2 2" xfId="15147"/>
    <cellStyle name="40% - Accent6 2 2 4 3" xfId="15148"/>
    <cellStyle name="40% - Accent6 2 2 4 3 2" xfId="15149"/>
    <cellStyle name="40% - Accent6 2 2 4 4" xfId="15150"/>
    <cellStyle name="40% - Accent6 2 2 4 5" xfId="15145"/>
    <cellStyle name="40% - Accent6 2 2 5" xfId="2552"/>
    <cellStyle name="40% - Accent6 2 2 5 2" xfId="15152"/>
    <cellStyle name="40% - Accent6 2 2 5 2 2" xfId="15153"/>
    <cellStyle name="40% - Accent6 2 2 5 3" xfId="15154"/>
    <cellStyle name="40% - Accent6 2 2 5 3 2" xfId="15155"/>
    <cellStyle name="40% - Accent6 2 2 5 4" xfId="15156"/>
    <cellStyle name="40% - Accent6 2 2 5 5" xfId="15151"/>
    <cellStyle name="40% - Accent6 2 2 6" xfId="2924"/>
    <cellStyle name="40% - Accent6 2 2 6 2" xfId="15158"/>
    <cellStyle name="40% - Accent6 2 2 6 2 2" xfId="15159"/>
    <cellStyle name="40% - Accent6 2 2 6 3" xfId="15160"/>
    <cellStyle name="40% - Accent6 2 2 6 3 2" xfId="15161"/>
    <cellStyle name="40% - Accent6 2 2 6 4" xfId="15162"/>
    <cellStyle name="40% - Accent6 2 2 6 5" xfId="15157"/>
    <cellStyle name="40% - Accent6 2 2 7" xfId="3296"/>
    <cellStyle name="40% - Accent6 2 2 7 2" xfId="15164"/>
    <cellStyle name="40% - Accent6 2 2 7 2 2" xfId="15165"/>
    <cellStyle name="40% - Accent6 2 2 7 3" xfId="15166"/>
    <cellStyle name="40% - Accent6 2 2 7 3 2" xfId="15167"/>
    <cellStyle name="40% - Accent6 2 2 7 4" xfId="15168"/>
    <cellStyle name="40% - Accent6 2 2 7 5" xfId="15163"/>
    <cellStyle name="40% - Accent6 2 2 8" xfId="4659"/>
    <cellStyle name="40% - Accent6 2 2 8 2" xfId="15170"/>
    <cellStyle name="40% - Accent6 2 2 8 2 2" xfId="15171"/>
    <cellStyle name="40% - Accent6 2 2 8 3" xfId="15172"/>
    <cellStyle name="40% - Accent6 2 2 8 3 2" xfId="15173"/>
    <cellStyle name="40% - Accent6 2 2 8 4" xfId="15174"/>
    <cellStyle name="40% - Accent6 2 2 8 5" xfId="15169"/>
    <cellStyle name="40% - Accent6 2 2 9" xfId="15175"/>
    <cellStyle name="40% - Accent6 2 2 9 2" xfId="15176"/>
    <cellStyle name="40% - Accent6 2 2 9 2 2" xfId="15177"/>
    <cellStyle name="40% - Accent6 2 2 9 3" xfId="15178"/>
    <cellStyle name="40% - Accent6 2 2 9 3 2" xfId="15179"/>
    <cellStyle name="40% - Accent6 2 2 9 4" xfId="15180"/>
    <cellStyle name="40% - Accent6 2 3" xfId="288"/>
    <cellStyle name="40% - Accent6 2 3 2" xfId="1354"/>
    <cellStyle name="40% - Accent6 2 3 2 2" xfId="15183"/>
    <cellStyle name="40% - Accent6 2 3 2 2 2" xfId="15184"/>
    <cellStyle name="40% - Accent6 2 3 2 3" xfId="15185"/>
    <cellStyle name="40% - Accent6 2 3 2 3 2" xfId="15186"/>
    <cellStyle name="40% - Accent6 2 3 2 4" xfId="15187"/>
    <cellStyle name="40% - Accent6 2 3 2 5" xfId="15182"/>
    <cellStyle name="40% - Accent6 2 3 3" xfId="15188"/>
    <cellStyle name="40% - Accent6 2 3 3 2" xfId="15189"/>
    <cellStyle name="40% - Accent6 2 3 4" xfId="15190"/>
    <cellStyle name="40% - Accent6 2 3 4 2" xfId="15191"/>
    <cellStyle name="40% - Accent6 2 3 5" xfId="15192"/>
    <cellStyle name="40% - Accent6 2 3 6" xfId="15181"/>
    <cellStyle name="40% - Accent6 2 4" xfId="402"/>
    <cellStyle name="40% - Accent6 2 4 2" xfId="15194"/>
    <cellStyle name="40% - Accent6 2 4 2 2" xfId="15195"/>
    <cellStyle name="40% - Accent6 2 4 2 2 2" xfId="15196"/>
    <cellStyle name="40% - Accent6 2 4 2 3" xfId="15197"/>
    <cellStyle name="40% - Accent6 2 4 2 3 2" xfId="15198"/>
    <cellStyle name="40% - Accent6 2 4 2 4" xfId="15199"/>
    <cellStyle name="40% - Accent6 2 4 3" xfId="15200"/>
    <cellStyle name="40% - Accent6 2 4 3 2" xfId="15201"/>
    <cellStyle name="40% - Accent6 2 4 4" xfId="15202"/>
    <cellStyle name="40% - Accent6 2 4 4 2" xfId="15203"/>
    <cellStyle name="40% - Accent6 2 4 5" xfId="15204"/>
    <cellStyle name="40% - Accent6 2 4 6" xfId="15193"/>
    <cellStyle name="40% - Accent6 2 5" xfId="552"/>
    <cellStyle name="40% - Accent6 2 5 2" xfId="15206"/>
    <cellStyle name="40% - Accent6 2 5 2 2" xfId="15207"/>
    <cellStyle name="40% - Accent6 2 5 3" xfId="15208"/>
    <cellStyle name="40% - Accent6 2 5 3 2" xfId="15209"/>
    <cellStyle name="40% - Accent6 2 5 4" xfId="15210"/>
    <cellStyle name="40% - Accent6 2 5 5" xfId="15205"/>
    <cellStyle name="40% - Accent6 2 6" xfId="686"/>
    <cellStyle name="40% - Accent6 2 6 2" xfId="15212"/>
    <cellStyle name="40% - Accent6 2 6 2 2" xfId="15213"/>
    <cellStyle name="40% - Accent6 2 6 3" xfId="15214"/>
    <cellStyle name="40% - Accent6 2 6 3 2" xfId="15215"/>
    <cellStyle name="40% - Accent6 2 6 4" xfId="15216"/>
    <cellStyle name="40% - Accent6 2 6 5" xfId="15211"/>
    <cellStyle name="40% - Accent6 2 7" xfId="687"/>
    <cellStyle name="40% - Accent6 2 7 2" xfId="15218"/>
    <cellStyle name="40% - Accent6 2 7 2 2" xfId="15219"/>
    <cellStyle name="40% - Accent6 2 7 3" xfId="15220"/>
    <cellStyle name="40% - Accent6 2 7 3 2" xfId="15221"/>
    <cellStyle name="40% - Accent6 2 7 4" xfId="15222"/>
    <cellStyle name="40% - Accent6 2 7 5" xfId="15217"/>
    <cellStyle name="40% - Accent6 2 8" xfId="833"/>
    <cellStyle name="40% - Accent6 2 8 2" xfId="1407"/>
    <cellStyle name="40% - Accent6 2 8 2 2" xfId="15225"/>
    <cellStyle name="40% - Accent6 2 8 2 3" xfId="15224"/>
    <cellStyle name="40% - Accent6 2 8 3" xfId="15226"/>
    <cellStyle name="40% - Accent6 2 8 3 2" xfId="15227"/>
    <cellStyle name="40% - Accent6 2 8 4" xfId="15228"/>
    <cellStyle name="40% - Accent6 2 8 4 2" xfId="15229"/>
    <cellStyle name="40% - Accent6 2 8 5" xfId="15230"/>
    <cellStyle name="40% - Accent6 2 8 5 2" xfId="15231"/>
    <cellStyle name="40% - Accent6 2 8 6" xfId="15232"/>
    <cellStyle name="40% - Accent6 2 8 7" xfId="15223"/>
    <cellStyle name="40% - Accent6 2 9" xfId="944"/>
    <cellStyle name="40% - Accent6 2 9 2" xfId="1439"/>
    <cellStyle name="40% - Accent6 2 9 2 2" xfId="15235"/>
    <cellStyle name="40% - Accent6 2 9 2 3" xfId="15234"/>
    <cellStyle name="40% - Accent6 2 9 3" xfId="15236"/>
    <cellStyle name="40% - Accent6 2 9 3 2" xfId="15237"/>
    <cellStyle name="40% - Accent6 2 9 4" xfId="15238"/>
    <cellStyle name="40% - Accent6 2 9 4 2" xfId="15239"/>
    <cellStyle name="40% - Accent6 2 9 5" xfId="15240"/>
    <cellStyle name="40% - Accent6 2 9 5 2" xfId="15241"/>
    <cellStyle name="40% - Accent6 2 9 6" xfId="15242"/>
    <cellStyle name="40% - Accent6 2 9 7" xfId="15233"/>
    <cellStyle name="40% - Accent6 20" xfId="15243"/>
    <cellStyle name="40% - Accent6 20 2" xfId="15244"/>
    <cellStyle name="40% - Accent6 21" xfId="15245"/>
    <cellStyle name="40% - Accent6 21 2" xfId="15246"/>
    <cellStyle name="40% - Accent6 21 2 2" xfId="15247"/>
    <cellStyle name="40% - Accent6 21 2 2 2" xfId="15248"/>
    <cellStyle name="40% - Accent6 21 2 3" xfId="15249"/>
    <cellStyle name="40% - Accent6 21 2 3 2" xfId="15250"/>
    <cellStyle name="40% - Accent6 21 2 4" xfId="15251"/>
    <cellStyle name="40% - Accent6 21 3" xfId="15252"/>
    <cellStyle name="40% - Accent6 21 3 2" xfId="15253"/>
    <cellStyle name="40% - Accent6 21 4" xfId="15254"/>
    <cellStyle name="40% - Accent6 21 4 2" xfId="15255"/>
    <cellStyle name="40% - Accent6 21 5" xfId="15256"/>
    <cellStyle name="40% - Accent6 22" xfId="15257"/>
    <cellStyle name="40% - Accent6 22 2" xfId="15258"/>
    <cellStyle name="40% - Accent6 22 2 2" xfId="15259"/>
    <cellStyle name="40% - Accent6 22 2 2 2" xfId="15260"/>
    <cellStyle name="40% - Accent6 22 2 3" xfId="15261"/>
    <cellStyle name="40% - Accent6 22 2 3 2" xfId="15262"/>
    <cellStyle name="40% - Accent6 22 2 4" xfId="15263"/>
    <cellStyle name="40% - Accent6 22 3" xfId="15264"/>
    <cellStyle name="40% - Accent6 22 3 2" xfId="15265"/>
    <cellStyle name="40% - Accent6 22 4" xfId="15266"/>
    <cellStyle name="40% - Accent6 22 4 2" xfId="15267"/>
    <cellStyle name="40% - Accent6 22 5" xfId="15268"/>
    <cellStyle name="40% - Accent6 23" xfId="15269"/>
    <cellStyle name="40% - Accent6 23 2" xfId="15270"/>
    <cellStyle name="40% - Accent6 24" xfId="15271"/>
    <cellStyle name="40% - Accent6 24 2" xfId="15272"/>
    <cellStyle name="40% - Accent6 24 2 2" xfId="15273"/>
    <cellStyle name="40% - Accent6 24 2 2 2" xfId="15274"/>
    <cellStyle name="40% - Accent6 24 2 3" xfId="15275"/>
    <cellStyle name="40% - Accent6 24 2 3 2" xfId="15276"/>
    <cellStyle name="40% - Accent6 24 2 4" xfId="15277"/>
    <cellStyle name="40% - Accent6 24 3" xfId="15278"/>
    <cellStyle name="40% - Accent6 24 3 2" xfId="15279"/>
    <cellStyle name="40% - Accent6 24 4" xfId="15280"/>
    <cellStyle name="40% - Accent6 24 4 2" xfId="15281"/>
    <cellStyle name="40% - Accent6 24 5" xfId="15282"/>
    <cellStyle name="40% - Accent6 25" xfId="15283"/>
    <cellStyle name="40% - Accent6 25 2" xfId="15284"/>
    <cellStyle name="40% - Accent6 25 2 2" xfId="15285"/>
    <cellStyle name="40% - Accent6 25 2 2 2" xfId="15286"/>
    <cellStyle name="40% - Accent6 25 2 3" xfId="15287"/>
    <cellStyle name="40% - Accent6 25 2 3 2" xfId="15288"/>
    <cellStyle name="40% - Accent6 25 2 4" xfId="15289"/>
    <cellStyle name="40% - Accent6 25 3" xfId="15290"/>
    <cellStyle name="40% - Accent6 25 3 2" xfId="15291"/>
    <cellStyle name="40% - Accent6 25 4" xfId="15292"/>
    <cellStyle name="40% - Accent6 25 4 2" xfId="15293"/>
    <cellStyle name="40% - Accent6 25 5" xfId="15294"/>
    <cellStyle name="40% - Accent6 26" xfId="15295"/>
    <cellStyle name="40% - Accent6 26 2" xfId="15296"/>
    <cellStyle name="40% - Accent6 27" xfId="15297"/>
    <cellStyle name="40% - Accent6 27 2" xfId="15298"/>
    <cellStyle name="40% - Accent6 27 2 2" xfId="15299"/>
    <cellStyle name="40% - Accent6 27 2 2 2" xfId="15300"/>
    <cellStyle name="40% - Accent6 27 2 3" xfId="15301"/>
    <cellStyle name="40% - Accent6 27 2 3 2" xfId="15302"/>
    <cellStyle name="40% - Accent6 27 2 4" xfId="15303"/>
    <cellStyle name="40% - Accent6 27 3" xfId="15304"/>
    <cellStyle name="40% - Accent6 27 3 2" xfId="15305"/>
    <cellStyle name="40% - Accent6 27 4" xfId="15306"/>
    <cellStyle name="40% - Accent6 27 4 2" xfId="15307"/>
    <cellStyle name="40% - Accent6 27 5" xfId="15308"/>
    <cellStyle name="40% - Accent6 28" xfId="15309"/>
    <cellStyle name="40% - Accent6 28 2" xfId="15310"/>
    <cellStyle name="40% - Accent6 28 2 2" xfId="15311"/>
    <cellStyle name="40% - Accent6 28 3" xfId="15312"/>
    <cellStyle name="40% - Accent6 28 3 2" xfId="15313"/>
    <cellStyle name="40% - Accent6 28 4" xfId="15314"/>
    <cellStyle name="40% - Accent6 29" xfId="15315"/>
    <cellStyle name="40% - Accent6 29 2" xfId="15316"/>
    <cellStyle name="40% - Accent6 3" xfId="233"/>
    <cellStyle name="40% - Accent6 3 10" xfId="3686"/>
    <cellStyle name="40% - Accent6 3 10 2" xfId="4660"/>
    <cellStyle name="40% - Accent6 3 10 2 2" xfId="15320"/>
    <cellStyle name="40% - Accent6 3 10 2 3" xfId="15319"/>
    <cellStyle name="40% - Accent6 3 10 3" xfId="15321"/>
    <cellStyle name="40% - Accent6 3 10 3 2" xfId="15322"/>
    <cellStyle name="40% - Accent6 3 10 4" xfId="15323"/>
    <cellStyle name="40% - Accent6 3 10 4 2" xfId="15324"/>
    <cellStyle name="40% - Accent6 3 10 5" xfId="15325"/>
    <cellStyle name="40% - Accent6 3 10 5 2" xfId="15326"/>
    <cellStyle name="40% - Accent6 3 10 6" xfId="15327"/>
    <cellStyle name="40% - Accent6 3 10 7" xfId="15318"/>
    <cellStyle name="40% - Accent6 3 11" xfId="15328"/>
    <cellStyle name="40% - Accent6 3 11 2" xfId="15329"/>
    <cellStyle name="40% - Accent6 3 11 2 2" xfId="15330"/>
    <cellStyle name="40% - Accent6 3 11 3" xfId="15331"/>
    <cellStyle name="40% - Accent6 3 11 3 2" xfId="15332"/>
    <cellStyle name="40% - Accent6 3 11 4" xfId="15333"/>
    <cellStyle name="40% - Accent6 3 12" xfId="15334"/>
    <cellStyle name="40% - Accent6 3 12 2" xfId="15335"/>
    <cellStyle name="40% - Accent6 3 12 2 2" xfId="15336"/>
    <cellStyle name="40% - Accent6 3 12 3" xfId="15337"/>
    <cellStyle name="40% - Accent6 3 12 3 2" xfId="15338"/>
    <cellStyle name="40% - Accent6 3 12 4" xfId="15339"/>
    <cellStyle name="40% - Accent6 3 13" xfId="15340"/>
    <cellStyle name="40% - Accent6 3 13 2" xfId="15341"/>
    <cellStyle name="40% - Accent6 3 13 2 2" xfId="15342"/>
    <cellStyle name="40% - Accent6 3 13 3" xfId="15343"/>
    <cellStyle name="40% - Accent6 3 13 3 2" xfId="15344"/>
    <cellStyle name="40% - Accent6 3 13 4" xfId="15345"/>
    <cellStyle name="40% - Accent6 3 14" xfId="15346"/>
    <cellStyle name="40% - Accent6 3 14 2" xfId="15347"/>
    <cellStyle name="40% - Accent6 3 15" xfId="15348"/>
    <cellStyle name="40% - Accent6 3 15 2" xfId="15349"/>
    <cellStyle name="40% - Accent6 3 16" xfId="15350"/>
    <cellStyle name="40% - Accent6 3 17" xfId="15317"/>
    <cellStyle name="40% - Accent6 3 2" xfId="1459"/>
    <cellStyle name="40% - Accent6 3 2 10" xfId="15352"/>
    <cellStyle name="40% - Accent6 3 2 10 2" xfId="15353"/>
    <cellStyle name="40% - Accent6 3 2 10 2 2" xfId="15354"/>
    <cellStyle name="40% - Accent6 3 2 10 3" xfId="15355"/>
    <cellStyle name="40% - Accent6 3 2 10 3 2" xfId="15356"/>
    <cellStyle name="40% - Accent6 3 2 10 4" xfId="15357"/>
    <cellStyle name="40% - Accent6 3 2 11" xfId="15358"/>
    <cellStyle name="40% - Accent6 3 2 11 2" xfId="15359"/>
    <cellStyle name="40% - Accent6 3 2 11 2 2" xfId="15360"/>
    <cellStyle name="40% - Accent6 3 2 11 3" xfId="15361"/>
    <cellStyle name="40% - Accent6 3 2 11 3 2" xfId="15362"/>
    <cellStyle name="40% - Accent6 3 2 11 4" xfId="15363"/>
    <cellStyle name="40% - Accent6 3 2 12" xfId="15364"/>
    <cellStyle name="40% - Accent6 3 2 12 2" xfId="15365"/>
    <cellStyle name="40% - Accent6 3 2 12 2 2" xfId="15366"/>
    <cellStyle name="40% - Accent6 3 2 12 3" xfId="15367"/>
    <cellStyle name="40% - Accent6 3 2 12 3 2" xfId="15368"/>
    <cellStyle name="40% - Accent6 3 2 12 4" xfId="15369"/>
    <cellStyle name="40% - Accent6 3 2 13" xfId="15370"/>
    <cellStyle name="40% - Accent6 3 2 13 2" xfId="15371"/>
    <cellStyle name="40% - Accent6 3 2 14" xfId="15372"/>
    <cellStyle name="40% - Accent6 3 2 14 2" xfId="15373"/>
    <cellStyle name="40% - Accent6 3 2 15" xfId="15374"/>
    <cellStyle name="40% - Accent6 3 2 15 2" xfId="15375"/>
    <cellStyle name="40% - Accent6 3 2 16" xfId="15376"/>
    <cellStyle name="40% - Accent6 3 2 17" xfId="15351"/>
    <cellStyle name="40% - Accent6 3 2 2" xfId="1844"/>
    <cellStyle name="40% - Accent6 3 2 2 2" xfId="15378"/>
    <cellStyle name="40% - Accent6 3 2 2 2 2" xfId="15379"/>
    <cellStyle name="40% - Accent6 3 2 2 3" xfId="15380"/>
    <cellStyle name="40% - Accent6 3 2 2 3 2" xfId="15381"/>
    <cellStyle name="40% - Accent6 3 2 2 4" xfId="15382"/>
    <cellStyle name="40% - Accent6 3 2 2 5" xfId="15377"/>
    <cellStyle name="40% - Accent6 3 2 3" xfId="2219"/>
    <cellStyle name="40% - Accent6 3 2 3 2" xfId="15384"/>
    <cellStyle name="40% - Accent6 3 2 3 2 2" xfId="15385"/>
    <cellStyle name="40% - Accent6 3 2 3 3" xfId="15386"/>
    <cellStyle name="40% - Accent6 3 2 3 3 2" xfId="15387"/>
    <cellStyle name="40% - Accent6 3 2 3 4" xfId="15388"/>
    <cellStyle name="40% - Accent6 3 2 3 5" xfId="15383"/>
    <cellStyle name="40% - Accent6 3 2 4" xfId="2593"/>
    <cellStyle name="40% - Accent6 3 2 4 2" xfId="15390"/>
    <cellStyle name="40% - Accent6 3 2 4 2 2" xfId="15391"/>
    <cellStyle name="40% - Accent6 3 2 4 3" xfId="15392"/>
    <cellStyle name="40% - Accent6 3 2 4 3 2" xfId="15393"/>
    <cellStyle name="40% - Accent6 3 2 4 4" xfId="15394"/>
    <cellStyle name="40% - Accent6 3 2 4 5" xfId="15389"/>
    <cellStyle name="40% - Accent6 3 2 5" xfId="2965"/>
    <cellStyle name="40% - Accent6 3 2 5 2" xfId="15396"/>
    <cellStyle name="40% - Accent6 3 2 5 2 2" xfId="15397"/>
    <cellStyle name="40% - Accent6 3 2 5 3" xfId="15398"/>
    <cellStyle name="40% - Accent6 3 2 5 3 2" xfId="15399"/>
    <cellStyle name="40% - Accent6 3 2 5 4" xfId="15400"/>
    <cellStyle name="40% - Accent6 3 2 5 5" xfId="15395"/>
    <cellStyle name="40% - Accent6 3 2 6" xfId="3337"/>
    <cellStyle name="40% - Accent6 3 2 6 2" xfId="15402"/>
    <cellStyle name="40% - Accent6 3 2 6 2 2" xfId="15403"/>
    <cellStyle name="40% - Accent6 3 2 6 3" xfId="15404"/>
    <cellStyle name="40% - Accent6 3 2 6 3 2" xfId="15405"/>
    <cellStyle name="40% - Accent6 3 2 6 4" xfId="15406"/>
    <cellStyle name="40% - Accent6 3 2 6 5" xfId="15401"/>
    <cellStyle name="40% - Accent6 3 2 7" xfId="4661"/>
    <cellStyle name="40% - Accent6 3 2 7 2" xfId="15408"/>
    <cellStyle name="40% - Accent6 3 2 7 2 2" xfId="15409"/>
    <cellStyle name="40% - Accent6 3 2 7 3" xfId="15410"/>
    <cellStyle name="40% - Accent6 3 2 7 3 2" xfId="15411"/>
    <cellStyle name="40% - Accent6 3 2 7 4" xfId="15412"/>
    <cellStyle name="40% - Accent6 3 2 7 5" xfId="15407"/>
    <cellStyle name="40% - Accent6 3 2 8" xfId="15413"/>
    <cellStyle name="40% - Accent6 3 2 8 2" xfId="15414"/>
    <cellStyle name="40% - Accent6 3 2 8 2 2" xfId="15415"/>
    <cellStyle name="40% - Accent6 3 2 8 3" xfId="15416"/>
    <cellStyle name="40% - Accent6 3 2 8 3 2" xfId="15417"/>
    <cellStyle name="40% - Accent6 3 2 8 4" xfId="15418"/>
    <cellStyle name="40% - Accent6 3 2 9" xfId="15419"/>
    <cellStyle name="40% - Accent6 3 2 9 2" xfId="15420"/>
    <cellStyle name="40% - Accent6 3 2 9 2 2" xfId="15421"/>
    <cellStyle name="40% - Accent6 3 2 9 3" xfId="15422"/>
    <cellStyle name="40% - Accent6 3 2 9 3 2" xfId="15423"/>
    <cellStyle name="40% - Accent6 3 2 9 4" xfId="15424"/>
    <cellStyle name="40% - Accent6 3 3" xfId="1586"/>
    <cellStyle name="40% - Accent6 3 3 2" xfId="1921"/>
    <cellStyle name="40% - Accent6 3 3 2 2" xfId="15427"/>
    <cellStyle name="40% - Accent6 3 3 2 3" xfId="15426"/>
    <cellStyle name="40% - Accent6 3 3 3" xfId="2296"/>
    <cellStyle name="40% - Accent6 3 3 3 2" xfId="15429"/>
    <cellStyle name="40% - Accent6 3 3 3 3" xfId="15428"/>
    <cellStyle name="40% - Accent6 3 3 4" xfId="2669"/>
    <cellStyle name="40% - Accent6 3 3 4 2" xfId="15431"/>
    <cellStyle name="40% - Accent6 3 3 4 3" xfId="15430"/>
    <cellStyle name="40% - Accent6 3 3 5" xfId="3042"/>
    <cellStyle name="40% - Accent6 3 3 5 2" xfId="15433"/>
    <cellStyle name="40% - Accent6 3 3 5 3" xfId="15432"/>
    <cellStyle name="40% - Accent6 3 3 6" xfId="3413"/>
    <cellStyle name="40% - Accent6 3 3 6 2" xfId="15435"/>
    <cellStyle name="40% - Accent6 3 3 6 3" xfId="15434"/>
    <cellStyle name="40% - Accent6 3 3 7" xfId="4662"/>
    <cellStyle name="40% - Accent6 3 3 7 2" xfId="15437"/>
    <cellStyle name="40% - Accent6 3 3 7 3" xfId="15436"/>
    <cellStyle name="40% - Accent6 3 3 8" xfId="15438"/>
    <cellStyle name="40% - Accent6 3 3 9" xfId="15425"/>
    <cellStyle name="40% - Accent6 3 4" xfId="1723"/>
    <cellStyle name="40% - Accent6 3 4 2" xfId="1965"/>
    <cellStyle name="40% - Accent6 3 4 2 2" xfId="15441"/>
    <cellStyle name="40% - Accent6 3 4 2 3" xfId="15440"/>
    <cellStyle name="40% - Accent6 3 4 3" xfId="2340"/>
    <cellStyle name="40% - Accent6 3 4 3 2" xfId="15443"/>
    <cellStyle name="40% - Accent6 3 4 3 3" xfId="15442"/>
    <cellStyle name="40% - Accent6 3 4 4" xfId="2713"/>
    <cellStyle name="40% - Accent6 3 4 4 2" xfId="15445"/>
    <cellStyle name="40% - Accent6 3 4 4 3" xfId="15444"/>
    <cellStyle name="40% - Accent6 3 4 5" xfId="3086"/>
    <cellStyle name="40% - Accent6 3 4 5 2" xfId="15447"/>
    <cellStyle name="40% - Accent6 3 4 5 3" xfId="15446"/>
    <cellStyle name="40% - Accent6 3 4 6" xfId="3457"/>
    <cellStyle name="40% - Accent6 3 4 6 2" xfId="15449"/>
    <cellStyle name="40% - Accent6 3 4 6 3" xfId="15448"/>
    <cellStyle name="40% - Accent6 3 4 7" xfId="15450"/>
    <cellStyle name="40% - Accent6 3 4 8" xfId="15439"/>
    <cellStyle name="40% - Accent6 3 5" xfId="2058"/>
    <cellStyle name="40% - Accent6 3 5 2" xfId="15452"/>
    <cellStyle name="40% - Accent6 3 5 2 2" xfId="15453"/>
    <cellStyle name="40% - Accent6 3 5 3" xfId="15454"/>
    <cellStyle name="40% - Accent6 3 5 3 2" xfId="15455"/>
    <cellStyle name="40% - Accent6 3 5 4" xfId="15456"/>
    <cellStyle name="40% - Accent6 3 5 4 2" xfId="15457"/>
    <cellStyle name="40% - Accent6 3 5 5" xfId="15458"/>
    <cellStyle name="40% - Accent6 3 5 6" xfId="15451"/>
    <cellStyle name="40% - Accent6 3 6" xfId="2432"/>
    <cellStyle name="40% - Accent6 3 6 2" xfId="15460"/>
    <cellStyle name="40% - Accent6 3 6 2 2" xfId="15461"/>
    <cellStyle name="40% - Accent6 3 6 3" xfId="15462"/>
    <cellStyle name="40% - Accent6 3 6 3 2" xfId="15463"/>
    <cellStyle name="40% - Accent6 3 6 4" xfId="15464"/>
    <cellStyle name="40% - Accent6 3 6 4 2" xfId="15465"/>
    <cellStyle name="40% - Accent6 3 6 5" xfId="15466"/>
    <cellStyle name="40% - Accent6 3 6 6" xfId="15459"/>
    <cellStyle name="40% - Accent6 3 7" xfId="2804"/>
    <cellStyle name="40% - Accent6 3 7 2" xfId="15468"/>
    <cellStyle name="40% - Accent6 3 7 2 2" xfId="15469"/>
    <cellStyle name="40% - Accent6 3 7 3" xfId="15470"/>
    <cellStyle name="40% - Accent6 3 7 3 2" xfId="15471"/>
    <cellStyle name="40% - Accent6 3 7 4" xfId="15472"/>
    <cellStyle name="40% - Accent6 3 7 4 2" xfId="15473"/>
    <cellStyle name="40% - Accent6 3 7 5" xfId="15474"/>
    <cellStyle name="40% - Accent6 3 7 6" xfId="15467"/>
    <cellStyle name="40% - Accent6 3 8" xfId="3175"/>
    <cellStyle name="40% - Accent6 3 8 2" xfId="15476"/>
    <cellStyle name="40% - Accent6 3 8 2 2" xfId="15477"/>
    <cellStyle name="40% - Accent6 3 8 3" xfId="15478"/>
    <cellStyle name="40% - Accent6 3 8 3 2" xfId="15479"/>
    <cellStyle name="40% - Accent6 3 8 4" xfId="15480"/>
    <cellStyle name="40% - Accent6 3 8 4 2" xfId="15481"/>
    <cellStyle name="40% - Accent6 3 8 5" xfId="15482"/>
    <cellStyle name="40% - Accent6 3 8 6" xfId="15475"/>
    <cellStyle name="40% - Accent6 3 9" xfId="3550"/>
    <cellStyle name="40% - Accent6 3 9 2" xfId="4663"/>
    <cellStyle name="40% - Accent6 3 9 2 2" xfId="15485"/>
    <cellStyle name="40% - Accent6 3 9 2 3" xfId="15484"/>
    <cellStyle name="40% - Accent6 3 9 3" xfId="15486"/>
    <cellStyle name="40% - Accent6 3 9 3 2" xfId="15487"/>
    <cellStyle name="40% - Accent6 3 9 4" xfId="15488"/>
    <cellStyle name="40% - Accent6 3 9 4 2" xfId="15489"/>
    <cellStyle name="40% - Accent6 3 9 5" xfId="15490"/>
    <cellStyle name="40% - Accent6 3 9 5 2" xfId="15491"/>
    <cellStyle name="40% - Accent6 3 9 6" xfId="15492"/>
    <cellStyle name="40% - Accent6 3 9 7" xfId="15483"/>
    <cellStyle name="40% - Accent6 30" xfId="15493"/>
    <cellStyle name="40% - Accent6 31" xfId="14976"/>
    <cellStyle name="40% - Accent6 4" xfId="246"/>
    <cellStyle name="40% - Accent6 4 10" xfId="3730"/>
    <cellStyle name="40% - Accent6 4 10 2" xfId="4665"/>
    <cellStyle name="40% - Accent6 4 10 2 2" xfId="15497"/>
    <cellStyle name="40% - Accent6 4 10 2 3" xfId="15496"/>
    <cellStyle name="40% - Accent6 4 10 3" xfId="15498"/>
    <cellStyle name="40% - Accent6 4 10 3 2" xfId="15499"/>
    <cellStyle name="40% - Accent6 4 10 4" xfId="15500"/>
    <cellStyle name="40% - Accent6 4 10 4 2" xfId="15501"/>
    <cellStyle name="40% - Accent6 4 10 5" xfId="15502"/>
    <cellStyle name="40% - Accent6 4 10 5 2" xfId="15503"/>
    <cellStyle name="40% - Accent6 4 10 6" xfId="15504"/>
    <cellStyle name="40% - Accent6 4 10 7" xfId="15495"/>
    <cellStyle name="40% - Accent6 4 11" xfId="1315"/>
    <cellStyle name="40% - Accent6 4 11 10" xfId="24887"/>
    <cellStyle name="40% - Accent6 4 11 11" xfId="26665"/>
    <cellStyle name="40% - Accent6 4 11 2" xfId="4155"/>
    <cellStyle name="40% - Accent6 4 11 2 2" xfId="5438"/>
    <cellStyle name="40% - Accent6 4 11 2 2 2" xfId="6456"/>
    <cellStyle name="40% - Accent6 4 11 2 2 2 2" xfId="15508"/>
    <cellStyle name="40% - Accent6 4 11 2 2 2 3" xfId="26668"/>
    <cellStyle name="40% - Accent6 4 11 2 2 3" xfId="15507"/>
    <cellStyle name="40% - Accent6 4 11 2 2 4" xfId="26667"/>
    <cellStyle name="40% - Accent6 4 11 2 3" xfId="5748"/>
    <cellStyle name="40% - Accent6 4 11 2 3 2" xfId="6457"/>
    <cellStyle name="40% - Accent6 4 11 2 3 2 2" xfId="26670"/>
    <cellStyle name="40% - Accent6 4 11 2 3 3" xfId="15509"/>
    <cellStyle name="40% - Accent6 4 11 2 3 4" xfId="26669"/>
    <cellStyle name="40% - Accent6 4 11 2 4" xfId="4667"/>
    <cellStyle name="40% - Accent6 4 11 2 4 2" xfId="6458"/>
    <cellStyle name="40% - Accent6 4 11 2 4 2 2" xfId="26672"/>
    <cellStyle name="40% - Accent6 4 11 2 4 3" xfId="26671"/>
    <cellStyle name="40% - Accent6 4 11 2 5" xfId="6455"/>
    <cellStyle name="40% - Accent6 4 11 2 5 2" xfId="26673"/>
    <cellStyle name="40% - Accent6 4 11 2 6" xfId="15506"/>
    <cellStyle name="40% - Accent6 4 11 2 7" xfId="25007"/>
    <cellStyle name="40% - Accent6 4 11 2 8" xfId="26666"/>
    <cellStyle name="40% - Accent6 4 11 3" xfId="5437"/>
    <cellStyle name="40% - Accent6 4 11 3 2" xfId="6459"/>
    <cellStyle name="40% - Accent6 4 11 3 2 2" xfId="15511"/>
    <cellStyle name="40% - Accent6 4 11 3 2 3" xfId="26675"/>
    <cellStyle name="40% - Accent6 4 11 3 3" xfId="15510"/>
    <cellStyle name="40% - Accent6 4 11 3 4" xfId="26674"/>
    <cellStyle name="40% - Accent6 4 11 4" xfId="5747"/>
    <cellStyle name="40% - Accent6 4 11 4 2" xfId="6460"/>
    <cellStyle name="40% - Accent6 4 11 4 2 2" xfId="15513"/>
    <cellStyle name="40% - Accent6 4 11 4 2 3" xfId="26677"/>
    <cellStyle name="40% - Accent6 4 11 4 3" xfId="15512"/>
    <cellStyle name="40% - Accent6 4 11 4 4" xfId="26676"/>
    <cellStyle name="40% - Accent6 4 11 5" xfId="4666"/>
    <cellStyle name="40% - Accent6 4 11 5 2" xfId="6461"/>
    <cellStyle name="40% - Accent6 4 11 5 2 2" xfId="15516"/>
    <cellStyle name="40% - Accent6 4 11 5 2 3" xfId="15515"/>
    <cellStyle name="40% - Accent6 4 11 5 2 4" xfId="26679"/>
    <cellStyle name="40% - Accent6 4 11 5 3" xfId="15517"/>
    <cellStyle name="40% - Accent6 4 11 5 3 2" xfId="15518"/>
    <cellStyle name="40% - Accent6 4 11 5 4" xfId="15519"/>
    <cellStyle name="40% - Accent6 4 11 5 5" xfId="15514"/>
    <cellStyle name="40% - Accent6 4 11 5 6" xfId="26678"/>
    <cellStyle name="40% - Accent6 4 11 6" xfId="6454"/>
    <cellStyle name="40% - Accent6 4 11 6 2" xfId="15521"/>
    <cellStyle name="40% - Accent6 4 11 6 3" xfId="15520"/>
    <cellStyle name="40% - Accent6 4 11 6 4" xfId="26680"/>
    <cellStyle name="40% - Accent6 4 11 7" xfId="15522"/>
    <cellStyle name="40% - Accent6 4 11 7 2" xfId="15523"/>
    <cellStyle name="40% - Accent6 4 11 8" xfId="15524"/>
    <cellStyle name="40% - Accent6 4 11 9" xfId="15505"/>
    <cellStyle name="40% - Accent6 4 12" xfId="4668"/>
    <cellStyle name="40% - Accent6 4 12 2" xfId="5439"/>
    <cellStyle name="40% - Accent6 4 12 2 2" xfId="6463"/>
    <cellStyle name="40% - Accent6 4 12 2 2 2" xfId="15527"/>
    <cellStyle name="40% - Accent6 4 12 2 2 3" xfId="26683"/>
    <cellStyle name="40% - Accent6 4 12 2 3" xfId="15526"/>
    <cellStyle name="40% - Accent6 4 12 2 4" xfId="26682"/>
    <cellStyle name="40% - Accent6 4 12 3" xfId="5749"/>
    <cellStyle name="40% - Accent6 4 12 3 2" xfId="6464"/>
    <cellStyle name="40% - Accent6 4 12 3 2 2" xfId="15529"/>
    <cellStyle name="40% - Accent6 4 12 3 2 3" xfId="26685"/>
    <cellStyle name="40% - Accent6 4 12 3 3" xfId="15528"/>
    <cellStyle name="40% - Accent6 4 12 3 4" xfId="26684"/>
    <cellStyle name="40% - Accent6 4 12 4" xfId="6462"/>
    <cellStyle name="40% - Accent6 4 12 4 2" xfId="15531"/>
    <cellStyle name="40% - Accent6 4 12 4 3" xfId="15530"/>
    <cellStyle name="40% - Accent6 4 12 4 4" xfId="26686"/>
    <cellStyle name="40% - Accent6 4 12 5" xfId="15532"/>
    <cellStyle name="40% - Accent6 4 12 6" xfId="15525"/>
    <cellStyle name="40% - Accent6 4 12 7" xfId="26681"/>
    <cellStyle name="40% - Accent6 4 13" xfId="5436"/>
    <cellStyle name="40% - Accent6 4 13 2" xfId="6465"/>
    <cellStyle name="40% - Accent6 4 13 2 2" xfId="15535"/>
    <cellStyle name="40% - Accent6 4 13 2 3" xfId="15534"/>
    <cellStyle name="40% - Accent6 4 13 2 4" xfId="26688"/>
    <cellStyle name="40% - Accent6 4 13 3" xfId="15536"/>
    <cellStyle name="40% - Accent6 4 13 3 2" xfId="15537"/>
    <cellStyle name="40% - Accent6 4 13 4" xfId="15538"/>
    <cellStyle name="40% - Accent6 4 13 5" xfId="15533"/>
    <cellStyle name="40% - Accent6 4 13 6" xfId="26687"/>
    <cellStyle name="40% - Accent6 4 14" xfId="5746"/>
    <cellStyle name="40% - Accent6 4 14 2" xfId="6466"/>
    <cellStyle name="40% - Accent6 4 14 2 2" xfId="15540"/>
    <cellStyle name="40% - Accent6 4 14 2 3" xfId="26690"/>
    <cellStyle name="40% - Accent6 4 14 3" xfId="15539"/>
    <cellStyle name="40% - Accent6 4 14 4" xfId="26689"/>
    <cellStyle name="40% - Accent6 4 15" xfId="4664"/>
    <cellStyle name="40% - Accent6 4 15 2" xfId="6467"/>
    <cellStyle name="40% - Accent6 4 15 2 2" xfId="15542"/>
    <cellStyle name="40% - Accent6 4 15 2 3" xfId="26692"/>
    <cellStyle name="40% - Accent6 4 15 3" xfId="15541"/>
    <cellStyle name="40% - Accent6 4 15 4" xfId="26691"/>
    <cellStyle name="40% - Accent6 4 16" xfId="15543"/>
    <cellStyle name="40% - Accent6 4 16 2" xfId="15544"/>
    <cellStyle name="40% - Accent6 4 17" xfId="15545"/>
    <cellStyle name="40% - Accent6 4 17 2" xfId="15546"/>
    <cellStyle name="40% - Accent6 4 17 2 2" xfId="15547"/>
    <cellStyle name="40% - Accent6 4 17 3" xfId="15548"/>
    <cellStyle name="40% - Accent6 4 17 3 2" xfId="15549"/>
    <cellStyle name="40% - Accent6 4 17 4" xfId="15550"/>
    <cellStyle name="40% - Accent6 4 18" xfId="15551"/>
    <cellStyle name="40% - Accent6 4 18 2" xfId="15552"/>
    <cellStyle name="40% - Accent6 4 19" xfId="15553"/>
    <cellStyle name="40% - Accent6 4 19 2" xfId="15554"/>
    <cellStyle name="40% - Accent6 4 2" xfId="1504"/>
    <cellStyle name="40% - Accent6 4 2 10" xfId="15556"/>
    <cellStyle name="40% - Accent6 4 2 10 2" xfId="15557"/>
    <cellStyle name="40% - Accent6 4 2 10 2 2" xfId="15558"/>
    <cellStyle name="40% - Accent6 4 2 10 3" xfId="15559"/>
    <cellStyle name="40% - Accent6 4 2 10 3 2" xfId="15560"/>
    <cellStyle name="40% - Accent6 4 2 10 4" xfId="15561"/>
    <cellStyle name="40% - Accent6 4 2 11" xfId="15562"/>
    <cellStyle name="40% - Accent6 4 2 11 2" xfId="15563"/>
    <cellStyle name="40% - Accent6 4 2 11 2 2" xfId="15564"/>
    <cellStyle name="40% - Accent6 4 2 11 3" xfId="15565"/>
    <cellStyle name="40% - Accent6 4 2 11 3 2" xfId="15566"/>
    <cellStyle name="40% - Accent6 4 2 11 4" xfId="15567"/>
    <cellStyle name="40% - Accent6 4 2 12" xfId="15568"/>
    <cellStyle name="40% - Accent6 4 2 12 2" xfId="15569"/>
    <cellStyle name="40% - Accent6 4 2 12 2 2" xfId="15570"/>
    <cellStyle name="40% - Accent6 4 2 12 3" xfId="15571"/>
    <cellStyle name="40% - Accent6 4 2 12 3 2" xfId="15572"/>
    <cellStyle name="40% - Accent6 4 2 12 4" xfId="15573"/>
    <cellStyle name="40% - Accent6 4 2 13" xfId="15574"/>
    <cellStyle name="40% - Accent6 4 2 13 2" xfId="15575"/>
    <cellStyle name="40% - Accent6 4 2 14" xfId="15576"/>
    <cellStyle name="40% - Accent6 4 2 14 2" xfId="15577"/>
    <cellStyle name="40% - Accent6 4 2 15" xfId="15578"/>
    <cellStyle name="40% - Accent6 4 2 15 2" xfId="15579"/>
    <cellStyle name="40% - Accent6 4 2 16" xfId="15580"/>
    <cellStyle name="40% - Accent6 4 2 16 2" xfId="15581"/>
    <cellStyle name="40% - Accent6 4 2 17" xfId="15582"/>
    <cellStyle name="40% - Accent6 4 2 18" xfId="15555"/>
    <cellStyle name="40% - Accent6 4 2 2" xfId="4669"/>
    <cellStyle name="40% - Accent6 4 2 2 2" xfId="15584"/>
    <cellStyle name="40% - Accent6 4 2 2 2 2" xfId="15585"/>
    <cellStyle name="40% - Accent6 4 2 2 3" xfId="15586"/>
    <cellStyle name="40% - Accent6 4 2 2 3 2" xfId="15587"/>
    <cellStyle name="40% - Accent6 4 2 2 4" xfId="15588"/>
    <cellStyle name="40% - Accent6 4 2 2 5" xfId="15583"/>
    <cellStyle name="40% - Accent6 4 2 3" xfId="15589"/>
    <cellStyle name="40% - Accent6 4 2 3 2" xfId="15590"/>
    <cellStyle name="40% - Accent6 4 2 3 2 2" xfId="15591"/>
    <cellStyle name="40% - Accent6 4 2 3 3" xfId="15592"/>
    <cellStyle name="40% - Accent6 4 2 3 3 2" xfId="15593"/>
    <cellStyle name="40% - Accent6 4 2 3 4" xfId="15594"/>
    <cellStyle name="40% - Accent6 4 2 4" xfId="15595"/>
    <cellStyle name="40% - Accent6 4 2 4 2" xfId="15596"/>
    <cellStyle name="40% - Accent6 4 2 4 2 2" xfId="15597"/>
    <cellStyle name="40% - Accent6 4 2 4 3" xfId="15598"/>
    <cellStyle name="40% - Accent6 4 2 4 3 2" xfId="15599"/>
    <cellStyle name="40% - Accent6 4 2 4 4" xfId="15600"/>
    <cellStyle name="40% - Accent6 4 2 5" xfId="15601"/>
    <cellStyle name="40% - Accent6 4 2 5 2" xfId="15602"/>
    <cellStyle name="40% - Accent6 4 2 5 2 2" xfId="15603"/>
    <cellStyle name="40% - Accent6 4 2 5 3" xfId="15604"/>
    <cellStyle name="40% - Accent6 4 2 5 3 2" xfId="15605"/>
    <cellStyle name="40% - Accent6 4 2 5 4" xfId="15606"/>
    <cellStyle name="40% - Accent6 4 2 6" xfId="15607"/>
    <cellStyle name="40% - Accent6 4 2 6 2" xfId="15608"/>
    <cellStyle name="40% - Accent6 4 2 6 2 2" xfId="15609"/>
    <cellStyle name="40% - Accent6 4 2 6 3" xfId="15610"/>
    <cellStyle name="40% - Accent6 4 2 6 3 2" xfId="15611"/>
    <cellStyle name="40% - Accent6 4 2 6 4" xfId="15612"/>
    <cellStyle name="40% - Accent6 4 2 7" xfId="15613"/>
    <cellStyle name="40% - Accent6 4 2 7 2" xfId="15614"/>
    <cellStyle name="40% - Accent6 4 2 7 2 2" xfId="15615"/>
    <cellStyle name="40% - Accent6 4 2 7 3" xfId="15616"/>
    <cellStyle name="40% - Accent6 4 2 7 3 2" xfId="15617"/>
    <cellStyle name="40% - Accent6 4 2 7 4" xfId="15618"/>
    <cellStyle name="40% - Accent6 4 2 8" xfId="15619"/>
    <cellStyle name="40% - Accent6 4 2 8 2" xfId="15620"/>
    <cellStyle name="40% - Accent6 4 2 8 2 2" xfId="15621"/>
    <cellStyle name="40% - Accent6 4 2 8 3" xfId="15622"/>
    <cellStyle name="40% - Accent6 4 2 8 3 2" xfId="15623"/>
    <cellStyle name="40% - Accent6 4 2 8 4" xfId="15624"/>
    <cellStyle name="40% - Accent6 4 2 9" xfId="15625"/>
    <cellStyle name="40% - Accent6 4 2 9 2" xfId="15626"/>
    <cellStyle name="40% - Accent6 4 2 9 2 2" xfId="15627"/>
    <cellStyle name="40% - Accent6 4 2 9 3" xfId="15628"/>
    <cellStyle name="40% - Accent6 4 2 9 3 2" xfId="15629"/>
    <cellStyle name="40% - Accent6 4 2 9 4" xfId="15630"/>
    <cellStyle name="40% - Accent6 4 20" xfId="15631"/>
    <cellStyle name="40% - Accent6 4 21" xfId="15494"/>
    <cellStyle name="40% - Accent6 4 3" xfId="1629"/>
    <cellStyle name="40% - Accent6 4 3 2" xfId="4670"/>
    <cellStyle name="40% - Accent6 4 3 2 2" xfId="15634"/>
    <cellStyle name="40% - Accent6 4 3 2 3" xfId="15633"/>
    <cellStyle name="40% - Accent6 4 3 3" xfId="15635"/>
    <cellStyle name="40% - Accent6 4 3 3 2" xfId="15636"/>
    <cellStyle name="40% - Accent6 4 3 4" xfId="15637"/>
    <cellStyle name="40% - Accent6 4 3 4 2" xfId="15638"/>
    <cellStyle name="40% - Accent6 4 3 5" xfId="15639"/>
    <cellStyle name="40% - Accent6 4 3 5 2" xfId="15640"/>
    <cellStyle name="40% - Accent6 4 3 6" xfId="15641"/>
    <cellStyle name="40% - Accent6 4 3 7" xfId="15632"/>
    <cellStyle name="40% - Accent6 4 4" xfId="1796"/>
    <cellStyle name="40% - Accent6 4 4 2" xfId="15643"/>
    <cellStyle name="40% - Accent6 4 4 2 2" xfId="15644"/>
    <cellStyle name="40% - Accent6 4 4 3" xfId="15645"/>
    <cellStyle name="40% - Accent6 4 4 3 2" xfId="15646"/>
    <cellStyle name="40% - Accent6 4 4 4" xfId="15647"/>
    <cellStyle name="40% - Accent6 4 4 4 2" xfId="15648"/>
    <cellStyle name="40% - Accent6 4 4 5" xfId="15649"/>
    <cellStyle name="40% - Accent6 4 4 6" xfId="15642"/>
    <cellStyle name="40% - Accent6 4 5" xfId="2132"/>
    <cellStyle name="40% - Accent6 4 5 2" xfId="15651"/>
    <cellStyle name="40% - Accent6 4 5 2 2" xfId="15652"/>
    <cellStyle name="40% - Accent6 4 5 3" xfId="15653"/>
    <cellStyle name="40% - Accent6 4 5 3 2" xfId="15654"/>
    <cellStyle name="40% - Accent6 4 5 4" xfId="15655"/>
    <cellStyle name="40% - Accent6 4 5 4 2" xfId="15656"/>
    <cellStyle name="40% - Accent6 4 5 5" xfId="15657"/>
    <cellStyle name="40% - Accent6 4 5 6" xfId="15650"/>
    <cellStyle name="40% - Accent6 4 6" xfId="2506"/>
    <cellStyle name="40% - Accent6 4 6 2" xfId="15659"/>
    <cellStyle name="40% - Accent6 4 6 2 2" xfId="15660"/>
    <cellStyle name="40% - Accent6 4 6 3" xfId="15661"/>
    <cellStyle name="40% - Accent6 4 6 3 2" xfId="15662"/>
    <cellStyle name="40% - Accent6 4 6 4" xfId="15663"/>
    <cellStyle name="40% - Accent6 4 6 4 2" xfId="15664"/>
    <cellStyle name="40% - Accent6 4 6 5" xfId="15665"/>
    <cellStyle name="40% - Accent6 4 6 6" xfId="15658"/>
    <cellStyle name="40% - Accent6 4 7" xfId="2878"/>
    <cellStyle name="40% - Accent6 4 7 2" xfId="15667"/>
    <cellStyle name="40% - Accent6 4 7 2 2" xfId="15668"/>
    <cellStyle name="40% - Accent6 4 7 3" xfId="15669"/>
    <cellStyle name="40% - Accent6 4 7 3 2" xfId="15670"/>
    <cellStyle name="40% - Accent6 4 7 4" xfId="15671"/>
    <cellStyle name="40% - Accent6 4 7 4 2" xfId="15672"/>
    <cellStyle name="40% - Accent6 4 7 5" xfId="15673"/>
    <cellStyle name="40% - Accent6 4 7 6" xfId="15666"/>
    <cellStyle name="40% - Accent6 4 8" xfId="3249"/>
    <cellStyle name="40% - Accent6 4 8 2" xfId="15675"/>
    <cellStyle name="40% - Accent6 4 8 2 2" xfId="15676"/>
    <cellStyle name="40% - Accent6 4 8 3" xfId="15677"/>
    <cellStyle name="40% - Accent6 4 8 3 2" xfId="15678"/>
    <cellStyle name="40% - Accent6 4 8 4" xfId="15679"/>
    <cellStyle name="40% - Accent6 4 8 4 2" xfId="15680"/>
    <cellStyle name="40% - Accent6 4 8 5" xfId="15681"/>
    <cellStyle name="40% - Accent6 4 8 6" xfId="15674"/>
    <cellStyle name="40% - Accent6 4 9" xfId="3593"/>
    <cellStyle name="40% - Accent6 4 9 2" xfId="4671"/>
    <cellStyle name="40% - Accent6 4 9 2 2" xfId="15684"/>
    <cellStyle name="40% - Accent6 4 9 2 3" xfId="15683"/>
    <cellStyle name="40% - Accent6 4 9 3" xfId="15685"/>
    <cellStyle name="40% - Accent6 4 9 3 2" xfId="15686"/>
    <cellStyle name="40% - Accent6 4 9 4" xfId="15687"/>
    <cellStyle name="40% - Accent6 4 9 4 2" xfId="15688"/>
    <cellStyle name="40% - Accent6 4 9 5" xfId="15689"/>
    <cellStyle name="40% - Accent6 4 9 5 2" xfId="15690"/>
    <cellStyle name="40% - Accent6 4 9 6" xfId="15691"/>
    <cellStyle name="40% - Accent6 4 9 7" xfId="15682"/>
    <cellStyle name="40% - Accent6 5" xfId="403"/>
    <cellStyle name="40% - Accent6 5 10" xfId="15693"/>
    <cellStyle name="40% - Accent6 5 10 2" xfId="15694"/>
    <cellStyle name="40% - Accent6 5 10 2 2" xfId="15695"/>
    <cellStyle name="40% - Accent6 5 10 3" xfId="15696"/>
    <cellStyle name="40% - Accent6 5 10 3 2" xfId="15697"/>
    <cellStyle name="40% - Accent6 5 10 4" xfId="15698"/>
    <cellStyle name="40% - Accent6 5 11" xfId="15699"/>
    <cellStyle name="40% - Accent6 5 11 2" xfId="15700"/>
    <cellStyle name="40% - Accent6 5 11 2 2" xfId="15701"/>
    <cellStyle name="40% - Accent6 5 11 3" xfId="15702"/>
    <cellStyle name="40% - Accent6 5 11 3 2" xfId="15703"/>
    <cellStyle name="40% - Accent6 5 11 4" xfId="15704"/>
    <cellStyle name="40% - Accent6 5 12" xfId="15705"/>
    <cellStyle name="40% - Accent6 5 12 2" xfId="15706"/>
    <cellStyle name="40% - Accent6 5 12 2 2" xfId="15707"/>
    <cellStyle name="40% - Accent6 5 12 3" xfId="15708"/>
    <cellStyle name="40% - Accent6 5 12 3 2" xfId="15709"/>
    <cellStyle name="40% - Accent6 5 12 4" xfId="15710"/>
    <cellStyle name="40% - Accent6 5 13" xfId="15711"/>
    <cellStyle name="40% - Accent6 5 13 2" xfId="15712"/>
    <cellStyle name="40% - Accent6 5 13 2 2" xfId="15713"/>
    <cellStyle name="40% - Accent6 5 13 3" xfId="15714"/>
    <cellStyle name="40% - Accent6 5 13 3 2" xfId="15715"/>
    <cellStyle name="40% - Accent6 5 13 4" xfId="15716"/>
    <cellStyle name="40% - Accent6 5 14" xfId="15717"/>
    <cellStyle name="40% - Accent6 5 14 2" xfId="15718"/>
    <cellStyle name="40% - Accent6 5 15" xfId="15719"/>
    <cellStyle name="40% - Accent6 5 15 2" xfId="15720"/>
    <cellStyle name="40% - Accent6 5 16" xfId="15721"/>
    <cellStyle name="40% - Accent6 5 16 2" xfId="15722"/>
    <cellStyle name="40% - Accent6 5 17" xfId="15723"/>
    <cellStyle name="40% - Accent6 5 17 2" xfId="15724"/>
    <cellStyle name="40% - Accent6 5 18" xfId="15725"/>
    <cellStyle name="40% - Accent6 5 19" xfId="15692"/>
    <cellStyle name="40% - Accent6 5 2" xfId="1859"/>
    <cellStyle name="40% - Accent6 5 2 10" xfId="15727"/>
    <cellStyle name="40% - Accent6 5 2 10 2" xfId="15728"/>
    <cellStyle name="40% - Accent6 5 2 10 2 2" xfId="15729"/>
    <cellStyle name="40% - Accent6 5 2 10 3" xfId="15730"/>
    <cellStyle name="40% - Accent6 5 2 10 3 2" xfId="15731"/>
    <cellStyle name="40% - Accent6 5 2 10 4" xfId="15732"/>
    <cellStyle name="40% - Accent6 5 2 11" xfId="15733"/>
    <cellStyle name="40% - Accent6 5 2 11 2" xfId="15734"/>
    <cellStyle name="40% - Accent6 5 2 11 2 2" xfId="15735"/>
    <cellStyle name="40% - Accent6 5 2 11 3" xfId="15736"/>
    <cellStyle name="40% - Accent6 5 2 11 3 2" xfId="15737"/>
    <cellStyle name="40% - Accent6 5 2 11 4" xfId="15738"/>
    <cellStyle name="40% - Accent6 5 2 12" xfId="15739"/>
    <cellStyle name="40% - Accent6 5 2 12 2" xfId="15740"/>
    <cellStyle name="40% - Accent6 5 2 12 2 2" xfId="15741"/>
    <cellStyle name="40% - Accent6 5 2 12 3" xfId="15742"/>
    <cellStyle name="40% - Accent6 5 2 12 3 2" xfId="15743"/>
    <cellStyle name="40% - Accent6 5 2 12 4" xfId="15744"/>
    <cellStyle name="40% - Accent6 5 2 13" xfId="15745"/>
    <cellStyle name="40% - Accent6 5 2 13 2" xfId="15746"/>
    <cellStyle name="40% - Accent6 5 2 14" xfId="15747"/>
    <cellStyle name="40% - Accent6 5 2 14 2" xfId="15748"/>
    <cellStyle name="40% - Accent6 5 2 15" xfId="15749"/>
    <cellStyle name="40% - Accent6 5 2 15 2" xfId="15750"/>
    <cellStyle name="40% - Accent6 5 2 16" xfId="15751"/>
    <cellStyle name="40% - Accent6 5 2 17" xfId="15726"/>
    <cellStyle name="40% - Accent6 5 2 2" xfId="15752"/>
    <cellStyle name="40% - Accent6 5 2 2 2" xfId="15753"/>
    <cellStyle name="40% - Accent6 5 2 2 2 2" xfId="15754"/>
    <cellStyle name="40% - Accent6 5 2 2 3" xfId="15755"/>
    <cellStyle name="40% - Accent6 5 2 2 3 2" xfId="15756"/>
    <cellStyle name="40% - Accent6 5 2 2 4" xfId="15757"/>
    <cellStyle name="40% - Accent6 5 2 3" xfId="15758"/>
    <cellStyle name="40% - Accent6 5 2 3 2" xfId="15759"/>
    <cellStyle name="40% - Accent6 5 2 3 2 2" xfId="15760"/>
    <cellStyle name="40% - Accent6 5 2 3 3" xfId="15761"/>
    <cellStyle name="40% - Accent6 5 2 3 3 2" xfId="15762"/>
    <cellStyle name="40% - Accent6 5 2 3 4" xfId="15763"/>
    <cellStyle name="40% - Accent6 5 2 4" xfId="15764"/>
    <cellStyle name="40% - Accent6 5 2 4 2" xfId="15765"/>
    <cellStyle name="40% - Accent6 5 2 4 2 2" xfId="15766"/>
    <cellStyle name="40% - Accent6 5 2 4 3" xfId="15767"/>
    <cellStyle name="40% - Accent6 5 2 4 3 2" xfId="15768"/>
    <cellStyle name="40% - Accent6 5 2 4 4" xfId="15769"/>
    <cellStyle name="40% - Accent6 5 2 5" xfId="15770"/>
    <cellStyle name="40% - Accent6 5 2 5 2" xfId="15771"/>
    <cellStyle name="40% - Accent6 5 2 5 2 2" xfId="15772"/>
    <cellStyle name="40% - Accent6 5 2 5 3" xfId="15773"/>
    <cellStyle name="40% - Accent6 5 2 5 3 2" xfId="15774"/>
    <cellStyle name="40% - Accent6 5 2 5 4" xfId="15775"/>
    <cellStyle name="40% - Accent6 5 2 6" xfId="15776"/>
    <cellStyle name="40% - Accent6 5 2 6 2" xfId="15777"/>
    <cellStyle name="40% - Accent6 5 2 6 2 2" xfId="15778"/>
    <cellStyle name="40% - Accent6 5 2 6 3" xfId="15779"/>
    <cellStyle name="40% - Accent6 5 2 6 3 2" xfId="15780"/>
    <cellStyle name="40% - Accent6 5 2 6 4" xfId="15781"/>
    <cellStyle name="40% - Accent6 5 2 7" xfId="15782"/>
    <cellStyle name="40% - Accent6 5 2 7 2" xfId="15783"/>
    <cellStyle name="40% - Accent6 5 2 7 2 2" xfId="15784"/>
    <cellStyle name="40% - Accent6 5 2 7 3" xfId="15785"/>
    <cellStyle name="40% - Accent6 5 2 7 3 2" xfId="15786"/>
    <cellStyle name="40% - Accent6 5 2 7 4" xfId="15787"/>
    <cellStyle name="40% - Accent6 5 2 8" xfId="15788"/>
    <cellStyle name="40% - Accent6 5 2 8 2" xfId="15789"/>
    <cellStyle name="40% - Accent6 5 2 8 2 2" xfId="15790"/>
    <cellStyle name="40% - Accent6 5 2 8 3" xfId="15791"/>
    <cellStyle name="40% - Accent6 5 2 8 3 2" xfId="15792"/>
    <cellStyle name="40% - Accent6 5 2 8 4" xfId="15793"/>
    <cellStyle name="40% - Accent6 5 2 9" xfId="15794"/>
    <cellStyle name="40% - Accent6 5 2 9 2" xfId="15795"/>
    <cellStyle name="40% - Accent6 5 2 9 2 2" xfId="15796"/>
    <cellStyle name="40% - Accent6 5 2 9 3" xfId="15797"/>
    <cellStyle name="40% - Accent6 5 2 9 3 2" xfId="15798"/>
    <cellStyle name="40% - Accent6 5 2 9 4" xfId="15799"/>
    <cellStyle name="40% - Accent6 5 3" xfId="2234"/>
    <cellStyle name="40% - Accent6 5 3 2" xfId="15801"/>
    <cellStyle name="40% - Accent6 5 3 2 2" xfId="15802"/>
    <cellStyle name="40% - Accent6 5 3 3" xfId="15803"/>
    <cellStyle name="40% - Accent6 5 3 3 2" xfId="15804"/>
    <cellStyle name="40% - Accent6 5 3 4" xfId="15805"/>
    <cellStyle name="40% - Accent6 5 3 4 2" xfId="15806"/>
    <cellStyle name="40% - Accent6 5 3 5" xfId="15807"/>
    <cellStyle name="40% - Accent6 5 3 6" xfId="15800"/>
    <cellStyle name="40% - Accent6 5 4" xfId="2608"/>
    <cellStyle name="40% - Accent6 5 4 2" xfId="15809"/>
    <cellStyle name="40% - Accent6 5 4 2 2" xfId="15810"/>
    <cellStyle name="40% - Accent6 5 4 3" xfId="15811"/>
    <cellStyle name="40% - Accent6 5 4 3 2" xfId="15812"/>
    <cellStyle name="40% - Accent6 5 4 4" xfId="15813"/>
    <cellStyle name="40% - Accent6 5 4 4 2" xfId="15814"/>
    <cellStyle name="40% - Accent6 5 4 5" xfId="15815"/>
    <cellStyle name="40% - Accent6 5 4 6" xfId="15808"/>
    <cellStyle name="40% - Accent6 5 5" xfId="2980"/>
    <cellStyle name="40% - Accent6 5 5 2" xfId="15817"/>
    <cellStyle name="40% - Accent6 5 5 2 2" xfId="15818"/>
    <cellStyle name="40% - Accent6 5 5 3" xfId="15819"/>
    <cellStyle name="40% - Accent6 5 5 3 2" xfId="15820"/>
    <cellStyle name="40% - Accent6 5 5 4" xfId="15821"/>
    <cellStyle name="40% - Accent6 5 5 4 2" xfId="15822"/>
    <cellStyle name="40% - Accent6 5 5 5" xfId="15823"/>
    <cellStyle name="40% - Accent6 5 5 6" xfId="15816"/>
    <cellStyle name="40% - Accent6 5 6" xfId="3352"/>
    <cellStyle name="40% - Accent6 5 6 2" xfId="15825"/>
    <cellStyle name="40% - Accent6 5 6 2 2" xfId="15826"/>
    <cellStyle name="40% - Accent6 5 6 3" xfId="15827"/>
    <cellStyle name="40% - Accent6 5 6 3 2" xfId="15828"/>
    <cellStyle name="40% - Accent6 5 6 4" xfId="15829"/>
    <cellStyle name="40% - Accent6 5 6 4 2" xfId="15830"/>
    <cellStyle name="40% - Accent6 5 6 5" xfId="15831"/>
    <cellStyle name="40% - Accent6 5 6 6" xfId="15824"/>
    <cellStyle name="40% - Accent6 5 7" xfId="4672"/>
    <cellStyle name="40% - Accent6 5 7 2" xfId="15833"/>
    <cellStyle name="40% - Accent6 5 7 2 2" xfId="15834"/>
    <cellStyle name="40% - Accent6 5 7 3" xfId="15835"/>
    <cellStyle name="40% - Accent6 5 7 3 2" xfId="15836"/>
    <cellStyle name="40% - Accent6 5 7 4" xfId="15837"/>
    <cellStyle name="40% - Accent6 5 7 5" xfId="15832"/>
    <cellStyle name="40% - Accent6 5 8" xfId="15838"/>
    <cellStyle name="40% - Accent6 5 8 2" xfId="15839"/>
    <cellStyle name="40% - Accent6 5 8 2 2" xfId="15840"/>
    <cellStyle name="40% - Accent6 5 8 3" xfId="15841"/>
    <cellStyle name="40% - Accent6 5 8 3 2" xfId="15842"/>
    <cellStyle name="40% - Accent6 5 8 4" xfId="15843"/>
    <cellStyle name="40% - Accent6 5 9" xfId="15844"/>
    <cellStyle name="40% - Accent6 5 9 2" xfId="15845"/>
    <cellStyle name="40% - Accent6 5 9 2 2" xfId="15846"/>
    <cellStyle name="40% - Accent6 5 9 3" xfId="15847"/>
    <cellStyle name="40% - Accent6 5 9 3 2" xfId="15848"/>
    <cellStyle name="40% - Accent6 5 9 4" xfId="15849"/>
    <cellStyle name="40% - Accent6 6" xfId="404"/>
    <cellStyle name="40% - Accent6 6 10" xfId="5440"/>
    <cellStyle name="40% - Accent6 6 10 2" xfId="6469"/>
    <cellStyle name="40% - Accent6 6 10 2 2" xfId="15853"/>
    <cellStyle name="40% - Accent6 6 10 2 3" xfId="15852"/>
    <cellStyle name="40% - Accent6 6 10 2 4" xfId="26695"/>
    <cellStyle name="40% - Accent6 6 10 3" xfId="15854"/>
    <cellStyle name="40% - Accent6 6 10 3 2" xfId="15855"/>
    <cellStyle name="40% - Accent6 6 10 4" xfId="15856"/>
    <cellStyle name="40% - Accent6 6 10 5" xfId="15851"/>
    <cellStyle name="40% - Accent6 6 10 6" xfId="26694"/>
    <cellStyle name="40% - Accent6 6 11" xfId="5750"/>
    <cellStyle name="40% - Accent6 6 11 2" xfId="6470"/>
    <cellStyle name="40% - Accent6 6 11 2 2" xfId="15859"/>
    <cellStyle name="40% - Accent6 6 11 2 3" xfId="15858"/>
    <cellStyle name="40% - Accent6 6 11 2 4" xfId="26697"/>
    <cellStyle name="40% - Accent6 6 11 3" xfId="15860"/>
    <cellStyle name="40% - Accent6 6 11 3 2" xfId="15861"/>
    <cellStyle name="40% - Accent6 6 11 4" xfId="15862"/>
    <cellStyle name="40% - Accent6 6 11 5" xfId="15857"/>
    <cellStyle name="40% - Accent6 6 11 6" xfId="26696"/>
    <cellStyle name="40% - Accent6 6 12" xfId="4673"/>
    <cellStyle name="40% - Accent6 6 12 2" xfId="6471"/>
    <cellStyle name="40% - Accent6 6 12 2 2" xfId="15865"/>
    <cellStyle name="40% - Accent6 6 12 2 3" xfId="15864"/>
    <cellStyle name="40% - Accent6 6 12 2 4" xfId="26699"/>
    <cellStyle name="40% - Accent6 6 12 3" xfId="15866"/>
    <cellStyle name="40% - Accent6 6 12 3 2" xfId="15867"/>
    <cellStyle name="40% - Accent6 6 12 4" xfId="15868"/>
    <cellStyle name="40% - Accent6 6 12 5" xfId="15863"/>
    <cellStyle name="40% - Accent6 6 12 6" xfId="26698"/>
    <cellStyle name="40% - Accent6 6 13" xfId="6468"/>
    <cellStyle name="40% - Accent6 6 13 2" xfId="15870"/>
    <cellStyle name="40% - Accent6 6 13 3" xfId="15869"/>
    <cellStyle name="40% - Accent6 6 13 4" xfId="26700"/>
    <cellStyle name="40% - Accent6 6 14" xfId="15871"/>
    <cellStyle name="40% - Accent6 6 14 2" xfId="15872"/>
    <cellStyle name="40% - Accent6 6 15" xfId="15873"/>
    <cellStyle name="40% - Accent6 6 15 2" xfId="15874"/>
    <cellStyle name="40% - Accent6 6 16" xfId="15875"/>
    <cellStyle name="40% - Accent6 6 16 2" xfId="15876"/>
    <cellStyle name="40% - Accent6 6 16 2 2" xfId="15877"/>
    <cellStyle name="40% - Accent6 6 16 3" xfId="15878"/>
    <cellStyle name="40% - Accent6 6 16 3 2" xfId="15879"/>
    <cellStyle name="40% - Accent6 6 16 4" xfId="15880"/>
    <cellStyle name="40% - Accent6 6 17" xfId="15881"/>
    <cellStyle name="40% - Accent6 6 17 2" xfId="15882"/>
    <cellStyle name="40% - Accent6 6 18" xfId="15883"/>
    <cellStyle name="40% - Accent6 6 18 2" xfId="15884"/>
    <cellStyle name="40% - Accent6 6 19" xfId="15885"/>
    <cellStyle name="40% - Accent6 6 2" xfId="1980"/>
    <cellStyle name="40% - Accent6 6 2 2" xfId="4674"/>
    <cellStyle name="40% - Accent6 6 2 2 2" xfId="15888"/>
    <cellStyle name="40% - Accent6 6 2 2 3" xfId="15887"/>
    <cellStyle name="40% - Accent6 6 2 3" xfId="15889"/>
    <cellStyle name="40% - Accent6 6 2 3 2" xfId="15890"/>
    <cellStyle name="40% - Accent6 6 2 4" xfId="15891"/>
    <cellStyle name="40% - Accent6 6 2 4 2" xfId="15892"/>
    <cellStyle name="40% - Accent6 6 2 5" xfId="15893"/>
    <cellStyle name="40% - Accent6 6 2 5 2" xfId="15894"/>
    <cellStyle name="40% - Accent6 6 2 6" xfId="15895"/>
    <cellStyle name="40% - Accent6 6 2 7" xfId="15886"/>
    <cellStyle name="40% - Accent6 6 20" xfId="15850"/>
    <cellStyle name="40% - Accent6 6 21" xfId="24842"/>
    <cellStyle name="40% - Accent6 6 22" xfId="26693"/>
    <cellStyle name="40% - Accent6 6 3" xfId="2355"/>
    <cellStyle name="40% - Accent6 6 3 2" xfId="4675"/>
    <cellStyle name="40% - Accent6 6 3 2 2" xfId="15898"/>
    <cellStyle name="40% - Accent6 6 3 2 3" xfId="15897"/>
    <cellStyle name="40% - Accent6 6 3 3" xfId="15899"/>
    <cellStyle name="40% - Accent6 6 3 3 2" xfId="15900"/>
    <cellStyle name="40% - Accent6 6 3 4" xfId="15901"/>
    <cellStyle name="40% - Accent6 6 3 4 2" xfId="15902"/>
    <cellStyle name="40% - Accent6 6 3 5" xfId="15903"/>
    <cellStyle name="40% - Accent6 6 3 5 2" xfId="15904"/>
    <cellStyle name="40% - Accent6 6 3 6" xfId="15905"/>
    <cellStyle name="40% - Accent6 6 3 7" xfId="15896"/>
    <cellStyle name="40% - Accent6 6 4" xfId="2728"/>
    <cellStyle name="40% - Accent6 6 4 2" xfId="4676"/>
    <cellStyle name="40% - Accent6 6 4 2 2" xfId="15908"/>
    <cellStyle name="40% - Accent6 6 4 2 3" xfId="15907"/>
    <cellStyle name="40% - Accent6 6 4 3" xfId="15909"/>
    <cellStyle name="40% - Accent6 6 4 3 2" xfId="15910"/>
    <cellStyle name="40% - Accent6 6 4 4" xfId="15911"/>
    <cellStyle name="40% - Accent6 6 4 4 2" xfId="15912"/>
    <cellStyle name="40% - Accent6 6 4 5" xfId="15913"/>
    <cellStyle name="40% - Accent6 6 4 5 2" xfId="15914"/>
    <cellStyle name="40% - Accent6 6 4 6" xfId="15915"/>
    <cellStyle name="40% - Accent6 6 4 7" xfId="15906"/>
    <cellStyle name="40% - Accent6 6 5" xfId="3101"/>
    <cellStyle name="40% - Accent6 6 5 2" xfId="4677"/>
    <cellStyle name="40% - Accent6 6 5 2 2" xfId="15918"/>
    <cellStyle name="40% - Accent6 6 5 2 3" xfId="15917"/>
    <cellStyle name="40% - Accent6 6 5 3" xfId="15919"/>
    <cellStyle name="40% - Accent6 6 5 3 2" xfId="15920"/>
    <cellStyle name="40% - Accent6 6 5 4" xfId="15921"/>
    <cellStyle name="40% - Accent6 6 5 4 2" xfId="15922"/>
    <cellStyle name="40% - Accent6 6 5 5" xfId="15923"/>
    <cellStyle name="40% - Accent6 6 5 5 2" xfId="15924"/>
    <cellStyle name="40% - Accent6 6 5 6" xfId="15925"/>
    <cellStyle name="40% - Accent6 6 5 7" xfId="15916"/>
    <cellStyle name="40% - Accent6 6 6" xfId="3472"/>
    <cellStyle name="40% - Accent6 6 6 2" xfId="4678"/>
    <cellStyle name="40% - Accent6 6 6 2 2" xfId="15928"/>
    <cellStyle name="40% - Accent6 6 6 2 3" xfId="15927"/>
    <cellStyle name="40% - Accent6 6 6 3" xfId="15929"/>
    <cellStyle name="40% - Accent6 6 6 3 2" xfId="15930"/>
    <cellStyle name="40% - Accent6 6 6 4" xfId="15931"/>
    <cellStyle name="40% - Accent6 6 6 4 2" xfId="15932"/>
    <cellStyle name="40% - Accent6 6 6 5" xfId="15933"/>
    <cellStyle name="40% - Accent6 6 6 5 2" xfId="15934"/>
    <cellStyle name="40% - Accent6 6 6 6" xfId="15935"/>
    <cellStyle name="40% - Accent6 6 6 7" xfId="15926"/>
    <cellStyle name="40% - Accent6 6 7" xfId="3778"/>
    <cellStyle name="40% - Accent6 6 7 2" xfId="4679"/>
    <cellStyle name="40% - Accent6 6 7 2 2" xfId="15938"/>
    <cellStyle name="40% - Accent6 6 7 2 3" xfId="15937"/>
    <cellStyle name="40% - Accent6 6 7 3" xfId="15939"/>
    <cellStyle name="40% - Accent6 6 7 3 2" xfId="15940"/>
    <cellStyle name="40% - Accent6 6 7 4" xfId="15941"/>
    <cellStyle name="40% - Accent6 6 7 4 2" xfId="15942"/>
    <cellStyle name="40% - Accent6 6 7 5" xfId="15943"/>
    <cellStyle name="40% - Accent6 6 7 5 2" xfId="15944"/>
    <cellStyle name="40% - Accent6 6 7 6" xfId="15945"/>
    <cellStyle name="40% - Accent6 6 7 7" xfId="15936"/>
    <cellStyle name="40% - Accent6 6 8" xfId="1364"/>
    <cellStyle name="40% - Accent6 6 8 10" xfId="24896"/>
    <cellStyle name="40% - Accent6 6 8 11" xfId="26701"/>
    <cellStyle name="40% - Accent6 6 8 2" xfId="4164"/>
    <cellStyle name="40% - Accent6 6 8 2 2" xfId="5442"/>
    <cellStyle name="40% - Accent6 6 8 2 2 2" xfId="6474"/>
    <cellStyle name="40% - Accent6 6 8 2 2 2 2" xfId="15949"/>
    <cellStyle name="40% - Accent6 6 8 2 2 2 3" xfId="26704"/>
    <cellStyle name="40% - Accent6 6 8 2 2 3" xfId="15948"/>
    <cellStyle name="40% - Accent6 6 8 2 2 4" xfId="26703"/>
    <cellStyle name="40% - Accent6 6 8 2 3" xfId="5752"/>
    <cellStyle name="40% - Accent6 6 8 2 3 2" xfId="6475"/>
    <cellStyle name="40% - Accent6 6 8 2 3 2 2" xfId="26706"/>
    <cellStyle name="40% - Accent6 6 8 2 3 3" xfId="15950"/>
    <cellStyle name="40% - Accent6 6 8 2 3 4" xfId="26705"/>
    <cellStyle name="40% - Accent6 6 8 2 4" xfId="4681"/>
    <cellStyle name="40% - Accent6 6 8 2 4 2" xfId="6476"/>
    <cellStyle name="40% - Accent6 6 8 2 4 2 2" xfId="26708"/>
    <cellStyle name="40% - Accent6 6 8 2 4 3" xfId="26707"/>
    <cellStyle name="40% - Accent6 6 8 2 5" xfId="6473"/>
    <cellStyle name="40% - Accent6 6 8 2 5 2" xfId="26709"/>
    <cellStyle name="40% - Accent6 6 8 2 6" xfId="15947"/>
    <cellStyle name="40% - Accent6 6 8 2 7" xfId="25016"/>
    <cellStyle name="40% - Accent6 6 8 2 8" xfId="26702"/>
    <cellStyle name="40% - Accent6 6 8 3" xfId="5441"/>
    <cellStyle name="40% - Accent6 6 8 3 2" xfId="6477"/>
    <cellStyle name="40% - Accent6 6 8 3 2 2" xfId="15952"/>
    <cellStyle name="40% - Accent6 6 8 3 2 3" xfId="26711"/>
    <cellStyle name="40% - Accent6 6 8 3 3" xfId="15951"/>
    <cellStyle name="40% - Accent6 6 8 3 4" xfId="26710"/>
    <cellStyle name="40% - Accent6 6 8 4" xfId="5751"/>
    <cellStyle name="40% - Accent6 6 8 4 2" xfId="6478"/>
    <cellStyle name="40% - Accent6 6 8 4 2 2" xfId="15954"/>
    <cellStyle name="40% - Accent6 6 8 4 2 3" xfId="26713"/>
    <cellStyle name="40% - Accent6 6 8 4 3" xfId="15953"/>
    <cellStyle name="40% - Accent6 6 8 4 4" xfId="26712"/>
    <cellStyle name="40% - Accent6 6 8 5" xfId="4680"/>
    <cellStyle name="40% - Accent6 6 8 5 2" xfId="6479"/>
    <cellStyle name="40% - Accent6 6 8 5 2 2" xfId="15957"/>
    <cellStyle name="40% - Accent6 6 8 5 2 3" xfId="15956"/>
    <cellStyle name="40% - Accent6 6 8 5 2 4" xfId="26715"/>
    <cellStyle name="40% - Accent6 6 8 5 3" xfId="15958"/>
    <cellStyle name="40% - Accent6 6 8 5 3 2" xfId="15959"/>
    <cellStyle name="40% - Accent6 6 8 5 4" xfId="15960"/>
    <cellStyle name="40% - Accent6 6 8 5 5" xfId="15955"/>
    <cellStyle name="40% - Accent6 6 8 5 6" xfId="26714"/>
    <cellStyle name="40% - Accent6 6 8 6" xfId="6472"/>
    <cellStyle name="40% - Accent6 6 8 6 2" xfId="15962"/>
    <cellStyle name="40% - Accent6 6 8 6 3" xfId="15961"/>
    <cellStyle name="40% - Accent6 6 8 6 4" xfId="26716"/>
    <cellStyle name="40% - Accent6 6 8 7" xfId="15963"/>
    <cellStyle name="40% - Accent6 6 8 7 2" xfId="15964"/>
    <cellStyle name="40% - Accent6 6 8 8" xfId="15965"/>
    <cellStyle name="40% - Accent6 6 8 9" xfId="15946"/>
    <cellStyle name="40% - Accent6 6 9" xfId="3828"/>
    <cellStyle name="40% - Accent6 6 9 2" xfId="5443"/>
    <cellStyle name="40% - Accent6 6 9 2 2" xfId="6481"/>
    <cellStyle name="40% - Accent6 6 9 2 2 2" xfId="15968"/>
    <cellStyle name="40% - Accent6 6 9 2 2 3" xfId="26719"/>
    <cellStyle name="40% - Accent6 6 9 2 3" xfId="15967"/>
    <cellStyle name="40% - Accent6 6 9 2 4" xfId="26718"/>
    <cellStyle name="40% - Accent6 6 9 3" xfId="5753"/>
    <cellStyle name="40% - Accent6 6 9 3 2" xfId="6482"/>
    <cellStyle name="40% - Accent6 6 9 3 2 2" xfId="15970"/>
    <cellStyle name="40% - Accent6 6 9 3 2 3" xfId="26721"/>
    <cellStyle name="40% - Accent6 6 9 3 3" xfId="15969"/>
    <cellStyle name="40% - Accent6 6 9 3 4" xfId="26720"/>
    <cellStyle name="40% - Accent6 6 9 4" xfId="4682"/>
    <cellStyle name="40% - Accent6 6 9 4 2" xfId="6483"/>
    <cellStyle name="40% - Accent6 6 9 4 2 2" xfId="15972"/>
    <cellStyle name="40% - Accent6 6 9 4 2 3" xfId="26723"/>
    <cellStyle name="40% - Accent6 6 9 4 3" xfId="15971"/>
    <cellStyle name="40% - Accent6 6 9 4 4" xfId="26722"/>
    <cellStyle name="40% - Accent6 6 9 5" xfId="6480"/>
    <cellStyle name="40% - Accent6 6 9 5 2" xfId="15973"/>
    <cellStyle name="40% - Accent6 6 9 5 3" xfId="26724"/>
    <cellStyle name="40% - Accent6 6 9 6" xfId="15966"/>
    <cellStyle name="40% - Accent6 6 9 7" xfId="24964"/>
    <cellStyle name="40% - Accent6 6 9 8" xfId="26717"/>
    <cellStyle name="40% - Accent6 7" xfId="405"/>
    <cellStyle name="40% - Accent6 7 10" xfId="15975"/>
    <cellStyle name="40% - Accent6 7 10 2" xfId="15976"/>
    <cellStyle name="40% - Accent6 7 10 2 2" xfId="15977"/>
    <cellStyle name="40% - Accent6 7 10 3" xfId="15978"/>
    <cellStyle name="40% - Accent6 7 10 3 2" xfId="15979"/>
    <cellStyle name="40% - Accent6 7 10 4" xfId="15980"/>
    <cellStyle name="40% - Accent6 7 11" xfId="15981"/>
    <cellStyle name="40% - Accent6 7 11 2" xfId="15982"/>
    <cellStyle name="40% - Accent6 7 11 2 2" xfId="15983"/>
    <cellStyle name="40% - Accent6 7 11 3" xfId="15984"/>
    <cellStyle name="40% - Accent6 7 11 3 2" xfId="15985"/>
    <cellStyle name="40% - Accent6 7 11 4" xfId="15986"/>
    <cellStyle name="40% - Accent6 7 12" xfId="15987"/>
    <cellStyle name="40% - Accent6 7 12 2" xfId="15988"/>
    <cellStyle name="40% - Accent6 7 12 2 2" xfId="15989"/>
    <cellStyle name="40% - Accent6 7 12 3" xfId="15990"/>
    <cellStyle name="40% - Accent6 7 12 3 2" xfId="15991"/>
    <cellStyle name="40% - Accent6 7 12 4" xfId="15992"/>
    <cellStyle name="40% - Accent6 7 13" xfId="15993"/>
    <cellStyle name="40% - Accent6 7 13 2" xfId="15994"/>
    <cellStyle name="40% - Accent6 7 14" xfId="15995"/>
    <cellStyle name="40% - Accent6 7 14 2" xfId="15996"/>
    <cellStyle name="40% - Accent6 7 15" xfId="15997"/>
    <cellStyle name="40% - Accent6 7 15 2" xfId="15998"/>
    <cellStyle name="40% - Accent6 7 16" xfId="15999"/>
    <cellStyle name="40% - Accent6 7 16 2" xfId="16000"/>
    <cellStyle name="40% - Accent6 7 17" xfId="16001"/>
    <cellStyle name="40% - Accent6 7 18" xfId="15974"/>
    <cellStyle name="40% - Accent6 7 2" xfId="4683"/>
    <cellStyle name="40% - Accent6 7 2 2" xfId="16003"/>
    <cellStyle name="40% - Accent6 7 2 2 2" xfId="16004"/>
    <cellStyle name="40% - Accent6 7 2 3" xfId="16005"/>
    <cellStyle name="40% - Accent6 7 2 3 2" xfId="16006"/>
    <cellStyle name="40% - Accent6 7 2 4" xfId="16007"/>
    <cellStyle name="40% - Accent6 7 2 5" xfId="16002"/>
    <cellStyle name="40% - Accent6 7 3" xfId="16008"/>
    <cellStyle name="40% - Accent6 7 3 2" xfId="16009"/>
    <cellStyle name="40% - Accent6 7 3 2 2" xfId="16010"/>
    <cellStyle name="40% - Accent6 7 3 3" xfId="16011"/>
    <cellStyle name="40% - Accent6 7 3 3 2" xfId="16012"/>
    <cellStyle name="40% - Accent6 7 3 4" xfId="16013"/>
    <cellStyle name="40% - Accent6 7 4" xfId="16014"/>
    <cellStyle name="40% - Accent6 7 4 2" xfId="16015"/>
    <cellStyle name="40% - Accent6 7 4 2 2" xfId="16016"/>
    <cellStyle name="40% - Accent6 7 4 3" xfId="16017"/>
    <cellStyle name="40% - Accent6 7 4 3 2" xfId="16018"/>
    <cellStyle name="40% - Accent6 7 4 4" xfId="16019"/>
    <cellStyle name="40% - Accent6 7 5" xfId="16020"/>
    <cellStyle name="40% - Accent6 7 5 2" xfId="16021"/>
    <cellStyle name="40% - Accent6 7 5 2 2" xfId="16022"/>
    <cellStyle name="40% - Accent6 7 5 3" xfId="16023"/>
    <cellStyle name="40% - Accent6 7 5 3 2" xfId="16024"/>
    <cellStyle name="40% - Accent6 7 5 4" xfId="16025"/>
    <cellStyle name="40% - Accent6 7 6" xfId="16026"/>
    <cellStyle name="40% - Accent6 7 6 2" xfId="16027"/>
    <cellStyle name="40% - Accent6 7 6 2 2" xfId="16028"/>
    <cellStyle name="40% - Accent6 7 6 3" xfId="16029"/>
    <cellStyle name="40% - Accent6 7 6 3 2" xfId="16030"/>
    <cellStyle name="40% - Accent6 7 6 4" xfId="16031"/>
    <cellStyle name="40% - Accent6 7 7" xfId="16032"/>
    <cellStyle name="40% - Accent6 7 7 2" xfId="16033"/>
    <cellStyle name="40% - Accent6 7 7 2 2" xfId="16034"/>
    <cellStyle name="40% - Accent6 7 7 3" xfId="16035"/>
    <cellStyle name="40% - Accent6 7 7 3 2" xfId="16036"/>
    <cellStyle name="40% - Accent6 7 7 4" xfId="16037"/>
    <cellStyle name="40% - Accent6 7 8" xfId="16038"/>
    <cellStyle name="40% - Accent6 7 8 2" xfId="16039"/>
    <cellStyle name="40% - Accent6 7 8 2 2" xfId="16040"/>
    <cellStyle name="40% - Accent6 7 8 3" xfId="16041"/>
    <cellStyle name="40% - Accent6 7 8 3 2" xfId="16042"/>
    <cellStyle name="40% - Accent6 7 8 4" xfId="16043"/>
    <cellStyle name="40% - Accent6 7 9" xfId="16044"/>
    <cellStyle name="40% - Accent6 7 9 2" xfId="16045"/>
    <cellStyle name="40% - Accent6 7 9 2 2" xfId="16046"/>
    <cellStyle name="40% - Accent6 7 9 3" xfId="16047"/>
    <cellStyle name="40% - Accent6 7 9 3 2" xfId="16048"/>
    <cellStyle name="40% - Accent6 7 9 4" xfId="16049"/>
    <cellStyle name="40% - Accent6 8" xfId="553"/>
    <cellStyle name="40% - Accent6 8 10" xfId="16050"/>
    <cellStyle name="40% - Accent6 8 11" xfId="24856"/>
    <cellStyle name="40% - Accent6 8 12" xfId="26725"/>
    <cellStyle name="40% - Accent6 8 2" xfId="1383"/>
    <cellStyle name="40% - Accent6 8 2 10" xfId="24915"/>
    <cellStyle name="40% - Accent6 8 2 11" xfId="26726"/>
    <cellStyle name="40% - Accent6 8 2 2" xfId="4183"/>
    <cellStyle name="40% - Accent6 8 2 2 2" xfId="5446"/>
    <cellStyle name="40% - Accent6 8 2 2 2 2" xfId="6487"/>
    <cellStyle name="40% - Accent6 8 2 2 2 2 2" xfId="16054"/>
    <cellStyle name="40% - Accent6 8 2 2 2 2 3" xfId="26729"/>
    <cellStyle name="40% - Accent6 8 2 2 2 3" xfId="16053"/>
    <cellStyle name="40% - Accent6 8 2 2 2 4" xfId="26728"/>
    <cellStyle name="40% - Accent6 8 2 2 3" xfId="5756"/>
    <cellStyle name="40% - Accent6 8 2 2 3 2" xfId="6488"/>
    <cellStyle name="40% - Accent6 8 2 2 3 2 2" xfId="26731"/>
    <cellStyle name="40% - Accent6 8 2 2 3 3" xfId="16055"/>
    <cellStyle name="40% - Accent6 8 2 2 3 4" xfId="26730"/>
    <cellStyle name="40% - Accent6 8 2 2 4" xfId="4686"/>
    <cellStyle name="40% - Accent6 8 2 2 4 2" xfId="6489"/>
    <cellStyle name="40% - Accent6 8 2 2 4 2 2" xfId="26733"/>
    <cellStyle name="40% - Accent6 8 2 2 4 3" xfId="26732"/>
    <cellStyle name="40% - Accent6 8 2 2 5" xfId="6486"/>
    <cellStyle name="40% - Accent6 8 2 2 5 2" xfId="26734"/>
    <cellStyle name="40% - Accent6 8 2 2 6" xfId="16052"/>
    <cellStyle name="40% - Accent6 8 2 2 7" xfId="25035"/>
    <cellStyle name="40% - Accent6 8 2 2 8" xfId="26727"/>
    <cellStyle name="40% - Accent6 8 2 3" xfId="5445"/>
    <cellStyle name="40% - Accent6 8 2 3 2" xfId="6490"/>
    <cellStyle name="40% - Accent6 8 2 3 2 2" xfId="16057"/>
    <cellStyle name="40% - Accent6 8 2 3 2 3" xfId="26736"/>
    <cellStyle name="40% - Accent6 8 2 3 3" xfId="16056"/>
    <cellStyle name="40% - Accent6 8 2 3 4" xfId="26735"/>
    <cellStyle name="40% - Accent6 8 2 4" xfId="5755"/>
    <cellStyle name="40% - Accent6 8 2 4 2" xfId="6491"/>
    <cellStyle name="40% - Accent6 8 2 4 2 2" xfId="16059"/>
    <cellStyle name="40% - Accent6 8 2 4 2 3" xfId="26738"/>
    <cellStyle name="40% - Accent6 8 2 4 3" xfId="16058"/>
    <cellStyle name="40% - Accent6 8 2 4 4" xfId="26737"/>
    <cellStyle name="40% - Accent6 8 2 5" xfId="4685"/>
    <cellStyle name="40% - Accent6 8 2 5 2" xfId="6492"/>
    <cellStyle name="40% - Accent6 8 2 5 2 2" xfId="16062"/>
    <cellStyle name="40% - Accent6 8 2 5 2 3" xfId="16061"/>
    <cellStyle name="40% - Accent6 8 2 5 2 4" xfId="26740"/>
    <cellStyle name="40% - Accent6 8 2 5 3" xfId="16063"/>
    <cellStyle name="40% - Accent6 8 2 5 3 2" xfId="16064"/>
    <cellStyle name="40% - Accent6 8 2 5 4" xfId="16065"/>
    <cellStyle name="40% - Accent6 8 2 5 5" xfId="16060"/>
    <cellStyle name="40% - Accent6 8 2 5 6" xfId="26739"/>
    <cellStyle name="40% - Accent6 8 2 6" xfId="6485"/>
    <cellStyle name="40% - Accent6 8 2 6 2" xfId="16067"/>
    <cellStyle name="40% - Accent6 8 2 6 3" xfId="16066"/>
    <cellStyle name="40% - Accent6 8 2 6 4" xfId="26741"/>
    <cellStyle name="40% - Accent6 8 2 7" xfId="16068"/>
    <cellStyle name="40% - Accent6 8 2 7 2" xfId="16069"/>
    <cellStyle name="40% - Accent6 8 2 8" xfId="16070"/>
    <cellStyle name="40% - Accent6 8 2 9" xfId="16051"/>
    <cellStyle name="40% - Accent6 8 3" xfId="3842"/>
    <cellStyle name="40% - Accent6 8 3 2" xfId="5447"/>
    <cellStyle name="40% - Accent6 8 3 2 2" xfId="6494"/>
    <cellStyle name="40% - Accent6 8 3 2 2 2" xfId="16073"/>
    <cellStyle name="40% - Accent6 8 3 2 2 3" xfId="26744"/>
    <cellStyle name="40% - Accent6 8 3 2 3" xfId="16072"/>
    <cellStyle name="40% - Accent6 8 3 2 4" xfId="26743"/>
    <cellStyle name="40% - Accent6 8 3 3" xfId="5757"/>
    <cellStyle name="40% - Accent6 8 3 3 2" xfId="6495"/>
    <cellStyle name="40% - Accent6 8 3 3 2 2" xfId="26746"/>
    <cellStyle name="40% - Accent6 8 3 3 3" xfId="16074"/>
    <cellStyle name="40% - Accent6 8 3 3 4" xfId="26745"/>
    <cellStyle name="40% - Accent6 8 3 4" xfId="4687"/>
    <cellStyle name="40% - Accent6 8 3 4 2" xfId="6496"/>
    <cellStyle name="40% - Accent6 8 3 4 2 2" xfId="26748"/>
    <cellStyle name="40% - Accent6 8 3 4 3" xfId="26747"/>
    <cellStyle name="40% - Accent6 8 3 5" xfId="6493"/>
    <cellStyle name="40% - Accent6 8 3 5 2" xfId="26749"/>
    <cellStyle name="40% - Accent6 8 3 6" xfId="16071"/>
    <cellStyle name="40% - Accent6 8 3 7" xfId="24978"/>
    <cellStyle name="40% - Accent6 8 3 8" xfId="26742"/>
    <cellStyle name="40% - Accent6 8 4" xfId="5444"/>
    <cellStyle name="40% - Accent6 8 4 2" xfId="6497"/>
    <cellStyle name="40% - Accent6 8 4 2 2" xfId="16076"/>
    <cellStyle name="40% - Accent6 8 4 2 3" xfId="26751"/>
    <cellStyle name="40% - Accent6 8 4 3" xfId="16075"/>
    <cellStyle name="40% - Accent6 8 4 4" xfId="26750"/>
    <cellStyle name="40% - Accent6 8 5" xfId="5754"/>
    <cellStyle name="40% - Accent6 8 5 2" xfId="6498"/>
    <cellStyle name="40% - Accent6 8 5 2 2" xfId="16078"/>
    <cellStyle name="40% - Accent6 8 5 2 3" xfId="26753"/>
    <cellStyle name="40% - Accent6 8 5 3" xfId="16077"/>
    <cellStyle name="40% - Accent6 8 5 4" xfId="26752"/>
    <cellStyle name="40% - Accent6 8 6" xfId="4684"/>
    <cellStyle name="40% - Accent6 8 6 2" xfId="6499"/>
    <cellStyle name="40% - Accent6 8 6 2 2" xfId="16081"/>
    <cellStyle name="40% - Accent6 8 6 2 3" xfId="16080"/>
    <cellStyle name="40% - Accent6 8 6 2 4" xfId="26755"/>
    <cellStyle name="40% - Accent6 8 6 3" xfId="16082"/>
    <cellStyle name="40% - Accent6 8 6 3 2" xfId="16083"/>
    <cellStyle name="40% - Accent6 8 6 4" xfId="16084"/>
    <cellStyle name="40% - Accent6 8 6 5" xfId="16079"/>
    <cellStyle name="40% - Accent6 8 6 6" xfId="26754"/>
    <cellStyle name="40% - Accent6 8 7" xfId="6484"/>
    <cellStyle name="40% - Accent6 8 7 2" xfId="16086"/>
    <cellStyle name="40% - Accent6 8 7 3" xfId="16085"/>
    <cellStyle name="40% - Accent6 8 7 4" xfId="26756"/>
    <cellStyle name="40% - Accent6 8 8" xfId="16087"/>
    <cellStyle name="40% - Accent6 8 8 2" xfId="16088"/>
    <cellStyle name="40% - Accent6 8 9" xfId="16089"/>
    <cellStyle name="40% - Accent6 9" xfId="554"/>
    <cellStyle name="40% - Accent6 9 2" xfId="4688"/>
    <cellStyle name="40% - Accent6 9 2 2" xfId="16092"/>
    <cellStyle name="40% - Accent6 9 2 2 2" xfId="16093"/>
    <cellStyle name="40% - Accent6 9 2 3" xfId="16094"/>
    <cellStyle name="40% - Accent6 9 2 3 2" xfId="16095"/>
    <cellStyle name="40% - Accent6 9 2 4" xfId="16096"/>
    <cellStyle name="40% - Accent6 9 2 5" xfId="16091"/>
    <cellStyle name="40% - Accent6 9 3" xfId="16097"/>
    <cellStyle name="40% - Accent6 9 3 2" xfId="16098"/>
    <cellStyle name="40% - Accent6 9 4" xfId="16099"/>
    <cellStyle name="40% - Accent6 9 4 2" xfId="16100"/>
    <cellStyle name="40% - Accent6 9 5" xfId="16101"/>
    <cellStyle name="40% - Accent6 9 5 2" xfId="16102"/>
    <cellStyle name="40% - Accent6 9 6" xfId="16103"/>
    <cellStyle name="40% - Accent6 9 6 2" xfId="16104"/>
    <cellStyle name="40% - Accent6 9 7" xfId="16105"/>
    <cellStyle name="40% - Accent6 9 8" xfId="16090"/>
    <cellStyle name="60% - Accent1 10" xfId="688"/>
    <cellStyle name="60% - Accent1 10 2" xfId="16108"/>
    <cellStyle name="60% - Accent1 10 3" xfId="16107"/>
    <cellStyle name="60% - Accent1 11" xfId="689"/>
    <cellStyle name="60% - Accent1 11 2" xfId="16110"/>
    <cellStyle name="60% - Accent1 11 3" xfId="16109"/>
    <cellStyle name="60% - Accent1 12" xfId="834"/>
    <cellStyle name="60% - Accent1 12 2" xfId="16111"/>
    <cellStyle name="60% - Accent1 13" xfId="835"/>
    <cellStyle name="60% - Accent1 13 2" xfId="16106"/>
    <cellStyle name="60% - Accent1 14" xfId="945"/>
    <cellStyle name="60% - Accent1 2" xfId="80"/>
    <cellStyle name="60% - Accent1 2 10" xfId="1679"/>
    <cellStyle name="60% - Accent1 2 10 2" xfId="16114"/>
    <cellStyle name="60% - Accent1 2 10 3" xfId="16113"/>
    <cellStyle name="60% - Accent1 2 11" xfId="2014"/>
    <cellStyle name="60% - Accent1 2 11 2" xfId="16116"/>
    <cellStyle name="60% - Accent1 2 11 3" xfId="16115"/>
    <cellStyle name="60% - Accent1 2 12" xfId="2388"/>
    <cellStyle name="60% - Accent1 2 12 2" xfId="16118"/>
    <cellStyle name="60% - Accent1 2 12 3" xfId="16117"/>
    <cellStyle name="60% - Accent1 2 13" xfId="2761"/>
    <cellStyle name="60% - Accent1 2 13 2" xfId="16120"/>
    <cellStyle name="60% - Accent1 2 13 3" xfId="16119"/>
    <cellStyle name="60% - Accent1 2 14" xfId="3135"/>
    <cellStyle name="60% - Accent1 2 14 2" xfId="16122"/>
    <cellStyle name="60% - Accent1 2 14 3" xfId="16121"/>
    <cellStyle name="60% - Accent1 2 15" xfId="3506"/>
    <cellStyle name="60% - Accent1 2 15 2" xfId="16124"/>
    <cellStyle name="60% - Accent1 2 15 3" xfId="16123"/>
    <cellStyle name="60% - Accent1 2 16" xfId="3644"/>
    <cellStyle name="60% - Accent1 2 16 2" xfId="16126"/>
    <cellStyle name="60% - Accent1 2 16 3" xfId="16125"/>
    <cellStyle name="60% - Accent1 2 17" xfId="16127"/>
    <cellStyle name="60% - Accent1 2 17 2" xfId="16128"/>
    <cellStyle name="60% - Accent1 2 18" xfId="16129"/>
    <cellStyle name="60% - Accent1 2 19" xfId="16112"/>
    <cellStyle name="60% - Accent1 2 2" xfId="124"/>
    <cellStyle name="60% - Accent1 2 2 2" xfId="173"/>
    <cellStyle name="60% - Accent1 2 2 2 2" xfId="16132"/>
    <cellStyle name="60% - Accent1 2 2 2 3" xfId="16131"/>
    <cellStyle name="60% - Accent1 2 2 3" xfId="337"/>
    <cellStyle name="60% - Accent1 2 2 3 2" xfId="16134"/>
    <cellStyle name="60% - Accent1 2 2 3 3" xfId="16133"/>
    <cellStyle name="60% - Accent1 2 2 4" xfId="2159"/>
    <cellStyle name="60% - Accent1 2 2 4 2" xfId="16136"/>
    <cellStyle name="60% - Accent1 2 2 4 3" xfId="16135"/>
    <cellStyle name="60% - Accent1 2 2 5" xfId="2533"/>
    <cellStyle name="60% - Accent1 2 2 5 2" xfId="16138"/>
    <cellStyle name="60% - Accent1 2 2 5 3" xfId="16137"/>
    <cellStyle name="60% - Accent1 2 2 6" xfId="2905"/>
    <cellStyle name="60% - Accent1 2 2 6 2" xfId="16140"/>
    <cellStyle name="60% - Accent1 2 2 6 3" xfId="16139"/>
    <cellStyle name="60% - Accent1 2 2 7" xfId="3277"/>
    <cellStyle name="60% - Accent1 2 2 7 2" xfId="16142"/>
    <cellStyle name="60% - Accent1 2 2 7 3" xfId="16141"/>
    <cellStyle name="60% - Accent1 2 2 8" xfId="16143"/>
    <cellStyle name="60% - Accent1 2 2 9" xfId="16130"/>
    <cellStyle name="60% - Accent1 2 20" xfId="24478"/>
    <cellStyle name="60% - Accent1 2 3" xfId="289"/>
    <cellStyle name="60% - Accent1 2 3 2" xfId="1335"/>
    <cellStyle name="60% - Accent1 2 3 2 2" xfId="16145"/>
    <cellStyle name="60% - Accent1 2 3 3" xfId="16144"/>
    <cellStyle name="60% - Accent1 2 4" xfId="406"/>
    <cellStyle name="60% - Accent1 2 4 2" xfId="16147"/>
    <cellStyle name="60% - Accent1 2 4 3" xfId="16146"/>
    <cellStyle name="60% - Accent1 2 5" xfId="555"/>
    <cellStyle name="60% - Accent1 2 5 2" xfId="16149"/>
    <cellStyle name="60% - Accent1 2 5 3" xfId="16148"/>
    <cellStyle name="60% - Accent1 2 6" xfId="690"/>
    <cellStyle name="60% - Accent1 2 6 2" xfId="16151"/>
    <cellStyle name="60% - Accent1 2 6 3" xfId="16150"/>
    <cellStyle name="60% - Accent1 2 7" xfId="691"/>
    <cellStyle name="60% - Accent1 2 7 2" xfId="16153"/>
    <cellStyle name="60% - Accent1 2 7 3" xfId="16152"/>
    <cellStyle name="60% - Accent1 2 8" xfId="836"/>
    <cellStyle name="60% - Accent1 2 8 2" xfId="1408"/>
    <cellStyle name="60% - Accent1 2 8 2 2" xfId="16155"/>
    <cellStyle name="60% - Accent1 2 8 3" xfId="16154"/>
    <cellStyle name="60% - Accent1 2 9" xfId="946"/>
    <cellStyle name="60% - Accent1 2 9 2" xfId="1437"/>
    <cellStyle name="60% - Accent1 2 9 2 2" xfId="16157"/>
    <cellStyle name="60% - Accent1 2 9 3" xfId="16156"/>
    <cellStyle name="60% - Accent1 3" xfId="214"/>
    <cellStyle name="60% - Accent1 3 10" xfId="3687"/>
    <cellStyle name="60% - Accent1 3 10 2" xfId="16160"/>
    <cellStyle name="60% - Accent1 3 10 3" xfId="16159"/>
    <cellStyle name="60% - Accent1 3 11" xfId="16161"/>
    <cellStyle name="60% - Accent1 3 11 2" xfId="16162"/>
    <cellStyle name="60% - Accent1 3 12" xfId="16163"/>
    <cellStyle name="60% - Accent1 3 13" xfId="16158"/>
    <cellStyle name="60% - Accent1 3 2" xfId="1460"/>
    <cellStyle name="60% - Accent1 3 2 2" xfId="1825"/>
    <cellStyle name="60% - Accent1 3 2 2 2" xfId="16166"/>
    <cellStyle name="60% - Accent1 3 2 2 3" xfId="16165"/>
    <cellStyle name="60% - Accent1 3 2 3" xfId="2200"/>
    <cellStyle name="60% - Accent1 3 2 3 2" xfId="16168"/>
    <cellStyle name="60% - Accent1 3 2 3 3" xfId="16167"/>
    <cellStyle name="60% - Accent1 3 2 4" xfId="2574"/>
    <cellStyle name="60% - Accent1 3 2 4 2" xfId="16170"/>
    <cellStyle name="60% - Accent1 3 2 4 3" xfId="16169"/>
    <cellStyle name="60% - Accent1 3 2 5" xfId="2946"/>
    <cellStyle name="60% - Accent1 3 2 5 2" xfId="16172"/>
    <cellStyle name="60% - Accent1 3 2 5 3" xfId="16171"/>
    <cellStyle name="60% - Accent1 3 2 6" xfId="3318"/>
    <cellStyle name="60% - Accent1 3 2 6 2" xfId="16174"/>
    <cellStyle name="60% - Accent1 3 2 6 3" xfId="16173"/>
    <cellStyle name="60% - Accent1 3 2 7" xfId="16175"/>
    <cellStyle name="60% - Accent1 3 2 8" xfId="16164"/>
    <cellStyle name="60% - Accent1 3 3" xfId="1587"/>
    <cellStyle name="60% - Accent1 3 3 2" xfId="1902"/>
    <cellStyle name="60% - Accent1 3 3 2 2" xfId="16178"/>
    <cellStyle name="60% - Accent1 3 3 2 3" xfId="16177"/>
    <cellStyle name="60% - Accent1 3 3 3" xfId="2277"/>
    <cellStyle name="60% - Accent1 3 3 3 2" xfId="16180"/>
    <cellStyle name="60% - Accent1 3 3 3 3" xfId="16179"/>
    <cellStyle name="60% - Accent1 3 3 4" xfId="2650"/>
    <cellStyle name="60% - Accent1 3 3 4 2" xfId="16182"/>
    <cellStyle name="60% - Accent1 3 3 4 3" xfId="16181"/>
    <cellStyle name="60% - Accent1 3 3 5" xfId="3023"/>
    <cellStyle name="60% - Accent1 3 3 5 2" xfId="16184"/>
    <cellStyle name="60% - Accent1 3 3 5 3" xfId="16183"/>
    <cellStyle name="60% - Accent1 3 3 6" xfId="3394"/>
    <cellStyle name="60% - Accent1 3 3 6 2" xfId="16186"/>
    <cellStyle name="60% - Accent1 3 3 6 3" xfId="16185"/>
    <cellStyle name="60% - Accent1 3 3 7" xfId="16187"/>
    <cellStyle name="60% - Accent1 3 3 8" xfId="16176"/>
    <cellStyle name="60% - Accent1 3 4" xfId="1724"/>
    <cellStyle name="60% - Accent1 3 4 2" xfId="1946"/>
    <cellStyle name="60% - Accent1 3 4 2 2" xfId="16190"/>
    <cellStyle name="60% - Accent1 3 4 2 3" xfId="16189"/>
    <cellStyle name="60% - Accent1 3 4 3" xfId="2321"/>
    <cellStyle name="60% - Accent1 3 4 3 2" xfId="16192"/>
    <cellStyle name="60% - Accent1 3 4 3 3" xfId="16191"/>
    <cellStyle name="60% - Accent1 3 4 4" xfId="2694"/>
    <cellStyle name="60% - Accent1 3 4 4 2" xfId="16194"/>
    <cellStyle name="60% - Accent1 3 4 4 3" xfId="16193"/>
    <cellStyle name="60% - Accent1 3 4 5" xfId="3067"/>
    <cellStyle name="60% - Accent1 3 4 5 2" xfId="16196"/>
    <cellStyle name="60% - Accent1 3 4 5 3" xfId="16195"/>
    <cellStyle name="60% - Accent1 3 4 6" xfId="3438"/>
    <cellStyle name="60% - Accent1 3 4 6 2" xfId="16198"/>
    <cellStyle name="60% - Accent1 3 4 6 3" xfId="16197"/>
    <cellStyle name="60% - Accent1 3 4 7" xfId="16199"/>
    <cellStyle name="60% - Accent1 3 4 8" xfId="16188"/>
    <cellStyle name="60% - Accent1 3 5" xfId="2059"/>
    <cellStyle name="60% - Accent1 3 5 2" xfId="16201"/>
    <cellStyle name="60% - Accent1 3 5 3" xfId="16200"/>
    <cellStyle name="60% - Accent1 3 6" xfId="2433"/>
    <cellStyle name="60% - Accent1 3 6 2" xfId="16203"/>
    <cellStyle name="60% - Accent1 3 6 3" xfId="16202"/>
    <cellStyle name="60% - Accent1 3 7" xfId="2805"/>
    <cellStyle name="60% - Accent1 3 7 2" xfId="16205"/>
    <cellStyle name="60% - Accent1 3 7 3" xfId="16204"/>
    <cellStyle name="60% - Accent1 3 8" xfId="3176"/>
    <cellStyle name="60% - Accent1 3 8 2" xfId="16207"/>
    <cellStyle name="60% - Accent1 3 8 3" xfId="16206"/>
    <cellStyle name="60% - Accent1 3 9" xfId="3551"/>
    <cellStyle name="60% - Accent1 3 9 2" xfId="16209"/>
    <cellStyle name="60% - Accent1 3 9 3" xfId="16208"/>
    <cellStyle name="60% - Accent1 4" xfId="247"/>
    <cellStyle name="60% - Accent1 4 10" xfId="3731"/>
    <cellStyle name="60% - Accent1 4 10 2" xfId="16212"/>
    <cellStyle name="60% - Accent1 4 10 3" xfId="16211"/>
    <cellStyle name="60% - Accent1 4 11" xfId="1296"/>
    <cellStyle name="60% - Accent1 4 11 2" xfId="16214"/>
    <cellStyle name="60% - Accent1 4 11 3" xfId="16213"/>
    <cellStyle name="60% - Accent1 4 12" xfId="16215"/>
    <cellStyle name="60% - Accent1 4 13" xfId="16210"/>
    <cellStyle name="60% - Accent1 4 2" xfId="1505"/>
    <cellStyle name="60% - Accent1 4 2 2" xfId="16217"/>
    <cellStyle name="60% - Accent1 4 2 3" xfId="16216"/>
    <cellStyle name="60% - Accent1 4 3" xfId="1630"/>
    <cellStyle name="60% - Accent1 4 3 2" xfId="16219"/>
    <cellStyle name="60% - Accent1 4 3 3" xfId="16218"/>
    <cellStyle name="60% - Accent1 4 4" xfId="1795"/>
    <cellStyle name="60% - Accent1 4 4 2" xfId="16221"/>
    <cellStyle name="60% - Accent1 4 4 3" xfId="16220"/>
    <cellStyle name="60% - Accent1 4 5" xfId="2131"/>
    <cellStyle name="60% - Accent1 4 5 2" xfId="16223"/>
    <cellStyle name="60% - Accent1 4 5 3" xfId="16222"/>
    <cellStyle name="60% - Accent1 4 6" xfId="2505"/>
    <cellStyle name="60% - Accent1 4 6 2" xfId="16225"/>
    <cellStyle name="60% - Accent1 4 6 3" xfId="16224"/>
    <cellStyle name="60% - Accent1 4 7" xfId="2877"/>
    <cellStyle name="60% - Accent1 4 7 2" xfId="16227"/>
    <cellStyle name="60% - Accent1 4 7 3" xfId="16226"/>
    <cellStyle name="60% - Accent1 4 8" xfId="3248"/>
    <cellStyle name="60% - Accent1 4 8 2" xfId="16229"/>
    <cellStyle name="60% - Accent1 4 8 3" xfId="16228"/>
    <cellStyle name="60% - Accent1 4 9" xfId="3594"/>
    <cellStyle name="60% - Accent1 4 9 2" xfId="16231"/>
    <cellStyle name="60% - Accent1 4 9 3" xfId="16230"/>
    <cellStyle name="60% - Accent1 5" xfId="407"/>
    <cellStyle name="60% - Accent1 5 2" xfId="1769"/>
    <cellStyle name="60% - Accent1 5 2 2" xfId="16234"/>
    <cellStyle name="60% - Accent1 5 2 3" xfId="16233"/>
    <cellStyle name="60% - Accent1 5 3" xfId="2104"/>
    <cellStyle name="60% - Accent1 5 3 2" xfId="16236"/>
    <cellStyle name="60% - Accent1 5 3 3" xfId="16235"/>
    <cellStyle name="60% - Accent1 5 4" xfId="2478"/>
    <cellStyle name="60% - Accent1 5 4 2" xfId="16238"/>
    <cellStyle name="60% - Accent1 5 4 3" xfId="16237"/>
    <cellStyle name="60% - Accent1 5 5" xfId="2850"/>
    <cellStyle name="60% - Accent1 5 5 2" xfId="16240"/>
    <cellStyle name="60% - Accent1 5 5 3" xfId="16239"/>
    <cellStyle name="60% - Accent1 5 6" xfId="3221"/>
    <cellStyle name="60% - Accent1 5 6 2" xfId="16242"/>
    <cellStyle name="60% - Accent1 5 6 3" xfId="16241"/>
    <cellStyle name="60% - Accent1 5 7" xfId="16243"/>
    <cellStyle name="60% - Accent1 5 7 2" xfId="16244"/>
    <cellStyle name="60% - Accent1 5 8" xfId="16245"/>
    <cellStyle name="60% - Accent1 5 9" xfId="16232"/>
    <cellStyle name="60% - Accent1 6" xfId="408"/>
    <cellStyle name="60% - Accent1 6 10" xfId="16246"/>
    <cellStyle name="60% - Accent1 6 2" xfId="1981"/>
    <cellStyle name="60% - Accent1 6 2 2" xfId="16248"/>
    <cellStyle name="60% - Accent1 6 2 3" xfId="16247"/>
    <cellStyle name="60% - Accent1 6 3" xfId="2356"/>
    <cellStyle name="60% - Accent1 6 3 2" xfId="16250"/>
    <cellStyle name="60% - Accent1 6 3 3" xfId="16249"/>
    <cellStyle name="60% - Accent1 6 4" xfId="2729"/>
    <cellStyle name="60% - Accent1 6 4 2" xfId="16252"/>
    <cellStyle name="60% - Accent1 6 4 3" xfId="16251"/>
    <cellStyle name="60% - Accent1 6 5" xfId="3102"/>
    <cellStyle name="60% - Accent1 6 5 2" xfId="16254"/>
    <cellStyle name="60% - Accent1 6 5 3" xfId="16253"/>
    <cellStyle name="60% - Accent1 6 6" xfId="3473"/>
    <cellStyle name="60% - Accent1 6 6 2" xfId="16256"/>
    <cellStyle name="60% - Accent1 6 6 3" xfId="16255"/>
    <cellStyle name="60% - Accent1 6 7" xfId="3779"/>
    <cellStyle name="60% - Accent1 6 7 2" xfId="16258"/>
    <cellStyle name="60% - Accent1 6 7 3" xfId="16257"/>
    <cellStyle name="60% - Accent1 6 8" xfId="16259"/>
    <cellStyle name="60% - Accent1 6 8 2" xfId="16260"/>
    <cellStyle name="60% - Accent1 6 9" xfId="16261"/>
    <cellStyle name="60% - Accent1 7" xfId="409"/>
    <cellStyle name="60% - Accent1 7 2" xfId="16263"/>
    <cellStyle name="60% - Accent1 7 3" xfId="16262"/>
    <cellStyle name="60% - Accent1 8" xfId="556"/>
    <cellStyle name="60% - Accent1 8 2" xfId="16265"/>
    <cellStyle name="60% - Accent1 8 3" xfId="16264"/>
    <cellStyle name="60% - Accent1 9" xfId="557"/>
    <cellStyle name="60% - Accent1 9 2" xfId="16267"/>
    <cellStyle name="60% - Accent1 9 3" xfId="16266"/>
    <cellStyle name="60% - Accent2 10" xfId="692"/>
    <cellStyle name="60% - Accent2 10 2" xfId="16270"/>
    <cellStyle name="60% - Accent2 10 3" xfId="16269"/>
    <cellStyle name="60% - Accent2 11" xfId="693"/>
    <cellStyle name="60% - Accent2 11 2" xfId="16272"/>
    <cellStyle name="60% - Accent2 11 3" xfId="16271"/>
    <cellStyle name="60% - Accent2 12" xfId="837"/>
    <cellStyle name="60% - Accent2 12 2" xfId="16273"/>
    <cellStyle name="60% - Accent2 13" xfId="838"/>
    <cellStyle name="60% - Accent2 13 2" xfId="16268"/>
    <cellStyle name="60% - Accent2 14" xfId="947"/>
    <cellStyle name="60% - Accent2 2" xfId="81"/>
    <cellStyle name="60% - Accent2 2 10" xfId="1680"/>
    <cellStyle name="60% - Accent2 2 10 2" xfId="16276"/>
    <cellStyle name="60% - Accent2 2 10 3" xfId="16275"/>
    <cellStyle name="60% - Accent2 2 11" xfId="2015"/>
    <cellStyle name="60% - Accent2 2 11 2" xfId="16278"/>
    <cellStyle name="60% - Accent2 2 11 3" xfId="16277"/>
    <cellStyle name="60% - Accent2 2 12" xfId="2389"/>
    <cellStyle name="60% - Accent2 2 12 2" xfId="16280"/>
    <cellStyle name="60% - Accent2 2 12 3" xfId="16279"/>
    <cellStyle name="60% - Accent2 2 13" xfId="2762"/>
    <cellStyle name="60% - Accent2 2 13 2" xfId="16282"/>
    <cellStyle name="60% - Accent2 2 13 3" xfId="16281"/>
    <cellStyle name="60% - Accent2 2 14" xfId="3136"/>
    <cellStyle name="60% - Accent2 2 14 2" xfId="16284"/>
    <cellStyle name="60% - Accent2 2 14 3" xfId="16283"/>
    <cellStyle name="60% - Accent2 2 15" xfId="3507"/>
    <cellStyle name="60% - Accent2 2 15 2" xfId="16286"/>
    <cellStyle name="60% - Accent2 2 15 3" xfId="16285"/>
    <cellStyle name="60% - Accent2 2 16" xfId="3645"/>
    <cellStyle name="60% - Accent2 2 16 2" xfId="16288"/>
    <cellStyle name="60% - Accent2 2 16 3" xfId="16287"/>
    <cellStyle name="60% - Accent2 2 17" xfId="16289"/>
    <cellStyle name="60% - Accent2 2 17 2" xfId="16290"/>
    <cellStyle name="60% - Accent2 2 18" xfId="16291"/>
    <cellStyle name="60% - Accent2 2 19" xfId="16274"/>
    <cellStyle name="60% - Accent2 2 2" xfId="125"/>
    <cellStyle name="60% - Accent2 2 2 2" xfId="177"/>
    <cellStyle name="60% - Accent2 2 2 2 2" xfId="16294"/>
    <cellStyle name="60% - Accent2 2 2 2 3" xfId="16293"/>
    <cellStyle name="60% - Accent2 2 2 3" xfId="341"/>
    <cellStyle name="60% - Accent2 2 2 3 2" xfId="16296"/>
    <cellStyle name="60% - Accent2 2 2 3 3" xfId="16295"/>
    <cellStyle name="60% - Accent2 2 2 4" xfId="2163"/>
    <cellStyle name="60% - Accent2 2 2 4 2" xfId="16298"/>
    <cellStyle name="60% - Accent2 2 2 4 3" xfId="16297"/>
    <cellStyle name="60% - Accent2 2 2 5" xfId="2537"/>
    <cellStyle name="60% - Accent2 2 2 5 2" xfId="16300"/>
    <cellStyle name="60% - Accent2 2 2 5 3" xfId="16299"/>
    <cellStyle name="60% - Accent2 2 2 6" xfId="2909"/>
    <cellStyle name="60% - Accent2 2 2 6 2" xfId="16302"/>
    <cellStyle name="60% - Accent2 2 2 6 3" xfId="16301"/>
    <cellStyle name="60% - Accent2 2 2 7" xfId="3281"/>
    <cellStyle name="60% - Accent2 2 2 7 2" xfId="16304"/>
    <cellStyle name="60% - Accent2 2 2 7 3" xfId="16303"/>
    <cellStyle name="60% - Accent2 2 2 8" xfId="16305"/>
    <cellStyle name="60% - Accent2 2 2 9" xfId="16292"/>
    <cellStyle name="60% - Accent2 2 20" xfId="24479"/>
    <cellStyle name="60% - Accent2 2 3" xfId="290"/>
    <cellStyle name="60% - Accent2 2 3 2" xfId="1339"/>
    <cellStyle name="60% - Accent2 2 3 2 2" xfId="16307"/>
    <cellStyle name="60% - Accent2 2 3 3" xfId="16306"/>
    <cellStyle name="60% - Accent2 2 4" xfId="410"/>
    <cellStyle name="60% - Accent2 2 4 2" xfId="16309"/>
    <cellStyle name="60% - Accent2 2 4 3" xfId="16308"/>
    <cellStyle name="60% - Accent2 2 5" xfId="558"/>
    <cellStyle name="60% - Accent2 2 5 2" xfId="16311"/>
    <cellStyle name="60% - Accent2 2 5 3" xfId="16310"/>
    <cellStyle name="60% - Accent2 2 6" xfId="694"/>
    <cellStyle name="60% - Accent2 2 6 2" xfId="16313"/>
    <cellStyle name="60% - Accent2 2 6 3" xfId="16312"/>
    <cellStyle name="60% - Accent2 2 7" xfId="695"/>
    <cellStyle name="60% - Accent2 2 7 2" xfId="16315"/>
    <cellStyle name="60% - Accent2 2 7 3" xfId="16314"/>
    <cellStyle name="60% - Accent2 2 8" xfId="839"/>
    <cellStyle name="60% - Accent2 2 8 2" xfId="1409"/>
    <cellStyle name="60% - Accent2 2 8 2 2" xfId="16317"/>
    <cellStyle name="60% - Accent2 2 8 3" xfId="16316"/>
    <cellStyle name="60% - Accent2 2 9" xfId="948"/>
    <cellStyle name="60% - Accent2 2 9 2" xfId="1567"/>
    <cellStyle name="60% - Accent2 2 9 2 2" xfId="16319"/>
    <cellStyle name="60% - Accent2 2 9 3" xfId="16318"/>
    <cellStyle name="60% - Accent2 3" xfId="218"/>
    <cellStyle name="60% - Accent2 3 10" xfId="3688"/>
    <cellStyle name="60% - Accent2 3 10 2" xfId="16322"/>
    <cellStyle name="60% - Accent2 3 10 3" xfId="16321"/>
    <cellStyle name="60% - Accent2 3 11" xfId="16323"/>
    <cellStyle name="60% - Accent2 3 11 2" xfId="16324"/>
    <cellStyle name="60% - Accent2 3 12" xfId="16325"/>
    <cellStyle name="60% - Accent2 3 13" xfId="16320"/>
    <cellStyle name="60% - Accent2 3 2" xfId="1461"/>
    <cellStyle name="60% - Accent2 3 2 2" xfId="1829"/>
    <cellStyle name="60% - Accent2 3 2 2 2" xfId="16328"/>
    <cellStyle name="60% - Accent2 3 2 2 3" xfId="16327"/>
    <cellStyle name="60% - Accent2 3 2 3" xfId="2204"/>
    <cellStyle name="60% - Accent2 3 2 3 2" xfId="16330"/>
    <cellStyle name="60% - Accent2 3 2 3 3" xfId="16329"/>
    <cellStyle name="60% - Accent2 3 2 4" xfId="2578"/>
    <cellStyle name="60% - Accent2 3 2 4 2" xfId="16332"/>
    <cellStyle name="60% - Accent2 3 2 4 3" xfId="16331"/>
    <cellStyle name="60% - Accent2 3 2 5" xfId="2950"/>
    <cellStyle name="60% - Accent2 3 2 5 2" xfId="16334"/>
    <cellStyle name="60% - Accent2 3 2 5 3" xfId="16333"/>
    <cellStyle name="60% - Accent2 3 2 6" xfId="3322"/>
    <cellStyle name="60% - Accent2 3 2 6 2" xfId="16336"/>
    <cellStyle name="60% - Accent2 3 2 6 3" xfId="16335"/>
    <cellStyle name="60% - Accent2 3 2 7" xfId="16337"/>
    <cellStyle name="60% - Accent2 3 2 8" xfId="16326"/>
    <cellStyle name="60% - Accent2 3 3" xfId="1588"/>
    <cellStyle name="60% - Accent2 3 3 2" xfId="1906"/>
    <cellStyle name="60% - Accent2 3 3 2 2" xfId="16340"/>
    <cellStyle name="60% - Accent2 3 3 2 3" xfId="16339"/>
    <cellStyle name="60% - Accent2 3 3 3" xfId="2281"/>
    <cellStyle name="60% - Accent2 3 3 3 2" xfId="16342"/>
    <cellStyle name="60% - Accent2 3 3 3 3" xfId="16341"/>
    <cellStyle name="60% - Accent2 3 3 4" xfId="2654"/>
    <cellStyle name="60% - Accent2 3 3 4 2" xfId="16344"/>
    <cellStyle name="60% - Accent2 3 3 4 3" xfId="16343"/>
    <cellStyle name="60% - Accent2 3 3 5" xfId="3027"/>
    <cellStyle name="60% - Accent2 3 3 5 2" xfId="16346"/>
    <cellStyle name="60% - Accent2 3 3 5 3" xfId="16345"/>
    <cellStyle name="60% - Accent2 3 3 6" xfId="3398"/>
    <cellStyle name="60% - Accent2 3 3 6 2" xfId="16348"/>
    <cellStyle name="60% - Accent2 3 3 6 3" xfId="16347"/>
    <cellStyle name="60% - Accent2 3 3 7" xfId="16349"/>
    <cellStyle name="60% - Accent2 3 3 8" xfId="16338"/>
    <cellStyle name="60% - Accent2 3 4" xfId="1725"/>
    <cellStyle name="60% - Accent2 3 4 2" xfId="1950"/>
    <cellStyle name="60% - Accent2 3 4 2 2" xfId="16352"/>
    <cellStyle name="60% - Accent2 3 4 2 3" xfId="16351"/>
    <cellStyle name="60% - Accent2 3 4 3" xfId="2325"/>
    <cellStyle name="60% - Accent2 3 4 3 2" xfId="16354"/>
    <cellStyle name="60% - Accent2 3 4 3 3" xfId="16353"/>
    <cellStyle name="60% - Accent2 3 4 4" xfId="2698"/>
    <cellStyle name="60% - Accent2 3 4 4 2" xfId="16356"/>
    <cellStyle name="60% - Accent2 3 4 4 3" xfId="16355"/>
    <cellStyle name="60% - Accent2 3 4 5" xfId="3071"/>
    <cellStyle name="60% - Accent2 3 4 5 2" xfId="16358"/>
    <cellStyle name="60% - Accent2 3 4 5 3" xfId="16357"/>
    <cellStyle name="60% - Accent2 3 4 6" xfId="3442"/>
    <cellStyle name="60% - Accent2 3 4 6 2" xfId="16360"/>
    <cellStyle name="60% - Accent2 3 4 6 3" xfId="16359"/>
    <cellStyle name="60% - Accent2 3 4 7" xfId="16361"/>
    <cellStyle name="60% - Accent2 3 4 8" xfId="16350"/>
    <cellStyle name="60% - Accent2 3 5" xfId="2060"/>
    <cellStyle name="60% - Accent2 3 5 2" xfId="16363"/>
    <cellStyle name="60% - Accent2 3 5 3" xfId="16362"/>
    <cellStyle name="60% - Accent2 3 6" xfId="2434"/>
    <cellStyle name="60% - Accent2 3 6 2" xfId="16365"/>
    <cellStyle name="60% - Accent2 3 6 3" xfId="16364"/>
    <cellStyle name="60% - Accent2 3 7" xfId="2806"/>
    <cellStyle name="60% - Accent2 3 7 2" xfId="16367"/>
    <cellStyle name="60% - Accent2 3 7 3" xfId="16366"/>
    <cellStyle name="60% - Accent2 3 8" xfId="3177"/>
    <cellStyle name="60% - Accent2 3 8 2" xfId="16369"/>
    <cellStyle name="60% - Accent2 3 8 3" xfId="16368"/>
    <cellStyle name="60% - Accent2 3 9" xfId="3552"/>
    <cellStyle name="60% - Accent2 3 9 2" xfId="16371"/>
    <cellStyle name="60% - Accent2 3 9 3" xfId="16370"/>
    <cellStyle name="60% - Accent2 4" xfId="248"/>
    <cellStyle name="60% - Accent2 4 10" xfId="3732"/>
    <cellStyle name="60% - Accent2 4 10 2" xfId="16374"/>
    <cellStyle name="60% - Accent2 4 10 3" xfId="16373"/>
    <cellStyle name="60% - Accent2 4 11" xfId="1300"/>
    <cellStyle name="60% - Accent2 4 11 2" xfId="16376"/>
    <cellStyle name="60% - Accent2 4 11 3" xfId="16375"/>
    <cellStyle name="60% - Accent2 4 12" xfId="16377"/>
    <cellStyle name="60% - Accent2 4 13" xfId="16372"/>
    <cellStyle name="60% - Accent2 4 2" xfId="1506"/>
    <cellStyle name="60% - Accent2 4 2 2" xfId="16379"/>
    <cellStyle name="60% - Accent2 4 2 3" xfId="16378"/>
    <cellStyle name="60% - Accent2 4 3" xfId="1631"/>
    <cellStyle name="60% - Accent2 4 3 2" xfId="16381"/>
    <cellStyle name="60% - Accent2 4 3 3" xfId="16380"/>
    <cellStyle name="60% - Accent2 4 4" xfId="1794"/>
    <cellStyle name="60% - Accent2 4 4 2" xfId="16383"/>
    <cellStyle name="60% - Accent2 4 4 3" xfId="16382"/>
    <cellStyle name="60% - Accent2 4 5" xfId="2130"/>
    <cellStyle name="60% - Accent2 4 5 2" xfId="16385"/>
    <cellStyle name="60% - Accent2 4 5 3" xfId="16384"/>
    <cellStyle name="60% - Accent2 4 6" xfId="2504"/>
    <cellStyle name="60% - Accent2 4 6 2" xfId="16387"/>
    <cellStyle name="60% - Accent2 4 6 3" xfId="16386"/>
    <cellStyle name="60% - Accent2 4 7" xfId="2876"/>
    <cellStyle name="60% - Accent2 4 7 2" xfId="16389"/>
    <cellStyle name="60% - Accent2 4 7 3" xfId="16388"/>
    <cellStyle name="60% - Accent2 4 8" xfId="3247"/>
    <cellStyle name="60% - Accent2 4 8 2" xfId="16391"/>
    <cellStyle name="60% - Accent2 4 8 3" xfId="16390"/>
    <cellStyle name="60% - Accent2 4 9" xfId="3595"/>
    <cellStyle name="60% - Accent2 4 9 2" xfId="16393"/>
    <cellStyle name="60% - Accent2 4 9 3" xfId="16392"/>
    <cellStyle name="60% - Accent2 5" xfId="411"/>
    <cellStyle name="60% - Accent2 5 2" xfId="1770"/>
    <cellStyle name="60% - Accent2 5 2 2" xfId="16396"/>
    <cellStyle name="60% - Accent2 5 2 3" xfId="16395"/>
    <cellStyle name="60% - Accent2 5 3" xfId="2105"/>
    <cellStyle name="60% - Accent2 5 3 2" xfId="16398"/>
    <cellStyle name="60% - Accent2 5 3 3" xfId="16397"/>
    <cellStyle name="60% - Accent2 5 4" xfId="2479"/>
    <cellStyle name="60% - Accent2 5 4 2" xfId="16400"/>
    <cellStyle name="60% - Accent2 5 4 3" xfId="16399"/>
    <cellStyle name="60% - Accent2 5 5" xfId="2851"/>
    <cellStyle name="60% - Accent2 5 5 2" xfId="16402"/>
    <cellStyle name="60% - Accent2 5 5 3" xfId="16401"/>
    <cellStyle name="60% - Accent2 5 6" xfId="3222"/>
    <cellStyle name="60% - Accent2 5 6 2" xfId="16404"/>
    <cellStyle name="60% - Accent2 5 6 3" xfId="16403"/>
    <cellStyle name="60% - Accent2 5 7" xfId="16405"/>
    <cellStyle name="60% - Accent2 5 7 2" xfId="16406"/>
    <cellStyle name="60% - Accent2 5 8" xfId="16407"/>
    <cellStyle name="60% - Accent2 5 9" xfId="16394"/>
    <cellStyle name="60% - Accent2 6" xfId="412"/>
    <cellStyle name="60% - Accent2 6 10" xfId="16408"/>
    <cellStyle name="60% - Accent2 6 2" xfId="1982"/>
    <cellStyle name="60% - Accent2 6 2 2" xfId="16410"/>
    <cellStyle name="60% - Accent2 6 2 3" xfId="16409"/>
    <cellStyle name="60% - Accent2 6 3" xfId="2357"/>
    <cellStyle name="60% - Accent2 6 3 2" xfId="16412"/>
    <cellStyle name="60% - Accent2 6 3 3" xfId="16411"/>
    <cellStyle name="60% - Accent2 6 4" xfId="2730"/>
    <cellStyle name="60% - Accent2 6 4 2" xfId="16414"/>
    <cellStyle name="60% - Accent2 6 4 3" xfId="16413"/>
    <cellStyle name="60% - Accent2 6 5" xfId="3103"/>
    <cellStyle name="60% - Accent2 6 5 2" xfId="16416"/>
    <cellStyle name="60% - Accent2 6 5 3" xfId="16415"/>
    <cellStyle name="60% - Accent2 6 6" xfId="3474"/>
    <cellStyle name="60% - Accent2 6 6 2" xfId="16418"/>
    <cellStyle name="60% - Accent2 6 6 3" xfId="16417"/>
    <cellStyle name="60% - Accent2 6 7" xfId="3780"/>
    <cellStyle name="60% - Accent2 6 7 2" xfId="16420"/>
    <cellStyle name="60% - Accent2 6 7 3" xfId="16419"/>
    <cellStyle name="60% - Accent2 6 8" xfId="16421"/>
    <cellStyle name="60% - Accent2 6 8 2" xfId="16422"/>
    <cellStyle name="60% - Accent2 6 9" xfId="16423"/>
    <cellStyle name="60% - Accent2 7" xfId="413"/>
    <cellStyle name="60% - Accent2 7 2" xfId="16425"/>
    <cellStyle name="60% - Accent2 7 3" xfId="16424"/>
    <cellStyle name="60% - Accent2 8" xfId="559"/>
    <cellStyle name="60% - Accent2 8 2" xfId="16427"/>
    <cellStyle name="60% - Accent2 8 3" xfId="16426"/>
    <cellStyle name="60% - Accent2 9" xfId="560"/>
    <cellStyle name="60% - Accent2 9 2" xfId="16429"/>
    <cellStyle name="60% - Accent2 9 3" xfId="16428"/>
    <cellStyle name="60% - Accent3 10" xfId="696"/>
    <cellStyle name="60% - Accent3 10 2" xfId="16432"/>
    <cellStyle name="60% - Accent3 10 3" xfId="16431"/>
    <cellStyle name="60% - Accent3 11" xfId="697"/>
    <cellStyle name="60% - Accent3 11 2" xfId="16434"/>
    <cellStyle name="60% - Accent3 11 3" xfId="16433"/>
    <cellStyle name="60% - Accent3 12" xfId="840"/>
    <cellStyle name="60% - Accent3 12 2" xfId="16435"/>
    <cellStyle name="60% - Accent3 13" xfId="841"/>
    <cellStyle name="60% - Accent3 13 2" xfId="16430"/>
    <cellStyle name="60% - Accent3 14" xfId="949"/>
    <cellStyle name="60% - Accent3 2" xfId="82"/>
    <cellStyle name="60% - Accent3 2 10" xfId="1681"/>
    <cellStyle name="60% - Accent3 2 10 2" xfId="16438"/>
    <cellStyle name="60% - Accent3 2 10 3" xfId="16437"/>
    <cellStyle name="60% - Accent3 2 11" xfId="2016"/>
    <cellStyle name="60% - Accent3 2 11 2" xfId="16440"/>
    <cellStyle name="60% - Accent3 2 11 3" xfId="16439"/>
    <cellStyle name="60% - Accent3 2 12" xfId="2390"/>
    <cellStyle name="60% - Accent3 2 12 2" xfId="16442"/>
    <cellStyle name="60% - Accent3 2 12 3" xfId="16441"/>
    <cellStyle name="60% - Accent3 2 13" xfId="2763"/>
    <cellStyle name="60% - Accent3 2 13 2" xfId="16444"/>
    <cellStyle name="60% - Accent3 2 13 3" xfId="16443"/>
    <cellStyle name="60% - Accent3 2 14" xfId="3137"/>
    <cellStyle name="60% - Accent3 2 14 2" xfId="16446"/>
    <cellStyle name="60% - Accent3 2 14 3" xfId="16445"/>
    <cellStyle name="60% - Accent3 2 15" xfId="3508"/>
    <cellStyle name="60% - Accent3 2 15 2" xfId="16448"/>
    <cellStyle name="60% - Accent3 2 15 3" xfId="16447"/>
    <cellStyle name="60% - Accent3 2 16" xfId="3646"/>
    <cellStyle name="60% - Accent3 2 16 2" xfId="16450"/>
    <cellStyle name="60% - Accent3 2 16 3" xfId="16449"/>
    <cellStyle name="60% - Accent3 2 17" xfId="16451"/>
    <cellStyle name="60% - Accent3 2 17 2" xfId="16452"/>
    <cellStyle name="60% - Accent3 2 18" xfId="16453"/>
    <cellStyle name="60% - Accent3 2 19" xfId="16436"/>
    <cellStyle name="60% - Accent3 2 2" xfId="126"/>
    <cellStyle name="60% - Accent3 2 2 2" xfId="181"/>
    <cellStyle name="60% - Accent3 2 2 2 2" xfId="16456"/>
    <cellStyle name="60% - Accent3 2 2 2 3" xfId="16455"/>
    <cellStyle name="60% - Accent3 2 2 3" xfId="345"/>
    <cellStyle name="60% - Accent3 2 2 3 2" xfId="16458"/>
    <cellStyle name="60% - Accent3 2 2 3 3" xfId="16457"/>
    <cellStyle name="60% - Accent3 2 2 4" xfId="2167"/>
    <cellStyle name="60% - Accent3 2 2 4 2" xfId="16460"/>
    <cellStyle name="60% - Accent3 2 2 4 3" xfId="16459"/>
    <cellStyle name="60% - Accent3 2 2 5" xfId="2541"/>
    <cellStyle name="60% - Accent3 2 2 5 2" xfId="16462"/>
    <cellStyle name="60% - Accent3 2 2 5 3" xfId="16461"/>
    <cellStyle name="60% - Accent3 2 2 6" xfId="2913"/>
    <cellStyle name="60% - Accent3 2 2 6 2" xfId="16464"/>
    <cellStyle name="60% - Accent3 2 2 6 3" xfId="16463"/>
    <cellStyle name="60% - Accent3 2 2 7" xfId="3285"/>
    <cellStyle name="60% - Accent3 2 2 7 2" xfId="16466"/>
    <cellStyle name="60% - Accent3 2 2 7 3" xfId="16465"/>
    <cellStyle name="60% - Accent3 2 2 8" xfId="16467"/>
    <cellStyle name="60% - Accent3 2 2 9" xfId="16454"/>
    <cellStyle name="60% - Accent3 2 20" xfId="24480"/>
    <cellStyle name="60% - Accent3 2 3" xfId="291"/>
    <cellStyle name="60% - Accent3 2 3 2" xfId="1343"/>
    <cellStyle name="60% - Accent3 2 3 2 2" xfId="16469"/>
    <cellStyle name="60% - Accent3 2 3 3" xfId="16468"/>
    <cellStyle name="60% - Accent3 2 4" xfId="414"/>
    <cellStyle name="60% - Accent3 2 4 2" xfId="16471"/>
    <cellStyle name="60% - Accent3 2 4 3" xfId="16470"/>
    <cellStyle name="60% - Accent3 2 5" xfId="561"/>
    <cellStyle name="60% - Accent3 2 5 2" xfId="16473"/>
    <cellStyle name="60% - Accent3 2 5 3" xfId="16472"/>
    <cellStyle name="60% - Accent3 2 6" xfId="698"/>
    <cellStyle name="60% - Accent3 2 6 2" xfId="16475"/>
    <cellStyle name="60% - Accent3 2 6 3" xfId="16474"/>
    <cellStyle name="60% - Accent3 2 7" xfId="699"/>
    <cellStyle name="60% - Accent3 2 7 2" xfId="16477"/>
    <cellStyle name="60% - Accent3 2 7 3" xfId="16476"/>
    <cellStyle name="60% - Accent3 2 8" xfId="842"/>
    <cellStyle name="60% - Accent3 2 8 2" xfId="1410"/>
    <cellStyle name="60% - Accent3 2 8 2 2" xfId="16479"/>
    <cellStyle name="60% - Accent3 2 8 3" xfId="16478"/>
    <cellStyle name="60% - Accent3 2 9" xfId="950"/>
    <cellStyle name="60% - Accent3 2 9 2" xfId="1566"/>
    <cellStyle name="60% - Accent3 2 9 2 2" xfId="16481"/>
    <cellStyle name="60% - Accent3 2 9 3" xfId="16480"/>
    <cellStyle name="60% - Accent3 3" xfId="222"/>
    <cellStyle name="60% - Accent3 3 10" xfId="3689"/>
    <cellStyle name="60% - Accent3 3 10 2" xfId="16484"/>
    <cellStyle name="60% - Accent3 3 10 3" xfId="16483"/>
    <cellStyle name="60% - Accent3 3 11" xfId="16485"/>
    <cellStyle name="60% - Accent3 3 11 2" xfId="16486"/>
    <cellStyle name="60% - Accent3 3 12" xfId="16487"/>
    <cellStyle name="60% - Accent3 3 13" xfId="16482"/>
    <cellStyle name="60% - Accent3 3 2" xfId="1462"/>
    <cellStyle name="60% - Accent3 3 2 2" xfId="1833"/>
    <cellStyle name="60% - Accent3 3 2 2 2" xfId="16490"/>
    <cellStyle name="60% - Accent3 3 2 2 3" xfId="16489"/>
    <cellStyle name="60% - Accent3 3 2 3" xfId="2208"/>
    <cellStyle name="60% - Accent3 3 2 3 2" xfId="16492"/>
    <cellStyle name="60% - Accent3 3 2 3 3" xfId="16491"/>
    <cellStyle name="60% - Accent3 3 2 4" xfId="2582"/>
    <cellStyle name="60% - Accent3 3 2 4 2" xfId="16494"/>
    <cellStyle name="60% - Accent3 3 2 4 3" xfId="16493"/>
    <cellStyle name="60% - Accent3 3 2 5" xfId="2954"/>
    <cellStyle name="60% - Accent3 3 2 5 2" xfId="16496"/>
    <cellStyle name="60% - Accent3 3 2 5 3" xfId="16495"/>
    <cellStyle name="60% - Accent3 3 2 6" xfId="3326"/>
    <cellStyle name="60% - Accent3 3 2 6 2" xfId="16498"/>
    <cellStyle name="60% - Accent3 3 2 6 3" xfId="16497"/>
    <cellStyle name="60% - Accent3 3 2 7" xfId="16499"/>
    <cellStyle name="60% - Accent3 3 2 8" xfId="16488"/>
    <cellStyle name="60% - Accent3 3 3" xfId="1589"/>
    <cellStyle name="60% - Accent3 3 3 2" xfId="1910"/>
    <cellStyle name="60% - Accent3 3 3 2 2" xfId="16502"/>
    <cellStyle name="60% - Accent3 3 3 2 3" xfId="16501"/>
    <cellStyle name="60% - Accent3 3 3 3" xfId="2285"/>
    <cellStyle name="60% - Accent3 3 3 3 2" xfId="16504"/>
    <cellStyle name="60% - Accent3 3 3 3 3" xfId="16503"/>
    <cellStyle name="60% - Accent3 3 3 4" xfId="2658"/>
    <cellStyle name="60% - Accent3 3 3 4 2" xfId="16506"/>
    <cellStyle name="60% - Accent3 3 3 4 3" xfId="16505"/>
    <cellStyle name="60% - Accent3 3 3 5" xfId="3031"/>
    <cellStyle name="60% - Accent3 3 3 5 2" xfId="16508"/>
    <cellStyle name="60% - Accent3 3 3 5 3" xfId="16507"/>
    <cellStyle name="60% - Accent3 3 3 6" xfId="3402"/>
    <cellStyle name="60% - Accent3 3 3 6 2" xfId="16510"/>
    <cellStyle name="60% - Accent3 3 3 6 3" xfId="16509"/>
    <cellStyle name="60% - Accent3 3 3 7" xfId="16511"/>
    <cellStyle name="60% - Accent3 3 3 8" xfId="16500"/>
    <cellStyle name="60% - Accent3 3 4" xfId="1726"/>
    <cellStyle name="60% - Accent3 3 4 2" xfId="1954"/>
    <cellStyle name="60% - Accent3 3 4 2 2" xfId="16514"/>
    <cellStyle name="60% - Accent3 3 4 2 3" xfId="16513"/>
    <cellStyle name="60% - Accent3 3 4 3" xfId="2329"/>
    <cellStyle name="60% - Accent3 3 4 3 2" xfId="16516"/>
    <cellStyle name="60% - Accent3 3 4 3 3" xfId="16515"/>
    <cellStyle name="60% - Accent3 3 4 4" xfId="2702"/>
    <cellStyle name="60% - Accent3 3 4 4 2" xfId="16518"/>
    <cellStyle name="60% - Accent3 3 4 4 3" xfId="16517"/>
    <cellStyle name="60% - Accent3 3 4 5" xfId="3075"/>
    <cellStyle name="60% - Accent3 3 4 5 2" xfId="16520"/>
    <cellStyle name="60% - Accent3 3 4 5 3" xfId="16519"/>
    <cellStyle name="60% - Accent3 3 4 6" xfId="3446"/>
    <cellStyle name="60% - Accent3 3 4 6 2" xfId="16522"/>
    <cellStyle name="60% - Accent3 3 4 6 3" xfId="16521"/>
    <cellStyle name="60% - Accent3 3 4 7" xfId="16523"/>
    <cellStyle name="60% - Accent3 3 4 8" xfId="16512"/>
    <cellStyle name="60% - Accent3 3 5" xfId="2061"/>
    <cellStyle name="60% - Accent3 3 5 2" xfId="16525"/>
    <cellStyle name="60% - Accent3 3 5 3" xfId="16524"/>
    <cellStyle name="60% - Accent3 3 6" xfId="2435"/>
    <cellStyle name="60% - Accent3 3 6 2" xfId="16527"/>
    <cellStyle name="60% - Accent3 3 6 3" xfId="16526"/>
    <cellStyle name="60% - Accent3 3 7" xfId="2807"/>
    <cellStyle name="60% - Accent3 3 7 2" xfId="16529"/>
    <cellStyle name="60% - Accent3 3 7 3" xfId="16528"/>
    <cellStyle name="60% - Accent3 3 8" xfId="3178"/>
    <cellStyle name="60% - Accent3 3 8 2" xfId="16531"/>
    <cellStyle name="60% - Accent3 3 8 3" xfId="16530"/>
    <cellStyle name="60% - Accent3 3 9" xfId="3553"/>
    <cellStyle name="60% - Accent3 3 9 2" xfId="16533"/>
    <cellStyle name="60% - Accent3 3 9 3" xfId="16532"/>
    <cellStyle name="60% - Accent3 4" xfId="249"/>
    <cellStyle name="60% - Accent3 4 10" xfId="3733"/>
    <cellStyle name="60% - Accent3 4 10 2" xfId="16536"/>
    <cellStyle name="60% - Accent3 4 10 3" xfId="16535"/>
    <cellStyle name="60% - Accent3 4 11" xfId="1304"/>
    <cellStyle name="60% - Accent3 4 11 2" xfId="16538"/>
    <cellStyle name="60% - Accent3 4 11 3" xfId="16537"/>
    <cellStyle name="60% - Accent3 4 12" xfId="16539"/>
    <cellStyle name="60% - Accent3 4 13" xfId="16534"/>
    <cellStyle name="60% - Accent3 4 2" xfId="1507"/>
    <cellStyle name="60% - Accent3 4 2 2" xfId="16541"/>
    <cellStyle name="60% - Accent3 4 2 3" xfId="16540"/>
    <cellStyle name="60% - Accent3 4 3" xfId="1632"/>
    <cellStyle name="60% - Accent3 4 3 2" xfId="16543"/>
    <cellStyle name="60% - Accent3 4 3 3" xfId="16542"/>
    <cellStyle name="60% - Accent3 4 4" xfId="1747"/>
    <cellStyle name="60% - Accent3 4 4 2" xfId="16545"/>
    <cellStyle name="60% - Accent3 4 4 3" xfId="16544"/>
    <cellStyle name="60% - Accent3 4 5" xfId="2082"/>
    <cellStyle name="60% - Accent3 4 5 2" xfId="16547"/>
    <cellStyle name="60% - Accent3 4 5 3" xfId="16546"/>
    <cellStyle name="60% - Accent3 4 6" xfId="2456"/>
    <cellStyle name="60% - Accent3 4 6 2" xfId="16549"/>
    <cellStyle name="60% - Accent3 4 6 3" xfId="16548"/>
    <cellStyle name="60% - Accent3 4 7" xfId="2828"/>
    <cellStyle name="60% - Accent3 4 7 2" xfId="16551"/>
    <cellStyle name="60% - Accent3 4 7 3" xfId="16550"/>
    <cellStyle name="60% - Accent3 4 8" xfId="3199"/>
    <cellStyle name="60% - Accent3 4 8 2" xfId="16553"/>
    <cellStyle name="60% - Accent3 4 8 3" xfId="16552"/>
    <cellStyle name="60% - Accent3 4 9" xfId="3596"/>
    <cellStyle name="60% - Accent3 4 9 2" xfId="16555"/>
    <cellStyle name="60% - Accent3 4 9 3" xfId="16554"/>
    <cellStyle name="60% - Accent3 5" xfId="415"/>
    <cellStyle name="60% - Accent3 5 2" xfId="1771"/>
    <cellStyle name="60% - Accent3 5 2 2" xfId="16558"/>
    <cellStyle name="60% - Accent3 5 2 3" xfId="16557"/>
    <cellStyle name="60% - Accent3 5 3" xfId="2106"/>
    <cellStyle name="60% - Accent3 5 3 2" xfId="16560"/>
    <cellStyle name="60% - Accent3 5 3 3" xfId="16559"/>
    <cellStyle name="60% - Accent3 5 4" xfId="2480"/>
    <cellStyle name="60% - Accent3 5 4 2" xfId="16562"/>
    <cellStyle name="60% - Accent3 5 4 3" xfId="16561"/>
    <cellStyle name="60% - Accent3 5 5" xfId="2852"/>
    <cellStyle name="60% - Accent3 5 5 2" xfId="16564"/>
    <cellStyle name="60% - Accent3 5 5 3" xfId="16563"/>
    <cellStyle name="60% - Accent3 5 6" xfId="3223"/>
    <cellStyle name="60% - Accent3 5 6 2" xfId="16566"/>
    <cellStyle name="60% - Accent3 5 6 3" xfId="16565"/>
    <cellStyle name="60% - Accent3 5 7" xfId="16567"/>
    <cellStyle name="60% - Accent3 5 7 2" xfId="16568"/>
    <cellStyle name="60% - Accent3 5 8" xfId="16569"/>
    <cellStyle name="60% - Accent3 5 9" xfId="16556"/>
    <cellStyle name="60% - Accent3 6" xfId="416"/>
    <cellStyle name="60% - Accent3 6 10" xfId="16570"/>
    <cellStyle name="60% - Accent3 6 2" xfId="1983"/>
    <cellStyle name="60% - Accent3 6 2 2" xfId="16572"/>
    <cellStyle name="60% - Accent3 6 2 3" xfId="16571"/>
    <cellStyle name="60% - Accent3 6 3" xfId="2358"/>
    <cellStyle name="60% - Accent3 6 3 2" xfId="16574"/>
    <cellStyle name="60% - Accent3 6 3 3" xfId="16573"/>
    <cellStyle name="60% - Accent3 6 4" xfId="2731"/>
    <cellStyle name="60% - Accent3 6 4 2" xfId="16576"/>
    <cellStyle name="60% - Accent3 6 4 3" xfId="16575"/>
    <cellStyle name="60% - Accent3 6 5" xfId="3104"/>
    <cellStyle name="60% - Accent3 6 5 2" xfId="16578"/>
    <cellStyle name="60% - Accent3 6 5 3" xfId="16577"/>
    <cellStyle name="60% - Accent3 6 6" xfId="3475"/>
    <cellStyle name="60% - Accent3 6 6 2" xfId="16580"/>
    <cellStyle name="60% - Accent3 6 6 3" xfId="16579"/>
    <cellStyle name="60% - Accent3 6 7" xfId="3781"/>
    <cellStyle name="60% - Accent3 6 7 2" xfId="16582"/>
    <cellStyle name="60% - Accent3 6 7 3" xfId="16581"/>
    <cellStyle name="60% - Accent3 6 8" xfId="16583"/>
    <cellStyle name="60% - Accent3 6 8 2" xfId="16584"/>
    <cellStyle name="60% - Accent3 6 9" xfId="16585"/>
    <cellStyle name="60% - Accent3 7" xfId="417"/>
    <cellStyle name="60% - Accent3 7 2" xfId="16587"/>
    <cellStyle name="60% - Accent3 7 3" xfId="16586"/>
    <cellStyle name="60% - Accent3 8" xfId="562"/>
    <cellStyle name="60% - Accent3 8 2" xfId="16589"/>
    <cellStyle name="60% - Accent3 8 3" xfId="16588"/>
    <cellStyle name="60% - Accent3 9" xfId="563"/>
    <cellStyle name="60% - Accent3 9 2" xfId="16591"/>
    <cellStyle name="60% - Accent3 9 3" xfId="16590"/>
    <cellStyle name="60% - Accent4 10" xfId="700"/>
    <cellStyle name="60% - Accent4 10 2" xfId="16594"/>
    <cellStyle name="60% - Accent4 10 3" xfId="16593"/>
    <cellStyle name="60% - Accent4 11" xfId="701"/>
    <cellStyle name="60% - Accent4 11 2" xfId="16596"/>
    <cellStyle name="60% - Accent4 11 3" xfId="16595"/>
    <cellStyle name="60% - Accent4 12" xfId="843"/>
    <cellStyle name="60% - Accent4 12 2" xfId="16597"/>
    <cellStyle name="60% - Accent4 13" xfId="844"/>
    <cellStyle name="60% - Accent4 13 2" xfId="16592"/>
    <cellStyle name="60% - Accent4 14" xfId="951"/>
    <cellStyle name="60% - Accent4 2" xfId="83"/>
    <cellStyle name="60% - Accent4 2 10" xfId="1682"/>
    <cellStyle name="60% - Accent4 2 10 2" xfId="16600"/>
    <cellStyle name="60% - Accent4 2 10 3" xfId="16599"/>
    <cellStyle name="60% - Accent4 2 11" xfId="2017"/>
    <cellStyle name="60% - Accent4 2 11 2" xfId="16602"/>
    <cellStyle name="60% - Accent4 2 11 3" xfId="16601"/>
    <cellStyle name="60% - Accent4 2 12" xfId="2391"/>
    <cellStyle name="60% - Accent4 2 12 2" xfId="16604"/>
    <cellStyle name="60% - Accent4 2 12 3" xfId="16603"/>
    <cellStyle name="60% - Accent4 2 13" xfId="2764"/>
    <cellStyle name="60% - Accent4 2 13 2" xfId="16606"/>
    <cellStyle name="60% - Accent4 2 13 3" xfId="16605"/>
    <cellStyle name="60% - Accent4 2 14" xfId="3138"/>
    <cellStyle name="60% - Accent4 2 14 2" xfId="16608"/>
    <cellStyle name="60% - Accent4 2 14 3" xfId="16607"/>
    <cellStyle name="60% - Accent4 2 15" xfId="3509"/>
    <cellStyle name="60% - Accent4 2 15 2" xfId="16610"/>
    <cellStyle name="60% - Accent4 2 15 3" xfId="16609"/>
    <cellStyle name="60% - Accent4 2 16" xfId="3647"/>
    <cellStyle name="60% - Accent4 2 16 2" xfId="16612"/>
    <cellStyle name="60% - Accent4 2 16 3" xfId="16611"/>
    <cellStyle name="60% - Accent4 2 17" xfId="16613"/>
    <cellStyle name="60% - Accent4 2 17 2" xfId="16614"/>
    <cellStyle name="60% - Accent4 2 18" xfId="16615"/>
    <cellStyle name="60% - Accent4 2 19" xfId="16598"/>
    <cellStyle name="60% - Accent4 2 2" xfId="127"/>
    <cellStyle name="60% - Accent4 2 2 2" xfId="185"/>
    <cellStyle name="60% - Accent4 2 2 2 2" xfId="16618"/>
    <cellStyle name="60% - Accent4 2 2 2 3" xfId="16617"/>
    <cellStyle name="60% - Accent4 2 2 3" xfId="349"/>
    <cellStyle name="60% - Accent4 2 2 3 2" xfId="16620"/>
    <cellStyle name="60% - Accent4 2 2 3 3" xfId="16619"/>
    <cellStyle name="60% - Accent4 2 2 4" xfId="2171"/>
    <cellStyle name="60% - Accent4 2 2 4 2" xfId="16622"/>
    <cellStyle name="60% - Accent4 2 2 4 3" xfId="16621"/>
    <cellStyle name="60% - Accent4 2 2 5" xfId="2545"/>
    <cellStyle name="60% - Accent4 2 2 5 2" xfId="16624"/>
    <cellStyle name="60% - Accent4 2 2 5 3" xfId="16623"/>
    <cellStyle name="60% - Accent4 2 2 6" xfId="2917"/>
    <cellStyle name="60% - Accent4 2 2 6 2" xfId="16626"/>
    <cellStyle name="60% - Accent4 2 2 6 3" xfId="16625"/>
    <cellStyle name="60% - Accent4 2 2 7" xfId="3289"/>
    <cellStyle name="60% - Accent4 2 2 7 2" xfId="16628"/>
    <cellStyle name="60% - Accent4 2 2 7 3" xfId="16627"/>
    <cellStyle name="60% - Accent4 2 2 8" xfId="16629"/>
    <cellStyle name="60% - Accent4 2 2 9" xfId="16616"/>
    <cellStyle name="60% - Accent4 2 20" xfId="24481"/>
    <cellStyle name="60% - Accent4 2 3" xfId="292"/>
    <cellStyle name="60% - Accent4 2 3 2" xfId="1347"/>
    <cellStyle name="60% - Accent4 2 3 2 2" xfId="16631"/>
    <cellStyle name="60% - Accent4 2 3 3" xfId="16630"/>
    <cellStyle name="60% - Accent4 2 4" xfId="418"/>
    <cellStyle name="60% - Accent4 2 4 2" xfId="16633"/>
    <cellStyle name="60% - Accent4 2 4 3" xfId="16632"/>
    <cellStyle name="60% - Accent4 2 5" xfId="564"/>
    <cellStyle name="60% - Accent4 2 5 2" xfId="16635"/>
    <cellStyle name="60% - Accent4 2 5 3" xfId="16634"/>
    <cellStyle name="60% - Accent4 2 6" xfId="702"/>
    <cellStyle name="60% - Accent4 2 6 2" xfId="16637"/>
    <cellStyle name="60% - Accent4 2 6 3" xfId="16636"/>
    <cellStyle name="60% - Accent4 2 7" xfId="703"/>
    <cellStyle name="60% - Accent4 2 7 2" xfId="16639"/>
    <cellStyle name="60% - Accent4 2 7 3" xfId="16638"/>
    <cellStyle name="60% - Accent4 2 8" xfId="845"/>
    <cellStyle name="60% - Accent4 2 8 2" xfId="1411"/>
    <cellStyle name="60% - Accent4 2 8 2 2" xfId="16641"/>
    <cellStyle name="60% - Accent4 2 8 3" xfId="16640"/>
    <cellStyle name="60% - Accent4 2 9" xfId="952"/>
    <cellStyle name="60% - Accent4 2 9 2" xfId="1565"/>
    <cellStyle name="60% - Accent4 2 9 2 2" xfId="16643"/>
    <cellStyle name="60% - Accent4 2 9 3" xfId="16642"/>
    <cellStyle name="60% - Accent4 3" xfId="226"/>
    <cellStyle name="60% - Accent4 3 10" xfId="3690"/>
    <cellStyle name="60% - Accent4 3 10 2" xfId="16646"/>
    <cellStyle name="60% - Accent4 3 10 3" xfId="16645"/>
    <cellStyle name="60% - Accent4 3 11" xfId="16647"/>
    <cellStyle name="60% - Accent4 3 11 2" xfId="16648"/>
    <cellStyle name="60% - Accent4 3 12" xfId="16649"/>
    <cellStyle name="60% - Accent4 3 13" xfId="16644"/>
    <cellStyle name="60% - Accent4 3 2" xfId="1463"/>
    <cellStyle name="60% - Accent4 3 2 2" xfId="1837"/>
    <cellStyle name="60% - Accent4 3 2 2 2" xfId="16652"/>
    <cellStyle name="60% - Accent4 3 2 2 3" xfId="16651"/>
    <cellStyle name="60% - Accent4 3 2 3" xfId="2212"/>
    <cellStyle name="60% - Accent4 3 2 3 2" xfId="16654"/>
    <cellStyle name="60% - Accent4 3 2 3 3" xfId="16653"/>
    <cellStyle name="60% - Accent4 3 2 4" xfId="2586"/>
    <cellStyle name="60% - Accent4 3 2 4 2" xfId="16656"/>
    <cellStyle name="60% - Accent4 3 2 4 3" xfId="16655"/>
    <cellStyle name="60% - Accent4 3 2 5" xfId="2958"/>
    <cellStyle name="60% - Accent4 3 2 5 2" xfId="16658"/>
    <cellStyle name="60% - Accent4 3 2 5 3" xfId="16657"/>
    <cellStyle name="60% - Accent4 3 2 6" xfId="3330"/>
    <cellStyle name="60% - Accent4 3 2 6 2" xfId="16660"/>
    <cellStyle name="60% - Accent4 3 2 6 3" xfId="16659"/>
    <cellStyle name="60% - Accent4 3 2 7" xfId="16661"/>
    <cellStyle name="60% - Accent4 3 2 8" xfId="16650"/>
    <cellStyle name="60% - Accent4 3 3" xfId="1590"/>
    <cellStyle name="60% - Accent4 3 3 2" xfId="1914"/>
    <cellStyle name="60% - Accent4 3 3 2 2" xfId="16664"/>
    <cellStyle name="60% - Accent4 3 3 2 3" xfId="16663"/>
    <cellStyle name="60% - Accent4 3 3 3" xfId="2289"/>
    <cellStyle name="60% - Accent4 3 3 3 2" xfId="16666"/>
    <cellStyle name="60% - Accent4 3 3 3 3" xfId="16665"/>
    <cellStyle name="60% - Accent4 3 3 4" xfId="2662"/>
    <cellStyle name="60% - Accent4 3 3 4 2" xfId="16668"/>
    <cellStyle name="60% - Accent4 3 3 4 3" xfId="16667"/>
    <cellStyle name="60% - Accent4 3 3 5" xfId="3035"/>
    <cellStyle name="60% - Accent4 3 3 5 2" xfId="16670"/>
    <cellStyle name="60% - Accent4 3 3 5 3" xfId="16669"/>
    <cellStyle name="60% - Accent4 3 3 6" xfId="3406"/>
    <cellStyle name="60% - Accent4 3 3 6 2" xfId="16672"/>
    <cellStyle name="60% - Accent4 3 3 6 3" xfId="16671"/>
    <cellStyle name="60% - Accent4 3 3 7" xfId="16673"/>
    <cellStyle name="60% - Accent4 3 3 8" xfId="16662"/>
    <cellStyle name="60% - Accent4 3 4" xfId="1727"/>
    <cellStyle name="60% - Accent4 3 4 2" xfId="1958"/>
    <cellStyle name="60% - Accent4 3 4 2 2" xfId="16676"/>
    <cellStyle name="60% - Accent4 3 4 2 3" xfId="16675"/>
    <cellStyle name="60% - Accent4 3 4 3" xfId="2333"/>
    <cellStyle name="60% - Accent4 3 4 3 2" xfId="16678"/>
    <cellStyle name="60% - Accent4 3 4 3 3" xfId="16677"/>
    <cellStyle name="60% - Accent4 3 4 4" xfId="2706"/>
    <cellStyle name="60% - Accent4 3 4 4 2" xfId="16680"/>
    <cellStyle name="60% - Accent4 3 4 4 3" xfId="16679"/>
    <cellStyle name="60% - Accent4 3 4 5" xfId="3079"/>
    <cellStyle name="60% - Accent4 3 4 5 2" xfId="16682"/>
    <cellStyle name="60% - Accent4 3 4 5 3" xfId="16681"/>
    <cellStyle name="60% - Accent4 3 4 6" xfId="3450"/>
    <cellStyle name="60% - Accent4 3 4 6 2" xfId="16684"/>
    <cellStyle name="60% - Accent4 3 4 6 3" xfId="16683"/>
    <cellStyle name="60% - Accent4 3 4 7" xfId="16685"/>
    <cellStyle name="60% - Accent4 3 4 8" xfId="16674"/>
    <cellStyle name="60% - Accent4 3 5" xfId="2062"/>
    <cellStyle name="60% - Accent4 3 5 2" xfId="16687"/>
    <cellStyle name="60% - Accent4 3 5 3" xfId="16686"/>
    <cellStyle name="60% - Accent4 3 6" xfId="2436"/>
    <cellStyle name="60% - Accent4 3 6 2" xfId="16689"/>
    <cellStyle name="60% - Accent4 3 6 3" xfId="16688"/>
    <cellStyle name="60% - Accent4 3 7" xfId="2808"/>
    <cellStyle name="60% - Accent4 3 7 2" xfId="16691"/>
    <cellStyle name="60% - Accent4 3 7 3" xfId="16690"/>
    <cellStyle name="60% - Accent4 3 8" xfId="3179"/>
    <cellStyle name="60% - Accent4 3 8 2" xfId="16693"/>
    <cellStyle name="60% - Accent4 3 8 3" xfId="16692"/>
    <cellStyle name="60% - Accent4 3 9" xfId="3554"/>
    <cellStyle name="60% - Accent4 3 9 2" xfId="16695"/>
    <cellStyle name="60% - Accent4 3 9 3" xfId="16694"/>
    <cellStyle name="60% - Accent4 4" xfId="250"/>
    <cellStyle name="60% - Accent4 4 10" xfId="3734"/>
    <cellStyle name="60% - Accent4 4 10 2" xfId="16698"/>
    <cellStyle name="60% - Accent4 4 10 3" xfId="16697"/>
    <cellStyle name="60% - Accent4 4 11" xfId="1308"/>
    <cellStyle name="60% - Accent4 4 11 2" xfId="16700"/>
    <cellStyle name="60% - Accent4 4 11 3" xfId="16699"/>
    <cellStyle name="60% - Accent4 4 12" xfId="16701"/>
    <cellStyle name="60% - Accent4 4 13" xfId="16696"/>
    <cellStyle name="60% - Accent4 4 2" xfId="1508"/>
    <cellStyle name="60% - Accent4 4 2 2" xfId="16703"/>
    <cellStyle name="60% - Accent4 4 2 3" xfId="16702"/>
    <cellStyle name="60% - Accent4 4 3" xfId="1633"/>
    <cellStyle name="60% - Accent4 4 3 2" xfId="16705"/>
    <cellStyle name="60% - Accent4 4 3 3" xfId="16704"/>
    <cellStyle name="60% - Accent4 4 4" xfId="1792"/>
    <cellStyle name="60% - Accent4 4 4 2" xfId="16707"/>
    <cellStyle name="60% - Accent4 4 4 3" xfId="16706"/>
    <cellStyle name="60% - Accent4 4 5" xfId="2128"/>
    <cellStyle name="60% - Accent4 4 5 2" xfId="16709"/>
    <cellStyle name="60% - Accent4 4 5 3" xfId="16708"/>
    <cellStyle name="60% - Accent4 4 6" xfId="2502"/>
    <cellStyle name="60% - Accent4 4 6 2" xfId="16711"/>
    <cellStyle name="60% - Accent4 4 6 3" xfId="16710"/>
    <cellStyle name="60% - Accent4 4 7" xfId="2874"/>
    <cellStyle name="60% - Accent4 4 7 2" xfId="16713"/>
    <cellStyle name="60% - Accent4 4 7 3" xfId="16712"/>
    <cellStyle name="60% - Accent4 4 8" xfId="3245"/>
    <cellStyle name="60% - Accent4 4 8 2" xfId="16715"/>
    <cellStyle name="60% - Accent4 4 8 3" xfId="16714"/>
    <cellStyle name="60% - Accent4 4 9" xfId="3597"/>
    <cellStyle name="60% - Accent4 4 9 2" xfId="16717"/>
    <cellStyle name="60% - Accent4 4 9 3" xfId="16716"/>
    <cellStyle name="60% - Accent4 5" xfId="419"/>
    <cellStyle name="60% - Accent4 5 2" xfId="1873"/>
    <cellStyle name="60% - Accent4 5 2 2" xfId="16720"/>
    <cellStyle name="60% - Accent4 5 2 3" xfId="16719"/>
    <cellStyle name="60% - Accent4 5 3" xfId="2248"/>
    <cellStyle name="60% - Accent4 5 3 2" xfId="16722"/>
    <cellStyle name="60% - Accent4 5 3 3" xfId="16721"/>
    <cellStyle name="60% - Accent4 5 4" xfId="2622"/>
    <cellStyle name="60% - Accent4 5 4 2" xfId="16724"/>
    <cellStyle name="60% - Accent4 5 4 3" xfId="16723"/>
    <cellStyle name="60% - Accent4 5 5" xfId="2994"/>
    <cellStyle name="60% - Accent4 5 5 2" xfId="16726"/>
    <cellStyle name="60% - Accent4 5 5 3" xfId="16725"/>
    <cellStyle name="60% - Accent4 5 6" xfId="3366"/>
    <cellStyle name="60% - Accent4 5 6 2" xfId="16728"/>
    <cellStyle name="60% - Accent4 5 6 3" xfId="16727"/>
    <cellStyle name="60% - Accent4 5 7" xfId="16729"/>
    <cellStyle name="60% - Accent4 5 7 2" xfId="16730"/>
    <cellStyle name="60% - Accent4 5 8" xfId="16731"/>
    <cellStyle name="60% - Accent4 5 9" xfId="16718"/>
    <cellStyle name="60% - Accent4 6" xfId="420"/>
    <cellStyle name="60% - Accent4 6 10" xfId="16732"/>
    <cellStyle name="60% - Accent4 6 2" xfId="1984"/>
    <cellStyle name="60% - Accent4 6 2 2" xfId="16734"/>
    <cellStyle name="60% - Accent4 6 2 3" xfId="16733"/>
    <cellStyle name="60% - Accent4 6 3" xfId="2359"/>
    <cellStyle name="60% - Accent4 6 3 2" xfId="16736"/>
    <cellStyle name="60% - Accent4 6 3 3" xfId="16735"/>
    <cellStyle name="60% - Accent4 6 4" xfId="2732"/>
    <cellStyle name="60% - Accent4 6 4 2" xfId="16738"/>
    <cellStyle name="60% - Accent4 6 4 3" xfId="16737"/>
    <cellStyle name="60% - Accent4 6 5" xfId="3105"/>
    <cellStyle name="60% - Accent4 6 5 2" xfId="16740"/>
    <cellStyle name="60% - Accent4 6 5 3" xfId="16739"/>
    <cellStyle name="60% - Accent4 6 6" xfId="3476"/>
    <cellStyle name="60% - Accent4 6 6 2" xfId="16742"/>
    <cellStyle name="60% - Accent4 6 6 3" xfId="16741"/>
    <cellStyle name="60% - Accent4 6 7" xfId="3782"/>
    <cellStyle name="60% - Accent4 6 7 2" xfId="16744"/>
    <cellStyle name="60% - Accent4 6 7 3" xfId="16743"/>
    <cellStyle name="60% - Accent4 6 8" xfId="16745"/>
    <cellStyle name="60% - Accent4 6 8 2" xfId="16746"/>
    <cellStyle name="60% - Accent4 6 9" xfId="16747"/>
    <cellStyle name="60% - Accent4 7" xfId="421"/>
    <cellStyle name="60% - Accent4 7 2" xfId="16749"/>
    <cellStyle name="60% - Accent4 7 3" xfId="16748"/>
    <cellStyle name="60% - Accent4 8" xfId="565"/>
    <cellStyle name="60% - Accent4 8 2" xfId="16751"/>
    <cellStyle name="60% - Accent4 8 3" xfId="16750"/>
    <cellStyle name="60% - Accent4 9" xfId="566"/>
    <cellStyle name="60% - Accent4 9 2" xfId="16753"/>
    <cellStyle name="60% - Accent4 9 3" xfId="16752"/>
    <cellStyle name="60% - Accent5 10" xfId="704"/>
    <cellStyle name="60% - Accent5 10 2" xfId="16756"/>
    <cellStyle name="60% - Accent5 10 3" xfId="16755"/>
    <cellStyle name="60% - Accent5 11" xfId="705"/>
    <cellStyle name="60% - Accent5 11 2" xfId="16758"/>
    <cellStyle name="60% - Accent5 11 3" xfId="16757"/>
    <cellStyle name="60% - Accent5 12" xfId="846"/>
    <cellStyle name="60% - Accent5 12 2" xfId="16759"/>
    <cellStyle name="60% - Accent5 13" xfId="847"/>
    <cellStyle name="60% - Accent5 13 2" xfId="16754"/>
    <cellStyle name="60% - Accent5 14" xfId="953"/>
    <cellStyle name="60% - Accent5 2" xfId="84"/>
    <cellStyle name="60% - Accent5 2 10" xfId="1683"/>
    <cellStyle name="60% - Accent5 2 10 2" xfId="16762"/>
    <cellStyle name="60% - Accent5 2 10 3" xfId="16761"/>
    <cellStyle name="60% - Accent5 2 11" xfId="2018"/>
    <cellStyle name="60% - Accent5 2 11 2" xfId="16764"/>
    <cellStyle name="60% - Accent5 2 11 3" xfId="16763"/>
    <cellStyle name="60% - Accent5 2 12" xfId="2392"/>
    <cellStyle name="60% - Accent5 2 12 2" xfId="16766"/>
    <cellStyle name="60% - Accent5 2 12 3" xfId="16765"/>
    <cellStyle name="60% - Accent5 2 13" xfId="2765"/>
    <cellStyle name="60% - Accent5 2 13 2" xfId="16768"/>
    <cellStyle name="60% - Accent5 2 13 3" xfId="16767"/>
    <cellStyle name="60% - Accent5 2 14" xfId="3139"/>
    <cellStyle name="60% - Accent5 2 14 2" xfId="16770"/>
    <cellStyle name="60% - Accent5 2 14 3" xfId="16769"/>
    <cellStyle name="60% - Accent5 2 15" xfId="3510"/>
    <cellStyle name="60% - Accent5 2 15 2" xfId="16772"/>
    <cellStyle name="60% - Accent5 2 15 3" xfId="16771"/>
    <cellStyle name="60% - Accent5 2 16" xfId="3648"/>
    <cellStyle name="60% - Accent5 2 16 2" xfId="16774"/>
    <cellStyle name="60% - Accent5 2 16 3" xfId="16773"/>
    <cellStyle name="60% - Accent5 2 17" xfId="16775"/>
    <cellStyle name="60% - Accent5 2 17 2" xfId="16776"/>
    <cellStyle name="60% - Accent5 2 18" xfId="16777"/>
    <cellStyle name="60% - Accent5 2 19" xfId="16760"/>
    <cellStyle name="60% - Accent5 2 2" xfId="128"/>
    <cellStyle name="60% - Accent5 2 2 2" xfId="189"/>
    <cellStyle name="60% - Accent5 2 2 2 2" xfId="16780"/>
    <cellStyle name="60% - Accent5 2 2 2 3" xfId="16779"/>
    <cellStyle name="60% - Accent5 2 2 3" xfId="353"/>
    <cellStyle name="60% - Accent5 2 2 3 2" xfId="16782"/>
    <cellStyle name="60% - Accent5 2 2 3 3" xfId="16781"/>
    <cellStyle name="60% - Accent5 2 2 4" xfId="2175"/>
    <cellStyle name="60% - Accent5 2 2 4 2" xfId="16784"/>
    <cellStyle name="60% - Accent5 2 2 4 3" xfId="16783"/>
    <cellStyle name="60% - Accent5 2 2 5" xfId="2549"/>
    <cellStyle name="60% - Accent5 2 2 5 2" xfId="16786"/>
    <cellStyle name="60% - Accent5 2 2 5 3" xfId="16785"/>
    <cellStyle name="60% - Accent5 2 2 6" xfId="2921"/>
    <cellStyle name="60% - Accent5 2 2 6 2" xfId="16788"/>
    <cellStyle name="60% - Accent5 2 2 6 3" xfId="16787"/>
    <cellStyle name="60% - Accent5 2 2 7" xfId="3293"/>
    <cellStyle name="60% - Accent5 2 2 7 2" xfId="16790"/>
    <cellStyle name="60% - Accent5 2 2 7 3" xfId="16789"/>
    <cellStyle name="60% - Accent5 2 2 8" xfId="16791"/>
    <cellStyle name="60% - Accent5 2 2 9" xfId="16778"/>
    <cellStyle name="60% - Accent5 2 20" xfId="24482"/>
    <cellStyle name="60% - Accent5 2 3" xfId="293"/>
    <cellStyle name="60% - Accent5 2 3 2" xfId="1351"/>
    <cellStyle name="60% - Accent5 2 3 2 2" xfId="16793"/>
    <cellStyle name="60% - Accent5 2 3 3" xfId="16792"/>
    <cellStyle name="60% - Accent5 2 4" xfId="422"/>
    <cellStyle name="60% - Accent5 2 4 2" xfId="16795"/>
    <cellStyle name="60% - Accent5 2 4 3" xfId="16794"/>
    <cellStyle name="60% - Accent5 2 5" xfId="567"/>
    <cellStyle name="60% - Accent5 2 5 2" xfId="16797"/>
    <cellStyle name="60% - Accent5 2 5 3" xfId="16796"/>
    <cellStyle name="60% - Accent5 2 6" xfId="706"/>
    <cellStyle name="60% - Accent5 2 6 2" xfId="16799"/>
    <cellStyle name="60% - Accent5 2 6 3" xfId="16798"/>
    <cellStyle name="60% - Accent5 2 7" xfId="707"/>
    <cellStyle name="60% - Accent5 2 7 2" xfId="16801"/>
    <cellStyle name="60% - Accent5 2 7 3" xfId="16800"/>
    <cellStyle name="60% - Accent5 2 8" xfId="848"/>
    <cellStyle name="60% - Accent5 2 8 2" xfId="1412"/>
    <cellStyle name="60% - Accent5 2 8 2 2" xfId="16803"/>
    <cellStyle name="60% - Accent5 2 8 3" xfId="16802"/>
    <cellStyle name="60% - Accent5 2 9" xfId="954"/>
    <cellStyle name="60% - Accent5 2 9 2" xfId="1390"/>
    <cellStyle name="60% - Accent5 2 9 2 2" xfId="16805"/>
    <cellStyle name="60% - Accent5 2 9 3" xfId="16804"/>
    <cellStyle name="60% - Accent5 3" xfId="230"/>
    <cellStyle name="60% - Accent5 3 10" xfId="3691"/>
    <cellStyle name="60% - Accent5 3 10 2" xfId="16808"/>
    <cellStyle name="60% - Accent5 3 10 3" xfId="16807"/>
    <cellStyle name="60% - Accent5 3 11" xfId="16809"/>
    <cellStyle name="60% - Accent5 3 11 2" xfId="16810"/>
    <cellStyle name="60% - Accent5 3 12" xfId="16811"/>
    <cellStyle name="60% - Accent5 3 13" xfId="16806"/>
    <cellStyle name="60% - Accent5 3 2" xfId="1464"/>
    <cellStyle name="60% - Accent5 3 2 2" xfId="1841"/>
    <cellStyle name="60% - Accent5 3 2 2 2" xfId="16814"/>
    <cellStyle name="60% - Accent5 3 2 2 3" xfId="16813"/>
    <cellStyle name="60% - Accent5 3 2 3" xfId="2216"/>
    <cellStyle name="60% - Accent5 3 2 3 2" xfId="16816"/>
    <cellStyle name="60% - Accent5 3 2 3 3" xfId="16815"/>
    <cellStyle name="60% - Accent5 3 2 4" xfId="2590"/>
    <cellStyle name="60% - Accent5 3 2 4 2" xfId="16818"/>
    <cellStyle name="60% - Accent5 3 2 4 3" xfId="16817"/>
    <cellStyle name="60% - Accent5 3 2 5" xfId="2962"/>
    <cellStyle name="60% - Accent5 3 2 5 2" xfId="16820"/>
    <cellStyle name="60% - Accent5 3 2 5 3" xfId="16819"/>
    <cellStyle name="60% - Accent5 3 2 6" xfId="3334"/>
    <cellStyle name="60% - Accent5 3 2 6 2" xfId="16822"/>
    <cellStyle name="60% - Accent5 3 2 6 3" xfId="16821"/>
    <cellStyle name="60% - Accent5 3 2 7" xfId="16823"/>
    <cellStyle name="60% - Accent5 3 2 8" xfId="16812"/>
    <cellStyle name="60% - Accent5 3 3" xfId="1591"/>
    <cellStyle name="60% - Accent5 3 3 2" xfId="1918"/>
    <cellStyle name="60% - Accent5 3 3 2 2" xfId="16826"/>
    <cellStyle name="60% - Accent5 3 3 2 3" xfId="16825"/>
    <cellStyle name="60% - Accent5 3 3 3" xfId="2293"/>
    <cellStyle name="60% - Accent5 3 3 3 2" xfId="16828"/>
    <cellStyle name="60% - Accent5 3 3 3 3" xfId="16827"/>
    <cellStyle name="60% - Accent5 3 3 4" xfId="2666"/>
    <cellStyle name="60% - Accent5 3 3 4 2" xfId="16830"/>
    <cellStyle name="60% - Accent5 3 3 4 3" xfId="16829"/>
    <cellStyle name="60% - Accent5 3 3 5" xfId="3039"/>
    <cellStyle name="60% - Accent5 3 3 5 2" xfId="16832"/>
    <cellStyle name="60% - Accent5 3 3 5 3" xfId="16831"/>
    <cellStyle name="60% - Accent5 3 3 6" xfId="3410"/>
    <cellStyle name="60% - Accent5 3 3 6 2" xfId="16834"/>
    <cellStyle name="60% - Accent5 3 3 6 3" xfId="16833"/>
    <cellStyle name="60% - Accent5 3 3 7" xfId="16835"/>
    <cellStyle name="60% - Accent5 3 3 8" xfId="16824"/>
    <cellStyle name="60% - Accent5 3 4" xfId="1728"/>
    <cellStyle name="60% - Accent5 3 4 2" xfId="1962"/>
    <cellStyle name="60% - Accent5 3 4 2 2" xfId="16838"/>
    <cellStyle name="60% - Accent5 3 4 2 3" xfId="16837"/>
    <cellStyle name="60% - Accent5 3 4 3" xfId="2337"/>
    <cellStyle name="60% - Accent5 3 4 3 2" xfId="16840"/>
    <cellStyle name="60% - Accent5 3 4 3 3" xfId="16839"/>
    <cellStyle name="60% - Accent5 3 4 4" xfId="2710"/>
    <cellStyle name="60% - Accent5 3 4 4 2" xfId="16842"/>
    <cellStyle name="60% - Accent5 3 4 4 3" xfId="16841"/>
    <cellStyle name="60% - Accent5 3 4 5" xfId="3083"/>
    <cellStyle name="60% - Accent5 3 4 5 2" xfId="16844"/>
    <cellStyle name="60% - Accent5 3 4 5 3" xfId="16843"/>
    <cellStyle name="60% - Accent5 3 4 6" xfId="3454"/>
    <cellStyle name="60% - Accent5 3 4 6 2" xfId="16846"/>
    <cellStyle name="60% - Accent5 3 4 6 3" xfId="16845"/>
    <cellStyle name="60% - Accent5 3 4 7" xfId="16847"/>
    <cellStyle name="60% - Accent5 3 4 8" xfId="16836"/>
    <cellStyle name="60% - Accent5 3 5" xfId="2063"/>
    <cellStyle name="60% - Accent5 3 5 2" xfId="16849"/>
    <cellStyle name="60% - Accent5 3 5 3" xfId="16848"/>
    <cellStyle name="60% - Accent5 3 6" xfId="2437"/>
    <cellStyle name="60% - Accent5 3 6 2" xfId="16851"/>
    <cellStyle name="60% - Accent5 3 6 3" xfId="16850"/>
    <cellStyle name="60% - Accent5 3 7" xfId="2809"/>
    <cellStyle name="60% - Accent5 3 7 2" xfId="16853"/>
    <cellStyle name="60% - Accent5 3 7 3" xfId="16852"/>
    <cellStyle name="60% - Accent5 3 8" xfId="3180"/>
    <cellStyle name="60% - Accent5 3 8 2" xfId="16855"/>
    <cellStyle name="60% - Accent5 3 8 3" xfId="16854"/>
    <cellStyle name="60% - Accent5 3 9" xfId="3555"/>
    <cellStyle name="60% - Accent5 3 9 2" xfId="16857"/>
    <cellStyle name="60% - Accent5 3 9 3" xfId="16856"/>
    <cellStyle name="60% - Accent5 4" xfId="251"/>
    <cellStyle name="60% - Accent5 4 10" xfId="3735"/>
    <cellStyle name="60% - Accent5 4 10 2" xfId="16860"/>
    <cellStyle name="60% - Accent5 4 10 3" xfId="16859"/>
    <cellStyle name="60% - Accent5 4 11" xfId="1312"/>
    <cellStyle name="60% - Accent5 4 11 2" xfId="16862"/>
    <cellStyle name="60% - Accent5 4 11 3" xfId="16861"/>
    <cellStyle name="60% - Accent5 4 12" xfId="16863"/>
    <cellStyle name="60% - Accent5 4 13" xfId="16858"/>
    <cellStyle name="60% - Accent5 4 2" xfId="1509"/>
    <cellStyle name="60% - Accent5 4 2 2" xfId="16865"/>
    <cellStyle name="60% - Accent5 4 2 3" xfId="16864"/>
    <cellStyle name="60% - Accent5 4 3" xfId="1634"/>
    <cellStyle name="60% - Accent5 4 3 2" xfId="16867"/>
    <cellStyle name="60% - Accent5 4 3 3" xfId="16866"/>
    <cellStyle name="60% - Accent5 4 4" xfId="1791"/>
    <cellStyle name="60% - Accent5 4 4 2" xfId="16869"/>
    <cellStyle name="60% - Accent5 4 4 3" xfId="16868"/>
    <cellStyle name="60% - Accent5 4 5" xfId="2127"/>
    <cellStyle name="60% - Accent5 4 5 2" xfId="16871"/>
    <cellStyle name="60% - Accent5 4 5 3" xfId="16870"/>
    <cellStyle name="60% - Accent5 4 6" xfId="2501"/>
    <cellStyle name="60% - Accent5 4 6 2" xfId="16873"/>
    <cellStyle name="60% - Accent5 4 6 3" xfId="16872"/>
    <cellStyle name="60% - Accent5 4 7" xfId="2873"/>
    <cellStyle name="60% - Accent5 4 7 2" xfId="16875"/>
    <cellStyle name="60% - Accent5 4 7 3" xfId="16874"/>
    <cellStyle name="60% - Accent5 4 8" xfId="3244"/>
    <cellStyle name="60% - Accent5 4 8 2" xfId="16877"/>
    <cellStyle name="60% - Accent5 4 8 3" xfId="16876"/>
    <cellStyle name="60% - Accent5 4 9" xfId="3598"/>
    <cellStyle name="60% - Accent5 4 9 2" xfId="16879"/>
    <cellStyle name="60% - Accent5 4 9 3" xfId="16878"/>
    <cellStyle name="60% - Accent5 5" xfId="423"/>
    <cellStyle name="60% - Accent5 5 2" xfId="1858"/>
    <cellStyle name="60% - Accent5 5 2 2" xfId="16882"/>
    <cellStyle name="60% - Accent5 5 2 3" xfId="16881"/>
    <cellStyle name="60% - Accent5 5 3" xfId="2233"/>
    <cellStyle name="60% - Accent5 5 3 2" xfId="16884"/>
    <cellStyle name="60% - Accent5 5 3 3" xfId="16883"/>
    <cellStyle name="60% - Accent5 5 4" xfId="2607"/>
    <cellStyle name="60% - Accent5 5 4 2" xfId="16886"/>
    <cellStyle name="60% - Accent5 5 4 3" xfId="16885"/>
    <cellStyle name="60% - Accent5 5 5" xfId="2979"/>
    <cellStyle name="60% - Accent5 5 5 2" xfId="16888"/>
    <cellStyle name="60% - Accent5 5 5 3" xfId="16887"/>
    <cellStyle name="60% - Accent5 5 6" xfId="3351"/>
    <cellStyle name="60% - Accent5 5 6 2" xfId="16890"/>
    <cellStyle name="60% - Accent5 5 6 3" xfId="16889"/>
    <cellStyle name="60% - Accent5 5 7" xfId="16891"/>
    <cellStyle name="60% - Accent5 5 7 2" xfId="16892"/>
    <cellStyle name="60% - Accent5 5 8" xfId="16893"/>
    <cellStyle name="60% - Accent5 5 9" xfId="16880"/>
    <cellStyle name="60% - Accent5 6" xfId="424"/>
    <cellStyle name="60% - Accent5 6 10" xfId="16894"/>
    <cellStyle name="60% - Accent5 6 2" xfId="1985"/>
    <cellStyle name="60% - Accent5 6 2 2" xfId="16896"/>
    <cellStyle name="60% - Accent5 6 2 3" xfId="16895"/>
    <cellStyle name="60% - Accent5 6 3" xfId="2360"/>
    <cellStyle name="60% - Accent5 6 3 2" xfId="16898"/>
    <cellStyle name="60% - Accent5 6 3 3" xfId="16897"/>
    <cellStyle name="60% - Accent5 6 4" xfId="2733"/>
    <cellStyle name="60% - Accent5 6 4 2" xfId="16900"/>
    <cellStyle name="60% - Accent5 6 4 3" xfId="16899"/>
    <cellStyle name="60% - Accent5 6 5" xfId="3106"/>
    <cellStyle name="60% - Accent5 6 5 2" xfId="16902"/>
    <cellStyle name="60% - Accent5 6 5 3" xfId="16901"/>
    <cellStyle name="60% - Accent5 6 6" xfId="3477"/>
    <cellStyle name="60% - Accent5 6 6 2" xfId="16904"/>
    <cellStyle name="60% - Accent5 6 6 3" xfId="16903"/>
    <cellStyle name="60% - Accent5 6 7" xfId="3783"/>
    <cellStyle name="60% - Accent5 6 7 2" xfId="16906"/>
    <cellStyle name="60% - Accent5 6 7 3" xfId="16905"/>
    <cellStyle name="60% - Accent5 6 8" xfId="16907"/>
    <cellStyle name="60% - Accent5 6 8 2" xfId="16908"/>
    <cellStyle name="60% - Accent5 6 9" xfId="16909"/>
    <cellStyle name="60% - Accent5 7" xfId="425"/>
    <cellStyle name="60% - Accent5 7 2" xfId="16911"/>
    <cellStyle name="60% - Accent5 7 3" xfId="16910"/>
    <cellStyle name="60% - Accent5 8" xfId="568"/>
    <cellStyle name="60% - Accent5 8 2" xfId="16913"/>
    <cellStyle name="60% - Accent5 8 3" xfId="16912"/>
    <cellStyle name="60% - Accent5 9" xfId="569"/>
    <cellStyle name="60% - Accent5 9 2" xfId="16915"/>
    <cellStyle name="60% - Accent5 9 3" xfId="16914"/>
    <cellStyle name="60% - Accent6 10" xfId="708"/>
    <cellStyle name="60% - Accent6 10 2" xfId="16918"/>
    <cellStyle name="60% - Accent6 10 3" xfId="16917"/>
    <cellStyle name="60% - Accent6 11" xfId="709"/>
    <cellStyle name="60% - Accent6 11 2" xfId="16920"/>
    <cellStyle name="60% - Accent6 11 3" xfId="16919"/>
    <cellStyle name="60% - Accent6 12" xfId="849"/>
    <cellStyle name="60% - Accent6 12 2" xfId="16921"/>
    <cellStyle name="60% - Accent6 13" xfId="850"/>
    <cellStyle name="60% - Accent6 13 2" xfId="16916"/>
    <cellStyle name="60% - Accent6 14" xfId="955"/>
    <cellStyle name="60% - Accent6 2" xfId="85"/>
    <cellStyle name="60% - Accent6 2 10" xfId="1684"/>
    <cellStyle name="60% - Accent6 2 10 2" xfId="16924"/>
    <cellStyle name="60% - Accent6 2 10 3" xfId="16923"/>
    <cellStyle name="60% - Accent6 2 11" xfId="2019"/>
    <cellStyle name="60% - Accent6 2 11 2" xfId="16926"/>
    <cellStyle name="60% - Accent6 2 11 3" xfId="16925"/>
    <cellStyle name="60% - Accent6 2 12" xfId="2393"/>
    <cellStyle name="60% - Accent6 2 12 2" xfId="16928"/>
    <cellStyle name="60% - Accent6 2 12 3" xfId="16927"/>
    <cellStyle name="60% - Accent6 2 13" xfId="2766"/>
    <cellStyle name="60% - Accent6 2 13 2" xfId="16930"/>
    <cellStyle name="60% - Accent6 2 13 3" xfId="16929"/>
    <cellStyle name="60% - Accent6 2 14" xfId="3140"/>
    <cellStyle name="60% - Accent6 2 14 2" xfId="16932"/>
    <cellStyle name="60% - Accent6 2 14 3" xfId="16931"/>
    <cellStyle name="60% - Accent6 2 15" xfId="3511"/>
    <cellStyle name="60% - Accent6 2 15 2" xfId="16934"/>
    <cellStyle name="60% - Accent6 2 15 3" xfId="16933"/>
    <cellStyle name="60% - Accent6 2 16" xfId="3649"/>
    <cellStyle name="60% - Accent6 2 16 2" xfId="16936"/>
    <cellStyle name="60% - Accent6 2 16 3" xfId="16935"/>
    <cellStyle name="60% - Accent6 2 17" xfId="16937"/>
    <cellStyle name="60% - Accent6 2 17 2" xfId="16938"/>
    <cellStyle name="60% - Accent6 2 18" xfId="16939"/>
    <cellStyle name="60% - Accent6 2 19" xfId="16922"/>
    <cellStyle name="60% - Accent6 2 2" xfId="129"/>
    <cellStyle name="60% - Accent6 2 2 2" xfId="193"/>
    <cellStyle name="60% - Accent6 2 2 2 2" xfId="16942"/>
    <cellStyle name="60% - Accent6 2 2 2 3" xfId="16941"/>
    <cellStyle name="60% - Accent6 2 2 3" xfId="357"/>
    <cellStyle name="60% - Accent6 2 2 3 2" xfId="16944"/>
    <cellStyle name="60% - Accent6 2 2 3 3" xfId="16943"/>
    <cellStyle name="60% - Accent6 2 2 4" xfId="2179"/>
    <cellStyle name="60% - Accent6 2 2 4 2" xfId="16946"/>
    <cellStyle name="60% - Accent6 2 2 4 3" xfId="16945"/>
    <cellStyle name="60% - Accent6 2 2 5" xfId="2553"/>
    <cellStyle name="60% - Accent6 2 2 5 2" xfId="16948"/>
    <cellStyle name="60% - Accent6 2 2 5 3" xfId="16947"/>
    <cellStyle name="60% - Accent6 2 2 6" xfId="2925"/>
    <cellStyle name="60% - Accent6 2 2 6 2" xfId="16950"/>
    <cellStyle name="60% - Accent6 2 2 6 3" xfId="16949"/>
    <cellStyle name="60% - Accent6 2 2 7" xfId="3297"/>
    <cellStyle name="60% - Accent6 2 2 7 2" xfId="16952"/>
    <cellStyle name="60% - Accent6 2 2 7 3" xfId="16951"/>
    <cellStyle name="60% - Accent6 2 2 8" xfId="16953"/>
    <cellStyle name="60% - Accent6 2 2 9" xfId="16940"/>
    <cellStyle name="60% - Accent6 2 20" xfId="24483"/>
    <cellStyle name="60% - Accent6 2 3" xfId="294"/>
    <cellStyle name="60% - Accent6 2 3 2" xfId="1355"/>
    <cellStyle name="60% - Accent6 2 3 2 2" xfId="16955"/>
    <cellStyle name="60% - Accent6 2 3 3" xfId="16954"/>
    <cellStyle name="60% - Accent6 2 4" xfId="426"/>
    <cellStyle name="60% - Accent6 2 4 2" xfId="16957"/>
    <cellStyle name="60% - Accent6 2 4 3" xfId="16956"/>
    <cellStyle name="60% - Accent6 2 5" xfId="570"/>
    <cellStyle name="60% - Accent6 2 5 2" xfId="16959"/>
    <cellStyle name="60% - Accent6 2 5 3" xfId="16958"/>
    <cellStyle name="60% - Accent6 2 6" xfId="710"/>
    <cellStyle name="60% - Accent6 2 6 2" xfId="16961"/>
    <cellStyle name="60% - Accent6 2 6 3" xfId="16960"/>
    <cellStyle name="60% - Accent6 2 7" xfId="711"/>
    <cellStyle name="60% - Accent6 2 7 2" xfId="16963"/>
    <cellStyle name="60% - Accent6 2 7 3" xfId="16962"/>
    <cellStyle name="60% - Accent6 2 8" xfId="851"/>
    <cellStyle name="60% - Accent6 2 8 2" xfId="1413"/>
    <cellStyle name="60% - Accent6 2 8 2 2" xfId="16965"/>
    <cellStyle name="60% - Accent6 2 8 3" xfId="16964"/>
    <cellStyle name="60% - Accent6 2 9" xfId="956"/>
    <cellStyle name="60% - Accent6 2 9 2" xfId="1564"/>
    <cellStyle name="60% - Accent6 2 9 2 2" xfId="16967"/>
    <cellStyle name="60% - Accent6 2 9 3" xfId="16966"/>
    <cellStyle name="60% - Accent6 3" xfId="234"/>
    <cellStyle name="60% - Accent6 3 10" xfId="3692"/>
    <cellStyle name="60% - Accent6 3 10 2" xfId="16970"/>
    <cellStyle name="60% - Accent6 3 10 3" xfId="16969"/>
    <cellStyle name="60% - Accent6 3 11" xfId="16971"/>
    <cellStyle name="60% - Accent6 3 11 2" xfId="16972"/>
    <cellStyle name="60% - Accent6 3 12" xfId="16973"/>
    <cellStyle name="60% - Accent6 3 13" xfId="16968"/>
    <cellStyle name="60% - Accent6 3 2" xfId="1465"/>
    <cellStyle name="60% - Accent6 3 2 2" xfId="1845"/>
    <cellStyle name="60% - Accent6 3 2 2 2" xfId="16976"/>
    <cellStyle name="60% - Accent6 3 2 2 3" xfId="16975"/>
    <cellStyle name="60% - Accent6 3 2 3" xfId="2220"/>
    <cellStyle name="60% - Accent6 3 2 3 2" xfId="16978"/>
    <cellStyle name="60% - Accent6 3 2 3 3" xfId="16977"/>
    <cellStyle name="60% - Accent6 3 2 4" xfId="2594"/>
    <cellStyle name="60% - Accent6 3 2 4 2" xfId="16980"/>
    <cellStyle name="60% - Accent6 3 2 4 3" xfId="16979"/>
    <cellStyle name="60% - Accent6 3 2 5" xfId="2966"/>
    <cellStyle name="60% - Accent6 3 2 5 2" xfId="16982"/>
    <cellStyle name="60% - Accent6 3 2 5 3" xfId="16981"/>
    <cellStyle name="60% - Accent6 3 2 6" xfId="3338"/>
    <cellStyle name="60% - Accent6 3 2 6 2" xfId="16984"/>
    <cellStyle name="60% - Accent6 3 2 6 3" xfId="16983"/>
    <cellStyle name="60% - Accent6 3 2 7" xfId="16985"/>
    <cellStyle name="60% - Accent6 3 2 8" xfId="16974"/>
    <cellStyle name="60% - Accent6 3 3" xfId="1592"/>
    <cellStyle name="60% - Accent6 3 3 2" xfId="1922"/>
    <cellStyle name="60% - Accent6 3 3 2 2" xfId="16988"/>
    <cellStyle name="60% - Accent6 3 3 2 3" xfId="16987"/>
    <cellStyle name="60% - Accent6 3 3 3" xfId="2297"/>
    <cellStyle name="60% - Accent6 3 3 3 2" xfId="16990"/>
    <cellStyle name="60% - Accent6 3 3 3 3" xfId="16989"/>
    <cellStyle name="60% - Accent6 3 3 4" xfId="2670"/>
    <cellStyle name="60% - Accent6 3 3 4 2" xfId="16992"/>
    <cellStyle name="60% - Accent6 3 3 4 3" xfId="16991"/>
    <cellStyle name="60% - Accent6 3 3 5" xfId="3043"/>
    <cellStyle name="60% - Accent6 3 3 5 2" xfId="16994"/>
    <cellStyle name="60% - Accent6 3 3 5 3" xfId="16993"/>
    <cellStyle name="60% - Accent6 3 3 6" xfId="3414"/>
    <cellStyle name="60% - Accent6 3 3 6 2" xfId="16996"/>
    <cellStyle name="60% - Accent6 3 3 6 3" xfId="16995"/>
    <cellStyle name="60% - Accent6 3 3 7" xfId="16997"/>
    <cellStyle name="60% - Accent6 3 3 8" xfId="16986"/>
    <cellStyle name="60% - Accent6 3 4" xfId="1729"/>
    <cellStyle name="60% - Accent6 3 4 2" xfId="1966"/>
    <cellStyle name="60% - Accent6 3 4 2 2" xfId="17000"/>
    <cellStyle name="60% - Accent6 3 4 2 3" xfId="16999"/>
    <cellStyle name="60% - Accent6 3 4 3" xfId="2341"/>
    <cellStyle name="60% - Accent6 3 4 3 2" xfId="17002"/>
    <cellStyle name="60% - Accent6 3 4 3 3" xfId="17001"/>
    <cellStyle name="60% - Accent6 3 4 4" xfId="2714"/>
    <cellStyle name="60% - Accent6 3 4 4 2" xfId="17004"/>
    <cellStyle name="60% - Accent6 3 4 4 3" xfId="17003"/>
    <cellStyle name="60% - Accent6 3 4 5" xfId="3087"/>
    <cellStyle name="60% - Accent6 3 4 5 2" xfId="17006"/>
    <cellStyle name="60% - Accent6 3 4 5 3" xfId="17005"/>
    <cellStyle name="60% - Accent6 3 4 6" xfId="3458"/>
    <cellStyle name="60% - Accent6 3 4 6 2" xfId="17008"/>
    <cellStyle name="60% - Accent6 3 4 6 3" xfId="17007"/>
    <cellStyle name="60% - Accent6 3 4 7" xfId="17009"/>
    <cellStyle name="60% - Accent6 3 4 8" xfId="16998"/>
    <cellStyle name="60% - Accent6 3 5" xfId="2064"/>
    <cellStyle name="60% - Accent6 3 5 2" xfId="17011"/>
    <cellStyle name="60% - Accent6 3 5 3" xfId="17010"/>
    <cellStyle name="60% - Accent6 3 6" xfId="2438"/>
    <cellStyle name="60% - Accent6 3 6 2" xfId="17013"/>
    <cellStyle name="60% - Accent6 3 6 3" xfId="17012"/>
    <cellStyle name="60% - Accent6 3 7" xfId="2810"/>
    <cellStyle name="60% - Accent6 3 7 2" xfId="17015"/>
    <cellStyle name="60% - Accent6 3 7 3" xfId="17014"/>
    <cellStyle name="60% - Accent6 3 8" xfId="3181"/>
    <cellStyle name="60% - Accent6 3 8 2" xfId="17017"/>
    <cellStyle name="60% - Accent6 3 8 3" xfId="17016"/>
    <cellStyle name="60% - Accent6 3 9" xfId="3556"/>
    <cellStyle name="60% - Accent6 3 9 2" xfId="17019"/>
    <cellStyle name="60% - Accent6 3 9 3" xfId="17018"/>
    <cellStyle name="60% - Accent6 4" xfId="252"/>
    <cellStyle name="60% - Accent6 4 10" xfId="3736"/>
    <cellStyle name="60% - Accent6 4 10 2" xfId="17022"/>
    <cellStyle name="60% - Accent6 4 10 3" xfId="17021"/>
    <cellStyle name="60% - Accent6 4 11" xfId="1316"/>
    <cellStyle name="60% - Accent6 4 11 2" xfId="17024"/>
    <cellStyle name="60% - Accent6 4 11 3" xfId="17023"/>
    <cellStyle name="60% - Accent6 4 12" xfId="17025"/>
    <cellStyle name="60% - Accent6 4 13" xfId="17020"/>
    <cellStyle name="60% - Accent6 4 2" xfId="1510"/>
    <cellStyle name="60% - Accent6 4 2 2" xfId="17027"/>
    <cellStyle name="60% - Accent6 4 2 3" xfId="17026"/>
    <cellStyle name="60% - Accent6 4 3" xfId="1635"/>
    <cellStyle name="60% - Accent6 4 3 2" xfId="17029"/>
    <cellStyle name="60% - Accent6 4 3 3" xfId="17028"/>
    <cellStyle name="60% - Accent6 4 4" xfId="1790"/>
    <cellStyle name="60% - Accent6 4 4 2" xfId="17031"/>
    <cellStyle name="60% - Accent6 4 4 3" xfId="17030"/>
    <cellStyle name="60% - Accent6 4 5" xfId="2126"/>
    <cellStyle name="60% - Accent6 4 5 2" xfId="17033"/>
    <cellStyle name="60% - Accent6 4 5 3" xfId="17032"/>
    <cellStyle name="60% - Accent6 4 6" xfId="2500"/>
    <cellStyle name="60% - Accent6 4 6 2" xfId="17035"/>
    <cellStyle name="60% - Accent6 4 6 3" xfId="17034"/>
    <cellStyle name="60% - Accent6 4 7" xfId="2872"/>
    <cellStyle name="60% - Accent6 4 7 2" xfId="17037"/>
    <cellStyle name="60% - Accent6 4 7 3" xfId="17036"/>
    <cellStyle name="60% - Accent6 4 8" xfId="3243"/>
    <cellStyle name="60% - Accent6 4 8 2" xfId="17039"/>
    <cellStyle name="60% - Accent6 4 8 3" xfId="17038"/>
    <cellStyle name="60% - Accent6 4 9" xfId="3599"/>
    <cellStyle name="60% - Accent6 4 9 2" xfId="17041"/>
    <cellStyle name="60% - Accent6 4 9 3" xfId="17040"/>
    <cellStyle name="60% - Accent6 5" xfId="427"/>
    <cellStyle name="60% - Accent6 5 2" xfId="1877"/>
    <cellStyle name="60% - Accent6 5 2 2" xfId="17044"/>
    <cellStyle name="60% - Accent6 5 2 3" xfId="17043"/>
    <cellStyle name="60% - Accent6 5 3" xfId="2252"/>
    <cellStyle name="60% - Accent6 5 3 2" xfId="17046"/>
    <cellStyle name="60% - Accent6 5 3 3" xfId="17045"/>
    <cellStyle name="60% - Accent6 5 4" xfId="2625"/>
    <cellStyle name="60% - Accent6 5 4 2" xfId="17048"/>
    <cellStyle name="60% - Accent6 5 4 3" xfId="17047"/>
    <cellStyle name="60% - Accent6 5 5" xfId="2998"/>
    <cellStyle name="60% - Accent6 5 5 2" xfId="17050"/>
    <cellStyle name="60% - Accent6 5 5 3" xfId="17049"/>
    <cellStyle name="60% - Accent6 5 6" xfId="3369"/>
    <cellStyle name="60% - Accent6 5 6 2" xfId="17052"/>
    <cellStyle name="60% - Accent6 5 6 3" xfId="17051"/>
    <cellStyle name="60% - Accent6 5 7" xfId="17053"/>
    <cellStyle name="60% - Accent6 5 7 2" xfId="17054"/>
    <cellStyle name="60% - Accent6 5 8" xfId="17055"/>
    <cellStyle name="60% - Accent6 5 9" xfId="17042"/>
    <cellStyle name="60% - Accent6 6" xfId="428"/>
    <cellStyle name="60% - Accent6 6 10" xfId="17056"/>
    <cellStyle name="60% - Accent6 6 2" xfId="1986"/>
    <cellStyle name="60% - Accent6 6 2 2" xfId="17058"/>
    <cellStyle name="60% - Accent6 6 2 3" xfId="17057"/>
    <cellStyle name="60% - Accent6 6 3" xfId="2361"/>
    <cellStyle name="60% - Accent6 6 3 2" xfId="17060"/>
    <cellStyle name="60% - Accent6 6 3 3" xfId="17059"/>
    <cellStyle name="60% - Accent6 6 4" xfId="2734"/>
    <cellStyle name="60% - Accent6 6 4 2" xfId="17062"/>
    <cellStyle name="60% - Accent6 6 4 3" xfId="17061"/>
    <cellStyle name="60% - Accent6 6 5" xfId="3107"/>
    <cellStyle name="60% - Accent6 6 5 2" xfId="17064"/>
    <cellStyle name="60% - Accent6 6 5 3" xfId="17063"/>
    <cellStyle name="60% - Accent6 6 6" xfId="3478"/>
    <cellStyle name="60% - Accent6 6 6 2" xfId="17066"/>
    <cellStyle name="60% - Accent6 6 6 3" xfId="17065"/>
    <cellStyle name="60% - Accent6 6 7" xfId="3784"/>
    <cellStyle name="60% - Accent6 6 7 2" xfId="17068"/>
    <cellStyle name="60% - Accent6 6 7 3" xfId="17067"/>
    <cellStyle name="60% - Accent6 6 8" xfId="17069"/>
    <cellStyle name="60% - Accent6 6 8 2" xfId="17070"/>
    <cellStyle name="60% - Accent6 6 9" xfId="17071"/>
    <cellStyle name="60% - Accent6 7" xfId="429"/>
    <cellStyle name="60% - Accent6 7 2" xfId="17073"/>
    <cellStyle name="60% - Accent6 7 3" xfId="17072"/>
    <cellStyle name="60% - Accent6 8" xfId="571"/>
    <cellStyle name="60% - Accent6 8 2" xfId="17075"/>
    <cellStyle name="60% - Accent6 8 3" xfId="17074"/>
    <cellStyle name="60% - Accent6 9" xfId="572"/>
    <cellStyle name="60% - Accent6 9 2" xfId="17077"/>
    <cellStyle name="60% - Accent6 9 3" xfId="17076"/>
    <cellStyle name="Accent1 10" xfId="712"/>
    <cellStyle name="Accent1 10 2" xfId="17080"/>
    <cellStyle name="Accent1 10 3" xfId="17079"/>
    <cellStyle name="Accent1 11" xfId="713"/>
    <cellStyle name="Accent1 11 2" xfId="17082"/>
    <cellStyle name="Accent1 11 3" xfId="17081"/>
    <cellStyle name="Accent1 12" xfId="852"/>
    <cellStyle name="Accent1 12 2" xfId="17083"/>
    <cellStyle name="Accent1 13" xfId="853"/>
    <cellStyle name="Accent1 13 2" xfId="17078"/>
    <cellStyle name="Accent1 14" xfId="957"/>
    <cellStyle name="Accent1 2" xfId="86"/>
    <cellStyle name="Accent1 2 10" xfId="1685"/>
    <cellStyle name="Accent1 2 10 2" xfId="17086"/>
    <cellStyle name="Accent1 2 10 3" xfId="17085"/>
    <cellStyle name="Accent1 2 11" xfId="2020"/>
    <cellStyle name="Accent1 2 11 2" xfId="17088"/>
    <cellStyle name="Accent1 2 11 3" xfId="17087"/>
    <cellStyle name="Accent1 2 12" xfId="2394"/>
    <cellStyle name="Accent1 2 12 2" xfId="17090"/>
    <cellStyle name="Accent1 2 12 3" xfId="17089"/>
    <cellStyle name="Accent1 2 13" xfId="2767"/>
    <cellStyle name="Accent1 2 13 2" xfId="17092"/>
    <cellStyle name="Accent1 2 13 3" xfId="17091"/>
    <cellStyle name="Accent1 2 14" xfId="3141"/>
    <cellStyle name="Accent1 2 14 2" xfId="17094"/>
    <cellStyle name="Accent1 2 14 3" xfId="17093"/>
    <cellStyle name="Accent1 2 15" xfId="3512"/>
    <cellStyle name="Accent1 2 15 2" xfId="17096"/>
    <cellStyle name="Accent1 2 15 3" xfId="17095"/>
    <cellStyle name="Accent1 2 16" xfId="3650"/>
    <cellStyle name="Accent1 2 16 2" xfId="17098"/>
    <cellStyle name="Accent1 2 16 3" xfId="17097"/>
    <cellStyle name="Accent1 2 17" xfId="17099"/>
    <cellStyle name="Accent1 2 17 2" xfId="17100"/>
    <cellStyle name="Accent1 2 18" xfId="17101"/>
    <cellStyle name="Accent1 2 19" xfId="17084"/>
    <cellStyle name="Accent1 2 2" xfId="130"/>
    <cellStyle name="Accent1 2 2 2" xfId="170"/>
    <cellStyle name="Accent1 2 2 2 2" xfId="17104"/>
    <cellStyle name="Accent1 2 2 2 3" xfId="17103"/>
    <cellStyle name="Accent1 2 2 3" xfId="334"/>
    <cellStyle name="Accent1 2 2 3 2" xfId="17106"/>
    <cellStyle name="Accent1 2 2 3 3" xfId="17105"/>
    <cellStyle name="Accent1 2 2 4" xfId="2156"/>
    <cellStyle name="Accent1 2 2 4 2" xfId="17108"/>
    <cellStyle name="Accent1 2 2 4 3" xfId="17107"/>
    <cellStyle name="Accent1 2 2 5" xfId="2530"/>
    <cellStyle name="Accent1 2 2 5 2" xfId="17110"/>
    <cellStyle name="Accent1 2 2 5 3" xfId="17109"/>
    <cellStyle name="Accent1 2 2 6" xfId="2902"/>
    <cellStyle name="Accent1 2 2 6 2" xfId="17112"/>
    <cellStyle name="Accent1 2 2 6 3" xfId="17111"/>
    <cellStyle name="Accent1 2 2 7" xfId="3274"/>
    <cellStyle name="Accent1 2 2 7 2" xfId="17114"/>
    <cellStyle name="Accent1 2 2 7 3" xfId="17113"/>
    <cellStyle name="Accent1 2 2 8" xfId="17115"/>
    <cellStyle name="Accent1 2 2 9" xfId="17102"/>
    <cellStyle name="Accent1 2 20" xfId="24484"/>
    <cellStyle name="Accent1 2 3" xfId="295"/>
    <cellStyle name="Accent1 2 3 2" xfId="1332"/>
    <cellStyle name="Accent1 2 3 2 2" xfId="17117"/>
    <cellStyle name="Accent1 2 3 3" xfId="17116"/>
    <cellStyle name="Accent1 2 4" xfId="430"/>
    <cellStyle name="Accent1 2 4 2" xfId="17119"/>
    <cellStyle name="Accent1 2 4 3" xfId="17118"/>
    <cellStyle name="Accent1 2 5" xfId="573"/>
    <cellStyle name="Accent1 2 5 2" xfId="17121"/>
    <cellStyle name="Accent1 2 5 3" xfId="17120"/>
    <cellStyle name="Accent1 2 6" xfId="714"/>
    <cellStyle name="Accent1 2 6 2" xfId="17123"/>
    <cellStyle name="Accent1 2 6 3" xfId="17122"/>
    <cellStyle name="Accent1 2 7" xfId="715"/>
    <cellStyle name="Accent1 2 7 2" xfId="17125"/>
    <cellStyle name="Accent1 2 7 3" xfId="17124"/>
    <cellStyle name="Accent1 2 8" xfId="854"/>
    <cellStyle name="Accent1 2 8 2" xfId="1414"/>
    <cellStyle name="Accent1 2 8 2 2" xfId="17127"/>
    <cellStyle name="Accent1 2 8 3" xfId="17126"/>
    <cellStyle name="Accent1 2 9" xfId="958"/>
    <cellStyle name="Accent1 2 9 2" xfId="1563"/>
    <cellStyle name="Accent1 2 9 2 2" xfId="17129"/>
    <cellStyle name="Accent1 2 9 3" xfId="17128"/>
    <cellStyle name="Accent1 3" xfId="211"/>
    <cellStyle name="Accent1 3 10" xfId="3693"/>
    <cellStyle name="Accent1 3 10 2" xfId="17132"/>
    <cellStyle name="Accent1 3 10 3" xfId="17131"/>
    <cellStyle name="Accent1 3 11" xfId="17133"/>
    <cellStyle name="Accent1 3 11 2" xfId="17134"/>
    <cellStyle name="Accent1 3 12" xfId="17135"/>
    <cellStyle name="Accent1 3 13" xfId="17130"/>
    <cellStyle name="Accent1 3 2" xfId="1466"/>
    <cellStyle name="Accent1 3 2 2" xfId="1822"/>
    <cellStyle name="Accent1 3 2 2 2" xfId="17138"/>
    <cellStyle name="Accent1 3 2 2 3" xfId="17137"/>
    <cellStyle name="Accent1 3 2 3" xfId="2197"/>
    <cellStyle name="Accent1 3 2 3 2" xfId="17140"/>
    <cellStyle name="Accent1 3 2 3 3" xfId="17139"/>
    <cellStyle name="Accent1 3 2 4" xfId="2571"/>
    <cellStyle name="Accent1 3 2 4 2" xfId="17142"/>
    <cellStyle name="Accent1 3 2 4 3" xfId="17141"/>
    <cellStyle name="Accent1 3 2 5" xfId="2943"/>
    <cellStyle name="Accent1 3 2 5 2" xfId="17144"/>
    <cellStyle name="Accent1 3 2 5 3" xfId="17143"/>
    <cellStyle name="Accent1 3 2 6" xfId="3315"/>
    <cellStyle name="Accent1 3 2 6 2" xfId="17146"/>
    <cellStyle name="Accent1 3 2 6 3" xfId="17145"/>
    <cellStyle name="Accent1 3 2 7" xfId="17147"/>
    <cellStyle name="Accent1 3 2 8" xfId="17136"/>
    <cellStyle name="Accent1 3 3" xfId="1593"/>
    <cellStyle name="Accent1 3 3 2" xfId="1899"/>
    <cellStyle name="Accent1 3 3 2 2" xfId="17150"/>
    <cellStyle name="Accent1 3 3 2 3" xfId="17149"/>
    <cellStyle name="Accent1 3 3 3" xfId="2274"/>
    <cellStyle name="Accent1 3 3 3 2" xfId="17152"/>
    <cellStyle name="Accent1 3 3 3 3" xfId="17151"/>
    <cellStyle name="Accent1 3 3 4" xfId="2647"/>
    <cellStyle name="Accent1 3 3 4 2" xfId="17154"/>
    <cellStyle name="Accent1 3 3 4 3" xfId="17153"/>
    <cellStyle name="Accent1 3 3 5" xfId="3020"/>
    <cellStyle name="Accent1 3 3 5 2" xfId="17156"/>
    <cellStyle name="Accent1 3 3 5 3" xfId="17155"/>
    <cellStyle name="Accent1 3 3 6" xfId="3391"/>
    <cellStyle name="Accent1 3 3 6 2" xfId="17158"/>
    <cellStyle name="Accent1 3 3 6 3" xfId="17157"/>
    <cellStyle name="Accent1 3 3 7" xfId="17159"/>
    <cellStyle name="Accent1 3 3 8" xfId="17148"/>
    <cellStyle name="Accent1 3 4" xfId="1730"/>
    <cellStyle name="Accent1 3 4 2" xfId="1943"/>
    <cellStyle name="Accent1 3 4 2 2" xfId="17162"/>
    <cellStyle name="Accent1 3 4 2 3" xfId="17161"/>
    <cellStyle name="Accent1 3 4 3" xfId="2318"/>
    <cellStyle name="Accent1 3 4 3 2" xfId="17164"/>
    <cellStyle name="Accent1 3 4 3 3" xfId="17163"/>
    <cellStyle name="Accent1 3 4 4" xfId="2691"/>
    <cellStyle name="Accent1 3 4 4 2" xfId="17166"/>
    <cellStyle name="Accent1 3 4 4 3" xfId="17165"/>
    <cellStyle name="Accent1 3 4 5" xfId="3064"/>
    <cellStyle name="Accent1 3 4 5 2" xfId="17168"/>
    <cellStyle name="Accent1 3 4 5 3" xfId="17167"/>
    <cellStyle name="Accent1 3 4 6" xfId="3435"/>
    <cellStyle name="Accent1 3 4 6 2" xfId="17170"/>
    <cellStyle name="Accent1 3 4 6 3" xfId="17169"/>
    <cellStyle name="Accent1 3 4 7" xfId="17171"/>
    <cellStyle name="Accent1 3 4 8" xfId="17160"/>
    <cellStyle name="Accent1 3 5" xfId="2065"/>
    <cellStyle name="Accent1 3 5 2" xfId="17173"/>
    <cellStyle name="Accent1 3 5 3" xfId="17172"/>
    <cellStyle name="Accent1 3 6" xfId="2439"/>
    <cellStyle name="Accent1 3 6 2" xfId="17175"/>
    <cellStyle name="Accent1 3 6 3" xfId="17174"/>
    <cellStyle name="Accent1 3 7" xfId="2811"/>
    <cellStyle name="Accent1 3 7 2" xfId="17177"/>
    <cellStyle name="Accent1 3 7 3" xfId="17176"/>
    <cellStyle name="Accent1 3 8" xfId="3182"/>
    <cellStyle name="Accent1 3 8 2" xfId="17179"/>
    <cellStyle name="Accent1 3 8 3" xfId="17178"/>
    <cellStyle name="Accent1 3 9" xfId="3557"/>
    <cellStyle name="Accent1 3 9 2" xfId="17181"/>
    <cellStyle name="Accent1 3 9 3" xfId="17180"/>
    <cellStyle name="Accent1 4" xfId="253"/>
    <cellStyle name="Accent1 4 10" xfId="3737"/>
    <cellStyle name="Accent1 4 10 2" xfId="17184"/>
    <cellStyle name="Accent1 4 10 3" xfId="17183"/>
    <cellStyle name="Accent1 4 11" xfId="1293"/>
    <cellStyle name="Accent1 4 11 2" xfId="17186"/>
    <cellStyle name="Accent1 4 11 3" xfId="17185"/>
    <cellStyle name="Accent1 4 12" xfId="17187"/>
    <cellStyle name="Accent1 4 13" xfId="17182"/>
    <cellStyle name="Accent1 4 2" xfId="1511"/>
    <cellStyle name="Accent1 4 2 2" xfId="17189"/>
    <cellStyle name="Accent1 4 2 3" xfId="17188"/>
    <cellStyle name="Accent1 4 3" xfId="1636"/>
    <cellStyle name="Accent1 4 3 2" xfId="17191"/>
    <cellStyle name="Accent1 4 3 3" xfId="17190"/>
    <cellStyle name="Accent1 4 4" xfId="1789"/>
    <cellStyle name="Accent1 4 4 2" xfId="17193"/>
    <cellStyle name="Accent1 4 4 3" xfId="17192"/>
    <cellStyle name="Accent1 4 5" xfId="2125"/>
    <cellStyle name="Accent1 4 5 2" xfId="17195"/>
    <cellStyle name="Accent1 4 5 3" xfId="17194"/>
    <cellStyle name="Accent1 4 6" xfId="2499"/>
    <cellStyle name="Accent1 4 6 2" xfId="17197"/>
    <cellStyle name="Accent1 4 6 3" xfId="17196"/>
    <cellStyle name="Accent1 4 7" xfId="2871"/>
    <cellStyle name="Accent1 4 7 2" xfId="17199"/>
    <cellStyle name="Accent1 4 7 3" xfId="17198"/>
    <cellStyle name="Accent1 4 8" xfId="3242"/>
    <cellStyle name="Accent1 4 8 2" xfId="17201"/>
    <cellStyle name="Accent1 4 8 3" xfId="17200"/>
    <cellStyle name="Accent1 4 9" xfId="3600"/>
    <cellStyle name="Accent1 4 9 2" xfId="17203"/>
    <cellStyle name="Accent1 4 9 3" xfId="17202"/>
    <cellStyle name="Accent1 5" xfId="431"/>
    <cellStyle name="Accent1 5 2" xfId="1857"/>
    <cellStyle name="Accent1 5 2 2" xfId="17206"/>
    <cellStyle name="Accent1 5 2 3" xfId="17205"/>
    <cellStyle name="Accent1 5 3" xfId="2232"/>
    <cellStyle name="Accent1 5 3 2" xfId="17208"/>
    <cellStyle name="Accent1 5 3 3" xfId="17207"/>
    <cellStyle name="Accent1 5 4" xfId="2606"/>
    <cellStyle name="Accent1 5 4 2" xfId="17210"/>
    <cellStyle name="Accent1 5 4 3" xfId="17209"/>
    <cellStyle name="Accent1 5 5" xfId="2978"/>
    <cellStyle name="Accent1 5 5 2" xfId="17212"/>
    <cellStyle name="Accent1 5 5 3" xfId="17211"/>
    <cellStyle name="Accent1 5 6" xfId="3350"/>
    <cellStyle name="Accent1 5 6 2" xfId="17214"/>
    <cellStyle name="Accent1 5 6 3" xfId="17213"/>
    <cellStyle name="Accent1 5 7" xfId="17215"/>
    <cellStyle name="Accent1 5 7 2" xfId="17216"/>
    <cellStyle name="Accent1 5 8" xfId="17217"/>
    <cellStyle name="Accent1 5 9" xfId="17204"/>
    <cellStyle name="Accent1 6" xfId="432"/>
    <cellStyle name="Accent1 6 10" xfId="17218"/>
    <cellStyle name="Accent1 6 2" xfId="1987"/>
    <cellStyle name="Accent1 6 2 2" xfId="17220"/>
    <cellStyle name="Accent1 6 2 3" xfId="17219"/>
    <cellStyle name="Accent1 6 3" xfId="2362"/>
    <cellStyle name="Accent1 6 3 2" xfId="17222"/>
    <cellStyle name="Accent1 6 3 3" xfId="17221"/>
    <cellStyle name="Accent1 6 4" xfId="2735"/>
    <cellStyle name="Accent1 6 4 2" xfId="17224"/>
    <cellStyle name="Accent1 6 4 3" xfId="17223"/>
    <cellStyle name="Accent1 6 5" xfId="3108"/>
    <cellStyle name="Accent1 6 5 2" xfId="17226"/>
    <cellStyle name="Accent1 6 5 3" xfId="17225"/>
    <cellStyle name="Accent1 6 6" xfId="3479"/>
    <cellStyle name="Accent1 6 6 2" xfId="17228"/>
    <cellStyle name="Accent1 6 6 3" xfId="17227"/>
    <cellStyle name="Accent1 6 7" xfId="3785"/>
    <cellStyle name="Accent1 6 7 2" xfId="17230"/>
    <cellStyle name="Accent1 6 7 3" xfId="17229"/>
    <cellStyle name="Accent1 6 8" xfId="17231"/>
    <cellStyle name="Accent1 6 8 2" xfId="17232"/>
    <cellStyle name="Accent1 6 9" xfId="17233"/>
    <cellStyle name="Accent1 7" xfId="433"/>
    <cellStyle name="Accent1 7 2" xfId="17235"/>
    <cellStyle name="Accent1 7 3" xfId="17234"/>
    <cellStyle name="Accent1 8" xfId="574"/>
    <cellStyle name="Accent1 8 2" xfId="17237"/>
    <cellStyle name="Accent1 8 3" xfId="17236"/>
    <cellStyle name="Accent1 9" xfId="575"/>
    <cellStyle name="Accent1 9 2" xfId="17239"/>
    <cellStyle name="Accent1 9 3" xfId="17238"/>
    <cellStyle name="Accent2 10" xfId="716"/>
    <cellStyle name="Accent2 10 2" xfId="17242"/>
    <cellStyle name="Accent2 10 3" xfId="17241"/>
    <cellStyle name="Accent2 11" xfId="717"/>
    <cellStyle name="Accent2 11 2" xfId="17244"/>
    <cellStyle name="Accent2 11 3" xfId="17243"/>
    <cellStyle name="Accent2 12" xfId="855"/>
    <cellStyle name="Accent2 12 2" xfId="17245"/>
    <cellStyle name="Accent2 13" xfId="856"/>
    <cellStyle name="Accent2 13 2" xfId="17240"/>
    <cellStyle name="Accent2 14" xfId="959"/>
    <cellStyle name="Accent2 2" xfId="87"/>
    <cellStyle name="Accent2 2 10" xfId="1686"/>
    <cellStyle name="Accent2 2 10 2" xfId="17248"/>
    <cellStyle name="Accent2 2 10 3" xfId="17247"/>
    <cellStyle name="Accent2 2 11" xfId="2021"/>
    <cellStyle name="Accent2 2 11 2" xfId="17250"/>
    <cellStyle name="Accent2 2 11 3" xfId="17249"/>
    <cellStyle name="Accent2 2 12" xfId="2395"/>
    <cellStyle name="Accent2 2 12 2" xfId="17252"/>
    <cellStyle name="Accent2 2 12 3" xfId="17251"/>
    <cellStyle name="Accent2 2 13" xfId="2768"/>
    <cellStyle name="Accent2 2 13 2" xfId="17254"/>
    <cellStyle name="Accent2 2 13 3" xfId="17253"/>
    <cellStyle name="Accent2 2 14" xfId="3142"/>
    <cellStyle name="Accent2 2 14 2" xfId="17256"/>
    <cellStyle name="Accent2 2 14 3" xfId="17255"/>
    <cellStyle name="Accent2 2 15" xfId="3513"/>
    <cellStyle name="Accent2 2 15 2" xfId="17258"/>
    <cellStyle name="Accent2 2 15 3" xfId="17257"/>
    <cellStyle name="Accent2 2 16" xfId="3651"/>
    <cellStyle name="Accent2 2 16 2" xfId="17260"/>
    <cellStyle name="Accent2 2 16 3" xfId="17259"/>
    <cellStyle name="Accent2 2 17" xfId="17261"/>
    <cellStyle name="Accent2 2 17 2" xfId="17262"/>
    <cellStyle name="Accent2 2 18" xfId="17263"/>
    <cellStyle name="Accent2 2 19" xfId="17246"/>
    <cellStyle name="Accent2 2 2" xfId="131"/>
    <cellStyle name="Accent2 2 2 2" xfId="174"/>
    <cellStyle name="Accent2 2 2 2 2" xfId="17266"/>
    <cellStyle name="Accent2 2 2 2 3" xfId="17265"/>
    <cellStyle name="Accent2 2 2 3" xfId="338"/>
    <cellStyle name="Accent2 2 2 3 2" xfId="17268"/>
    <cellStyle name="Accent2 2 2 3 3" xfId="17267"/>
    <cellStyle name="Accent2 2 2 4" xfId="2160"/>
    <cellStyle name="Accent2 2 2 4 2" xfId="17270"/>
    <cellStyle name="Accent2 2 2 4 3" xfId="17269"/>
    <cellStyle name="Accent2 2 2 5" xfId="2534"/>
    <cellStyle name="Accent2 2 2 5 2" xfId="17272"/>
    <cellStyle name="Accent2 2 2 5 3" xfId="17271"/>
    <cellStyle name="Accent2 2 2 6" xfId="2906"/>
    <cellStyle name="Accent2 2 2 6 2" xfId="17274"/>
    <cellStyle name="Accent2 2 2 6 3" xfId="17273"/>
    <cellStyle name="Accent2 2 2 7" xfId="3278"/>
    <cellStyle name="Accent2 2 2 7 2" xfId="17276"/>
    <cellStyle name="Accent2 2 2 7 3" xfId="17275"/>
    <cellStyle name="Accent2 2 2 8" xfId="17277"/>
    <cellStyle name="Accent2 2 2 9" xfId="17264"/>
    <cellStyle name="Accent2 2 20" xfId="24485"/>
    <cellStyle name="Accent2 2 3" xfId="296"/>
    <cellStyle name="Accent2 2 3 2" xfId="1336"/>
    <cellStyle name="Accent2 2 3 2 2" xfId="17279"/>
    <cellStyle name="Accent2 2 3 3" xfId="17278"/>
    <cellStyle name="Accent2 2 4" xfId="434"/>
    <cellStyle name="Accent2 2 4 2" xfId="17281"/>
    <cellStyle name="Accent2 2 4 3" xfId="17280"/>
    <cellStyle name="Accent2 2 5" xfId="576"/>
    <cellStyle name="Accent2 2 5 2" xfId="17283"/>
    <cellStyle name="Accent2 2 5 3" xfId="17282"/>
    <cellStyle name="Accent2 2 6" xfId="718"/>
    <cellStyle name="Accent2 2 6 2" xfId="17285"/>
    <cellStyle name="Accent2 2 6 3" xfId="17284"/>
    <cellStyle name="Accent2 2 7" xfId="719"/>
    <cellStyle name="Accent2 2 7 2" xfId="17287"/>
    <cellStyle name="Accent2 2 7 3" xfId="17286"/>
    <cellStyle name="Accent2 2 8" xfId="857"/>
    <cellStyle name="Accent2 2 8 2" xfId="1415"/>
    <cellStyle name="Accent2 2 8 2 2" xfId="17289"/>
    <cellStyle name="Accent2 2 8 3" xfId="17288"/>
    <cellStyle name="Accent2 2 9" xfId="960"/>
    <cellStyle name="Accent2 2 9 2" xfId="1562"/>
    <cellStyle name="Accent2 2 9 2 2" xfId="17291"/>
    <cellStyle name="Accent2 2 9 3" xfId="17290"/>
    <cellStyle name="Accent2 3" xfId="215"/>
    <cellStyle name="Accent2 3 10" xfId="3694"/>
    <cellStyle name="Accent2 3 10 2" xfId="17294"/>
    <cellStyle name="Accent2 3 10 3" xfId="17293"/>
    <cellStyle name="Accent2 3 11" xfId="17295"/>
    <cellStyle name="Accent2 3 11 2" xfId="17296"/>
    <cellStyle name="Accent2 3 12" xfId="17297"/>
    <cellStyle name="Accent2 3 13" xfId="17292"/>
    <cellStyle name="Accent2 3 2" xfId="1467"/>
    <cellStyle name="Accent2 3 2 2" xfId="1826"/>
    <cellStyle name="Accent2 3 2 2 2" xfId="17300"/>
    <cellStyle name="Accent2 3 2 2 3" xfId="17299"/>
    <cellStyle name="Accent2 3 2 3" xfId="2201"/>
    <cellStyle name="Accent2 3 2 3 2" xfId="17302"/>
    <cellStyle name="Accent2 3 2 3 3" xfId="17301"/>
    <cellStyle name="Accent2 3 2 4" xfId="2575"/>
    <cellStyle name="Accent2 3 2 4 2" xfId="17304"/>
    <cellStyle name="Accent2 3 2 4 3" xfId="17303"/>
    <cellStyle name="Accent2 3 2 5" xfId="2947"/>
    <cellStyle name="Accent2 3 2 5 2" xfId="17306"/>
    <cellStyle name="Accent2 3 2 5 3" xfId="17305"/>
    <cellStyle name="Accent2 3 2 6" xfId="3319"/>
    <cellStyle name="Accent2 3 2 6 2" xfId="17308"/>
    <cellStyle name="Accent2 3 2 6 3" xfId="17307"/>
    <cellStyle name="Accent2 3 2 7" xfId="17309"/>
    <cellStyle name="Accent2 3 2 8" xfId="17298"/>
    <cellStyle name="Accent2 3 3" xfId="1594"/>
    <cellStyle name="Accent2 3 3 2" xfId="1903"/>
    <cellStyle name="Accent2 3 3 2 2" xfId="17312"/>
    <cellStyle name="Accent2 3 3 2 3" xfId="17311"/>
    <cellStyle name="Accent2 3 3 3" xfId="2278"/>
    <cellStyle name="Accent2 3 3 3 2" xfId="17314"/>
    <cellStyle name="Accent2 3 3 3 3" xfId="17313"/>
    <cellStyle name="Accent2 3 3 4" xfId="2651"/>
    <cellStyle name="Accent2 3 3 4 2" xfId="17316"/>
    <cellStyle name="Accent2 3 3 4 3" xfId="17315"/>
    <cellStyle name="Accent2 3 3 5" xfId="3024"/>
    <cellStyle name="Accent2 3 3 5 2" xfId="17318"/>
    <cellStyle name="Accent2 3 3 5 3" xfId="17317"/>
    <cellStyle name="Accent2 3 3 6" xfId="3395"/>
    <cellStyle name="Accent2 3 3 6 2" xfId="17320"/>
    <cellStyle name="Accent2 3 3 6 3" xfId="17319"/>
    <cellStyle name="Accent2 3 3 7" xfId="17321"/>
    <cellStyle name="Accent2 3 3 8" xfId="17310"/>
    <cellStyle name="Accent2 3 4" xfId="1731"/>
    <cellStyle name="Accent2 3 4 2" xfId="1947"/>
    <cellStyle name="Accent2 3 4 2 2" xfId="17324"/>
    <cellStyle name="Accent2 3 4 2 3" xfId="17323"/>
    <cellStyle name="Accent2 3 4 3" xfId="2322"/>
    <cellStyle name="Accent2 3 4 3 2" xfId="17326"/>
    <cellStyle name="Accent2 3 4 3 3" xfId="17325"/>
    <cellStyle name="Accent2 3 4 4" xfId="2695"/>
    <cellStyle name="Accent2 3 4 4 2" xfId="17328"/>
    <cellStyle name="Accent2 3 4 4 3" xfId="17327"/>
    <cellStyle name="Accent2 3 4 5" xfId="3068"/>
    <cellStyle name="Accent2 3 4 5 2" xfId="17330"/>
    <cellStyle name="Accent2 3 4 5 3" xfId="17329"/>
    <cellStyle name="Accent2 3 4 6" xfId="3439"/>
    <cellStyle name="Accent2 3 4 6 2" xfId="17332"/>
    <cellStyle name="Accent2 3 4 6 3" xfId="17331"/>
    <cellStyle name="Accent2 3 4 7" xfId="17333"/>
    <cellStyle name="Accent2 3 4 8" xfId="17322"/>
    <cellStyle name="Accent2 3 5" xfId="2066"/>
    <cellStyle name="Accent2 3 5 2" xfId="17335"/>
    <cellStyle name="Accent2 3 5 3" xfId="17334"/>
    <cellStyle name="Accent2 3 6" xfId="2440"/>
    <cellStyle name="Accent2 3 6 2" xfId="17337"/>
    <cellStyle name="Accent2 3 6 3" xfId="17336"/>
    <cellStyle name="Accent2 3 7" xfId="2812"/>
    <cellStyle name="Accent2 3 7 2" xfId="17339"/>
    <cellStyle name="Accent2 3 7 3" xfId="17338"/>
    <cellStyle name="Accent2 3 8" xfId="3183"/>
    <cellStyle name="Accent2 3 8 2" xfId="17341"/>
    <cellStyle name="Accent2 3 8 3" xfId="17340"/>
    <cellStyle name="Accent2 3 9" xfId="3558"/>
    <cellStyle name="Accent2 3 9 2" xfId="17343"/>
    <cellStyle name="Accent2 3 9 3" xfId="17342"/>
    <cellStyle name="Accent2 4" xfId="254"/>
    <cellStyle name="Accent2 4 10" xfId="3738"/>
    <cellStyle name="Accent2 4 10 2" xfId="17346"/>
    <cellStyle name="Accent2 4 10 3" xfId="17345"/>
    <cellStyle name="Accent2 4 11" xfId="1297"/>
    <cellStyle name="Accent2 4 11 2" xfId="17348"/>
    <cellStyle name="Accent2 4 11 3" xfId="17347"/>
    <cellStyle name="Accent2 4 12" xfId="17349"/>
    <cellStyle name="Accent2 4 13" xfId="17344"/>
    <cellStyle name="Accent2 4 2" xfId="1512"/>
    <cellStyle name="Accent2 4 2 2" xfId="17351"/>
    <cellStyle name="Accent2 4 2 3" xfId="17350"/>
    <cellStyle name="Accent2 4 3" xfId="1637"/>
    <cellStyle name="Accent2 4 3 2" xfId="17353"/>
    <cellStyle name="Accent2 4 3 3" xfId="17352"/>
    <cellStyle name="Accent2 4 4" xfId="1788"/>
    <cellStyle name="Accent2 4 4 2" xfId="17355"/>
    <cellStyle name="Accent2 4 4 3" xfId="17354"/>
    <cellStyle name="Accent2 4 5" xfId="2124"/>
    <cellStyle name="Accent2 4 5 2" xfId="17357"/>
    <cellStyle name="Accent2 4 5 3" xfId="17356"/>
    <cellStyle name="Accent2 4 6" xfId="2498"/>
    <cellStyle name="Accent2 4 6 2" xfId="17359"/>
    <cellStyle name="Accent2 4 6 3" xfId="17358"/>
    <cellStyle name="Accent2 4 7" xfId="2870"/>
    <cellStyle name="Accent2 4 7 2" xfId="17361"/>
    <cellStyle name="Accent2 4 7 3" xfId="17360"/>
    <cellStyle name="Accent2 4 8" xfId="3241"/>
    <cellStyle name="Accent2 4 8 2" xfId="17363"/>
    <cellStyle name="Accent2 4 8 3" xfId="17362"/>
    <cellStyle name="Accent2 4 9" xfId="3601"/>
    <cellStyle name="Accent2 4 9 2" xfId="17365"/>
    <cellStyle name="Accent2 4 9 3" xfId="17364"/>
    <cellStyle name="Accent2 5" xfId="435"/>
    <cellStyle name="Accent2 5 2" xfId="1874"/>
    <cellStyle name="Accent2 5 2 2" xfId="17368"/>
    <cellStyle name="Accent2 5 2 3" xfId="17367"/>
    <cellStyle name="Accent2 5 3" xfId="2249"/>
    <cellStyle name="Accent2 5 3 2" xfId="17370"/>
    <cellStyle name="Accent2 5 3 3" xfId="17369"/>
    <cellStyle name="Accent2 5 4" xfId="2623"/>
    <cellStyle name="Accent2 5 4 2" xfId="17372"/>
    <cellStyle name="Accent2 5 4 3" xfId="17371"/>
    <cellStyle name="Accent2 5 5" xfId="2995"/>
    <cellStyle name="Accent2 5 5 2" xfId="17374"/>
    <cellStyle name="Accent2 5 5 3" xfId="17373"/>
    <cellStyle name="Accent2 5 6" xfId="3367"/>
    <cellStyle name="Accent2 5 6 2" xfId="17376"/>
    <cellStyle name="Accent2 5 6 3" xfId="17375"/>
    <cellStyle name="Accent2 5 7" xfId="17377"/>
    <cellStyle name="Accent2 5 7 2" xfId="17378"/>
    <cellStyle name="Accent2 5 8" xfId="17379"/>
    <cellStyle name="Accent2 5 9" xfId="17366"/>
    <cellStyle name="Accent2 6" xfId="436"/>
    <cellStyle name="Accent2 6 10" xfId="17380"/>
    <cellStyle name="Accent2 6 2" xfId="1988"/>
    <cellStyle name="Accent2 6 2 2" xfId="17382"/>
    <cellStyle name="Accent2 6 2 3" xfId="17381"/>
    <cellStyle name="Accent2 6 3" xfId="2363"/>
    <cellStyle name="Accent2 6 3 2" xfId="17384"/>
    <cellStyle name="Accent2 6 3 3" xfId="17383"/>
    <cellStyle name="Accent2 6 4" xfId="2736"/>
    <cellStyle name="Accent2 6 4 2" xfId="17386"/>
    <cellStyle name="Accent2 6 4 3" xfId="17385"/>
    <cellStyle name="Accent2 6 5" xfId="3109"/>
    <cellStyle name="Accent2 6 5 2" xfId="17388"/>
    <cellStyle name="Accent2 6 5 3" xfId="17387"/>
    <cellStyle name="Accent2 6 6" xfId="3480"/>
    <cellStyle name="Accent2 6 6 2" xfId="17390"/>
    <cellStyle name="Accent2 6 6 3" xfId="17389"/>
    <cellStyle name="Accent2 6 7" xfId="3786"/>
    <cellStyle name="Accent2 6 7 2" xfId="17392"/>
    <cellStyle name="Accent2 6 7 3" xfId="17391"/>
    <cellStyle name="Accent2 6 8" xfId="17393"/>
    <cellStyle name="Accent2 6 8 2" xfId="17394"/>
    <cellStyle name="Accent2 6 9" xfId="17395"/>
    <cellStyle name="Accent2 7" xfId="437"/>
    <cellStyle name="Accent2 7 2" xfId="17397"/>
    <cellStyle name="Accent2 7 3" xfId="17396"/>
    <cellStyle name="Accent2 8" xfId="577"/>
    <cellStyle name="Accent2 8 2" xfId="17399"/>
    <cellStyle name="Accent2 8 3" xfId="17398"/>
    <cellStyle name="Accent2 9" xfId="578"/>
    <cellStyle name="Accent2 9 2" xfId="17401"/>
    <cellStyle name="Accent2 9 3" xfId="17400"/>
    <cellStyle name="Accent3 10" xfId="720"/>
    <cellStyle name="Accent3 10 2" xfId="17404"/>
    <cellStyle name="Accent3 10 3" xfId="17403"/>
    <cellStyle name="Accent3 11" xfId="721"/>
    <cellStyle name="Accent3 11 2" xfId="17406"/>
    <cellStyle name="Accent3 11 3" xfId="17405"/>
    <cellStyle name="Accent3 12" xfId="858"/>
    <cellStyle name="Accent3 12 2" xfId="17407"/>
    <cellStyle name="Accent3 13" xfId="859"/>
    <cellStyle name="Accent3 13 2" xfId="17402"/>
    <cellStyle name="Accent3 14" xfId="961"/>
    <cellStyle name="Accent3 2" xfId="88"/>
    <cellStyle name="Accent3 2 10" xfId="1687"/>
    <cellStyle name="Accent3 2 10 2" xfId="17410"/>
    <cellStyle name="Accent3 2 10 3" xfId="17409"/>
    <cellStyle name="Accent3 2 11" xfId="2022"/>
    <cellStyle name="Accent3 2 11 2" xfId="17412"/>
    <cellStyle name="Accent3 2 11 3" xfId="17411"/>
    <cellStyle name="Accent3 2 12" xfId="2396"/>
    <cellStyle name="Accent3 2 12 2" xfId="17414"/>
    <cellStyle name="Accent3 2 12 3" xfId="17413"/>
    <cellStyle name="Accent3 2 13" xfId="2769"/>
    <cellStyle name="Accent3 2 13 2" xfId="17416"/>
    <cellStyle name="Accent3 2 13 3" xfId="17415"/>
    <cellStyle name="Accent3 2 14" xfId="3143"/>
    <cellStyle name="Accent3 2 14 2" xfId="17418"/>
    <cellStyle name="Accent3 2 14 3" xfId="17417"/>
    <cellStyle name="Accent3 2 15" xfId="3514"/>
    <cellStyle name="Accent3 2 15 2" xfId="17420"/>
    <cellStyle name="Accent3 2 15 3" xfId="17419"/>
    <cellStyle name="Accent3 2 16" xfId="3652"/>
    <cellStyle name="Accent3 2 16 2" xfId="17422"/>
    <cellStyle name="Accent3 2 16 3" xfId="17421"/>
    <cellStyle name="Accent3 2 17" xfId="17423"/>
    <cellStyle name="Accent3 2 17 2" xfId="17424"/>
    <cellStyle name="Accent3 2 18" xfId="17425"/>
    <cellStyle name="Accent3 2 19" xfId="17408"/>
    <cellStyle name="Accent3 2 2" xfId="132"/>
    <cellStyle name="Accent3 2 2 2" xfId="178"/>
    <cellStyle name="Accent3 2 2 2 2" xfId="17428"/>
    <cellStyle name="Accent3 2 2 2 3" xfId="17427"/>
    <cellStyle name="Accent3 2 2 3" xfId="342"/>
    <cellStyle name="Accent3 2 2 3 2" xfId="17430"/>
    <cellStyle name="Accent3 2 2 3 3" xfId="17429"/>
    <cellStyle name="Accent3 2 2 4" xfId="2164"/>
    <cellStyle name="Accent3 2 2 4 2" xfId="17432"/>
    <cellStyle name="Accent3 2 2 4 3" xfId="17431"/>
    <cellStyle name="Accent3 2 2 5" xfId="2538"/>
    <cellStyle name="Accent3 2 2 5 2" xfId="17434"/>
    <cellStyle name="Accent3 2 2 5 3" xfId="17433"/>
    <cellStyle name="Accent3 2 2 6" xfId="2910"/>
    <cellStyle name="Accent3 2 2 6 2" xfId="17436"/>
    <cellStyle name="Accent3 2 2 6 3" xfId="17435"/>
    <cellStyle name="Accent3 2 2 7" xfId="3282"/>
    <cellStyle name="Accent3 2 2 7 2" xfId="17438"/>
    <cellStyle name="Accent3 2 2 7 3" xfId="17437"/>
    <cellStyle name="Accent3 2 2 8" xfId="17439"/>
    <cellStyle name="Accent3 2 2 9" xfId="17426"/>
    <cellStyle name="Accent3 2 20" xfId="24486"/>
    <cellStyle name="Accent3 2 3" xfId="297"/>
    <cellStyle name="Accent3 2 3 2" xfId="1340"/>
    <cellStyle name="Accent3 2 3 2 2" xfId="17441"/>
    <cellStyle name="Accent3 2 3 3" xfId="17440"/>
    <cellStyle name="Accent3 2 4" xfId="438"/>
    <cellStyle name="Accent3 2 4 2" xfId="17443"/>
    <cellStyle name="Accent3 2 4 3" xfId="17442"/>
    <cellStyle name="Accent3 2 5" xfId="579"/>
    <cellStyle name="Accent3 2 5 2" xfId="17445"/>
    <cellStyle name="Accent3 2 5 3" xfId="17444"/>
    <cellStyle name="Accent3 2 6" xfId="722"/>
    <cellStyle name="Accent3 2 6 2" xfId="17447"/>
    <cellStyle name="Accent3 2 6 3" xfId="17446"/>
    <cellStyle name="Accent3 2 7" xfId="723"/>
    <cellStyle name="Accent3 2 7 2" xfId="17449"/>
    <cellStyle name="Accent3 2 7 3" xfId="17448"/>
    <cellStyle name="Accent3 2 8" xfId="860"/>
    <cellStyle name="Accent3 2 8 2" xfId="1416"/>
    <cellStyle name="Accent3 2 8 2 2" xfId="17451"/>
    <cellStyle name="Accent3 2 8 3" xfId="17450"/>
    <cellStyle name="Accent3 2 9" xfId="962"/>
    <cellStyle name="Accent3 2 9 2" xfId="1561"/>
    <cellStyle name="Accent3 2 9 2 2" xfId="17453"/>
    <cellStyle name="Accent3 2 9 3" xfId="17452"/>
    <cellStyle name="Accent3 3" xfId="219"/>
    <cellStyle name="Accent3 3 10" xfId="3695"/>
    <cellStyle name="Accent3 3 10 2" xfId="17456"/>
    <cellStyle name="Accent3 3 10 3" xfId="17455"/>
    <cellStyle name="Accent3 3 11" xfId="17457"/>
    <cellStyle name="Accent3 3 11 2" xfId="17458"/>
    <cellStyle name="Accent3 3 12" xfId="17459"/>
    <cellStyle name="Accent3 3 13" xfId="17454"/>
    <cellStyle name="Accent3 3 2" xfId="1468"/>
    <cellStyle name="Accent3 3 2 2" xfId="1830"/>
    <cellStyle name="Accent3 3 2 2 2" xfId="17462"/>
    <cellStyle name="Accent3 3 2 2 3" xfId="17461"/>
    <cellStyle name="Accent3 3 2 3" xfId="2205"/>
    <cellStyle name="Accent3 3 2 3 2" xfId="17464"/>
    <cellStyle name="Accent3 3 2 3 3" xfId="17463"/>
    <cellStyle name="Accent3 3 2 4" xfId="2579"/>
    <cellStyle name="Accent3 3 2 4 2" xfId="17466"/>
    <cellStyle name="Accent3 3 2 4 3" xfId="17465"/>
    <cellStyle name="Accent3 3 2 5" xfId="2951"/>
    <cellStyle name="Accent3 3 2 5 2" xfId="17468"/>
    <cellStyle name="Accent3 3 2 5 3" xfId="17467"/>
    <cellStyle name="Accent3 3 2 6" xfId="3323"/>
    <cellStyle name="Accent3 3 2 6 2" xfId="17470"/>
    <cellStyle name="Accent3 3 2 6 3" xfId="17469"/>
    <cellStyle name="Accent3 3 2 7" xfId="17471"/>
    <cellStyle name="Accent3 3 2 8" xfId="17460"/>
    <cellStyle name="Accent3 3 3" xfId="1595"/>
    <cellStyle name="Accent3 3 3 2" xfId="1907"/>
    <cellStyle name="Accent3 3 3 2 2" xfId="17474"/>
    <cellStyle name="Accent3 3 3 2 3" xfId="17473"/>
    <cellStyle name="Accent3 3 3 3" xfId="2282"/>
    <cellStyle name="Accent3 3 3 3 2" xfId="17476"/>
    <cellStyle name="Accent3 3 3 3 3" xfId="17475"/>
    <cellStyle name="Accent3 3 3 4" xfId="2655"/>
    <cellStyle name="Accent3 3 3 4 2" xfId="17478"/>
    <cellStyle name="Accent3 3 3 4 3" xfId="17477"/>
    <cellStyle name="Accent3 3 3 5" xfId="3028"/>
    <cellStyle name="Accent3 3 3 5 2" xfId="17480"/>
    <cellStyle name="Accent3 3 3 5 3" xfId="17479"/>
    <cellStyle name="Accent3 3 3 6" xfId="3399"/>
    <cellStyle name="Accent3 3 3 6 2" xfId="17482"/>
    <cellStyle name="Accent3 3 3 6 3" xfId="17481"/>
    <cellStyle name="Accent3 3 3 7" xfId="17483"/>
    <cellStyle name="Accent3 3 3 8" xfId="17472"/>
    <cellStyle name="Accent3 3 4" xfId="1732"/>
    <cellStyle name="Accent3 3 4 2" xfId="1951"/>
    <cellStyle name="Accent3 3 4 2 2" xfId="17486"/>
    <cellStyle name="Accent3 3 4 2 3" xfId="17485"/>
    <cellStyle name="Accent3 3 4 3" xfId="2326"/>
    <cellStyle name="Accent3 3 4 3 2" xfId="17488"/>
    <cellStyle name="Accent3 3 4 3 3" xfId="17487"/>
    <cellStyle name="Accent3 3 4 4" xfId="2699"/>
    <cellStyle name="Accent3 3 4 4 2" xfId="17490"/>
    <cellStyle name="Accent3 3 4 4 3" xfId="17489"/>
    <cellStyle name="Accent3 3 4 5" xfId="3072"/>
    <cellStyle name="Accent3 3 4 5 2" xfId="17492"/>
    <cellStyle name="Accent3 3 4 5 3" xfId="17491"/>
    <cellStyle name="Accent3 3 4 6" xfId="3443"/>
    <cellStyle name="Accent3 3 4 6 2" xfId="17494"/>
    <cellStyle name="Accent3 3 4 6 3" xfId="17493"/>
    <cellStyle name="Accent3 3 4 7" xfId="17495"/>
    <cellStyle name="Accent3 3 4 8" xfId="17484"/>
    <cellStyle name="Accent3 3 5" xfId="2067"/>
    <cellStyle name="Accent3 3 5 2" xfId="17497"/>
    <cellStyle name="Accent3 3 5 3" xfId="17496"/>
    <cellStyle name="Accent3 3 6" xfId="2441"/>
    <cellStyle name="Accent3 3 6 2" xfId="17499"/>
    <cellStyle name="Accent3 3 6 3" xfId="17498"/>
    <cellStyle name="Accent3 3 7" xfId="2813"/>
    <cellStyle name="Accent3 3 7 2" xfId="17501"/>
    <cellStyle name="Accent3 3 7 3" xfId="17500"/>
    <cellStyle name="Accent3 3 8" xfId="3184"/>
    <cellStyle name="Accent3 3 8 2" xfId="17503"/>
    <cellStyle name="Accent3 3 8 3" xfId="17502"/>
    <cellStyle name="Accent3 3 9" xfId="3559"/>
    <cellStyle name="Accent3 3 9 2" xfId="17505"/>
    <cellStyle name="Accent3 3 9 3" xfId="17504"/>
    <cellStyle name="Accent3 4" xfId="255"/>
    <cellStyle name="Accent3 4 10" xfId="3739"/>
    <cellStyle name="Accent3 4 10 2" xfId="17508"/>
    <cellStyle name="Accent3 4 10 3" xfId="17507"/>
    <cellStyle name="Accent3 4 11" xfId="1301"/>
    <cellStyle name="Accent3 4 11 2" xfId="17510"/>
    <cellStyle name="Accent3 4 11 3" xfId="17509"/>
    <cellStyle name="Accent3 4 12" xfId="17511"/>
    <cellStyle name="Accent3 4 13" xfId="17506"/>
    <cellStyle name="Accent3 4 2" xfId="1513"/>
    <cellStyle name="Accent3 4 2 2" xfId="17513"/>
    <cellStyle name="Accent3 4 2 3" xfId="17512"/>
    <cellStyle name="Accent3 4 3" xfId="1638"/>
    <cellStyle name="Accent3 4 3 2" xfId="17515"/>
    <cellStyle name="Accent3 4 3 3" xfId="17514"/>
    <cellStyle name="Accent3 4 4" xfId="1787"/>
    <cellStyle name="Accent3 4 4 2" xfId="17517"/>
    <cellStyle name="Accent3 4 4 3" xfId="17516"/>
    <cellStyle name="Accent3 4 5" xfId="2123"/>
    <cellStyle name="Accent3 4 5 2" xfId="17519"/>
    <cellStyle name="Accent3 4 5 3" xfId="17518"/>
    <cellStyle name="Accent3 4 6" xfId="2497"/>
    <cellStyle name="Accent3 4 6 2" xfId="17521"/>
    <cellStyle name="Accent3 4 6 3" xfId="17520"/>
    <cellStyle name="Accent3 4 7" xfId="2869"/>
    <cellStyle name="Accent3 4 7 2" xfId="17523"/>
    <cellStyle name="Accent3 4 7 3" xfId="17522"/>
    <cellStyle name="Accent3 4 8" xfId="3240"/>
    <cellStyle name="Accent3 4 8 2" xfId="17525"/>
    <cellStyle name="Accent3 4 8 3" xfId="17524"/>
    <cellStyle name="Accent3 4 9" xfId="3602"/>
    <cellStyle name="Accent3 4 9 2" xfId="17527"/>
    <cellStyle name="Accent3 4 9 3" xfId="17526"/>
    <cellStyle name="Accent3 5" xfId="439"/>
    <cellStyle name="Accent3 5 2" xfId="1856"/>
    <cellStyle name="Accent3 5 2 2" xfId="17530"/>
    <cellStyle name="Accent3 5 2 3" xfId="17529"/>
    <cellStyle name="Accent3 5 3" xfId="2231"/>
    <cellStyle name="Accent3 5 3 2" xfId="17532"/>
    <cellStyle name="Accent3 5 3 3" xfId="17531"/>
    <cellStyle name="Accent3 5 4" xfId="2605"/>
    <cellStyle name="Accent3 5 4 2" xfId="17534"/>
    <cellStyle name="Accent3 5 4 3" xfId="17533"/>
    <cellStyle name="Accent3 5 5" xfId="2977"/>
    <cellStyle name="Accent3 5 5 2" xfId="17536"/>
    <cellStyle name="Accent3 5 5 3" xfId="17535"/>
    <cellStyle name="Accent3 5 6" xfId="3349"/>
    <cellStyle name="Accent3 5 6 2" xfId="17538"/>
    <cellStyle name="Accent3 5 6 3" xfId="17537"/>
    <cellStyle name="Accent3 5 7" xfId="17539"/>
    <cellStyle name="Accent3 5 7 2" xfId="17540"/>
    <cellStyle name="Accent3 5 8" xfId="17541"/>
    <cellStyle name="Accent3 5 9" xfId="17528"/>
    <cellStyle name="Accent3 6" xfId="440"/>
    <cellStyle name="Accent3 6 10" xfId="17542"/>
    <cellStyle name="Accent3 6 2" xfId="1989"/>
    <cellStyle name="Accent3 6 2 2" xfId="17544"/>
    <cellStyle name="Accent3 6 2 3" xfId="17543"/>
    <cellStyle name="Accent3 6 3" xfId="2364"/>
    <cellStyle name="Accent3 6 3 2" xfId="17546"/>
    <cellStyle name="Accent3 6 3 3" xfId="17545"/>
    <cellStyle name="Accent3 6 4" xfId="2737"/>
    <cellStyle name="Accent3 6 4 2" xfId="17548"/>
    <cellStyle name="Accent3 6 4 3" xfId="17547"/>
    <cellStyle name="Accent3 6 5" xfId="3110"/>
    <cellStyle name="Accent3 6 5 2" xfId="17550"/>
    <cellStyle name="Accent3 6 5 3" xfId="17549"/>
    <cellStyle name="Accent3 6 6" xfId="3481"/>
    <cellStyle name="Accent3 6 6 2" xfId="17552"/>
    <cellStyle name="Accent3 6 6 3" xfId="17551"/>
    <cellStyle name="Accent3 6 7" xfId="3787"/>
    <cellStyle name="Accent3 6 7 2" xfId="17554"/>
    <cellStyle name="Accent3 6 7 3" xfId="17553"/>
    <cellStyle name="Accent3 6 8" xfId="17555"/>
    <cellStyle name="Accent3 6 8 2" xfId="17556"/>
    <cellStyle name="Accent3 6 9" xfId="17557"/>
    <cellStyle name="Accent3 7" xfId="441"/>
    <cellStyle name="Accent3 7 2" xfId="17559"/>
    <cellStyle name="Accent3 7 3" xfId="17558"/>
    <cellStyle name="Accent3 8" xfId="580"/>
    <cellStyle name="Accent3 8 2" xfId="17561"/>
    <cellStyle name="Accent3 8 3" xfId="17560"/>
    <cellStyle name="Accent3 9" xfId="581"/>
    <cellStyle name="Accent3 9 2" xfId="17563"/>
    <cellStyle name="Accent3 9 3" xfId="17562"/>
    <cellStyle name="Accent4 10" xfId="724"/>
    <cellStyle name="Accent4 10 2" xfId="17566"/>
    <cellStyle name="Accent4 10 3" xfId="17565"/>
    <cellStyle name="Accent4 11" xfId="725"/>
    <cellStyle name="Accent4 11 2" xfId="17568"/>
    <cellStyle name="Accent4 11 3" xfId="17567"/>
    <cellStyle name="Accent4 12" xfId="861"/>
    <cellStyle name="Accent4 12 2" xfId="17569"/>
    <cellStyle name="Accent4 13" xfId="862"/>
    <cellStyle name="Accent4 13 2" xfId="17564"/>
    <cellStyle name="Accent4 14" xfId="963"/>
    <cellStyle name="Accent4 2" xfId="89"/>
    <cellStyle name="Accent4 2 10" xfId="1688"/>
    <cellStyle name="Accent4 2 10 2" xfId="17572"/>
    <cellStyle name="Accent4 2 10 3" xfId="17571"/>
    <cellStyle name="Accent4 2 11" xfId="2023"/>
    <cellStyle name="Accent4 2 11 2" xfId="17574"/>
    <cellStyle name="Accent4 2 11 3" xfId="17573"/>
    <cellStyle name="Accent4 2 12" xfId="2397"/>
    <cellStyle name="Accent4 2 12 2" xfId="17576"/>
    <cellStyle name="Accent4 2 12 3" xfId="17575"/>
    <cellStyle name="Accent4 2 13" xfId="2770"/>
    <cellStyle name="Accent4 2 13 2" xfId="17578"/>
    <cellStyle name="Accent4 2 13 3" xfId="17577"/>
    <cellStyle name="Accent4 2 14" xfId="3144"/>
    <cellStyle name="Accent4 2 14 2" xfId="17580"/>
    <cellStyle name="Accent4 2 14 3" xfId="17579"/>
    <cellStyle name="Accent4 2 15" xfId="3515"/>
    <cellStyle name="Accent4 2 15 2" xfId="17582"/>
    <cellStyle name="Accent4 2 15 3" xfId="17581"/>
    <cellStyle name="Accent4 2 16" xfId="3653"/>
    <cellStyle name="Accent4 2 16 2" xfId="17584"/>
    <cellStyle name="Accent4 2 16 3" xfId="17583"/>
    <cellStyle name="Accent4 2 17" xfId="17585"/>
    <cellStyle name="Accent4 2 17 2" xfId="17586"/>
    <cellStyle name="Accent4 2 18" xfId="17587"/>
    <cellStyle name="Accent4 2 19" xfId="17570"/>
    <cellStyle name="Accent4 2 2" xfId="133"/>
    <cellStyle name="Accent4 2 2 2" xfId="182"/>
    <cellStyle name="Accent4 2 2 2 2" xfId="17590"/>
    <cellStyle name="Accent4 2 2 2 3" xfId="17589"/>
    <cellStyle name="Accent4 2 2 3" xfId="346"/>
    <cellStyle name="Accent4 2 2 3 2" xfId="17592"/>
    <cellStyle name="Accent4 2 2 3 3" xfId="17591"/>
    <cellStyle name="Accent4 2 2 4" xfId="2168"/>
    <cellStyle name="Accent4 2 2 4 2" xfId="17594"/>
    <cellStyle name="Accent4 2 2 4 3" xfId="17593"/>
    <cellStyle name="Accent4 2 2 5" xfId="2542"/>
    <cellStyle name="Accent4 2 2 5 2" xfId="17596"/>
    <cellStyle name="Accent4 2 2 5 3" xfId="17595"/>
    <cellStyle name="Accent4 2 2 6" xfId="2914"/>
    <cellStyle name="Accent4 2 2 6 2" xfId="17598"/>
    <cellStyle name="Accent4 2 2 6 3" xfId="17597"/>
    <cellStyle name="Accent4 2 2 7" xfId="3286"/>
    <cellStyle name="Accent4 2 2 7 2" xfId="17600"/>
    <cellStyle name="Accent4 2 2 7 3" xfId="17599"/>
    <cellStyle name="Accent4 2 2 8" xfId="17601"/>
    <cellStyle name="Accent4 2 2 9" xfId="17588"/>
    <cellStyle name="Accent4 2 20" xfId="24487"/>
    <cellStyle name="Accent4 2 3" xfId="298"/>
    <cellStyle name="Accent4 2 3 2" xfId="1344"/>
    <cellStyle name="Accent4 2 3 2 2" xfId="17603"/>
    <cellStyle name="Accent4 2 3 3" xfId="17602"/>
    <cellStyle name="Accent4 2 4" xfId="442"/>
    <cellStyle name="Accent4 2 4 2" xfId="17605"/>
    <cellStyle name="Accent4 2 4 3" xfId="17604"/>
    <cellStyle name="Accent4 2 5" xfId="582"/>
    <cellStyle name="Accent4 2 5 2" xfId="17607"/>
    <cellStyle name="Accent4 2 5 3" xfId="17606"/>
    <cellStyle name="Accent4 2 6" xfId="726"/>
    <cellStyle name="Accent4 2 6 2" xfId="17609"/>
    <cellStyle name="Accent4 2 6 3" xfId="17608"/>
    <cellStyle name="Accent4 2 7" xfId="727"/>
    <cellStyle name="Accent4 2 7 2" xfId="17611"/>
    <cellStyle name="Accent4 2 7 3" xfId="17610"/>
    <cellStyle name="Accent4 2 8" xfId="863"/>
    <cellStyle name="Accent4 2 8 2" xfId="1417"/>
    <cellStyle name="Accent4 2 8 2 2" xfId="17613"/>
    <cellStyle name="Accent4 2 8 3" xfId="17612"/>
    <cellStyle name="Accent4 2 9" xfId="964"/>
    <cellStyle name="Accent4 2 9 2" xfId="1560"/>
    <cellStyle name="Accent4 2 9 2 2" xfId="17615"/>
    <cellStyle name="Accent4 2 9 3" xfId="17614"/>
    <cellStyle name="Accent4 3" xfId="223"/>
    <cellStyle name="Accent4 3 10" xfId="3696"/>
    <cellStyle name="Accent4 3 10 2" xfId="17618"/>
    <cellStyle name="Accent4 3 10 3" xfId="17617"/>
    <cellStyle name="Accent4 3 11" xfId="17619"/>
    <cellStyle name="Accent4 3 11 2" xfId="17620"/>
    <cellStyle name="Accent4 3 12" xfId="17621"/>
    <cellStyle name="Accent4 3 13" xfId="17616"/>
    <cellStyle name="Accent4 3 2" xfId="1469"/>
    <cellStyle name="Accent4 3 2 2" xfId="1834"/>
    <cellStyle name="Accent4 3 2 2 2" xfId="17624"/>
    <cellStyle name="Accent4 3 2 2 3" xfId="17623"/>
    <cellStyle name="Accent4 3 2 3" xfId="2209"/>
    <cellStyle name="Accent4 3 2 3 2" xfId="17626"/>
    <cellStyle name="Accent4 3 2 3 3" xfId="17625"/>
    <cellStyle name="Accent4 3 2 4" xfId="2583"/>
    <cellStyle name="Accent4 3 2 4 2" xfId="17628"/>
    <cellStyle name="Accent4 3 2 4 3" xfId="17627"/>
    <cellStyle name="Accent4 3 2 5" xfId="2955"/>
    <cellStyle name="Accent4 3 2 5 2" xfId="17630"/>
    <cellStyle name="Accent4 3 2 5 3" xfId="17629"/>
    <cellStyle name="Accent4 3 2 6" xfId="3327"/>
    <cellStyle name="Accent4 3 2 6 2" xfId="17632"/>
    <cellStyle name="Accent4 3 2 6 3" xfId="17631"/>
    <cellStyle name="Accent4 3 2 7" xfId="17633"/>
    <cellStyle name="Accent4 3 2 8" xfId="17622"/>
    <cellStyle name="Accent4 3 3" xfId="1596"/>
    <cellStyle name="Accent4 3 3 2" xfId="1911"/>
    <cellStyle name="Accent4 3 3 2 2" xfId="17636"/>
    <cellStyle name="Accent4 3 3 2 3" xfId="17635"/>
    <cellStyle name="Accent4 3 3 3" xfId="2286"/>
    <cellStyle name="Accent4 3 3 3 2" xfId="17638"/>
    <cellStyle name="Accent4 3 3 3 3" xfId="17637"/>
    <cellStyle name="Accent4 3 3 4" xfId="2659"/>
    <cellStyle name="Accent4 3 3 4 2" xfId="17640"/>
    <cellStyle name="Accent4 3 3 4 3" xfId="17639"/>
    <cellStyle name="Accent4 3 3 5" xfId="3032"/>
    <cellStyle name="Accent4 3 3 5 2" xfId="17642"/>
    <cellStyle name="Accent4 3 3 5 3" xfId="17641"/>
    <cellStyle name="Accent4 3 3 6" xfId="3403"/>
    <cellStyle name="Accent4 3 3 6 2" xfId="17644"/>
    <cellStyle name="Accent4 3 3 6 3" xfId="17643"/>
    <cellStyle name="Accent4 3 3 7" xfId="17645"/>
    <cellStyle name="Accent4 3 3 8" xfId="17634"/>
    <cellStyle name="Accent4 3 4" xfId="1733"/>
    <cellStyle name="Accent4 3 4 2" xfId="1955"/>
    <cellStyle name="Accent4 3 4 2 2" xfId="17648"/>
    <cellStyle name="Accent4 3 4 2 3" xfId="17647"/>
    <cellStyle name="Accent4 3 4 3" xfId="2330"/>
    <cellStyle name="Accent4 3 4 3 2" xfId="17650"/>
    <cellStyle name="Accent4 3 4 3 3" xfId="17649"/>
    <cellStyle name="Accent4 3 4 4" xfId="2703"/>
    <cellStyle name="Accent4 3 4 4 2" xfId="17652"/>
    <cellStyle name="Accent4 3 4 4 3" xfId="17651"/>
    <cellStyle name="Accent4 3 4 5" xfId="3076"/>
    <cellStyle name="Accent4 3 4 5 2" xfId="17654"/>
    <cellStyle name="Accent4 3 4 5 3" xfId="17653"/>
    <cellStyle name="Accent4 3 4 6" xfId="3447"/>
    <cellStyle name="Accent4 3 4 6 2" xfId="17656"/>
    <cellStyle name="Accent4 3 4 6 3" xfId="17655"/>
    <cellStyle name="Accent4 3 4 7" xfId="17657"/>
    <cellStyle name="Accent4 3 4 8" xfId="17646"/>
    <cellStyle name="Accent4 3 5" xfId="2068"/>
    <cellStyle name="Accent4 3 5 2" xfId="17659"/>
    <cellStyle name="Accent4 3 5 3" xfId="17658"/>
    <cellStyle name="Accent4 3 6" xfId="2442"/>
    <cellStyle name="Accent4 3 6 2" xfId="17661"/>
    <cellStyle name="Accent4 3 6 3" xfId="17660"/>
    <cellStyle name="Accent4 3 7" xfId="2814"/>
    <cellStyle name="Accent4 3 7 2" xfId="17663"/>
    <cellStyle name="Accent4 3 7 3" xfId="17662"/>
    <cellStyle name="Accent4 3 8" xfId="3185"/>
    <cellStyle name="Accent4 3 8 2" xfId="17665"/>
    <cellStyle name="Accent4 3 8 3" xfId="17664"/>
    <cellStyle name="Accent4 3 9" xfId="3560"/>
    <cellStyle name="Accent4 3 9 2" xfId="17667"/>
    <cellStyle name="Accent4 3 9 3" xfId="17666"/>
    <cellStyle name="Accent4 4" xfId="256"/>
    <cellStyle name="Accent4 4 10" xfId="3740"/>
    <cellStyle name="Accent4 4 10 2" xfId="17670"/>
    <cellStyle name="Accent4 4 10 3" xfId="17669"/>
    <cellStyle name="Accent4 4 11" xfId="1305"/>
    <cellStyle name="Accent4 4 11 2" xfId="17672"/>
    <cellStyle name="Accent4 4 11 3" xfId="17671"/>
    <cellStyle name="Accent4 4 12" xfId="17673"/>
    <cellStyle name="Accent4 4 13" xfId="17668"/>
    <cellStyle name="Accent4 4 2" xfId="1514"/>
    <cellStyle name="Accent4 4 2 2" xfId="17675"/>
    <cellStyle name="Accent4 4 2 3" xfId="17674"/>
    <cellStyle name="Accent4 4 3" xfId="1639"/>
    <cellStyle name="Accent4 4 3 2" xfId="17677"/>
    <cellStyle name="Accent4 4 3 3" xfId="17676"/>
    <cellStyle name="Accent4 4 4" xfId="1740"/>
    <cellStyle name="Accent4 4 4 2" xfId="17679"/>
    <cellStyle name="Accent4 4 4 3" xfId="17678"/>
    <cellStyle name="Accent4 4 5" xfId="2075"/>
    <cellStyle name="Accent4 4 5 2" xfId="17681"/>
    <cellStyle name="Accent4 4 5 3" xfId="17680"/>
    <cellStyle name="Accent4 4 6" xfId="2449"/>
    <cellStyle name="Accent4 4 6 2" xfId="17683"/>
    <cellStyle name="Accent4 4 6 3" xfId="17682"/>
    <cellStyle name="Accent4 4 7" xfId="2821"/>
    <cellStyle name="Accent4 4 7 2" xfId="17685"/>
    <cellStyle name="Accent4 4 7 3" xfId="17684"/>
    <cellStyle name="Accent4 4 8" xfId="3192"/>
    <cellStyle name="Accent4 4 8 2" xfId="17687"/>
    <cellStyle name="Accent4 4 8 3" xfId="17686"/>
    <cellStyle name="Accent4 4 9" xfId="3603"/>
    <cellStyle name="Accent4 4 9 2" xfId="17689"/>
    <cellStyle name="Accent4 4 9 3" xfId="17688"/>
    <cellStyle name="Accent4 5" xfId="443"/>
    <cellStyle name="Accent4 5 2" xfId="1855"/>
    <cellStyle name="Accent4 5 2 2" xfId="17692"/>
    <cellStyle name="Accent4 5 2 3" xfId="17691"/>
    <cellStyle name="Accent4 5 3" xfId="2230"/>
    <cellStyle name="Accent4 5 3 2" xfId="17694"/>
    <cellStyle name="Accent4 5 3 3" xfId="17693"/>
    <cellStyle name="Accent4 5 4" xfId="2604"/>
    <cellStyle name="Accent4 5 4 2" xfId="17696"/>
    <cellStyle name="Accent4 5 4 3" xfId="17695"/>
    <cellStyle name="Accent4 5 5" xfId="2976"/>
    <cellStyle name="Accent4 5 5 2" xfId="17698"/>
    <cellStyle name="Accent4 5 5 3" xfId="17697"/>
    <cellStyle name="Accent4 5 6" xfId="3348"/>
    <cellStyle name="Accent4 5 6 2" xfId="17700"/>
    <cellStyle name="Accent4 5 6 3" xfId="17699"/>
    <cellStyle name="Accent4 5 7" xfId="17701"/>
    <cellStyle name="Accent4 5 7 2" xfId="17702"/>
    <cellStyle name="Accent4 5 8" xfId="17703"/>
    <cellStyle name="Accent4 5 9" xfId="17690"/>
    <cellStyle name="Accent4 6" xfId="444"/>
    <cellStyle name="Accent4 6 10" xfId="17704"/>
    <cellStyle name="Accent4 6 2" xfId="1990"/>
    <cellStyle name="Accent4 6 2 2" xfId="17706"/>
    <cellStyle name="Accent4 6 2 3" xfId="17705"/>
    <cellStyle name="Accent4 6 3" xfId="2365"/>
    <cellStyle name="Accent4 6 3 2" xfId="17708"/>
    <cellStyle name="Accent4 6 3 3" xfId="17707"/>
    <cellStyle name="Accent4 6 4" xfId="2738"/>
    <cellStyle name="Accent4 6 4 2" xfId="17710"/>
    <cellStyle name="Accent4 6 4 3" xfId="17709"/>
    <cellStyle name="Accent4 6 5" xfId="3111"/>
    <cellStyle name="Accent4 6 5 2" xfId="17712"/>
    <cellStyle name="Accent4 6 5 3" xfId="17711"/>
    <cellStyle name="Accent4 6 6" xfId="3482"/>
    <cellStyle name="Accent4 6 6 2" xfId="17714"/>
    <cellStyle name="Accent4 6 6 3" xfId="17713"/>
    <cellStyle name="Accent4 6 7" xfId="3788"/>
    <cellStyle name="Accent4 6 7 2" xfId="17716"/>
    <cellStyle name="Accent4 6 7 3" xfId="17715"/>
    <cellStyle name="Accent4 6 8" xfId="17717"/>
    <cellStyle name="Accent4 6 8 2" xfId="17718"/>
    <cellStyle name="Accent4 6 9" xfId="17719"/>
    <cellStyle name="Accent4 7" xfId="445"/>
    <cellStyle name="Accent4 7 2" xfId="17721"/>
    <cellStyle name="Accent4 7 3" xfId="17720"/>
    <cellStyle name="Accent4 8" xfId="583"/>
    <cellStyle name="Accent4 8 2" xfId="17723"/>
    <cellStyle name="Accent4 8 3" xfId="17722"/>
    <cellStyle name="Accent4 9" xfId="584"/>
    <cellStyle name="Accent4 9 2" xfId="17725"/>
    <cellStyle name="Accent4 9 3" xfId="17724"/>
    <cellStyle name="Accent5 10" xfId="728"/>
    <cellStyle name="Accent5 10 2" xfId="17728"/>
    <cellStyle name="Accent5 10 3" xfId="17727"/>
    <cellStyle name="Accent5 11" xfId="729"/>
    <cellStyle name="Accent5 11 2" xfId="17730"/>
    <cellStyle name="Accent5 11 3" xfId="17729"/>
    <cellStyle name="Accent5 12" xfId="864"/>
    <cellStyle name="Accent5 12 2" xfId="17731"/>
    <cellStyle name="Accent5 13" xfId="865"/>
    <cellStyle name="Accent5 13 2" xfId="17726"/>
    <cellStyle name="Accent5 14" xfId="965"/>
    <cellStyle name="Accent5 2" xfId="90"/>
    <cellStyle name="Accent5 2 10" xfId="1689"/>
    <cellStyle name="Accent5 2 10 2" xfId="17734"/>
    <cellStyle name="Accent5 2 10 3" xfId="17733"/>
    <cellStyle name="Accent5 2 11" xfId="2024"/>
    <cellStyle name="Accent5 2 11 2" xfId="17736"/>
    <cellStyle name="Accent5 2 11 3" xfId="17735"/>
    <cellStyle name="Accent5 2 12" xfId="2398"/>
    <cellStyle name="Accent5 2 12 2" xfId="17738"/>
    <cellStyle name="Accent5 2 12 3" xfId="17737"/>
    <cellStyle name="Accent5 2 13" xfId="2771"/>
    <cellStyle name="Accent5 2 13 2" xfId="17740"/>
    <cellStyle name="Accent5 2 13 3" xfId="17739"/>
    <cellStyle name="Accent5 2 14" xfId="3145"/>
    <cellStyle name="Accent5 2 14 2" xfId="17742"/>
    <cellStyle name="Accent5 2 14 3" xfId="17741"/>
    <cellStyle name="Accent5 2 15" xfId="3516"/>
    <cellStyle name="Accent5 2 15 2" xfId="17744"/>
    <cellStyle name="Accent5 2 15 3" xfId="17743"/>
    <cellStyle name="Accent5 2 16" xfId="3654"/>
    <cellStyle name="Accent5 2 16 2" xfId="17746"/>
    <cellStyle name="Accent5 2 16 3" xfId="17745"/>
    <cellStyle name="Accent5 2 17" xfId="17747"/>
    <cellStyle name="Accent5 2 17 2" xfId="17748"/>
    <cellStyle name="Accent5 2 18" xfId="17749"/>
    <cellStyle name="Accent5 2 19" xfId="17732"/>
    <cellStyle name="Accent5 2 2" xfId="134"/>
    <cellStyle name="Accent5 2 2 2" xfId="186"/>
    <cellStyle name="Accent5 2 2 2 2" xfId="17752"/>
    <cellStyle name="Accent5 2 2 2 3" xfId="17751"/>
    <cellStyle name="Accent5 2 2 3" xfId="350"/>
    <cellStyle name="Accent5 2 2 3 2" xfId="17754"/>
    <cellStyle name="Accent5 2 2 3 3" xfId="17753"/>
    <cellStyle name="Accent5 2 2 4" xfId="2172"/>
    <cellStyle name="Accent5 2 2 4 2" xfId="17756"/>
    <cellStyle name="Accent5 2 2 4 3" xfId="17755"/>
    <cellStyle name="Accent5 2 2 5" xfId="2546"/>
    <cellStyle name="Accent5 2 2 5 2" xfId="17758"/>
    <cellStyle name="Accent5 2 2 5 3" xfId="17757"/>
    <cellStyle name="Accent5 2 2 6" xfId="2918"/>
    <cellStyle name="Accent5 2 2 6 2" xfId="17760"/>
    <cellStyle name="Accent5 2 2 6 3" xfId="17759"/>
    <cellStyle name="Accent5 2 2 7" xfId="3290"/>
    <cellStyle name="Accent5 2 2 7 2" xfId="17762"/>
    <cellStyle name="Accent5 2 2 7 3" xfId="17761"/>
    <cellStyle name="Accent5 2 2 8" xfId="17763"/>
    <cellStyle name="Accent5 2 2 9" xfId="17750"/>
    <cellStyle name="Accent5 2 20" xfId="24488"/>
    <cellStyle name="Accent5 2 3" xfId="299"/>
    <cellStyle name="Accent5 2 3 2" xfId="1348"/>
    <cellStyle name="Accent5 2 3 2 2" xfId="17765"/>
    <cellStyle name="Accent5 2 3 3" xfId="17764"/>
    <cellStyle name="Accent5 2 4" xfId="446"/>
    <cellStyle name="Accent5 2 4 2" xfId="17767"/>
    <cellStyle name="Accent5 2 4 3" xfId="17766"/>
    <cellStyle name="Accent5 2 5" xfId="585"/>
    <cellStyle name="Accent5 2 5 2" xfId="17769"/>
    <cellStyle name="Accent5 2 5 3" xfId="17768"/>
    <cellStyle name="Accent5 2 6" xfId="730"/>
    <cellStyle name="Accent5 2 6 2" xfId="17771"/>
    <cellStyle name="Accent5 2 6 3" xfId="17770"/>
    <cellStyle name="Accent5 2 7" xfId="731"/>
    <cellStyle name="Accent5 2 7 2" xfId="17773"/>
    <cellStyle name="Accent5 2 7 3" xfId="17772"/>
    <cellStyle name="Accent5 2 8" xfId="866"/>
    <cellStyle name="Accent5 2 8 2" xfId="1418"/>
    <cellStyle name="Accent5 2 8 2 2" xfId="17775"/>
    <cellStyle name="Accent5 2 8 3" xfId="17774"/>
    <cellStyle name="Accent5 2 9" xfId="966"/>
    <cellStyle name="Accent5 2 9 2" xfId="1559"/>
    <cellStyle name="Accent5 2 9 2 2" xfId="17777"/>
    <cellStyle name="Accent5 2 9 3" xfId="17776"/>
    <cellStyle name="Accent5 3" xfId="227"/>
    <cellStyle name="Accent5 3 10" xfId="3697"/>
    <cellStyle name="Accent5 3 10 2" xfId="17780"/>
    <cellStyle name="Accent5 3 10 3" xfId="17779"/>
    <cellStyle name="Accent5 3 11" xfId="17781"/>
    <cellStyle name="Accent5 3 11 2" xfId="17782"/>
    <cellStyle name="Accent5 3 12" xfId="17783"/>
    <cellStyle name="Accent5 3 13" xfId="17778"/>
    <cellStyle name="Accent5 3 2" xfId="1470"/>
    <cellStyle name="Accent5 3 2 2" xfId="1838"/>
    <cellStyle name="Accent5 3 2 2 2" xfId="17786"/>
    <cellStyle name="Accent5 3 2 2 3" xfId="17785"/>
    <cellStyle name="Accent5 3 2 3" xfId="2213"/>
    <cellStyle name="Accent5 3 2 3 2" xfId="17788"/>
    <cellStyle name="Accent5 3 2 3 3" xfId="17787"/>
    <cellStyle name="Accent5 3 2 4" xfId="2587"/>
    <cellStyle name="Accent5 3 2 4 2" xfId="17790"/>
    <cellStyle name="Accent5 3 2 4 3" xfId="17789"/>
    <cellStyle name="Accent5 3 2 5" xfId="2959"/>
    <cellStyle name="Accent5 3 2 5 2" xfId="17792"/>
    <cellStyle name="Accent5 3 2 5 3" xfId="17791"/>
    <cellStyle name="Accent5 3 2 6" xfId="3331"/>
    <cellStyle name="Accent5 3 2 6 2" xfId="17794"/>
    <cellStyle name="Accent5 3 2 6 3" xfId="17793"/>
    <cellStyle name="Accent5 3 2 7" xfId="17795"/>
    <cellStyle name="Accent5 3 2 8" xfId="17784"/>
    <cellStyle name="Accent5 3 3" xfId="1597"/>
    <cellStyle name="Accent5 3 3 2" xfId="1915"/>
    <cellStyle name="Accent5 3 3 2 2" xfId="17798"/>
    <cellStyle name="Accent5 3 3 2 3" xfId="17797"/>
    <cellStyle name="Accent5 3 3 3" xfId="2290"/>
    <cellStyle name="Accent5 3 3 3 2" xfId="17800"/>
    <cellStyle name="Accent5 3 3 3 3" xfId="17799"/>
    <cellStyle name="Accent5 3 3 4" xfId="2663"/>
    <cellStyle name="Accent5 3 3 4 2" xfId="17802"/>
    <cellStyle name="Accent5 3 3 4 3" xfId="17801"/>
    <cellStyle name="Accent5 3 3 5" xfId="3036"/>
    <cellStyle name="Accent5 3 3 5 2" xfId="17804"/>
    <cellStyle name="Accent5 3 3 5 3" xfId="17803"/>
    <cellStyle name="Accent5 3 3 6" xfId="3407"/>
    <cellStyle name="Accent5 3 3 6 2" xfId="17806"/>
    <cellStyle name="Accent5 3 3 6 3" xfId="17805"/>
    <cellStyle name="Accent5 3 3 7" xfId="17807"/>
    <cellStyle name="Accent5 3 3 8" xfId="17796"/>
    <cellStyle name="Accent5 3 4" xfId="1734"/>
    <cellStyle name="Accent5 3 4 2" xfId="1959"/>
    <cellStyle name="Accent5 3 4 2 2" xfId="17810"/>
    <cellStyle name="Accent5 3 4 2 3" xfId="17809"/>
    <cellStyle name="Accent5 3 4 3" xfId="2334"/>
    <cellStyle name="Accent5 3 4 3 2" xfId="17812"/>
    <cellStyle name="Accent5 3 4 3 3" xfId="17811"/>
    <cellStyle name="Accent5 3 4 4" xfId="2707"/>
    <cellStyle name="Accent5 3 4 4 2" xfId="17814"/>
    <cellStyle name="Accent5 3 4 4 3" xfId="17813"/>
    <cellStyle name="Accent5 3 4 5" xfId="3080"/>
    <cellStyle name="Accent5 3 4 5 2" xfId="17816"/>
    <cellStyle name="Accent5 3 4 5 3" xfId="17815"/>
    <cellStyle name="Accent5 3 4 6" xfId="3451"/>
    <cellStyle name="Accent5 3 4 6 2" xfId="17818"/>
    <cellStyle name="Accent5 3 4 6 3" xfId="17817"/>
    <cellStyle name="Accent5 3 4 7" xfId="17819"/>
    <cellStyle name="Accent5 3 4 8" xfId="17808"/>
    <cellStyle name="Accent5 3 5" xfId="2069"/>
    <cellStyle name="Accent5 3 5 2" xfId="17821"/>
    <cellStyle name="Accent5 3 5 3" xfId="17820"/>
    <cellStyle name="Accent5 3 6" xfId="2443"/>
    <cellStyle name="Accent5 3 6 2" xfId="17823"/>
    <cellStyle name="Accent5 3 6 3" xfId="17822"/>
    <cellStyle name="Accent5 3 7" xfId="2815"/>
    <cellStyle name="Accent5 3 7 2" xfId="17825"/>
    <cellStyle name="Accent5 3 7 3" xfId="17824"/>
    <cellStyle name="Accent5 3 8" xfId="3186"/>
    <cellStyle name="Accent5 3 8 2" xfId="17827"/>
    <cellStyle name="Accent5 3 8 3" xfId="17826"/>
    <cellStyle name="Accent5 3 9" xfId="3561"/>
    <cellStyle name="Accent5 3 9 2" xfId="17829"/>
    <cellStyle name="Accent5 3 9 3" xfId="17828"/>
    <cellStyle name="Accent5 4" xfId="257"/>
    <cellStyle name="Accent5 4 10" xfId="3741"/>
    <cellStyle name="Accent5 4 10 2" xfId="17832"/>
    <cellStyle name="Accent5 4 10 3" xfId="17831"/>
    <cellStyle name="Accent5 4 11" xfId="1309"/>
    <cellStyle name="Accent5 4 11 2" xfId="17834"/>
    <cellStyle name="Accent5 4 11 3" xfId="17833"/>
    <cellStyle name="Accent5 4 12" xfId="17835"/>
    <cellStyle name="Accent5 4 13" xfId="17830"/>
    <cellStyle name="Accent5 4 2" xfId="1515"/>
    <cellStyle name="Accent5 4 2 2" xfId="17837"/>
    <cellStyle name="Accent5 4 2 3" xfId="17836"/>
    <cellStyle name="Accent5 4 3" xfId="1640"/>
    <cellStyle name="Accent5 4 3 2" xfId="17839"/>
    <cellStyle name="Accent5 4 3 3" xfId="17838"/>
    <cellStyle name="Accent5 4 4" xfId="1739"/>
    <cellStyle name="Accent5 4 4 2" xfId="17841"/>
    <cellStyle name="Accent5 4 4 3" xfId="17840"/>
    <cellStyle name="Accent5 4 5" xfId="2074"/>
    <cellStyle name="Accent5 4 5 2" xfId="17843"/>
    <cellStyle name="Accent5 4 5 3" xfId="17842"/>
    <cellStyle name="Accent5 4 6" xfId="2448"/>
    <cellStyle name="Accent5 4 6 2" xfId="17845"/>
    <cellStyle name="Accent5 4 6 3" xfId="17844"/>
    <cellStyle name="Accent5 4 7" xfId="2820"/>
    <cellStyle name="Accent5 4 7 2" xfId="17847"/>
    <cellStyle name="Accent5 4 7 3" xfId="17846"/>
    <cellStyle name="Accent5 4 8" xfId="3191"/>
    <cellStyle name="Accent5 4 8 2" xfId="17849"/>
    <cellStyle name="Accent5 4 8 3" xfId="17848"/>
    <cellStyle name="Accent5 4 9" xfId="3604"/>
    <cellStyle name="Accent5 4 9 2" xfId="17851"/>
    <cellStyle name="Accent5 4 9 3" xfId="17850"/>
    <cellStyle name="Accent5 5" xfId="447"/>
    <cellStyle name="Accent5 5 2" xfId="1775"/>
    <cellStyle name="Accent5 5 2 2" xfId="17854"/>
    <cellStyle name="Accent5 5 2 3" xfId="17853"/>
    <cellStyle name="Accent5 5 3" xfId="2110"/>
    <cellStyle name="Accent5 5 3 2" xfId="17856"/>
    <cellStyle name="Accent5 5 3 3" xfId="17855"/>
    <cellStyle name="Accent5 5 4" xfId="2484"/>
    <cellStyle name="Accent5 5 4 2" xfId="17858"/>
    <cellStyle name="Accent5 5 4 3" xfId="17857"/>
    <cellStyle name="Accent5 5 5" xfId="2856"/>
    <cellStyle name="Accent5 5 5 2" xfId="17860"/>
    <cellStyle name="Accent5 5 5 3" xfId="17859"/>
    <cellStyle name="Accent5 5 6" xfId="3227"/>
    <cellStyle name="Accent5 5 6 2" xfId="17862"/>
    <cellStyle name="Accent5 5 6 3" xfId="17861"/>
    <cellStyle name="Accent5 5 7" xfId="17863"/>
    <cellStyle name="Accent5 5 7 2" xfId="17864"/>
    <cellStyle name="Accent5 5 8" xfId="17865"/>
    <cellStyle name="Accent5 5 9" xfId="17852"/>
    <cellStyle name="Accent5 6" xfId="448"/>
    <cellStyle name="Accent5 6 10" xfId="17866"/>
    <cellStyle name="Accent5 6 2" xfId="1991"/>
    <cellStyle name="Accent5 6 2 2" xfId="17868"/>
    <cellStyle name="Accent5 6 2 3" xfId="17867"/>
    <cellStyle name="Accent5 6 3" xfId="2366"/>
    <cellStyle name="Accent5 6 3 2" xfId="17870"/>
    <cellStyle name="Accent5 6 3 3" xfId="17869"/>
    <cellStyle name="Accent5 6 4" xfId="2739"/>
    <cellStyle name="Accent5 6 4 2" xfId="17872"/>
    <cellStyle name="Accent5 6 4 3" xfId="17871"/>
    <cellStyle name="Accent5 6 5" xfId="3112"/>
    <cellStyle name="Accent5 6 5 2" xfId="17874"/>
    <cellStyle name="Accent5 6 5 3" xfId="17873"/>
    <cellStyle name="Accent5 6 6" xfId="3483"/>
    <cellStyle name="Accent5 6 6 2" xfId="17876"/>
    <cellStyle name="Accent5 6 6 3" xfId="17875"/>
    <cellStyle name="Accent5 6 7" xfId="3789"/>
    <cellStyle name="Accent5 6 7 2" xfId="17878"/>
    <cellStyle name="Accent5 6 7 3" xfId="17877"/>
    <cellStyle name="Accent5 6 8" xfId="17879"/>
    <cellStyle name="Accent5 6 8 2" xfId="17880"/>
    <cellStyle name="Accent5 6 9" xfId="17881"/>
    <cellStyle name="Accent5 7" xfId="449"/>
    <cellStyle name="Accent5 7 2" xfId="17883"/>
    <cellStyle name="Accent5 7 3" xfId="17882"/>
    <cellStyle name="Accent5 8" xfId="586"/>
    <cellStyle name="Accent5 8 2" xfId="17885"/>
    <cellStyle name="Accent5 8 3" xfId="17884"/>
    <cellStyle name="Accent5 9" xfId="587"/>
    <cellStyle name="Accent5 9 2" xfId="17887"/>
    <cellStyle name="Accent5 9 3" xfId="17886"/>
    <cellStyle name="Accent6 10" xfId="732"/>
    <cellStyle name="Accent6 10 2" xfId="17890"/>
    <cellStyle name="Accent6 10 3" xfId="17889"/>
    <cellStyle name="Accent6 11" xfId="733"/>
    <cellStyle name="Accent6 11 2" xfId="17892"/>
    <cellStyle name="Accent6 11 3" xfId="17891"/>
    <cellStyle name="Accent6 12" xfId="867"/>
    <cellStyle name="Accent6 12 2" xfId="17893"/>
    <cellStyle name="Accent6 13" xfId="868"/>
    <cellStyle name="Accent6 13 2" xfId="17888"/>
    <cellStyle name="Accent6 14" xfId="967"/>
    <cellStyle name="Accent6 2" xfId="91"/>
    <cellStyle name="Accent6 2 10" xfId="1690"/>
    <cellStyle name="Accent6 2 10 2" xfId="17896"/>
    <cellStyle name="Accent6 2 10 3" xfId="17895"/>
    <cellStyle name="Accent6 2 11" xfId="2025"/>
    <cellStyle name="Accent6 2 11 2" xfId="17898"/>
    <cellStyle name="Accent6 2 11 3" xfId="17897"/>
    <cellStyle name="Accent6 2 12" xfId="2399"/>
    <cellStyle name="Accent6 2 12 2" xfId="17900"/>
    <cellStyle name="Accent6 2 12 3" xfId="17899"/>
    <cellStyle name="Accent6 2 13" xfId="2772"/>
    <cellStyle name="Accent6 2 13 2" xfId="17902"/>
    <cellStyle name="Accent6 2 13 3" xfId="17901"/>
    <cellStyle name="Accent6 2 14" xfId="3146"/>
    <cellStyle name="Accent6 2 14 2" xfId="17904"/>
    <cellStyle name="Accent6 2 14 3" xfId="17903"/>
    <cellStyle name="Accent6 2 15" xfId="3517"/>
    <cellStyle name="Accent6 2 15 2" xfId="17906"/>
    <cellStyle name="Accent6 2 15 3" xfId="17905"/>
    <cellStyle name="Accent6 2 16" xfId="3655"/>
    <cellStyle name="Accent6 2 16 2" xfId="17908"/>
    <cellStyle name="Accent6 2 16 3" xfId="17907"/>
    <cellStyle name="Accent6 2 17" xfId="17909"/>
    <cellStyle name="Accent6 2 17 2" xfId="17910"/>
    <cellStyle name="Accent6 2 18" xfId="17911"/>
    <cellStyle name="Accent6 2 19" xfId="17894"/>
    <cellStyle name="Accent6 2 2" xfId="135"/>
    <cellStyle name="Accent6 2 2 2" xfId="190"/>
    <cellStyle name="Accent6 2 2 2 2" xfId="17914"/>
    <cellStyle name="Accent6 2 2 2 3" xfId="17913"/>
    <cellStyle name="Accent6 2 2 3" xfId="354"/>
    <cellStyle name="Accent6 2 2 3 2" xfId="17916"/>
    <cellStyle name="Accent6 2 2 3 3" xfId="17915"/>
    <cellStyle name="Accent6 2 2 4" xfId="2176"/>
    <cellStyle name="Accent6 2 2 4 2" xfId="17918"/>
    <cellStyle name="Accent6 2 2 4 3" xfId="17917"/>
    <cellStyle name="Accent6 2 2 5" xfId="2550"/>
    <cellStyle name="Accent6 2 2 5 2" xfId="17920"/>
    <cellStyle name="Accent6 2 2 5 3" xfId="17919"/>
    <cellStyle name="Accent6 2 2 6" xfId="2922"/>
    <cellStyle name="Accent6 2 2 6 2" xfId="17922"/>
    <cellStyle name="Accent6 2 2 6 3" xfId="17921"/>
    <cellStyle name="Accent6 2 2 7" xfId="3294"/>
    <cellStyle name="Accent6 2 2 7 2" xfId="17924"/>
    <cellStyle name="Accent6 2 2 7 3" xfId="17923"/>
    <cellStyle name="Accent6 2 2 8" xfId="17925"/>
    <cellStyle name="Accent6 2 2 9" xfId="17912"/>
    <cellStyle name="Accent6 2 20" xfId="24489"/>
    <cellStyle name="Accent6 2 3" xfId="300"/>
    <cellStyle name="Accent6 2 3 2" xfId="1352"/>
    <cellStyle name="Accent6 2 3 2 2" xfId="17927"/>
    <cellStyle name="Accent6 2 3 3" xfId="17926"/>
    <cellStyle name="Accent6 2 4" xfId="450"/>
    <cellStyle name="Accent6 2 4 2" xfId="17929"/>
    <cellStyle name="Accent6 2 4 3" xfId="17928"/>
    <cellStyle name="Accent6 2 5" xfId="588"/>
    <cellStyle name="Accent6 2 5 2" xfId="17931"/>
    <cellStyle name="Accent6 2 5 3" xfId="17930"/>
    <cellStyle name="Accent6 2 6" xfId="734"/>
    <cellStyle name="Accent6 2 6 2" xfId="17933"/>
    <cellStyle name="Accent6 2 6 3" xfId="17932"/>
    <cellStyle name="Accent6 2 7" xfId="735"/>
    <cellStyle name="Accent6 2 7 2" xfId="17935"/>
    <cellStyle name="Accent6 2 7 3" xfId="17934"/>
    <cellStyle name="Accent6 2 8" xfId="869"/>
    <cellStyle name="Accent6 2 8 2" xfId="1419"/>
    <cellStyle name="Accent6 2 8 2 2" xfId="17937"/>
    <cellStyle name="Accent6 2 8 3" xfId="17936"/>
    <cellStyle name="Accent6 2 9" xfId="968"/>
    <cellStyle name="Accent6 2 9 2" xfId="1558"/>
    <cellStyle name="Accent6 2 9 2 2" xfId="17939"/>
    <cellStyle name="Accent6 2 9 3" xfId="17938"/>
    <cellStyle name="Accent6 3" xfId="231"/>
    <cellStyle name="Accent6 3 10" xfId="3698"/>
    <cellStyle name="Accent6 3 10 2" xfId="17942"/>
    <cellStyle name="Accent6 3 10 3" xfId="17941"/>
    <cellStyle name="Accent6 3 11" xfId="17943"/>
    <cellStyle name="Accent6 3 11 2" xfId="17944"/>
    <cellStyle name="Accent6 3 12" xfId="17945"/>
    <cellStyle name="Accent6 3 13" xfId="17940"/>
    <cellStyle name="Accent6 3 2" xfId="1471"/>
    <cellStyle name="Accent6 3 2 2" xfId="1842"/>
    <cellStyle name="Accent6 3 2 2 2" xfId="17948"/>
    <cellStyle name="Accent6 3 2 2 3" xfId="17947"/>
    <cellStyle name="Accent6 3 2 3" xfId="2217"/>
    <cellStyle name="Accent6 3 2 3 2" xfId="17950"/>
    <cellStyle name="Accent6 3 2 3 3" xfId="17949"/>
    <cellStyle name="Accent6 3 2 4" xfId="2591"/>
    <cellStyle name="Accent6 3 2 4 2" xfId="17952"/>
    <cellStyle name="Accent6 3 2 4 3" xfId="17951"/>
    <cellStyle name="Accent6 3 2 5" xfId="2963"/>
    <cellStyle name="Accent6 3 2 5 2" xfId="17954"/>
    <cellStyle name="Accent6 3 2 5 3" xfId="17953"/>
    <cellStyle name="Accent6 3 2 6" xfId="3335"/>
    <cellStyle name="Accent6 3 2 6 2" xfId="17956"/>
    <cellStyle name="Accent6 3 2 6 3" xfId="17955"/>
    <cellStyle name="Accent6 3 2 7" xfId="17957"/>
    <cellStyle name="Accent6 3 2 8" xfId="17946"/>
    <cellStyle name="Accent6 3 3" xfId="1598"/>
    <cellStyle name="Accent6 3 3 2" xfId="1919"/>
    <cellStyle name="Accent6 3 3 2 2" xfId="17960"/>
    <cellStyle name="Accent6 3 3 2 3" xfId="17959"/>
    <cellStyle name="Accent6 3 3 3" xfId="2294"/>
    <cellStyle name="Accent6 3 3 3 2" xfId="17962"/>
    <cellStyle name="Accent6 3 3 3 3" xfId="17961"/>
    <cellStyle name="Accent6 3 3 4" xfId="2667"/>
    <cellStyle name="Accent6 3 3 4 2" xfId="17964"/>
    <cellStyle name="Accent6 3 3 4 3" xfId="17963"/>
    <cellStyle name="Accent6 3 3 5" xfId="3040"/>
    <cellStyle name="Accent6 3 3 5 2" xfId="17966"/>
    <cellStyle name="Accent6 3 3 5 3" xfId="17965"/>
    <cellStyle name="Accent6 3 3 6" xfId="3411"/>
    <cellStyle name="Accent6 3 3 6 2" xfId="17968"/>
    <cellStyle name="Accent6 3 3 6 3" xfId="17967"/>
    <cellStyle name="Accent6 3 3 7" xfId="17969"/>
    <cellStyle name="Accent6 3 3 8" xfId="17958"/>
    <cellStyle name="Accent6 3 4" xfId="1735"/>
    <cellStyle name="Accent6 3 4 2" xfId="1963"/>
    <cellStyle name="Accent6 3 4 2 2" xfId="17972"/>
    <cellStyle name="Accent6 3 4 2 3" xfId="17971"/>
    <cellStyle name="Accent6 3 4 3" xfId="2338"/>
    <cellStyle name="Accent6 3 4 3 2" xfId="17974"/>
    <cellStyle name="Accent6 3 4 3 3" xfId="17973"/>
    <cellStyle name="Accent6 3 4 4" xfId="2711"/>
    <cellStyle name="Accent6 3 4 4 2" xfId="17976"/>
    <cellStyle name="Accent6 3 4 4 3" xfId="17975"/>
    <cellStyle name="Accent6 3 4 5" xfId="3084"/>
    <cellStyle name="Accent6 3 4 5 2" xfId="17978"/>
    <cellStyle name="Accent6 3 4 5 3" xfId="17977"/>
    <cellStyle name="Accent6 3 4 6" xfId="3455"/>
    <cellStyle name="Accent6 3 4 6 2" xfId="17980"/>
    <cellStyle name="Accent6 3 4 6 3" xfId="17979"/>
    <cellStyle name="Accent6 3 4 7" xfId="17981"/>
    <cellStyle name="Accent6 3 4 8" xfId="17970"/>
    <cellStyle name="Accent6 3 5" xfId="2070"/>
    <cellStyle name="Accent6 3 5 2" xfId="17983"/>
    <cellStyle name="Accent6 3 5 3" xfId="17982"/>
    <cellStyle name="Accent6 3 6" xfId="2444"/>
    <cellStyle name="Accent6 3 6 2" xfId="17985"/>
    <cellStyle name="Accent6 3 6 3" xfId="17984"/>
    <cellStyle name="Accent6 3 7" xfId="2816"/>
    <cellStyle name="Accent6 3 7 2" xfId="17987"/>
    <cellStyle name="Accent6 3 7 3" xfId="17986"/>
    <cellStyle name="Accent6 3 8" xfId="3187"/>
    <cellStyle name="Accent6 3 8 2" xfId="17989"/>
    <cellStyle name="Accent6 3 8 3" xfId="17988"/>
    <cellStyle name="Accent6 3 9" xfId="3562"/>
    <cellStyle name="Accent6 3 9 2" xfId="17991"/>
    <cellStyle name="Accent6 3 9 3" xfId="17990"/>
    <cellStyle name="Accent6 4" xfId="258"/>
    <cellStyle name="Accent6 4 10" xfId="3742"/>
    <cellStyle name="Accent6 4 10 2" xfId="17994"/>
    <cellStyle name="Accent6 4 10 3" xfId="17993"/>
    <cellStyle name="Accent6 4 11" xfId="1313"/>
    <cellStyle name="Accent6 4 11 2" xfId="17996"/>
    <cellStyle name="Accent6 4 11 3" xfId="17995"/>
    <cellStyle name="Accent6 4 12" xfId="17997"/>
    <cellStyle name="Accent6 4 13" xfId="17992"/>
    <cellStyle name="Accent6 4 2" xfId="1516"/>
    <cellStyle name="Accent6 4 2 2" xfId="17999"/>
    <cellStyle name="Accent6 4 2 3" xfId="17998"/>
    <cellStyle name="Accent6 4 3" xfId="1641"/>
    <cellStyle name="Accent6 4 3 2" xfId="18001"/>
    <cellStyle name="Accent6 4 3 3" xfId="18000"/>
    <cellStyle name="Accent6 4 4" xfId="1786"/>
    <cellStyle name="Accent6 4 4 2" xfId="18003"/>
    <cellStyle name="Accent6 4 4 3" xfId="18002"/>
    <cellStyle name="Accent6 4 5" xfId="2121"/>
    <cellStyle name="Accent6 4 5 2" xfId="18005"/>
    <cellStyle name="Accent6 4 5 3" xfId="18004"/>
    <cellStyle name="Accent6 4 6" xfId="2495"/>
    <cellStyle name="Accent6 4 6 2" xfId="18007"/>
    <cellStyle name="Accent6 4 6 3" xfId="18006"/>
    <cellStyle name="Accent6 4 7" xfId="2867"/>
    <cellStyle name="Accent6 4 7 2" xfId="18009"/>
    <cellStyle name="Accent6 4 7 3" xfId="18008"/>
    <cellStyle name="Accent6 4 8" xfId="3238"/>
    <cellStyle name="Accent6 4 8 2" xfId="18011"/>
    <cellStyle name="Accent6 4 8 3" xfId="18010"/>
    <cellStyle name="Accent6 4 9" xfId="3605"/>
    <cellStyle name="Accent6 4 9 2" xfId="18013"/>
    <cellStyle name="Accent6 4 9 3" xfId="18012"/>
    <cellStyle name="Accent6 5" xfId="451"/>
    <cellStyle name="Accent6 5 2" xfId="1871"/>
    <cellStyle name="Accent6 5 2 2" xfId="18016"/>
    <cellStyle name="Accent6 5 2 3" xfId="18015"/>
    <cellStyle name="Accent6 5 3" xfId="2246"/>
    <cellStyle name="Accent6 5 3 2" xfId="18018"/>
    <cellStyle name="Accent6 5 3 3" xfId="18017"/>
    <cellStyle name="Accent6 5 4" xfId="2620"/>
    <cellStyle name="Accent6 5 4 2" xfId="18020"/>
    <cellStyle name="Accent6 5 4 3" xfId="18019"/>
    <cellStyle name="Accent6 5 5" xfId="2992"/>
    <cellStyle name="Accent6 5 5 2" xfId="18022"/>
    <cellStyle name="Accent6 5 5 3" xfId="18021"/>
    <cellStyle name="Accent6 5 6" xfId="3364"/>
    <cellStyle name="Accent6 5 6 2" xfId="18024"/>
    <cellStyle name="Accent6 5 6 3" xfId="18023"/>
    <cellStyle name="Accent6 5 7" xfId="18025"/>
    <cellStyle name="Accent6 5 7 2" xfId="18026"/>
    <cellStyle name="Accent6 5 8" xfId="18027"/>
    <cellStyle name="Accent6 5 9" xfId="18014"/>
    <cellStyle name="Accent6 6" xfId="452"/>
    <cellStyle name="Accent6 6 10" xfId="18028"/>
    <cellStyle name="Accent6 6 2" xfId="1992"/>
    <cellStyle name="Accent6 6 2 2" xfId="18030"/>
    <cellStyle name="Accent6 6 2 3" xfId="18029"/>
    <cellStyle name="Accent6 6 3" xfId="2367"/>
    <cellStyle name="Accent6 6 3 2" xfId="18032"/>
    <cellStyle name="Accent6 6 3 3" xfId="18031"/>
    <cellStyle name="Accent6 6 4" xfId="2740"/>
    <cellStyle name="Accent6 6 4 2" xfId="18034"/>
    <cellStyle name="Accent6 6 4 3" xfId="18033"/>
    <cellStyle name="Accent6 6 5" xfId="3113"/>
    <cellStyle name="Accent6 6 5 2" xfId="18036"/>
    <cellStyle name="Accent6 6 5 3" xfId="18035"/>
    <cellStyle name="Accent6 6 6" xfId="3484"/>
    <cellStyle name="Accent6 6 6 2" xfId="18038"/>
    <cellStyle name="Accent6 6 6 3" xfId="18037"/>
    <cellStyle name="Accent6 6 7" xfId="3790"/>
    <cellStyle name="Accent6 6 7 2" xfId="18040"/>
    <cellStyle name="Accent6 6 7 3" xfId="18039"/>
    <cellStyle name="Accent6 6 8" xfId="18041"/>
    <cellStyle name="Accent6 6 8 2" xfId="18042"/>
    <cellStyle name="Accent6 6 9" xfId="18043"/>
    <cellStyle name="Accent6 7" xfId="453"/>
    <cellStyle name="Accent6 7 2" xfId="18045"/>
    <cellStyle name="Accent6 7 3" xfId="18044"/>
    <cellStyle name="Accent6 8" xfId="589"/>
    <cellStyle name="Accent6 8 2" xfId="18047"/>
    <cellStyle name="Accent6 8 3" xfId="18046"/>
    <cellStyle name="Accent6 9" xfId="590"/>
    <cellStyle name="Accent6 9 2" xfId="18049"/>
    <cellStyle name="Accent6 9 3" xfId="18048"/>
    <cellStyle name="Bad 10" xfId="736"/>
    <cellStyle name="Bad 10 2" xfId="18052"/>
    <cellStyle name="Bad 10 3" xfId="18051"/>
    <cellStyle name="Bad 11" xfId="737"/>
    <cellStyle name="Bad 11 2" xfId="18054"/>
    <cellStyle name="Bad 11 3" xfId="18053"/>
    <cellStyle name="Bad 12" xfId="870"/>
    <cellStyle name="Bad 12 2" xfId="18055"/>
    <cellStyle name="Bad 13" xfId="871"/>
    <cellStyle name="Bad 13 2" xfId="18050"/>
    <cellStyle name="Bad 14" xfId="969"/>
    <cellStyle name="Bad 2" xfId="92"/>
    <cellStyle name="Bad 2 10" xfId="1691"/>
    <cellStyle name="Bad 2 10 2" xfId="18058"/>
    <cellStyle name="Bad 2 10 3" xfId="18057"/>
    <cellStyle name="Bad 2 11" xfId="2026"/>
    <cellStyle name="Bad 2 11 2" xfId="18060"/>
    <cellStyle name="Bad 2 11 3" xfId="18059"/>
    <cellStyle name="Bad 2 12" xfId="2400"/>
    <cellStyle name="Bad 2 12 2" xfId="18062"/>
    <cellStyle name="Bad 2 12 3" xfId="18061"/>
    <cellStyle name="Bad 2 13" xfId="2773"/>
    <cellStyle name="Bad 2 13 2" xfId="18064"/>
    <cellStyle name="Bad 2 13 3" xfId="18063"/>
    <cellStyle name="Bad 2 14" xfId="3147"/>
    <cellStyle name="Bad 2 14 2" xfId="18066"/>
    <cellStyle name="Bad 2 14 3" xfId="18065"/>
    <cellStyle name="Bad 2 15" xfId="3518"/>
    <cellStyle name="Bad 2 15 2" xfId="18068"/>
    <cellStyle name="Bad 2 15 3" xfId="18067"/>
    <cellStyle name="Bad 2 16" xfId="3656"/>
    <cellStyle name="Bad 2 16 2" xfId="18070"/>
    <cellStyle name="Bad 2 16 3" xfId="18069"/>
    <cellStyle name="Bad 2 17" xfId="18071"/>
    <cellStyle name="Bad 2 17 2" xfId="18072"/>
    <cellStyle name="Bad 2 18" xfId="18073"/>
    <cellStyle name="Bad 2 19" xfId="18056"/>
    <cellStyle name="Bad 2 2" xfId="136"/>
    <cellStyle name="Bad 2 2 2" xfId="159"/>
    <cellStyle name="Bad 2 2 2 2" xfId="18076"/>
    <cellStyle name="Bad 2 2 2 3" xfId="18075"/>
    <cellStyle name="Bad 2 2 3" xfId="323"/>
    <cellStyle name="Bad 2 2 3 2" xfId="18078"/>
    <cellStyle name="Bad 2 2 3 3" xfId="18077"/>
    <cellStyle name="Bad 2 2 4" xfId="2146"/>
    <cellStyle name="Bad 2 2 4 2" xfId="18080"/>
    <cellStyle name="Bad 2 2 4 3" xfId="18079"/>
    <cellStyle name="Bad 2 2 5" xfId="2520"/>
    <cellStyle name="Bad 2 2 5 2" xfId="18082"/>
    <cellStyle name="Bad 2 2 5 3" xfId="18081"/>
    <cellStyle name="Bad 2 2 6" xfId="2892"/>
    <cellStyle name="Bad 2 2 6 2" xfId="18084"/>
    <cellStyle name="Bad 2 2 6 3" xfId="18083"/>
    <cellStyle name="Bad 2 2 7" xfId="3263"/>
    <cellStyle name="Bad 2 2 7 2" xfId="18086"/>
    <cellStyle name="Bad 2 2 7 3" xfId="18085"/>
    <cellStyle name="Bad 2 2 8" xfId="18087"/>
    <cellStyle name="Bad 2 2 9" xfId="18074"/>
    <cellStyle name="Bad 2 20" xfId="24490"/>
    <cellStyle name="Bad 2 3" xfId="301"/>
    <cellStyle name="Bad 2 3 2" xfId="1322"/>
    <cellStyle name="Bad 2 3 2 2" xfId="18089"/>
    <cellStyle name="Bad 2 3 3" xfId="18088"/>
    <cellStyle name="Bad 2 4" xfId="454"/>
    <cellStyle name="Bad 2 4 2" xfId="18091"/>
    <cellStyle name="Bad 2 4 3" xfId="18090"/>
    <cellStyle name="Bad 2 5" xfId="591"/>
    <cellStyle name="Bad 2 5 2" xfId="18093"/>
    <cellStyle name="Bad 2 5 3" xfId="18092"/>
    <cellStyle name="Bad 2 6" xfId="738"/>
    <cellStyle name="Bad 2 6 2" xfId="18095"/>
    <cellStyle name="Bad 2 6 3" xfId="18094"/>
    <cellStyle name="Bad 2 7" xfId="739"/>
    <cellStyle name="Bad 2 7 2" xfId="18097"/>
    <cellStyle name="Bad 2 7 3" xfId="18096"/>
    <cellStyle name="Bad 2 8" xfId="872"/>
    <cellStyle name="Bad 2 8 2" xfId="1420"/>
    <cellStyle name="Bad 2 8 2 2" xfId="18099"/>
    <cellStyle name="Bad 2 8 3" xfId="18098"/>
    <cellStyle name="Bad 2 9" xfId="970"/>
    <cellStyle name="Bad 2 9 2" xfId="1557"/>
    <cellStyle name="Bad 2 9 2 2" xfId="18101"/>
    <cellStyle name="Bad 2 9 3" xfId="18100"/>
    <cellStyle name="Bad 3" xfId="200"/>
    <cellStyle name="Bad 3 10" xfId="3699"/>
    <cellStyle name="Bad 3 10 2" xfId="18104"/>
    <cellStyle name="Bad 3 10 3" xfId="18103"/>
    <cellStyle name="Bad 3 11" xfId="18105"/>
    <cellStyle name="Bad 3 11 2" xfId="18106"/>
    <cellStyle name="Bad 3 12" xfId="18107"/>
    <cellStyle name="Bad 3 13" xfId="18102"/>
    <cellStyle name="Bad 3 2" xfId="1472"/>
    <cellStyle name="Bad 3 2 2" xfId="1811"/>
    <cellStyle name="Bad 3 2 2 2" xfId="18110"/>
    <cellStyle name="Bad 3 2 2 3" xfId="18109"/>
    <cellStyle name="Bad 3 2 3" xfId="2186"/>
    <cellStyle name="Bad 3 2 3 2" xfId="18112"/>
    <cellStyle name="Bad 3 2 3 3" xfId="18111"/>
    <cellStyle name="Bad 3 2 4" xfId="2560"/>
    <cellStyle name="Bad 3 2 4 2" xfId="18114"/>
    <cellStyle name="Bad 3 2 4 3" xfId="18113"/>
    <cellStyle name="Bad 3 2 5" xfId="2932"/>
    <cellStyle name="Bad 3 2 5 2" xfId="18116"/>
    <cellStyle name="Bad 3 2 5 3" xfId="18115"/>
    <cellStyle name="Bad 3 2 6" xfId="3304"/>
    <cellStyle name="Bad 3 2 6 2" xfId="18118"/>
    <cellStyle name="Bad 3 2 6 3" xfId="18117"/>
    <cellStyle name="Bad 3 2 7" xfId="18119"/>
    <cellStyle name="Bad 3 2 8" xfId="18108"/>
    <cellStyle name="Bad 3 3" xfId="1599"/>
    <cellStyle name="Bad 3 3 2" xfId="1888"/>
    <cellStyle name="Bad 3 3 2 2" xfId="18122"/>
    <cellStyle name="Bad 3 3 2 3" xfId="18121"/>
    <cellStyle name="Bad 3 3 3" xfId="2263"/>
    <cellStyle name="Bad 3 3 3 2" xfId="18124"/>
    <cellStyle name="Bad 3 3 3 3" xfId="18123"/>
    <cellStyle name="Bad 3 3 4" xfId="2636"/>
    <cellStyle name="Bad 3 3 4 2" xfId="18126"/>
    <cellStyle name="Bad 3 3 4 3" xfId="18125"/>
    <cellStyle name="Bad 3 3 5" xfId="3009"/>
    <cellStyle name="Bad 3 3 5 2" xfId="18128"/>
    <cellStyle name="Bad 3 3 5 3" xfId="18127"/>
    <cellStyle name="Bad 3 3 6" xfId="3380"/>
    <cellStyle name="Bad 3 3 6 2" xfId="18130"/>
    <cellStyle name="Bad 3 3 6 3" xfId="18129"/>
    <cellStyle name="Bad 3 3 7" xfId="18131"/>
    <cellStyle name="Bad 3 3 8" xfId="18120"/>
    <cellStyle name="Bad 3 4" xfId="1736"/>
    <cellStyle name="Bad 3 4 2" xfId="1932"/>
    <cellStyle name="Bad 3 4 2 2" xfId="18134"/>
    <cellStyle name="Bad 3 4 2 3" xfId="18133"/>
    <cellStyle name="Bad 3 4 3" xfId="2307"/>
    <cellStyle name="Bad 3 4 3 2" xfId="18136"/>
    <cellStyle name="Bad 3 4 3 3" xfId="18135"/>
    <cellStyle name="Bad 3 4 4" xfId="2680"/>
    <cellStyle name="Bad 3 4 4 2" xfId="18138"/>
    <cellStyle name="Bad 3 4 4 3" xfId="18137"/>
    <cellStyle name="Bad 3 4 5" xfId="3053"/>
    <cellStyle name="Bad 3 4 5 2" xfId="18140"/>
    <cellStyle name="Bad 3 4 5 3" xfId="18139"/>
    <cellStyle name="Bad 3 4 6" xfId="3424"/>
    <cellStyle name="Bad 3 4 6 2" xfId="18142"/>
    <cellStyle name="Bad 3 4 6 3" xfId="18141"/>
    <cellStyle name="Bad 3 4 7" xfId="18143"/>
    <cellStyle name="Bad 3 4 8" xfId="18132"/>
    <cellStyle name="Bad 3 5" xfId="2071"/>
    <cellStyle name="Bad 3 5 2" xfId="18145"/>
    <cellStyle name="Bad 3 5 3" xfId="18144"/>
    <cellStyle name="Bad 3 6" xfId="2445"/>
    <cellStyle name="Bad 3 6 2" xfId="18147"/>
    <cellStyle name="Bad 3 6 3" xfId="18146"/>
    <cellStyle name="Bad 3 7" xfId="2817"/>
    <cellStyle name="Bad 3 7 2" xfId="18149"/>
    <cellStyle name="Bad 3 7 3" xfId="18148"/>
    <cellStyle name="Bad 3 8" xfId="3188"/>
    <cellStyle name="Bad 3 8 2" xfId="18151"/>
    <cellStyle name="Bad 3 8 3" xfId="18150"/>
    <cellStyle name="Bad 3 9" xfId="3563"/>
    <cellStyle name="Bad 3 9 2" xfId="18153"/>
    <cellStyle name="Bad 3 9 3" xfId="18152"/>
    <cellStyle name="Bad 4" xfId="259"/>
    <cellStyle name="Bad 4 10" xfId="3743"/>
    <cellStyle name="Bad 4 10 2" xfId="18156"/>
    <cellStyle name="Bad 4 10 3" xfId="18155"/>
    <cellStyle name="Bad 4 11" xfId="1282"/>
    <cellStyle name="Bad 4 11 2" xfId="18158"/>
    <cellStyle name="Bad 4 11 3" xfId="18157"/>
    <cellStyle name="Bad 4 12" xfId="18159"/>
    <cellStyle name="Bad 4 13" xfId="18154"/>
    <cellStyle name="Bad 4 2" xfId="1517"/>
    <cellStyle name="Bad 4 2 2" xfId="18161"/>
    <cellStyle name="Bad 4 2 3" xfId="18160"/>
    <cellStyle name="Bad 4 3" xfId="1642"/>
    <cellStyle name="Bad 4 3 2" xfId="18163"/>
    <cellStyle name="Bad 4 3 3" xfId="18162"/>
    <cellStyle name="Bad 4 4" xfId="1785"/>
    <cellStyle name="Bad 4 4 2" xfId="18165"/>
    <cellStyle name="Bad 4 4 3" xfId="18164"/>
    <cellStyle name="Bad 4 5" xfId="2120"/>
    <cellStyle name="Bad 4 5 2" xfId="18167"/>
    <cellStyle name="Bad 4 5 3" xfId="18166"/>
    <cellStyle name="Bad 4 6" xfId="2494"/>
    <cellStyle name="Bad 4 6 2" xfId="18169"/>
    <cellStyle name="Bad 4 6 3" xfId="18168"/>
    <cellStyle name="Bad 4 7" xfId="2866"/>
    <cellStyle name="Bad 4 7 2" xfId="18171"/>
    <cellStyle name="Bad 4 7 3" xfId="18170"/>
    <cellStyle name="Bad 4 8" xfId="3237"/>
    <cellStyle name="Bad 4 8 2" xfId="18173"/>
    <cellStyle name="Bad 4 8 3" xfId="18172"/>
    <cellStyle name="Bad 4 9" xfId="3606"/>
    <cellStyle name="Bad 4 9 2" xfId="18175"/>
    <cellStyle name="Bad 4 9 3" xfId="18174"/>
    <cellStyle name="Bad 5" xfId="455"/>
    <cellStyle name="Bad 5 2" xfId="1854"/>
    <cellStyle name="Bad 5 2 2" xfId="18178"/>
    <cellStyle name="Bad 5 2 3" xfId="18177"/>
    <cellStyle name="Bad 5 3" xfId="2229"/>
    <cellStyle name="Bad 5 3 2" xfId="18180"/>
    <cellStyle name="Bad 5 3 3" xfId="18179"/>
    <cellStyle name="Bad 5 4" xfId="2603"/>
    <cellStyle name="Bad 5 4 2" xfId="18182"/>
    <cellStyle name="Bad 5 4 3" xfId="18181"/>
    <cellStyle name="Bad 5 5" xfId="2975"/>
    <cellStyle name="Bad 5 5 2" xfId="18184"/>
    <cellStyle name="Bad 5 5 3" xfId="18183"/>
    <cellStyle name="Bad 5 6" xfId="3347"/>
    <cellStyle name="Bad 5 6 2" xfId="18186"/>
    <cellStyle name="Bad 5 6 3" xfId="18185"/>
    <cellStyle name="Bad 5 7" xfId="18187"/>
    <cellStyle name="Bad 5 7 2" xfId="18188"/>
    <cellStyle name="Bad 5 8" xfId="18189"/>
    <cellStyle name="Bad 5 9" xfId="18176"/>
    <cellStyle name="Bad 6" xfId="456"/>
    <cellStyle name="Bad 6 10" xfId="18190"/>
    <cellStyle name="Bad 6 2" xfId="1993"/>
    <cellStyle name="Bad 6 2 2" xfId="18192"/>
    <cellStyle name="Bad 6 2 3" xfId="18191"/>
    <cellStyle name="Bad 6 3" xfId="2368"/>
    <cellStyle name="Bad 6 3 2" xfId="18194"/>
    <cellStyle name="Bad 6 3 3" xfId="18193"/>
    <cellStyle name="Bad 6 4" xfId="2741"/>
    <cellStyle name="Bad 6 4 2" xfId="18196"/>
    <cellStyle name="Bad 6 4 3" xfId="18195"/>
    <cellStyle name="Bad 6 5" xfId="3114"/>
    <cellStyle name="Bad 6 5 2" xfId="18198"/>
    <cellStyle name="Bad 6 5 3" xfId="18197"/>
    <cellStyle name="Bad 6 6" xfId="3485"/>
    <cellStyle name="Bad 6 6 2" xfId="18200"/>
    <cellStyle name="Bad 6 6 3" xfId="18199"/>
    <cellStyle name="Bad 6 7" xfId="3791"/>
    <cellStyle name="Bad 6 7 2" xfId="18202"/>
    <cellStyle name="Bad 6 7 3" xfId="18201"/>
    <cellStyle name="Bad 6 8" xfId="18203"/>
    <cellStyle name="Bad 6 8 2" xfId="18204"/>
    <cellStyle name="Bad 6 9" xfId="18205"/>
    <cellStyle name="Bad 7" xfId="457"/>
    <cellStyle name="Bad 7 2" xfId="18207"/>
    <cellStyle name="Bad 7 3" xfId="18206"/>
    <cellStyle name="Bad 8" xfId="592"/>
    <cellStyle name="Bad 8 2" xfId="18209"/>
    <cellStyle name="Bad 8 3" xfId="18208"/>
    <cellStyle name="Bad 9" xfId="593"/>
    <cellStyle name="Bad 9 2" xfId="18211"/>
    <cellStyle name="Bad 9 3" xfId="18210"/>
    <cellStyle name="Calculation 10" xfId="740"/>
    <cellStyle name="Calculation 10 2" xfId="18214"/>
    <cellStyle name="Calculation 10 3" xfId="18213"/>
    <cellStyle name="Calculation 11" xfId="741"/>
    <cellStyle name="Calculation 11 2" xfId="18216"/>
    <cellStyle name="Calculation 11 3" xfId="18215"/>
    <cellStyle name="Calculation 12" xfId="873"/>
    <cellStyle name="Calculation 12 2" xfId="18217"/>
    <cellStyle name="Calculation 13" xfId="874"/>
    <cellStyle name="Calculation 13 2" xfId="18212"/>
    <cellStyle name="Calculation 14" xfId="971"/>
    <cellStyle name="Calculation 2" xfId="93"/>
    <cellStyle name="Calculation 2 10" xfId="1692"/>
    <cellStyle name="Calculation 2 10 2" xfId="18220"/>
    <cellStyle name="Calculation 2 10 3" xfId="18219"/>
    <cellStyle name="Calculation 2 11" xfId="2027"/>
    <cellStyle name="Calculation 2 11 2" xfId="18222"/>
    <cellStyle name="Calculation 2 11 3" xfId="18221"/>
    <cellStyle name="Calculation 2 12" xfId="2401"/>
    <cellStyle name="Calculation 2 12 2" xfId="18224"/>
    <cellStyle name="Calculation 2 12 3" xfId="18223"/>
    <cellStyle name="Calculation 2 13" xfId="2774"/>
    <cellStyle name="Calculation 2 13 2" xfId="18226"/>
    <cellStyle name="Calculation 2 13 3" xfId="18225"/>
    <cellStyle name="Calculation 2 14" xfId="3148"/>
    <cellStyle name="Calculation 2 14 2" xfId="18228"/>
    <cellStyle name="Calculation 2 14 3" xfId="18227"/>
    <cellStyle name="Calculation 2 15" xfId="3519"/>
    <cellStyle name="Calculation 2 15 2" xfId="18230"/>
    <cellStyle name="Calculation 2 15 3" xfId="18229"/>
    <cellStyle name="Calculation 2 16" xfId="3657"/>
    <cellStyle name="Calculation 2 16 2" xfId="18232"/>
    <cellStyle name="Calculation 2 16 3" xfId="18231"/>
    <cellStyle name="Calculation 2 17" xfId="18233"/>
    <cellStyle name="Calculation 2 17 2" xfId="18234"/>
    <cellStyle name="Calculation 2 18" xfId="18235"/>
    <cellStyle name="Calculation 2 19" xfId="18218"/>
    <cellStyle name="Calculation 2 2" xfId="137"/>
    <cellStyle name="Calculation 2 2 2" xfId="163"/>
    <cellStyle name="Calculation 2 2 2 2" xfId="18238"/>
    <cellStyle name="Calculation 2 2 2 3" xfId="18237"/>
    <cellStyle name="Calculation 2 2 3" xfId="327"/>
    <cellStyle name="Calculation 2 2 3 2" xfId="18240"/>
    <cellStyle name="Calculation 2 2 3 3" xfId="18239"/>
    <cellStyle name="Calculation 2 2 4" xfId="2150"/>
    <cellStyle name="Calculation 2 2 4 2" xfId="18242"/>
    <cellStyle name="Calculation 2 2 4 3" xfId="18241"/>
    <cellStyle name="Calculation 2 2 5" xfId="2524"/>
    <cellStyle name="Calculation 2 2 5 2" xfId="18244"/>
    <cellStyle name="Calculation 2 2 5 3" xfId="18243"/>
    <cellStyle name="Calculation 2 2 6" xfId="2896"/>
    <cellStyle name="Calculation 2 2 6 2" xfId="18246"/>
    <cellStyle name="Calculation 2 2 6 3" xfId="18245"/>
    <cellStyle name="Calculation 2 2 7" xfId="3267"/>
    <cellStyle name="Calculation 2 2 7 2" xfId="18248"/>
    <cellStyle name="Calculation 2 2 7 3" xfId="18247"/>
    <cellStyle name="Calculation 2 2 8" xfId="18249"/>
    <cellStyle name="Calculation 2 2 9" xfId="18236"/>
    <cellStyle name="Calculation 2 20" xfId="24491"/>
    <cellStyle name="Calculation 2 3" xfId="302"/>
    <cellStyle name="Calculation 2 3 2" xfId="1326"/>
    <cellStyle name="Calculation 2 3 2 2" xfId="18251"/>
    <cellStyle name="Calculation 2 3 3" xfId="18250"/>
    <cellStyle name="Calculation 2 4" xfId="458"/>
    <cellStyle name="Calculation 2 4 2" xfId="18253"/>
    <cellStyle name="Calculation 2 4 3" xfId="18252"/>
    <cellStyle name="Calculation 2 5" xfId="594"/>
    <cellStyle name="Calculation 2 5 2" xfId="18255"/>
    <cellStyle name="Calculation 2 5 3" xfId="18254"/>
    <cellStyle name="Calculation 2 6" xfId="742"/>
    <cellStyle name="Calculation 2 6 2" xfId="18257"/>
    <cellStyle name="Calculation 2 6 3" xfId="18256"/>
    <cellStyle name="Calculation 2 7" xfId="743"/>
    <cellStyle name="Calculation 2 7 2" xfId="18259"/>
    <cellStyle name="Calculation 2 7 3" xfId="18258"/>
    <cellStyle name="Calculation 2 8" xfId="875"/>
    <cellStyle name="Calculation 2 8 2" xfId="1421"/>
    <cellStyle name="Calculation 2 8 2 2" xfId="18261"/>
    <cellStyle name="Calculation 2 8 3" xfId="18260"/>
    <cellStyle name="Calculation 2 9" xfId="972"/>
    <cellStyle name="Calculation 2 9 2" xfId="1556"/>
    <cellStyle name="Calculation 2 9 2 2" xfId="18263"/>
    <cellStyle name="Calculation 2 9 3" xfId="18262"/>
    <cellStyle name="Calculation 3" xfId="204"/>
    <cellStyle name="Calculation 3 10" xfId="3700"/>
    <cellStyle name="Calculation 3 10 2" xfId="18266"/>
    <cellStyle name="Calculation 3 10 3" xfId="18265"/>
    <cellStyle name="Calculation 3 11" xfId="18267"/>
    <cellStyle name="Calculation 3 11 2" xfId="18268"/>
    <cellStyle name="Calculation 3 12" xfId="18269"/>
    <cellStyle name="Calculation 3 13" xfId="18264"/>
    <cellStyle name="Calculation 3 2" xfId="1473"/>
    <cellStyle name="Calculation 3 2 2" xfId="1815"/>
    <cellStyle name="Calculation 3 2 2 2" xfId="18272"/>
    <cellStyle name="Calculation 3 2 2 3" xfId="18271"/>
    <cellStyle name="Calculation 3 2 3" xfId="2190"/>
    <cellStyle name="Calculation 3 2 3 2" xfId="18274"/>
    <cellStyle name="Calculation 3 2 3 3" xfId="18273"/>
    <cellStyle name="Calculation 3 2 4" xfId="2564"/>
    <cellStyle name="Calculation 3 2 4 2" xfId="18276"/>
    <cellStyle name="Calculation 3 2 4 3" xfId="18275"/>
    <cellStyle name="Calculation 3 2 5" xfId="2936"/>
    <cellStyle name="Calculation 3 2 5 2" xfId="18278"/>
    <cellStyle name="Calculation 3 2 5 3" xfId="18277"/>
    <cellStyle name="Calculation 3 2 6" xfId="3308"/>
    <cellStyle name="Calculation 3 2 6 2" xfId="18280"/>
    <cellStyle name="Calculation 3 2 6 3" xfId="18279"/>
    <cellStyle name="Calculation 3 2 7" xfId="18281"/>
    <cellStyle name="Calculation 3 2 8" xfId="18270"/>
    <cellStyle name="Calculation 3 3" xfId="1600"/>
    <cellStyle name="Calculation 3 3 2" xfId="1892"/>
    <cellStyle name="Calculation 3 3 2 2" xfId="18284"/>
    <cellStyle name="Calculation 3 3 2 3" xfId="18283"/>
    <cellStyle name="Calculation 3 3 3" xfId="2267"/>
    <cellStyle name="Calculation 3 3 3 2" xfId="18286"/>
    <cellStyle name="Calculation 3 3 3 3" xfId="18285"/>
    <cellStyle name="Calculation 3 3 4" xfId="2640"/>
    <cellStyle name="Calculation 3 3 4 2" xfId="18288"/>
    <cellStyle name="Calculation 3 3 4 3" xfId="18287"/>
    <cellStyle name="Calculation 3 3 5" xfId="3013"/>
    <cellStyle name="Calculation 3 3 5 2" xfId="18290"/>
    <cellStyle name="Calculation 3 3 5 3" xfId="18289"/>
    <cellStyle name="Calculation 3 3 6" xfId="3384"/>
    <cellStyle name="Calculation 3 3 6 2" xfId="18292"/>
    <cellStyle name="Calculation 3 3 6 3" xfId="18291"/>
    <cellStyle name="Calculation 3 3 7" xfId="18293"/>
    <cellStyle name="Calculation 3 3 8" xfId="18282"/>
    <cellStyle name="Calculation 3 4" xfId="1737"/>
    <cellStyle name="Calculation 3 4 2" xfId="1936"/>
    <cellStyle name="Calculation 3 4 2 2" xfId="18296"/>
    <cellStyle name="Calculation 3 4 2 3" xfId="18295"/>
    <cellStyle name="Calculation 3 4 3" xfId="2311"/>
    <cellStyle name="Calculation 3 4 3 2" xfId="18298"/>
    <cellStyle name="Calculation 3 4 3 3" xfId="18297"/>
    <cellStyle name="Calculation 3 4 4" xfId="2684"/>
    <cellStyle name="Calculation 3 4 4 2" xfId="18300"/>
    <cellStyle name="Calculation 3 4 4 3" xfId="18299"/>
    <cellStyle name="Calculation 3 4 5" xfId="3057"/>
    <cellStyle name="Calculation 3 4 5 2" xfId="18302"/>
    <cellStyle name="Calculation 3 4 5 3" xfId="18301"/>
    <cellStyle name="Calculation 3 4 6" xfId="3428"/>
    <cellStyle name="Calculation 3 4 6 2" xfId="18304"/>
    <cellStyle name="Calculation 3 4 6 3" xfId="18303"/>
    <cellStyle name="Calculation 3 4 7" xfId="18305"/>
    <cellStyle name="Calculation 3 4 8" xfId="18294"/>
    <cellStyle name="Calculation 3 5" xfId="2072"/>
    <cellStyle name="Calculation 3 5 2" xfId="18307"/>
    <cellStyle name="Calculation 3 5 3" xfId="18306"/>
    <cellStyle name="Calculation 3 6" xfId="2446"/>
    <cellStyle name="Calculation 3 6 2" xfId="18309"/>
    <cellStyle name="Calculation 3 6 3" xfId="18308"/>
    <cellStyle name="Calculation 3 7" xfId="2818"/>
    <cellStyle name="Calculation 3 7 2" xfId="18311"/>
    <cellStyle name="Calculation 3 7 3" xfId="18310"/>
    <cellStyle name="Calculation 3 8" xfId="3189"/>
    <cellStyle name="Calculation 3 8 2" xfId="18313"/>
    <cellStyle name="Calculation 3 8 3" xfId="18312"/>
    <cellStyle name="Calculation 3 9" xfId="3564"/>
    <cellStyle name="Calculation 3 9 2" xfId="18315"/>
    <cellStyle name="Calculation 3 9 3" xfId="18314"/>
    <cellStyle name="Calculation 4" xfId="260"/>
    <cellStyle name="Calculation 4 10" xfId="3744"/>
    <cellStyle name="Calculation 4 10 2" xfId="18318"/>
    <cellStyle name="Calculation 4 10 3" xfId="18317"/>
    <cellStyle name="Calculation 4 11" xfId="1286"/>
    <cellStyle name="Calculation 4 11 2" xfId="18320"/>
    <cellStyle name="Calculation 4 11 3" xfId="18319"/>
    <cellStyle name="Calculation 4 12" xfId="18321"/>
    <cellStyle name="Calculation 4 13" xfId="18316"/>
    <cellStyle name="Calculation 4 2" xfId="1518"/>
    <cellStyle name="Calculation 4 2 2" xfId="18323"/>
    <cellStyle name="Calculation 4 2 3" xfId="18322"/>
    <cellStyle name="Calculation 4 3" xfId="1643"/>
    <cellStyle name="Calculation 4 3 2" xfId="18325"/>
    <cellStyle name="Calculation 4 3 3" xfId="18324"/>
    <cellStyle name="Calculation 4 4" xfId="1784"/>
    <cellStyle name="Calculation 4 4 2" xfId="18327"/>
    <cellStyle name="Calculation 4 4 3" xfId="18326"/>
    <cellStyle name="Calculation 4 5" xfId="2119"/>
    <cellStyle name="Calculation 4 5 2" xfId="18329"/>
    <cellStyle name="Calculation 4 5 3" xfId="18328"/>
    <cellStyle name="Calculation 4 6" xfId="2493"/>
    <cellStyle name="Calculation 4 6 2" xfId="18331"/>
    <cellStyle name="Calculation 4 6 3" xfId="18330"/>
    <cellStyle name="Calculation 4 7" xfId="2865"/>
    <cellStyle name="Calculation 4 7 2" xfId="18333"/>
    <cellStyle name="Calculation 4 7 3" xfId="18332"/>
    <cellStyle name="Calculation 4 8" xfId="3236"/>
    <cellStyle name="Calculation 4 8 2" xfId="18335"/>
    <cellStyle name="Calculation 4 8 3" xfId="18334"/>
    <cellStyle name="Calculation 4 9" xfId="3607"/>
    <cellStyle name="Calculation 4 9 2" xfId="18337"/>
    <cellStyle name="Calculation 4 9 3" xfId="18336"/>
    <cellStyle name="Calculation 5" xfId="459"/>
    <cellStyle name="Calculation 5 2" xfId="1870"/>
    <cellStyle name="Calculation 5 2 2" xfId="18340"/>
    <cellStyle name="Calculation 5 2 3" xfId="18339"/>
    <cellStyle name="Calculation 5 3" xfId="2245"/>
    <cellStyle name="Calculation 5 3 2" xfId="18342"/>
    <cellStyle name="Calculation 5 3 3" xfId="18341"/>
    <cellStyle name="Calculation 5 4" xfId="2619"/>
    <cellStyle name="Calculation 5 4 2" xfId="18344"/>
    <cellStyle name="Calculation 5 4 3" xfId="18343"/>
    <cellStyle name="Calculation 5 5" xfId="2991"/>
    <cellStyle name="Calculation 5 5 2" xfId="18346"/>
    <cellStyle name="Calculation 5 5 3" xfId="18345"/>
    <cellStyle name="Calculation 5 6" xfId="3363"/>
    <cellStyle name="Calculation 5 6 2" xfId="18348"/>
    <cellStyle name="Calculation 5 6 3" xfId="18347"/>
    <cellStyle name="Calculation 5 7" xfId="18349"/>
    <cellStyle name="Calculation 5 7 2" xfId="18350"/>
    <cellStyle name="Calculation 5 8" xfId="18351"/>
    <cellStyle name="Calculation 5 9" xfId="18338"/>
    <cellStyle name="Calculation 6" xfId="460"/>
    <cellStyle name="Calculation 6 10" xfId="18352"/>
    <cellStyle name="Calculation 6 2" xfId="1994"/>
    <cellStyle name="Calculation 6 2 2" xfId="18354"/>
    <cellStyle name="Calculation 6 2 3" xfId="18353"/>
    <cellStyle name="Calculation 6 3" xfId="2369"/>
    <cellStyle name="Calculation 6 3 2" xfId="18356"/>
    <cellStyle name="Calculation 6 3 3" xfId="18355"/>
    <cellStyle name="Calculation 6 4" xfId="2742"/>
    <cellStyle name="Calculation 6 4 2" xfId="18358"/>
    <cellStyle name="Calculation 6 4 3" xfId="18357"/>
    <cellStyle name="Calculation 6 5" xfId="3115"/>
    <cellStyle name="Calculation 6 5 2" xfId="18360"/>
    <cellStyle name="Calculation 6 5 3" xfId="18359"/>
    <cellStyle name="Calculation 6 6" xfId="3486"/>
    <cellStyle name="Calculation 6 6 2" xfId="18362"/>
    <cellStyle name="Calculation 6 6 3" xfId="18361"/>
    <cellStyle name="Calculation 6 7" xfId="3792"/>
    <cellStyle name="Calculation 6 7 2" xfId="18364"/>
    <cellStyle name="Calculation 6 7 3" xfId="18363"/>
    <cellStyle name="Calculation 6 8" xfId="18365"/>
    <cellStyle name="Calculation 6 8 2" xfId="18366"/>
    <cellStyle name="Calculation 6 9" xfId="18367"/>
    <cellStyle name="Calculation 7" xfId="461"/>
    <cellStyle name="Calculation 7 2" xfId="18369"/>
    <cellStyle name="Calculation 7 3" xfId="18368"/>
    <cellStyle name="Calculation 8" xfId="595"/>
    <cellStyle name="Calculation 8 2" xfId="18371"/>
    <cellStyle name="Calculation 8 3" xfId="18370"/>
    <cellStyle name="Calculation 9" xfId="596"/>
    <cellStyle name="Calculation 9 2" xfId="18373"/>
    <cellStyle name="Calculation 9 3" xfId="18372"/>
    <cellStyle name="Check Cell 10" xfId="744"/>
    <cellStyle name="Check Cell 10 2" xfId="18376"/>
    <cellStyle name="Check Cell 10 3" xfId="18375"/>
    <cellStyle name="Check Cell 11" xfId="745"/>
    <cellStyle name="Check Cell 11 2" xfId="18378"/>
    <cellStyle name="Check Cell 11 3" xfId="18377"/>
    <cellStyle name="Check Cell 12" xfId="876"/>
    <cellStyle name="Check Cell 12 2" xfId="18379"/>
    <cellStyle name="Check Cell 13" xfId="877"/>
    <cellStyle name="Check Cell 13 2" xfId="18374"/>
    <cellStyle name="Check Cell 14" xfId="973"/>
    <cellStyle name="Check Cell 2" xfId="94"/>
    <cellStyle name="Check Cell 2 10" xfId="1693"/>
    <cellStyle name="Check Cell 2 10 2" xfId="18382"/>
    <cellStyle name="Check Cell 2 10 3" xfId="18381"/>
    <cellStyle name="Check Cell 2 11" xfId="2028"/>
    <cellStyle name="Check Cell 2 11 2" xfId="18384"/>
    <cellStyle name="Check Cell 2 11 3" xfId="18383"/>
    <cellStyle name="Check Cell 2 12" xfId="2402"/>
    <cellStyle name="Check Cell 2 12 2" xfId="18386"/>
    <cellStyle name="Check Cell 2 12 3" xfId="18385"/>
    <cellStyle name="Check Cell 2 13" xfId="2775"/>
    <cellStyle name="Check Cell 2 13 2" xfId="18388"/>
    <cellStyle name="Check Cell 2 13 3" xfId="18387"/>
    <cellStyle name="Check Cell 2 14" xfId="3149"/>
    <cellStyle name="Check Cell 2 14 2" xfId="18390"/>
    <cellStyle name="Check Cell 2 14 3" xfId="18389"/>
    <cellStyle name="Check Cell 2 15" xfId="3520"/>
    <cellStyle name="Check Cell 2 15 2" xfId="18392"/>
    <cellStyle name="Check Cell 2 15 3" xfId="18391"/>
    <cellStyle name="Check Cell 2 16" xfId="3658"/>
    <cellStyle name="Check Cell 2 16 2" xfId="18394"/>
    <cellStyle name="Check Cell 2 16 3" xfId="18393"/>
    <cellStyle name="Check Cell 2 17" xfId="18395"/>
    <cellStyle name="Check Cell 2 17 2" xfId="18396"/>
    <cellStyle name="Check Cell 2 18" xfId="18397"/>
    <cellStyle name="Check Cell 2 19" xfId="18380"/>
    <cellStyle name="Check Cell 2 2" xfId="138"/>
    <cellStyle name="Check Cell 2 2 2" xfId="165"/>
    <cellStyle name="Check Cell 2 2 2 2" xfId="18400"/>
    <cellStyle name="Check Cell 2 2 2 3" xfId="18399"/>
    <cellStyle name="Check Cell 2 2 3" xfId="329"/>
    <cellStyle name="Check Cell 2 2 3 2" xfId="18402"/>
    <cellStyle name="Check Cell 2 2 3 3" xfId="18401"/>
    <cellStyle name="Check Cell 2 2 4" xfId="2152"/>
    <cellStyle name="Check Cell 2 2 4 2" xfId="18404"/>
    <cellStyle name="Check Cell 2 2 4 3" xfId="18403"/>
    <cellStyle name="Check Cell 2 2 5" xfId="2526"/>
    <cellStyle name="Check Cell 2 2 5 2" xfId="18406"/>
    <cellStyle name="Check Cell 2 2 5 3" xfId="18405"/>
    <cellStyle name="Check Cell 2 2 6" xfId="2898"/>
    <cellStyle name="Check Cell 2 2 6 2" xfId="18408"/>
    <cellStyle name="Check Cell 2 2 6 3" xfId="18407"/>
    <cellStyle name="Check Cell 2 2 7" xfId="3269"/>
    <cellStyle name="Check Cell 2 2 7 2" xfId="18410"/>
    <cellStyle name="Check Cell 2 2 7 3" xfId="18409"/>
    <cellStyle name="Check Cell 2 2 8" xfId="18411"/>
    <cellStyle name="Check Cell 2 2 9" xfId="18398"/>
    <cellStyle name="Check Cell 2 20" xfId="20542"/>
    <cellStyle name="Check Cell 2 3" xfId="303"/>
    <cellStyle name="Check Cell 2 3 2" xfId="1328"/>
    <cellStyle name="Check Cell 2 3 2 2" xfId="18413"/>
    <cellStyle name="Check Cell 2 3 3" xfId="18412"/>
    <cellStyle name="Check Cell 2 4" xfId="462"/>
    <cellStyle name="Check Cell 2 4 2" xfId="18415"/>
    <cellStyle name="Check Cell 2 4 3" xfId="18414"/>
    <cellStyle name="Check Cell 2 5" xfId="597"/>
    <cellStyle name="Check Cell 2 5 2" xfId="18417"/>
    <cellStyle name="Check Cell 2 5 3" xfId="18416"/>
    <cellStyle name="Check Cell 2 6" xfId="746"/>
    <cellStyle name="Check Cell 2 6 2" xfId="18419"/>
    <cellStyle name="Check Cell 2 6 3" xfId="18418"/>
    <cellStyle name="Check Cell 2 7" xfId="747"/>
    <cellStyle name="Check Cell 2 7 2" xfId="18421"/>
    <cellStyle name="Check Cell 2 7 3" xfId="18420"/>
    <cellStyle name="Check Cell 2 8" xfId="878"/>
    <cellStyle name="Check Cell 2 8 2" xfId="1422"/>
    <cellStyle name="Check Cell 2 8 2 2" xfId="18423"/>
    <cellStyle name="Check Cell 2 8 3" xfId="18422"/>
    <cellStyle name="Check Cell 2 9" xfId="974"/>
    <cellStyle name="Check Cell 2 9 2" xfId="1555"/>
    <cellStyle name="Check Cell 2 9 2 2" xfId="18425"/>
    <cellStyle name="Check Cell 2 9 3" xfId="18424"/>
    <cellStyle name="Check Cell 3" xfId="206"/>
    <cellStyle name="Check Cell 3 10" xfId="3701"/>
    <cellStyle name="Check Cell 3 10 2" xfId="18428"/>
    <cellStyle name="Check Cell 3 10 3" xfId="18427"/>
    <cellStyle name="Check Cell 3 11" xfId="18429"/>
    <cellStyle name="Check Cell 3 11 2" xfId="18430"/>
    <cellStyle name="Check Cell 3 12" xfId="18431"/>
    <cellStyle name="Check Cell 3 13" xfId="18426"/>
    <cellStyle name="Check Cell 3 2" xfId="1474"/>
    <cellStyle name="Check Cell 3 2 2" xfId="1817"/>
    <cellStyle name="Check Cell 3 2 2 2" xfId="18434"/>
    <cellStyle name="Check Cell 3 2 2 3" xfId="18433"/>
    <cellStyle name="Check Cell 3 2 3" xfId="2192"/>
    <cellStyle name="Check Cell 3 2 3 2" xfId="18436"/>
    <cellStyle name="Check Cell 3 2 3 3" xfId="18435"/>
    <cellStyle name="Check Cell 3 2 4" xfId="2566"/>
    <cellStyle name="Check Cell 3 2 4 2" xfId="18438"/>
    <cellStyle name="Check Cell 3 2 4 3" xfId="18437"/>
    <cellStyle name="Check Cell 3 2 5" xfId="2938"/>
    <cellStyle name="Check Cell 3 2 5 2" xfId="18440"/>
    <cellStyle name="Check Cell 3 2 5 3" xfId="18439"/>
    <cellStyle name="Check Cell 3 2 6" xfId="3310"/>
    <cellStyle name="Check Cell 3 2 6 2" xfId="18442"/>
    <cellStyle name="Check Cell 3 2 6 3" xfId="18441"/>
    <cellStyle name="Check Cell 3 2 7" xfId="18443"/>
    <cellStyle name="Check Cell 3 2 8" xfId="18432"/>
    <cellStyle name="Check Cell 3 3" xfId="1601"/>
    <cellStyle name="Check Cell 3 3 2" xfId="1894"/>
    <cellStyle name="Check Cell 3 3 2 2" xfId="18446"/>
    <cellStyle name="Check Cell 3 3 2 3" xfId="18445"/>
    <cellStyle name="Check Cell 3 3 3" xfId="2269"/>
    <cellStyle name="Check Cell 3 3 3 2" xfId="18448"/>
    <cellStyle name="Check Cell 3 3 3 3" xfId="18447"/>
    <cellStyle name="Check Cell 3 3 4" xfId="2642"/>
    <cellStyle name="Check Cell 3 3 4 2" xfId="18450"/>
    <cellStyle name="Check Cell 3 3 4 3" xfId="18449"/>
    <cellStyle name="Check Cell 3 3 5" xfId="3015"/>
    <cellStyle name="Check Cell 3 3 5 2" xfId="18452"/>
    <cellStyle name="Check Cell 3 3 5 3" xfId="18451"/>
    <cellStyle name="Check Cell 3 3 6" xfId="3386"/>
    <cellStyle name="Check Cell 3 3 6 2" xfId="18454"/>
    <cellStyle name="Check Cell 3 3 6 3" xfId="18453"/>
    <cellStyle name="Check Cell 3 3 7" xfId="18455"/>
    <cellStyle name="Check Cell 3 3 8" xfId="18444"/>
    <cellStyle name="Check Cell 3 4" xfId="1738"/>
    <cellStyle name="Check Cell 3 4 2" xfId="1938"/>
    <cellStyle name="Check Cell 3 4 2 2" xfId="18458"/>
    <cellStyle name="Check Cell 3 4 2 3" xfId="18457"/>
    <cellStyle name="Check Cell 3 4 3" xfId="2313"/>
    <cellStyle name="Check Cell 3 4 3 2" xfId="18460"/>
    <cellStyle name="Check Cell 3 4 3 3" xfId="18459"/>
    <cellStyle name="Check Cell 3 4 4" xfId="2686"/>
    <cellStyle name="Check Cell 3 4 4 2" xfId="18462"/>
    <cellStyle name="Check Cell 3 4 4 3" xfId="18461"/>
    <cellStyle name="Check Cell 3 4 5" xfId="3059"/>
    <cellStyle name="Check Cell 3 4 5 2" xfId="18464"/>
    <cellStyle name="Check Cell 3 4 5 3" xfId="18463"/>
    <cellStyle name="Check Cell 3 4 6" xfId="3430"/>
    <cellStyle name="Check Cell 3 4 6 2" xfId="18466"/>
    <cellStyle name="Check Cell 3 4 6 3" xfId="18465"/>
    <cellStyle name="Check Cell 3 4 7" xfId="18467"/>
    <cellStyle name="Check Cell 3 4 8" xfId="18456"/>
    <cellStyle name="Check Cell 3 5" xfId="2073"/>
    <cellStyle name="Check Cell 3 5 2" xfId="18469"/>
    <cellStyle name="Check Cell 3 5 3" xfId="18468"/>
    <cellStyle name="Check Cell 3 6" xfId="2447"/>
    <cellStyle name="Check Cell 3 6 2" xfId="18471"/>
    <cellStyle name="Check Cell 3 6 3" xfId="18470"/>
    <cellStyle name="Check Cell 3 7" xfId="2819"/>
    <cellStyle name="Check Cell 3 7 2" xfId="18473"/>
    <cellStyle name="Check Cell 3 7 3" xfId="18472"/>
    <cellStyle name="Check Cell 3 8" xfId="3190"/>
    <cellStyle name="Check Cell 3 8 2" xfId="18475"/>
    <cellStyle name="Check Cell 3 8 3" xfId="18474"/>
    <cellStyle name="Check Cell 3 9" xfId="3565"/>
    <cellStyle name="Check Cell 3 9 2" xfId="18477"/>
    <cellStyle name="Check Cell 3 9 3" xfId="18476"/>
    <cellStyle name="Check Cell 4" xfId="261"/>
    <cellStyle name="Check Cell 4 10" xfId="3745"/>
    <cellStyle name="Check Cell 4 10 2" xfId="18480"/>
    <cellStyle name="Check Cell 4 10 3" xfId="18479"/>
    <cellStyle name="Check Cell 4 11" xfId="1288"/>
    <cellStyle name="Check Cell 4 11 2" xfId="18482"/>
    <cellStyle name="Check Cell 4 11 3" xfId="18481"/>
    <cellStyle name="Check Cell 4 12" xfId="18483"/>
    <cellStyle name="Check Cell 4 13" xfId="18478"/>
    <cellStyle name="Check Cell 4 2" xfId="1519"/>
    <cellStyle name="Check Cell 4 2 2" xfId="18485"/>
    <cellStyle name="Check Cell 4 2 3" xfId="18484"/>
    <cellStyle name="Check Cell 4 3" xfId="1644"/>
    <cellStyle name="Check Cell 4 3 2" xfId="18487"/>
    <cellStyle name="Check Cell 4 3 3" xfId="18486"/>
    <cellStyle name="Check Cell 4 4" xfId="1783"/>
    <cellStyle name="Check Cell 4 4 2" xfId="18489"/>
    <cellStyle name="Check Cell 4 4 3" xfId="18488"/>
    <cellStyle name="Check Cell 4 5" xfId="2118"/>
    <cellStyle name="Check Cell 4 5 2" xfId="18491"/>
    <cellStyle name="Check Cell 4 5 3" xfId="18490"/>
    <cellStyle name="Check Cell 4 6" xfId="2492"/>
    <cellStyle name="Check Cell 4 6 2" xfId="18493"/>
    <cellStyle name="Check Cell 4 6 3" xfId="18492"/>
    <cellStyle name="Check Cell 4 7" xfId="2864"/>
    <cellStyle name="Check Cell 4 7 2" xfId="18495"/>
    <cellStyle name="Check Cell 4 7 3" xfId="18494"/>
    <cellStyle name="Check Cell 4 8" xfId="3235"/>
    <cellStyle name="Check Cell 4 8 2" xfId="18497"/>
    <cellStyle name="Check Cell 4 8 3" xfId="18496"/>
    <cellStyle name="Check Cell 4 9" xfId="3608"/>
    <cellStyle name="Check Cell 4 9 2" xfId="18499"/>
    <cellStyle name="Check Cell 4 9 3" xfId="18498"/>
    <cellStyle name="Check Cell 5" xfId="463"/>
    <cellStyle name="Check Cell 5 2" xfId="1853"/>
    <cellStyle name="Check Cell 5 2 2" xfId="18502"/>
    <cellStyle name="Check Cell 5 2 3" xfId="18501"/>
    <cellStyle name="Check Cell 5 3" xfId="2228"/>
    <cellStyle name="Check Cell 5 3 2" xfId="18504"/>
    <cellStyle name="Check Cell 5 3 3" xfId="18503"/>
    <cellStyle name="Check Cell 5 4" xfId="2602"/>
    <cellStyle name="Check Cell 5 4 2" xfId="18506"/>
    <cellStyle name="Check Cell 5 4 3" xfId="18505"/>
    <cellStyle name="Check Cell 5 5" xfId="2974"/>
    <cellStyle name="Check Cell 5 5 2" xfId="18508"/>
    <cellStyle name="Check Cell 5 5 3" xfId="18507"/>
    <cellStyle name="Check Cell 5 6" xfId="3346"/>
    <cellStyle name="Check Cell 5 6 2" xfId="18510"/>
    <cellStyle name="Check Cell 5 6 3" xfId="18509"/>
    <cellStyle name="Check Cell 5 7" xfId="18511"/>
    <cellStyle name="Check Cell 5 7 2" xfId="18512"/>
    <cellStyle name="Check Cell 5 8" xfId="18513"/>
    <cellStyle name="Check Cell 5 9" xfId="18500"/>
    <cellStyle name="Check Cell 6" xfId="464"/>
    <cellStyle name="Check Cell 6 10" xfId="18514"/>
    <cellStyle name="Check Cell 6 2" xfId="1995"/>
    <cellStyle name="Check Cell 6 2 2" xfId="18516"/>
    <cellStyle name="Check Cell 6 2 3" xfId="18515"/>
    <cellStyle name="Check Cell 6 3" xfId="2370"/>
    <cellStyle name="Check Cell 6 3 2" xfId="18518"/>
    <cellStyle name="Check Cell 6 3 3" xfId="18517"/>
    <cellStyle name="Check Cell 6 4" xfId="2743"/>
    <cellStyle name="Check Cell 6 4 2" xfId="18520"/>
    <cellStyle name="Check Cell 6 4 3" xfId="18519"/>
    <cellStyle name="Check Cell 6 5" xfId="3116"/>
    <cellStyle name="Check Cell 6 5 2" xfId="18522"/>
    <cellStyle name="Check Cell 6 5 3" xfId="18521"/>
    <cellStyle name="Check Cell 6 6" xfId="3487"/>
    <cellStyle name="Check Cell 6 6 2" xfId="18524"/>
    <cellStyle name="Check Cell 6 6 3" xfId="18523"/>
    <cellStyle name="Check Cell 6 7" xfId="3793"/>
    <cellStyle name="Check Cell 6 7 2" xfId="18526"/>
    <cellStyle name="Check Cell 6 7 3" xfId="18525"/>
    <cellStyle name="Check Cell 6 8" xfId="18527"/>
    <cellStyle name="Check Cell 6 8 2" xfId="18528"/>
    <cellStyle name="Check Cell 6 9" xfId="18529"/>
    <cellStyle name="Check Cell 7" xfId="465"/>
    <cellStyle name="Check Cell 7 2" xfId="18531"/>
    <cellStyle name="Check Cell 7 3" xfId="18530"/>
    <cellStyle name="Check Cell 8" xfId="598"/>
    <cellStyle name="Check Cell 8 2" xfId="18533"/>
    <cellStyle name="Check Cell 8 3" xfId="18532"/>
    <cellStyle name="Check Cell 9" xfId="599"/>
    <cellStyle name="Check Cell 9 2" xfId="18535"/>
    <cellStyle name="Check Cell 9 3" xfId="18534"/>
    <cellStyle name="Comma" xfId="1" builtinId="3"/>
    <cellStyle name="Comma [0] 2" xfId="24492"/>
    <cellStyle name="Comma [0] 2 2" xfId="24508"/>
    <cellStyle name="Comma [0] 2 2 2" xfId="24573"/>
    <cellStyle name="Comma [0] 2 3" xfId="24574"/>
    <cellStyle name="Comma [0] 2 4" xfId="24575"/>
    <cellStyle name="Comma [0] 2 4 2" xfId="26757"/>
    <cellStyle name="Comma [0] 3" xfId="24509"/>
    <cellStyle name="Comma 10" xfId="31"/>
    <cellStyle name="Comma 10 10" xfId="4689"/>
    <cellStyle name="Comma 10 10 2" xfId="18538"/>
    <cellStyle name="Comma 10 10 3" xfId="18537"/>
    <cellStyle name="Comma 10 11" xfId="4690"/>
    <cellStyle name="Comma 10 11 2" xfId="18540"/>
    <cellStyle name="Comma 10 11 3" xfId="18539"/>
    <cellStyle name="Comma 10 12" xfId="4691"/>
    <cellStyle name="Comma 10 12 2" xfId="18542"/>
    <cellStyle name="Comma 10 12 3" xfId="18541"/>
    <cellStyle name="Comma 10 13" xfId="4692"/>
    <cellStyle name="Comma 10 13 2" xfId="18544"/>
    <cellStyle name="Comma 10 13 3" xfId="18543"/>
    <cellStyle name="Comma 10 14" xfId="4693"/>
    <cellStyle name="Comma 10 14 2" xfId="18546"/>
    <cellStyle name="Comma 10 14 3" xfId="18545"/>
    <cellStyle name="Comma 10 15" xfId="4694"/>
    <cellStyle name="Comma 10 15 2" xfId="18548"/>
    <cellStyle name="Comma 10 15 3" xfId="18547"/>
    <cellStyle name="Comma 10 16" xfId="4695"/>
    <cellStyle name="Comma 10 16 2" xfId="18550"/>
    <cellStyle name="Comma 10 16 3" xfId="18549"/>
    <cellStyle name="Comma 10 17" xfId="4696"/>
    <cellStyle name="Comma 10 17 2" xfId="18552"/>
    <cellStyle name="Comma 10 17 3" xfId="18551"/>
    <cellStyle name="Comma 10 18" xfId="4697"/>
    <cellStyle name="Comma 10 18 2" xfId="18554"/>
    <cellStyle name="Comma 10 18 3" xfId="18553"/>
    <cellStyle name="Comma 10 19" xfId="4698"/>
    <cellStyle name="Comma 10 19 2" xfId="18556"/>
    <cellStyle name="Comma 10 19 3" xfId="18555"/>
    <cellStyle name="Comma 10 2" xfId="3881"/>
    <cellStyle name="Comma 10 2 2" xfId="18558"/>
    <cellStyle name="Comma 10 2 2 2" xfId="24576"/>
    <cellStyle name="Comma 10 2 2 2 2" xfId="26758"/>
    <cellStyle name="Comma 10 2 3" xfId="18557"/>
    <cellStyle name="Comma 10 2 3 2" xfId="24577"/>
    <cellStyle name="Comma 10 2 3 2 2" xfId="26759"/>
    <cellStyle name="Comma 10 2 4" xfId="24578"/>
    <cellStyle name="Comma 10 2 4 2" xfId="26760"/>
    <cellStyle name="Comma 10 2 5" xfId="24579"/>
    <cellStyle name="Comma 10 2 6" xfId="24580"/>
    <cellStyle name="Comma 10 2 6 2" xfId="26761"/>
    <cellStyle name="Comma 10 2 7" xfId="24511"/>
    <cellStyle name="Comma 10 20" xfId="4699"/>
    <cellStyle name="Comma 10 20 2" xfId="18560"/>
    <cellStyle name="Comma 10 20 3" xfId="18559"/>
    <cellStyle name="Comma 10 21" xfId="4700"/>
    <cellStyle name="Comma 10 21 2" xfId="18562"/>
    <cellStyle name="Comma 10 21 3" xfId="18561"/>
    <cellStyle name="Comma 10 22" xfId="4701"/>
    <cellStyle name="Comma 10 22 2" xfId="18564"/>
    <cellStyle name="Comma 10 22 3" xfId="18563"/>
    <cellStyle name="Comma 10 23" xfId="4702"/>
    <cellStyle name="Comma 10 23 2" xfId="18566"/>
    <cellStyle name="Comma 10 23 3" xfId="18565"/>
    <cellStyle name="Comma 10 24" xfId="4703"/>
    <cellStyle name="Comma 10 24 2" xfId="18568"/>
    <cellStyle name="Comma 10 24 3" xfId="18567"/>
    <cellStyle name="Comma 10 25" xfId="18569"/>
    <cellStyle name="Comma 10 26" xfId="18536"/>
    <cellStyle name="Comma 10 27" xfId="24510"/>
    <cellStyle name="Comma 10 3" xfId="4704"/>
    <cellStyle name="Comma 10 3 2" xfId="18571"/>
    <cellStyle name="Comma 10 3 3" xfId="18570"/>
    <cellStyle name="Comma 10 3 4" xfId="24581"/>
    <cellStyle name="Comma 10 3 4 2" xfId="26762"/>
    <cellStyle name="Comma 10 4" xfId="4705"/>
    <cellStyle name="Comma 10 4 2" xfId="18573"/>
    <cellStyle name="Comma 10 4 3" xfId="18572"/>
    <cellStyle name="Comma 10 4 4" xfId="24582"/>
    <cellStyle name="Comma 10 4 4 2" xfId="26763"/>
    <cellStyle name="Comma 10 5" xfId="4706"/>
    <cellStyle name="Comma 10 5 2" xfId="18575"/>
    <cellStyle name="Comma 10 5 3" xfId="18574"/>
    <cellStyle name="Comma 10 5 4" xfId="24583"/>
    <cellStyle name="Comma 10 5 4 2" xfId="26764"/>
    <cellStyle name="Comma 10 6" xfId="4707"/>
    <cellStyle name="Comma 10 6 2" xfId="18577"/>
    <cellStyle name="Comma 10 6 3" xfId="18576"/>
    <cellStyle name="Comma 10 6 4" xfId="24584"/>
    <cellStyle name="Comma 10 7" xfId="4708"/>
    <cellStyle name="Comma 10 7 2" xfId="18579"/>
    <cellStyle name="Comma 10 7 3" xfId="18578"/>
    <cellStyle name="Comma 10 7 4" xfId="24585"/>
    <cellStyle name="Comma 10 7 4 2" xfId="26765"/>
    <cellStyle name="Comma 10 8" xfId="4709"/>
    <cellStyle name="Comma 10 8 2" xfId="18581"/>
    <cellStyle name="Comma 10 8 3" xfId="18580"/>
    <cellStyle name="Comma 10 9" xfId="4710"/>
    <cellStyle name="Comma 10 9 2" xfId="18583"/>
    <cellStyle name="Comma 10 9 3" xfId="18582"/>
    <cellStyle name="Comma 11" xfId="32"/>
    <cellStyle name="Comma 11 10" xfId="4711"/>
    <cellStyle name="Comma 11 10 2" xfId="18586"/>
    <cellStyle name="Comma 11 10 3" xfId="18585"/>
    <cellStyle name="Comma 11 11" xfId="4712"/>
    <cellStyle name="Comma 11 11 2" xfId="18588"/>
    <cellStyle name="Comma 11 11 3" xfId="18587"/>
    <cellStyle name="Comma 11 12" xfId="4713"/>
    <cellStyle name="Comma 11 12 2" xfId="18590"/>
    <cellStyle name="Comma 11 12 3" xfId="18589"/>
    <cellStyle name="Comma 11 13" xfId="4714"/>
    <cellStyle name="Comma 11 13 2" xfId="18592"/>
    <cellStyle name="Comma 11 13 3" xfId="18591"/>
    <cellStyle name="Comma 11 14" xfId="4715"/>
    <cellStyle name="Comma 11 14 2" xfId="18594"/>
    <cellStyle name="Comma 11 14 3" xfId="18593"/>
    <cellStyle name="Comma 11 15" xfId="4716"/>
    <cellStyle name="Comma 11 15 2" xfId="18596"/>
    <cellStyle name="Comma 11 15 3" xfId="18595"/>
    <cellStyle name="Comma 11 16" xfId="4717"/>
    <cellStyle name="Comma 11 16 2" xfId="18598"/>
    <cellStyle name="Comma 11 16 3" xfId="18597"/>
    <cellStyle name="Comma 11 17" xfId="4718"/>
    <cellStyle name="Comma 11 17 2" xfId="18600"/>
    <cellStyle name="Comma 11 17 3" xfId="18599"/>
    <cellStyle name="Comma 11 18" xfId="4719"/>
    <cellStyle name="Comma 11 18 2" xfId="18602"/>
    <cellStyle name="Comma 11 18 3" xfId="18601"/>
    <cellStyle name="Comma 11 19" xfId="4720"/>
    <cellStyle name="Comma 11 19 2" xfId="18604"/>
    <cellStyle name="Comma 11 19 3" xfId="18603"/>
    <cellStyle name="Comma 11 2" xfId="3913"/>
    <cellStyle name="Comma 11 2 2" xfId="18606"/>
    <cellStyle name="Comma 11 2 3" xfId="18605"/>
    <cellStyle name="Comma 11 2 4" xfId="24513"/>
    <cellStyle name="Comma 11 20" xfId="4721"/>
    <cellStyle name="Comma 11 20 2" xfId="18608"/>
    <cellStyle name="Comma 11 20 3" xfId="18607"/>
    <cellStyle name="Comma 11 21" xfId="4722"/>
    <cellStyle name="Comma 11 21 2" xfId="18610"/>
    <cellStyle name="Comma 11 21 3" xfId="18609"/>
    <cellStyle name="Comma 11 22" xfId="4723"/>
    <cellStyle name="Comma 11 22 2" xfId="18612"/>
    <cellStyle name="Comma 11 22 3" xfId="18611"/>
    <cellStyle name="Comma 11 23" xfId="4724"/>
    <cellStyle name="Comma 11 23 2" xfId="18614"/>
    <cellStyle name="Comma 11 23 3" xfId="18613"/>
    <cellStyle name="Comma 11 24" xfId="4725"/>
    <cellStyle name="Comma 11 24 2" xfId="18616"/>
    <cellStyle name="Comma 11 24 3" xfId="18615"/>
    <cellStyle name="Comma 11 25" xfId="18617"/>
    <cellStyle name="Comma 11 26" xfId="18584"/>
    <cellStyle name="Comma 11 27" xfId="24512"/>
    <cellStyle name="Comma 11 3" xfId="4726"/>
    <cellStyle name="Comma 11 3 2" xfId="18619"/>
    <cellStyle name="Comma 11 3 3" xfId="18618"/>
    <cellStyle name="Comma 11 3 4" xfId="24586"/>
    <cellStyle name="Comma 11 4" xfId="4727"/>
    <cellStyle name="Comma 11 4 2" xfId="18621"/>
    <cellStyle name="Comma 11 4 3" xfId="18620"/>
    <cellStyle name="Comma 11 4 4" xfId="24587"/>
    <cellStyle name="Comma 11 5" xfId="4728"/>
    <cellStyle name="Comma 11 5 2" xfId="18623"/>
    <cellStyle name="Comma 11 5 3" xfId="18622"/>
    <cellStyle name="Comma 11 6" xfId="4729"/>
    <cellStyle name="Comma 11 6 2" xfId="18625"/>
    <cellStyle name="Comma 11 6 3" xfId="18624"/>
    <cellStyle name="Comma 11 7" xfId="4730"/>
    <cellStyle name="Comma 11 7 2" xfId="18627"/>
    <cellStyle name="Comma 11 7 3" xfId="18626"/>
    <cellStyle name="Comma 11 8" xfId="4731"/>
    <cellStyle name="Comma 11 8 2" xfId="18629"/>
    <cellStyle name="Comma 11 8 3" xfId="18628"/>
    <cellStyle name="Comma 11 9" xfId="4732"/>
    <cellStyle name="Comma 11 9 2" xfId="18631"/>
    <cellStyle name="Comma 11 9 3" xfId="18630"/>
    <cellStyle name="Comma 12" xfId="33"/>
    <cellStyle name="Comma 12 2" xfId="3883"/>
    <cellStyle name="Comma 12 2 2" xfId="18634"/>
    <cellStyle name="Comma 12 2 2 2" xfId="24589"/>
    <cellStyle name="Comma 12 2 2 2 2" xfId="26766"/>
    <cellStyle name="Comma 12 2 3" xfId="18633"/>
    <cellStyle name="Comma 12 2 3 2" xfId="24590"/>
    <cellStyle name="Comma 12 2 3 2 2" xfId="26767"/>
    <cellStyle name="Comma 12 2 4" xfId="24591"/>
    <cellStyle name="Comma 12 2 4 2" xfId="26768"/>
    <cellStyle name="Comma 12 2 5" xfId="24588"/>
    <cellStyle name="Comma 12 2 5 2" xfId="26769"/>
    <cellStyle name="Comma 12 3" xfId="18635"/>
    <cellStyle name="Comma 12 3 2" xfId="24592"/>
    <cellStyle name="Comma 12 3 2 2" xfId="26770"/>
    <cellStyle name="Comma 12 4" xfId="18632"/>
    <cellStyle name="Comma 12 4 2" xfId="24593"/>
    <cellStyle name="Comma 12 4 2 2" xfId="26771"/>
    <cellStyle name="Comma 12 5" xfId="24594"/>
    <cellStyle name="Comma 12 5 2" xfId="26772"/>
    <cellStyle name="Comma 12 6" xfId="24595"/>
    <cellStyle name="Comma 12 7" xfId="24596"/>
    <cellStyle name="Comma 12 7 2" xfId="26773"/>
    <cellStyle name="Comma 12 8" xfId="24514"/>
    <cellStyle name="Comma 13" xfId="34"/>
    <cellStyle name="Comma 13 2" xfId="3915"/>
    <cellStyle name="Comma 13 2 2" xfId="18638"/>
    <cellStyle name="Comma 13 2 2 2" xfId="24598"/>
    <cellStyle name="Comma 13 2 2 2 2" xfId="26774"/>
    <cellStyle name="Comma 13 2 3" xfId="18637"/>
    <cellStyle name="Comma 13 2 3 2" xfId="24599"/>
    <cellStyle name="Comma 13 2 3 2 2" xfId="26775"/>
    <cellStyle name="Comma 13 2 4" xfId="24600"/>
    <cellStyle name="Comma 13 2 4 2" xfId="26776"/>
    <cellStyle name="Comma 13 2 5" xfId="24597"/>
    <cellStyle name="Comma 13 2 5 2" xfId="26777"/>
    <cellStyle name="Comma 13 3" xfId="18639"/>
    <cellStyle name="Comma 13 3 2" xfId="24601"/>
    <cellStyle name="Comma 13 3 2 2" xfId="26778"/>
    <cellStyle name="Comma 13 4" xfId="18636"/>
    <cellStyle name="Comma 13 4 2" xfId="24602"/>
    <cellStyle name="Comma 13 4 2 2" xfId="26779"/>
    <cellStyle name="Comma 13 5" xfId="24603"/>
    <cellStyle name="Comma 13 5 2" xfId="26780"/>
    <cellStyle name="Comma 13 6" xfId="24604"/>
    <cellStyle name="Comma 13 7" xfId="24605"/>
    <cellStyle name="Comma 13 7 2" xfId="26781"/>
    <cellStyle name="Comma 13 8" xfId="24515"/>
    <cellStyle name="Comma 14" xfId="35"/>
    <cellStyle name="Comma 14 2" xfId="3885"/>
    <cellStyle name="Comma 14 2 2" xfId="18641"/>
    <cellStyle name="Comma 14 2 2 2" xfId="24607"/>
    <cellStyle name="Comma 14 2 2 2 2" xfId="26782"/>
    <cellStyle name="Comma 14 2 3" xfId="24608"/>
    <cellStyle name="Comma 14 2 3 2" xfId="26783"/>
    <cellStyle name="Comma 14 2 4" xfId="24609"/>
    <cellStyle name="Comma 14 2 4 2" xfId="26784"/>
    <cellStyle name="Comma 14 2 5" xfId="24606"/>
    <cellStyle name="Comma 14 2 5 2" xfId="26785"/>
    <cellStyle name="Comma 14 3" xfId="1022"/>
    <cellStyle name="Comma 14 3 2" xfId="24610"/>
    <cellStyle name="Comma 14 3 2 2" xfId="26786"/>
    <cellStyle name="Comma 14 4" xfId="18640"/>
    <cellStyle name="Comma 14 4 2" xfId="24611"/>
    <cellStyle name="Comma 14 4 2 2" xfId="26787"/>
    <cellStyle name="Comma 14 5" xfId="24612"/>
    <cellStyle name="Comma 14 5 2" xfId="26788"/>
    <cellStyle name="Comma 14 6" xfId="24613"/>
    <cellStyle name="Comma 14 7" xfId="24614"/>
    <cellStyle name="Comma 14 7 2" xfId="26789"/>
    <cellStyle name="Comma 15" xfId="4733"/>
    <cellStyle name="Comma 15 2" xfId="24615"/>
    <cellStyle name="Comma 15 2 2" xfId="24616"/>
    <cellStyle name="Comma 15 2 2 2" xfId="26791"/>
    <cellStyle name="Comma 15 2 3" xfId="24617"/>
    <cellStyle name="Comma 15 2 3 2" xfId="26792"/>
    <cellStyle name="Comma 15 2 4" xfId="24618"/>
    <cellStyle name="Comma 15 2 4 2" xfId="26793"/>
    <cellStyle name="Comma 15 2 5" xfId="26790"/>
    <cellStyle name="Comma 15 3" xfId="24619"/>
    <cellStyle name="Comma 15 3 2" xfId="26794"/>
    <cellStyle name="Comma 15 4" xfId="24620"/>
    <cellStyle name="Comma 15 4 2" xfId="26795"/>
    <cellStyle name="Comma 15 5" xfId="24621"/>
    <cellStyle name="Comma 15 5 2" xfId="26796"/>
    <cellStyle name="Comma 15 6" xfId="24622"/>
    <cellStyle name="Comma 15 7" xfId="24623"/>
    <cellStyle name="Comma 15 7 2" xfId="26797"/>
    <cellStyle name="Comma 16" xfId="1024"/>
    <cellStyle name="Comma 16 2" xfId="3887"/>
    <cellStyle name="Comma 16 3" xfId="24569"/>
    <cellStyle name="Comma 17" xfId="7099"/>
    <cellStyle name="Comma 17 2" xfId="24624"/>
    <cellStyle name="Comma 17 2 2" xfId="24625"/>
    <cellStyle name="Comma 17 2 2 2" xfId="26800"/>
    <cellStyle name="Comma 17 2 3" xfId="24626"/>
    <cellStyle name="Comma 17 2 3 2" xfId="26801"/>
    <cellStyle name="Comma 17 2 4" xfId="24627"/>
    <cellStyle name="Comma 17 2 4 2" xfId="26802"/>
    <cellStyle name="Comma 17 2 5" xfId="26799"/>
    <cellStyle name="Comma 17 3" xfId="24628"/>
    <cellStyle name="Comma 17 3 2" xfId="26803"/>
    <cellStyle name="Comma 17 4" xfId="24629"/>
    <cellStyle name="Comma 17 4 2" xfId="26804"/>
    <cellStyle name="Comma 17 5" xfId="24630"/>
    <cellStyle name="Comma 17 5 2" xfId="26805"/>
    <cellStyle name="Comma 17 6" xfId="24631"/>
    <cellStyle name="Comma 17 7" xfId="24632"/>
    <cellStyle name="Comma 17 7 2" xfId="26806"/>
    <cellStyle name="Comma 17 8" xfId="24571"/>
    <cellStyle name="Comma 17 8 2" xfId="26807"/>
    <cellStyle name="Comma 17 9" xfId="26798"/>
    <cellStyle name="Comma 18" xfId="1026"/>
    <cellStyle name="Comma 18 2" xfId="3889"/>
    <cellStyle name="Comma 18 2 2" xfId="24635"/>
    <cellStyle name="Comma 18 2 2 2" xfId="26808"/>
    <cellStyle name="Comma 18 2 3" xfId="24636"/>
    <cellStyle name="Comma 18 2 3 2" xfId="26809"/>
    <cellStyle name="Comma 18 2 4" xfId="24637"/>
    <cellStyle name="Comma 18 2 4 2" xfId="26810"/>
    <cellStyle name="Comma 18 2 5" xfId="24634"/>
    <cellStyle name="Comma 18 2 5 2" xfId="26811"/>
    <cellStyle name="Comma 18 3" xfId="24638"/>
    <cellStyle name="Comma 18 3 2" xfId="26812"/>
    <cellStyle name="Comma 18 4" xfId="24639"/>
    <cellStyle name="Comma 18 4 2" xfId="26813"/>
    <cellStyle name="Comma 18 5" xfId="24640"/>
    <cellStyle name="Comma 18 5 2" xfId="26814"/>
    <cellStyle name="Comma 18 6" xfId="24641"/>
    <cellStyle name="Comma 18 7" xfId="24642"/>
    <cellStyle name="Comma 18 7 2" xfId="26815"/>
    <cellStyle name="Comma 18 8" xfId="24633"/>
    <cellStyle name="Comma 19" xfId="7114"/>
    <cellStyle name="Comma 19 2" xfId="24643"/>
    <cellStyle name="Comma 19 2 2" xfId="24644"/>
    <cellStyle name="Comma 19 2 2 2" xfId="26818"/>
    <cellStyle name="Comma 19 2 3" xfId="24645"/>
    <cellStyle name="Comma 19 2 3 2" xfId="26819"/>
    <cellStyle name="Comma 19 2 4" xfId="24646"/>
    <cellStyle name="Comma 19 2 4 2" xfId="26820"/>
    <cellStyle name="Comma 19 2 5" xfId="26817"/>
    <cellStyle name="Comma 19 3" xfId="24647"/>
    <cellStyle name="Comma 19 3 2" xfId="26821"/>
    <cellStyle name="Comma 19 4" xfId="24648"/>
    <cellStyle name="Comma 19 4 2" xfId="26822"/>
    <cellStyle name="Comma 19 5" xfId="24649"/>
    <cellStyle name="Comma 19 5 2" xfId="26823"/>
    <cellStyle name="Comma 19 6" xfId="26816"/>
    <cellStyle name="Comma 2" xfId="2"/>
    <cellStyle name="Comma 2 10" xfId="1016"/>
    <cellStyle name="Comma 2 10 2" xfId="3535"/>
    <cellStyle name="Comma 2 10 2 2" xfId="18643"/>
    <cellStyle name="Comma 2 10 3" xfId="3876"/>
    <cellStyle name="Comma 2 10 4" xfId="18642"/>
    <cellStyle name="Comma 2 11" xfId="1034"/>
    <cellStyle name="Comma 2 11 2" xfId="3671"/>
    <cellStyle name="Comma 2 11 2 2" xfId="18645"/>
    <cellStyle name="Comma 2 11 3" xfId="3899"/>
    <cellStyle name="Comma 2 11 4" xfId="18644"/>
    <cellStyle name="Comma 2 12" xfId="1040"/>
    <cellStyle name="Comma 2 12 2" xfId="3907"/>
    <cellStyle name="Comma 2 12 2 2" xfId="18648"/>
    <cellStyle name="Comma 2 12 2 3" xfId="18647"/>
    <cellStyle name="Comma 2 12 3" xfId="18649"/>
    <cellStyle name="Comma 2 12 4" xfId="18646"/>
    <cellStyle name="Comma 2 13" xfId="1060"/>
    <cellStyle name="Comma 2 13 2" xfId="3930"/>
    <cellStyle name="Comma 2 13 2 2" xfId="18651"/>
    <cellStyle name="Comma 2 13 3" xfId="18650"/>
    <cellStyle name="Comma 2 14" xfId="1070"/>
    <cellStyle name="Comma 2 14 2" xfId="3940"/>
    <cellStyle name="Comma 2 14 2 2" xfId="18653"/>
    <cellStyle name="Comma 2 14 3" xfId="18652"/>
    <cellStyle name="Comma 2 15" xfId="1080"/>
    <cellStyle name="Comma 2 15 2" xfId="3950"/>
    <cellStyle name="Comma 2 15 3" xfId="28692"/>
    <cellStyle name="Comma 2 16" xfId="1090"/>
    <cellStyle name="Comma 2 16 2" xfId="3960"/>
    <cellStyle name="Comma 2 17" xfId="1100"/>
    <cellStyle name="Comma 2 17 2" xfId="3970"/>
    <cellStyle name="Comma 2 18" xfId="1110"/>
    <cellStyle name="Comma 2 18 2" xfId="3980"/>
    <cellStyle name="Comma 2 19" xfId="1120"/>
    <cellStyle name="Comma 2 19 2" xfId="3990"/>
    <cellStyle name="Comma 2 2" xfId="36"/>
    <cellStyle name="Comma 2 2 10" xfId="4734"/>
    <cellStyle name="Comma 2 2 10 2" xfId="18656"/>
    <cellStyle name="Comma 2 2 10 3" xfId="18655"/>
    <cellStyle name="Comma 2 2 11" xfId="4735"/>
    <cellStyle name="Comma 2 2 11 2" xfId="18658"/>
    <cellStyle name="Comma 2 2 11 3" xfId="18657"/>
    <cellStyle name="Comma 2 2 12" xfId="4736"/>
    <cellStyle name="Comma 2 2 12 2" xfId="18660"/>
    <cellStyle name="Comma 2 2 12 3" xfId="18659"/>
    <cellStyle name="Comma 2 2 13" xfId="4737"/>
    <cellStyle name="Comma 2 2 13 2" xfId="18662"/>
    <cellStyle name="Comma 2 2 13 3" xfId="18661"/>
    <cellStyle name="Comma 2 2 14" xfId="4738"/>
    <cellStyle name="Comma 2 2 14 2" xfId="18664"/>
    <cellStyle name="Comma 2 2 14 3" xfId="18663"/>
    <cellStyle name="Comma 2 2 15" xfId="4739"/>
    <cellStyle name="Comma 2 2 15 2" xfId="18666"/>
    <cellStyle name="Comma 2 2 15 3" xfId="18665"/>
    <cellStyle name="Comma 2 2 16" xfId="4740"/>
    <cellStyle name="Comma 2 2 16 2" xfId="18668"/>
    <cellStyle name="Comma 2 2 16 3" xfId="18667"/>
    <cellStyle name="Comma 2 2 17" xfId="4741"/>
    <cellStyle name="Comma 2 2 17 2" xfId="18670"/>
    <cellStyle name="Comma 2 2 17 3" xfId="18669"/>
    <cellStyle name="Comma 2 2 18" xfId="4742"/>
    <cellStyle name="Comma 2 2 18 2" xfId="18672"/>
    <cellStyle name="Comma 2 2 18 3" xfId="18671"/>
    <cellStyle name="Comma 2 2 19" xfId="4743"/>
    <cellStyle name="Comma 2 2 19 2" xfId="18674"/>
    <cellStyle name="Comma 2 2 19 3" xfId="18673"/>
    <cellStyle name="Comma 2 2 2" xfId="111"/>
    <cellStyle name="Comma 2 2 2 2" xfId="4744"/>
    <cellStyle name="Comma 2 2 2 2 2" xfId="4745"/>
    <cellStyle name="Comma 2 2 2 2 2 2" xfId="18678"/>
    <cellStyle name="Comma 2 2 2 2 2 3" xfId="18677"/>
    <cellStyle name="Comma 2 2 2 2 3" xfId="4746"/>
    <cellStyle name="Comma 2 2 2 2 3 2" xfId="18680"/>
    <cellStyle name="Comma 2 2 2 2 3 3" xfId="18679"/>
    <cellStyle name="Comma 2 2 2 2 4" xfId="18681"/>
    <cellStyle name="Comma 2 2 2 2 5" xfId="18676"/>
    <cellStyle name="Comma 2 2 2 3" xfId="18682"/>
    <cellStyle name="Comma 2 2 2 4" xfId="18675"/>
    <cellStyle name="Comma 2 2 20" xfId="4747"/>
    <cellStyle name="Comma 2 2 20 2" xfId="18684"/>
    <cellStyle name="Comma 2 2 20 3" xfId="18683"/>
    <cellStyle name="Comma 2 2 21" xfId="4748"/>
    <cellStyle name="Comma 2 2 21 2" xfId="18686"/>
    <cellStyle name="Comma 2 2 21 3" xfId="18685"/>
    <cellStyle name="Comma 2 2 22" xfId="4749"/>
    <cellStyle name="Comma 2 2 22 2" xfId="18688"/>
    <cellStyle name="Comma 2 2 22 3" xfId="18687"/>
    <cellStyle name="Comma 2 2 23" xfId="4750"/>
    <cellStyle name="Comma 2 2 23 2" xfId="18690"/>
    <cellStyle name="Comma 2 2 23 3" xfId="18689"/>
    <cellStyle name="Comma 2 2 24" xfId="4751"/>
    <cellStyle name="Comma 2 2 24 2" xfId="18692"/>
    <cellStyle name="Comma 2 2 24 3" xfId="18691"/>
    <cellStyle name="Comma 2 2 25" xfId="18693"/>
    <cellStyle name="Comma 2 2 26" xfId="18654"/>
    <cellStyle name="Comma 2 2 3" xfId="4752"/>
    <cellStyle name="Comma 2 2 3 2" xfId="18695"/>
    <cellStyle name="Comma 2 2 3 3" xfId="18694"/>
    <cellStyle name="Comma 2 2 4" xfId="4753"/>
    <cellStyle name="Comma 2 2 4 2" xfId="18697"/>
    <cellStyle name="Comma 2 2 4 3" xfId="18696"/>
    <cellStyle name="Comma 2 2 5" xfId="4754"/>
    <cellStyle name="Comma 2 2 5 2" xfId="18699"/>
    <cellStyle name="Comma 2 2 5 3" xfId="18698"/>
    <cellStyle name="Comma 2 2 6" xfId="4755"/>
    <cellStyle name="Comma 2 2 6 2" xfId="18701"/>
    <cellStyle name="Comma 2 2 6 3" xfId="18700"/>
    <cellStyle name="Comma 2 2 7" xfId="4756"/>
    <cellStyle name="Comma 2 2 7 2" xfId="18703"/>
    <cellStyle name="Comma 2 2 7 3" xfId="18702"/>
    <cellStyle name="Comma 2 2 8" xfId="4757"/>
    <cellStyle name="Comma 2 2 8 2" xfId="18705"/>
    <cellStyle name="Comma 2 2 8 3" xfId="18704"/>
    <cellStyle name="Comma 2 2 9" xfId="4758"/>
    <cellStyle name="Comma 2 2 9 2" xfId="18707"/>
    <cellStyle name="Comma 2 2 9 3" xfId="18706"/>
    <cellStyle name="Comma 2 20" xfId="1130"/>
    <cellStyle name="Comma 2 20 2" xfId="4000"/>
    <cellStyle name="Comma 2 21" xfId="1140"/>
    <cellStyle name="Comma 2 21 2" xfId="4010"/>
    <cellStyle name="Comma 2 22" xfId="1150"/>
    <cellStyle name="Comma 2 22 2" xfId="4020"/>
    <cellStyle name="Comma 2 23" xfId="1158"/>
    <cellStyle name="Comma 2 23 2" xfId="4028"/>
    <cellStyle name="Comma 2 24" xfId="1170"/>
    <cellStyle name="Comma 2 24 2" xfId="4040"/>
    <cellStyle name="Comma 2 25" xfId="1180"/>
    <cellStyle name="Comma 2 25 2" xfId="4050"/>
    <cellStyle name="Comma 2 26" xfId="1190"/>
    <cellStyle name="Comma 2 26 2" xfId="4060"/>
    <cellStyle name="Comma 2 27" xfId="1200"/>
    <cellStyle name="Comma 2 27 2" xfId="4070"/>
    <cellStyle name="Comma 2 28" xfId="1210"/>
    <cellStyle name="Comma 2 28 2" xfId="4080"/>
    <cellStyle name="Comma 2 29" xfId="1220"/>
    <cellStyle name="Comma 2 29 2" xfId="4090"/>
    <cellStyle name="Comma 2 3" xfId="276"/>
    <cellStyle name="Comma 2 3 2" xfId="18709"/>
    <cellStyle name="Comma 2 3 2 2" xfId="24516"/>
    <cellStyle name="Comma 2 3 3" xfId="18708"/>
    <cellStyle name="Comma 2 30" xfId="1230"/>
    <cellStyle name="Comma 2 30 2" xfId="4100"/>
    <cellStyle name="Comma 2 31" xfId="1240"/>
    <cellStyle name="Comma 2 31 2" xfId="4110"/>
    <cellStyle name="Comma 2 32" xfId="1250"/>
    <cellStyle name="Comma 2 32 2" xfId="4120"/>
    <cellStyle name="Comma 2 33" xfId="1260"/>
    <cellStyle name="Comma 2 33 2" xfId="4130"/>
    <cellStyle name="Comma 2 34" xfId="1268"/>
    <cellStyle name="Comma 2 34 2" xfId="4138"/>
    <cellStyle name="Comma 2 35" xfId="95"/>
    <cellStyle name="Comma 2 4" xfId="1005"/>
    <cellStyle name="Comma 2 4 2" xfId="1538"/>
    <cellStyle name="Comma 2 4 2 2" xfId="18711"/>
    <cellStyle name="Comma 2 4 3" xfId="3864"/>
    <cellStyle name="Comma 2 4 3 2" xfId="24651"/>
    <cellStyle name="Comma 2 4 3 2 2" xfId="26824"/>
    <cellStyle name="Comma 2 4 4" xfId="18710"/>
    <cellStyle name="Comma 2 5" xfId="1007"/>
    <cellStyle name="Comma 2 5 2" xfId="1760"/>
    <cellStyle name="Comma 2 5 2 2" xfId="18713"/>
    <cellStyle name="Comma 2 5 3" xfId="3866"/>
    <cellStyle name="Comma 2 5 4" xfId="18712"/>
    <cellStyle name="Comma 2 6" xfId="1008"/>
    <cellStyle name="Comma 2 6 2" xfId="2095"/>
    <cellStyle name="Comma 2 6 2 2" xfId="18715"/>
    <cellStyle name="Comma 2 6 3" xfId="3868"/>
    <cellStyle name="Comma 2 6 4" xfId="18714"/>
    <cellStyle name="Comma 2 7" xfId="1010"/>
    <cellStyle name="Comma 2 7 2" xfId="2469"/>
    <cellStyle name="Comma 2 7 2 2" xfId="18717"/>
    <cellStyle name="Comma 2 7 3" xfId="3870"/>
    <cellStyle name="Comma 2 7 4" xfId="18716"/>
    <cellStyle name="Comma 2 8" xfId="1012"/>
    <cellStyle name="Comma 2 8 2" xfId="2841"/>
    <cellStyle name="Comma 2 8 2 2" xfId="18719"/>
    <cellStyle name="Comma 2 8 3" xfId="3872"/>
    <cellStyle name="Comma 2 8 4" xfId="18718"/>
    <cellStyle name="Comma 2 9" xfId="1014"/>
    <cellStyle name="Comma 2 9 2" xfId="3212"/>
    <cellStyle name="Comma 2 9 2 2" xfId="18721"/>
    <cellStyle name="Comma 2 9 3" xfId="3874"/>
    <cellStyle name="Comma 2 9 4" xfId="18720"/>
    <cellStyle name="Comma 20" xfId="1028"/>
    <cellStyle name="Comma 20 2" xfId="3891"/>
    <cellStyle name="Comma 20 2 2" xfId="24654"/>
    <cellStyle name="Comma 20 2 2 2" xfId="26825"/>
    <cellStyle name="Comma 20 2 3" xfId="24655"/>
    <cellStyle name="Comma 20 2 3 2" xfId="26826"/>
    <cellStyle name="Comma 20 2 4" xfId="24656"/>
    <cellStyle name="Comma 20 2 4 2" xfId="26827"/>
    <cellStyle name="Comma 20 2 5" xfId="24653"/>
    <cellStyle name="Comma 20 2 5 2" xfId="26828"/>
    <cellStyle name="Comma 20 3" xfId="24657"/>
    <cellStyle name="Comma 20 3 2" xfId="26829"/>
    <cellStyle name="Comma 20 4" xfId="24658"/>
    <cellStyle name="Comma 20 4 2" xfId="26830"/>
    <cellStyle name="Comma 20 5" xfId="24659"/>
    <cellStyle name="Comma 20 5 2" xfId="26831"/>
    <cellStyle name="Comma 20 6" xfId="24652"/>
    <cellStyle name="Comma 20 6 2" xfId="26832"/>
    <cellStyle name="Comma 21" xfId="24660"/>
    <cellStyle name="Comma 21 2" xfId="24661"/>
    <cellStyle name="Comma 21 2 2" xfId="24662"/>
    <cellStyle name="Comma 21 2 2 2" xfId="26835"/>
    <cellStyle name="Comma 21 2 3" xfId="24663"/>
    <cellStyle name="Comma 21 2 3 2" xfId="26836"/>
    <cellStyle name="Comma 21 2 4" xfId="24664"/>
    <cellStyle name="Comma 21 2 4 2" xfId="26837"/>
    <cellStyle name="Comma 21 2 5" xfId="26834"/>
    <cellStyle name="Comma 21 3" xfId="24665"/>
    <cellStyle name="Comma 21 3 2" xfId="26838"/>
    <cellStyle name="Comma 21 4" xfId="24666"/>
    <cellStyle name="Comma 21 4 2" xfId="26839"/>
    <cellStyle name="Comma 21 5" xfId="24667"/>
    <cellStyle name="Comma 21 5 2" xfId="26840"/>
    <cellStyle name="Comma 21 6" xfId="26833"/>
    <cellStyle name="Comma 22" xfId="1030"/>
    <cellStyle name="Comma 22 2" xfId="3893"/>
    <cellStyle name="Comma 22 2 2" xfId="24670"/>
    <cellStyle name="Comma 22 2 2 2" xfId="26841"/>
    <cellStyle name="Comma 22 2 3" xfId="24671"/>
    <cellStyle name="Comma 22 2 3 2" xfId="26842"/>
    <cellStyle name="Comma 22 2 4" xfId="24672"/>
    <cellStyle name="Comma 22 2 4 2" xfId="26843"/>
    <cellStyle name="Comma 22 2 5" xfId="24669"/>
    <cellStyle name="Comma 22 2 5 2" xfId="26844"/>
    <cellStyle name="Comma 22 3" xfId="24673"/>
    <cellStyle name="Comma 22 3 2" xfId="26845"/>
    <cellStyle name="Comma 22 4" xfId="24674"/>
    <cellStyle name="Comma 22 4 2" xfId="26846"/>
    <cellStyle name="Comma 22 5" xfId="24675"/>
    <cellStyle name="Comma 22 5 2" xfId="26847"/>
    <cellStyle name="Comma 22 6" xfId="24668"/>
    <cellStyle name="Comma 22 6 2" xfId="26848"/>
    <cellStyle name="Comma 23" xfId="37"/>
    <cellStyle name="Comma 23 2" xfId="18723"/>
    <cellStyle name="Comma 23 2 2" xfId="24678"/>
    <cellStyle name="Comma 23 2 2 2" xfId="26849"/>
    <cellStyle name="Comma 23 2 3" xfId="24679"/>
    <cellStyle name="Comma 23 2 3 2" xfId="26850"/>
    <cellStyle name="Comma 23 2 4" xfId="24680"/>
    <cellStyle name="Comma 23 2 4 2" xfId="26851"/>
    <cellStyle name="Comma 23 2 5" xfId="24677"/>
    <cellStyle name="Comma 23 2 5 2" xfId="26852"/>
    <cellStyle name="Comma 23 3" xfId="18722"/>
    <cellStyle name="Comma 23 3 2" xfId="24681"/>
    <cellStyle name="Comma 23 3 2 2" xfId="26853"/>
    <cellStyle name="Comma 23 4" xfId="24682"/>
    <cellStyle name="Comma 23 4 2" xfId="26854"/>
    <cellStyle name="Comma 23 5" xfId="24683"/>
    <cellStyle name="Comma 23 5 2" xfId="26855"/>
    <cellStyle name="Comma 23 6" xfId="24676"/>
    <cellStyle name="Comma 23 6 2" xfId="26856"/>
    <cellStyle name="Comma 24" xfId="38"/>
    <cellStyle name="Comma 24 2" xfId="3895"/>
    <cellStyle name="Comma 24 2 2" xfId="18725"/>
    <cellStyle name="Comma 24 3" xfId="18724"/>
    <cellStyle name="Comma 24 4" xfId="24684"/>
    <cellStyle name="Comma 25" xfId="39"/>
    <cellStyle name="Comma 25 2" xfId="18727"/>
    <cellStyle name="Comma 25 3" xfId="18726"/>
    <cellStyle name="Comma 25 4" xfId="24685"/>
    <cellStyle name="Comma 26" xfId="40"/>
    <cellStyle name="Comma 26 2" xfId="3897"/>
    <cellStyle name="Comma 26 2 2" xfId="18729"/>
    <cellStyle name="Comma 26 2 3" xfId="24687"/>
    <cellStyle name="Comma 26 2 3 2" xfId="26857"/>
    <cellStyle name="Comma 26 3" xfId="18728"/>
    <cellStyle name="Comma 26 3 2" xfId="24688"/>
    <cellStyle name="Comma 26 3 2 2" xfId="26858"/>
    <cellStyle name="Comma 26 4" xfId="24689"/>
    <cellStyle name="Comma 26 4 2" xfId="26859"/>
    <cellStyle name="Comma 26 5" xfId="24686"/>
    <cellStyle name="Comma 26 5 2" xfId="26860"/>
    <cellStyle name="Comma 27" xfId="41"/>
    <cellStyle name="Comma 27 2" xfId="18731"/>
    <cellStyle name="Comma 27 2 2" xfId="24691"/>
    <cellStyle name="Comma 27 2 2 2" xfId="26861"/>
    <cellStyle name="Comma 27 3" xfId="18730"/>
    <cellStyle name="Comma 27 3 2" xfId="24692"/>
    <cellStyle name="Comma 27 3 2 2" xfId="26862"/>
    <cellStyle name="Comma 27 4" xfId="24693"/>
    <cellStyle name="Comma 27 4 2" xfId="26863"/>
    <cellStyle name="Comma 27 5" xfId="24690"/>
    <cellStyle name="Comma 27 5 2" xfId="26864"/>
    <cellStyle name="Comma 28" xfId="24694"/>
    <cellStyle name="Comma 28 2" xfId="24695"/>
    <cellStyle name="Comma 28 2 2" xfId="26866"/>
    <cellStyle name="Comma 28 3" xfId="24696"/>
    <cellStyle name="Comma 28 3 2" xfId="26867"/>
    <cellStyle name="Comma 28 4" xfId="24697"/>
    <cellStyle name="Comma 28 4 2" xfId="26868"/>
    <cellStyle name="Comma 28 5" xfId="26865"/>
    <cellStyle name="Comma 29" xfId="18732"/>
    <cellStyle name="Comma 29 2" xfId="18733"/>
    <cellStyle name="Comma 29 2 2" xfId="18734"/>
    <cellStyle name="Comma 29 3" xfId="18735"/>
    <cellStyle name="Comma 29 4" xfId="24698"/>
    <cellStyle name="Comma 3" xfId="3"/>
    <cellStyle name="Comma 3 10" xfId="1114"/>
    <cellStyle name="Comma 3 10 2" xfId="3984"/>
    <cellStyle name="Comma 3 11" xfId="1124"/>
    <cellStyle name="Comma 3 11 2" xfId="3994"/>
    <cellStyle name="Comma 3 12" xfId="1134"/>
    <cellStyle name="Comma 3 12 2" xfId="4004"/>
    <cellStyle name="Comma 3 13" xfId="1144"/>
    <cellStyle name="Comma 3 13 2" xfId="4014"/>
    <cellStyle name="Comma 3 14" xfId="1152"/>
    <cellStyle name="Comma 3 14 2" xfId="4022"/>
    <cellStyle name="Comma 3 15" xfId="1164"/>
    <cellStyle name="Comma 3 15 2" xfId="4034"/>
    <cellStyle name="Comma 3 16" xfId="1174"/>
    <cellStyle name="Comma 3 16 2" xfId="4044"/>
    <cellStyle name="Comma 3 17" xfId="1184"/>
    <cellStyle name="Comma 3 17 2" xfId="4054"/>
    <cellStyle name="Comma 3 18" xfId="1194"/>
    <cellStyle name="Comma 3 18 2" xfId="4064"/>
    <cellStyle name="Comma 3 19" xfId="1204"/>
    <cellStyle name="Comma 3 19 2" xfId="4074"/>
    <cellStyle name="Comma 3 2" xfId="1035"/>
    <cellStyle name="Comma 3 2 2" xfId="1273"/>
    <cellStyle name="Comma 3 2 2 2" xfId="18737"/>
    <cellStyle name="Comma 3 2 2 2 2" xfId="24517"/>
    <cellStyle name="Comma 3 2 3" xfId="3900"/>
    <cellStyle name="Comma 3 2 3 2" xfId="24700"/>
    <cellStyle name="Comma 3 2 3 3" xfId="24699"/>
    <cellStyle name="Comma 3 2 4" xfId="18736"/>
    <cellStyle name="Comma 3 20" xfId="1214"/>
    <cellStyle name="Comma 3 20 2" xfId="4084"/>
    <cellStyle name="Comma 3 21" xfId="1224"/>
    <cellStyle name="Comma 3 21 2" xfId="4094"/>
    <cellStyle name="Comma 3 22" xfId="1234"/>
    <cellStyle name="Comma 3 22 2" xfId="4104"/>
    <cellStyle name="Comma 3 23" xfId="1244"/>
    <cellStyle name="Comma 3 23 2" xfId="4114"/>
    <cellStyle name="Comma 3 24" xfId="1254"/>
    <cellStyle name="Comma 3 24 2" xfId="4124"/>
    <cellStyle name="Comma 3 25" xfId="1263"/>
    <cellStyle name="Comma 3 25 2" xfId="4133"/>
    <cellStyle name="Comma 3 26" xfId="110"/>
    <cellStyle name="Comma 3 27" xfId="24506"/>
    <cellStyle name="Comma 3 27 2" xfId="26869"/>
    <cellStyle name="Comma 3 28" xfId="28688"/>
    <cellStyle name="Comma 3 3" xfId="1036"/>
    <cellStyle name="Comma 3 3 2" xfId="1759"/>
    <cellStyle name="Comma 3 3 2 2" xfId="18739"/>
    <cellStyle name="Comma 3 3 3" xfId="3901"/>
    <cellStyle name="Comma 3 3 4" xfId="18738"/>
    <cellStyle name="Comma 3 4" xfId="1054"/>
    <cellStyle name="Comma 3 4 2" xfId="2094"/>
    <cellStyle name="Comma 3 4 2 2" xfId="18741"/>
    <cellStyle name="Comma 3 4 3" xfId="3924"/>
    <cellStyle name="Comma 3 4 4" xfId="18740"/>
    <cellStyle name="Comma 3 5" xfId="1064"/>
    <cellStyle name="Comma 3 5 2" xfId="2468"/>
    <cellStyle name="Comma 3 5 2 2" xfId="18743"/>
    <cellStyle name="Comma 3 5 3" xfId="3934"/>
    <cellStyle name="Comma 3 5 4" xfId="18742"/>
    <cellStyle name="Comma 3 6" xfId="1074"/>
    <cellStyle name="Comma 3 6 2" xfId="2840"/>
    <cellStyle name="Comma 3 6 2 2" xfId="18745"/>
    <cellStyle name="Comma 3 6 3" xfId="3944"/>
    <cellStyle name="Comma 3 6 4" xfId="18744"/>
    <cellStyle name="Comma 3 7" xfId="1084"/>
    <cellStyle name="Comma 3 7 2" xfId="3211"/>
    <cellStyle name="Comma 3 7 2 2" xfId="18747"/>
    <cellStyle name="Comma 3 7 3" xfId="3954"/>
    <cellStyle name="Comma 3 7 4" xfId="18746"/>
    <cellStyle name="Comma 3 8" xfId="1094"/>
    <cellStyle name="Comma 3 8 2" xfId="3964"/>
    <cellStyle name="Comma 3 8 2 2" xfId="18749"/>
    <cellStyle name="Comma 3 8 3" xfId="18748"/>
    <cellStyle name="Comma 3 9" xfId="1104"/>
    <cellStyle name="Comma 3 9 2" xfId="3974"/>
    <cellStyle name="Comma 30" xfId="18750"/>
    <cellStyle name="Comma 30 2" xfId="18751"/>
    <cellStyle name="Comma 30 3" xfId="24701"/>
    <cellStyle name="Comma 31" xfId="42"/>
    <cellStyle name="Comma 31 2" xfId="18753"/>
    <cellStyle name="Comma 31 2 2" xfId="18754"/>
    <cellStyle name="Comma 31 2 3" xfId="24703"/>
    <cellStyle name="Comma 31 3" xfId="18755"/>
    <cellStyle name="Comma 31 3 2" xfId="18756"/>
    <cellStyle name="Comma 31 4" xfId="18757"/>
    <cellStyle name="Comma 31 5" xfId="18752"/>
    <cellStyle name="Comma 31 6" xfId="24702"/>
    <cellStyle name="Comma 31 6 2" xfId="26870"/>
    <cellStyle name="Comma 32" xfId="18758"/>
    <cellStyle name="Comma 32 2" xfId="18759"/>
    <cellStyle name="Comma 32 2 2" xfId="18760"/>
    <cellStyle name="Comma 32 2 3" xfId="24705"/>
    <cellStyle name="Comma 32 3" xfId="18761"/>
    <cellStyle name="Comma 32 4" xfId="24704"/>
    <cellStyle name="Comma 32 4 2" xfId="26871"/>
    <cellStyle name="Comma 33" xfId="18762"/>
    <cellStyle name="Comma 33 2" xfId="18763"/>
    <cellStyle name="Comma 33 2 2" xfId="18764"/>
    <cellStyle name="Comma 33 2 3" xfId="24707"/>
    <cellStyle name="Comma 33 3" xfId="18765"/>
    <cellStyle name="Comma 33 4" xfId="24706"/>
    <cellStyle name="Comma 34" xfId="24708"/>
    <cellStyle name="Comma 35" xfId="24709"/>
    <cellStyle name="Comma 36" xfId="24710"/>
    <cellStyle name="Comma 36 2" xfId="24711"/>
    <cellStyle name="Comma 36 2 2" xfId="26873"/>
    <cellStyle name="Comma 36 3" xfId="26872"/>
    <cellStyle name="Comma 37" xfId="24712"/>
    <cellStyle name="Comma 37 2" xfId="24713"/>
    <cellStyle name="Comma 38" xfId="24714"/>
    <cellStyle name="Comma 38 2" xfId="24715"/>
    <cellStyle name="Comma 39" xfId="24716"/>
    <cellStyle name="Comma 4" xfId="4"/>
    <cellStyle name="Comma 4 10" xfId="4759"/>
    <cellStyle name="Comma 4 10 2" xfId="18768"/>
    <cellStyle name="Comma 4 10 3" xfId="18767"/>
    <cellStyle name="Comma 4 11" xfId="4760"/>
    <cellStyle name="Comma 4 11 2" xfId="18770"/>
    <cellStyle name="Comma 4 11 3" xfId="18769"/>
    <cellStyle name="Comma 4 12" xfId="4761"/>
    <cellStyle name="Comma 4 12 2" xfId="18772"/>
    <cellStyle name="Comma 4 12 3" xfId="18771"/>
    <cellStyle name="Comma 4 13" xfId="4762"/>
    <cellStyle name="Comma 4 13 2" xfId="18774"/>
    <cellStyle name="Comma 4 13 3" xfId="18773"/>
    <cellStyle name="Comma 4 14" xfId="4763"/>
    <cellStyle name="Comma 4 14 2" xfId="18776"/>
    <cellStyle name="Comma 4 14 3" xfId="18775"/>
    <cellStyle name="Comma 4 15" xfId="4764"/>
    <cellStyle name="Comma 4 15 2" xfId="18778"/>
    <cellStyle name="Comma 4 15 3" xfId="18777"/>
    <cellStyle name="Comma 4 16" xfId="4765"/>
    <cellStyle name="Comma 4 16 2" xfId="18780"/>
    <cellStyle name="Comma 4 16 3" xfId="18779"/>
    <cellStyle name="Comma 4 17" xfId="4766"/>
    <cellStyle name="Comma 4 17 2" xfId="18782"/>
    <cellStyle name="Comma 4 17 3" xfId="18781"/>
    <cellStyle name="Comma 4 18" xfId="4767"/>
    <cellStyle name="Comma 4 18 2" xfId="18784"/>
    <cellStyle name="Comma 4 18 3" xfId="18783"/>
    <cellStyle name="Comma 4 19" xfId="4768"/>
    <cellStyle name="Comma 4 19 2" xfId="18786"/>
    <cellStyle name="Comma 4 19 3" xfId="18785"/>
    <cellStyle name="Comma 4 2" xfId="43"/>
    <cellStyle name="Comma 4 2 2" xfId="18788"/>
    <cellStyle name="Comma 4 2 2 2" xfId="24717"/>
    <cellStyle name="Comma 4 2 2 2 2" xfId="26874"/>
    <cellStyle name="Comma 4 2 3" xfId="18787"/>
    <cellStyle name="Comma 4 2 3 2" xfId="24718"/>
    <cellStyle name="Comma 4 2 4" xfId="24519"/>
    <cellStyle name="Comma 4 2 4 2" xfId="26875"/>
    <cellStyle name="Comma 4 20" xfId="4769"/>
    <cellStyle name="Comma 4 20 2" xfId="18790"/>
    <cellStyle name="Comma 4 20 3" xfId="18789"/>
    <cellStyle name="Comma 4 21" xfId="4770"/>
    <cellStyle name="Comma 4 21 2" xfId="18792"/>
    <cellStyle name="Comma 4 21 3" xfId="18791"/>
    <cellStyle name="Comma 4 22" xfId="4771"/>
    <cellStyle name="Comma 4 22 2" xfId="18794"/>
    <cellStyle name="Comma 4 22 3" xfId="18793"/>
    <cellStyle name="Comma 4 23" xfId="4772"/>
    <cellStyle name="Comma 4 23 2" xfId="18796"/>
    <cellStyle name="Comma 4 23 3" xfId="18795"/>
    <cellStyle name="Comma 4 24" xfId="4773"/>
    <cellStyle name="Comma 4 24 2" xfId="18798"/>
    <cellStyle name="Comma 4 24 3" xfId="18797"/>
    <cellStyle name="Comma 4 25" xfId="18799"/>
    <cellStyle name="Comma 4 26" xfId="18766"/>
    <cellStyle name="Comma 4 27" xfId="24518"/>
    <cellStyle name="Comma 4 3" xfId="44"/>
    <cellStyle name="Comma 4 3 2" xfId="18801"/>
    <cellStyle name="Comma 4 3 3" xfId="18800"/>
    <cellStyle name="Comma 4 3 4" xfId="24520"/>
    <cellStyle name="Comma 4 4" xfId="4774"/>
    <cellStyle name="Comma 4 4 2" xfId="18803"/>
    <cellStyle name="Comma 4 4 3" xfId="18802"/>
    <cellStyle name="Comma 4 5" xfId="4775"/>
    <cellStyle name="Comma 4 5 2" xfId="18805"/>
    <cellStyle name="Comma 4 5 3" xfId="18804"/>
    <cellStyle name="Comma 4 6" xfId="4776"/>
    <cellStyle name="Comma 4 6 2" xfId="18807"/>
    <cellStyle name="Comma 4 6 3" xfId="18806"/>
    <cellStyle name="Comma 4 7" xfId="4777"/>
    <cellStyle name="Comma 4 7 2" xfId="18809"/>
    <cellStyle name="Comma 4 7 3" xfId="18808"/>
    <cellStyle name="Comma 4 8" xfId="4778"/>
    <cellStyle name="Comma 4 8 2" xfId="18811"/>
    <cellStyle name="Comma 4 8 3" xfId="18810"/>
    <cellStyle name="Comma 4 9" xfId="4779"/>
    <cellStyle name="Comma 4 9 2" xfId="18813"/>
    <cellStyle name="Comma 4 9 3" xfId="18812"/>
    <cellStyle name="Comma 40" xfId="24719"/>
    <cellStyle name="Comma 41" xfId="24720"/>
    <cellStyle name="Comma 41 2" xfId="26876"/>
    <cellStyle name="Comma 42" xfId="24721"/>
    <cellStyle name="Comma 42 2" xfId="26877"/>
    <cellStyle name="Comma 43" xfId="24722"/>
    <cellStyle name="Comma 43 2" xfId="26878"/>
    <cellStyle name="Comma 44" xfId="24723"/>
    <cellStyle name="Comma 44 2" xfId="26879"/>
    <cellStyle name="Comma 45" xfId="24724"/>
    <cellStyle name="Comma 46" xfId="24725"/>
    <cellStyle name="Comma 47" xfId="24726"/>
    <cellStyle name="Comma 47 2" xfId="26880"/>
    <cellStyle name="Comma 48" xfId="24727"/>
    <cellStyle name="Comma 48 2" xfId="26881"/>
    <cellStyle name="Comma 49" xfId="24728"/>
    <cellStyle name="Comma 49 2" xfId="26882"/>
    <cellStyle name="Comma 5" xfId="45"/>
    <cellStyle name="Comma 5 10" xfId="1111"/>
    <cellStyle name="Comma 5 10 2" xfId="3981"/>
    <cellStyle name="Comma 5 10 2 2" xfId="18815"/>
    <cellStyle name="Comma 5 10 3" xfId="18814"/>
    <cellStyle name="Comma 5 11" xfId="1121"/>
    <cellStyle name="Comma 5 11 2" xfId="3991"/>
    <cellStyle name="Comma 5 11 2 2" xfId="18817"/>
    <cellStyle name="Comma 5 11 3" xfId="18816"/>
    <cellStyle name="Comma 5 12" xfId="1131"/>
    <cellStyle name="Comma 5 12 2" xfId="4001"/>
    <cellStyle name="Comma 5 12 2 2" xfId="18819"/>
    <cellStyle name="Comma 5 12 3" xfId="18818"/>
    <cellStyle name="Comma 5 13" xfId="1141"/>
    <cellStyle name="Comma 5 13 2" xfId="4011"/>
    <cellStyle name="Comma 5 13 2 2" xfId="18821"/>
    <cellStyle name="Comma 5 13 3" xfId="18820"/>
    <cellStyle name="Comma 5 14" xfId="1142"/>
    <cellStyle name="Comma 5 14 2" xfId="4012"/>
    <cellStyle name="Comma 5 14 2 2" xfId="18823"/>
    <cellStyle name="Comma 5 14 3" xfId="18822"/>
    <cellStyle name="Comma 5 15" xfId="1159"/>
    <cellStyle name="Comma 5 15 2" xfId="4029"/>
    <cellStyle name="Comma 5 15 2 2" xfId="18825"/>
    <cellStyle name="Comma 5 15 3" xfId="18824"/>
    <cellStyle name="Comma 5 16" xfId="1171"/>
    <cellStyle name="Comma 5 16 2" xfId="4041"/>
    <cellStyle name="Comma 5 16 2 2" xfId="18827"/>
    <cellStyle name="Comma 5 16 3" xfId="18826"/>
    <cellStyle name="Comma 5 17" xfId="1181"/>
    <cellStyle name="Comma 5 17 2" xfId="4051"/>
    <cellStyle name="Comma 5 17 2 2" xfId="18829"/>
    <cellStyle name="Comma 5 17 3" xfId="18828"/>
    <cellStyle name="Comma 5 18" xfId="1191"/>
    <cellStyle name="Comma 5 18 2" xfId="4061"/>
    <cellStyle name="Comma 5 18 2 2" xfId="18831"/>
    <cellStyle name="Comma 5 18 3" xfId="18830"/>
    <cellStyle name="Comma 5 19" xfId="1201"/>
    <cellStyle name="Comma 5 19 2" xfId="4071"/>
    <cellStyle name="Comma 5 19 2 2" xfId="18833"/>
    <cellStyle name="Comma 5 19 3" xfId="18832"/>
    <cellStyle name="Comma 5 2" xfId="46"/>
    <cellStyle name="Comma 5 2 2" xfId="47"/>
    <cellStyle name="Comma 5 2 2 2" xfId="18835"/>
    <cellStyle name="Comma 5 2 3" xfId="48"/>
    <cellStyle name="Comma 5 2 4" xfId="18834"/>
    <cellStyle name="Comma 5 20" xfId="1211"/>
    <cellStyle name="Comma 5 20 2" xfId="4081"/>
    <cellStyle name="Comma 5 20 2 2" xfId="18837"/>
    <cellStyle name="Comma 5 20 3" xfId="18836"/>
    <cellStyle name="Comma 5 21" xfId="1221"/>
    <cellStyle name="Comma 5 21 2" xfId="4091"/>
    <cellStyle name="Comma 5 21 2 2" xfId="18839"/>
    <cellStyle name="Comma 5 21 3" xfId="18838"/>
    <cellStyle name="Comma 5 22" xfId="1231"/>
    <cellStyle name="Comma 5 22 2" xfId="4101"/>
    <cellStyle name="Comma 5 22 2 2" xfId="18841"/>
    <cellStyle name="Comma 5 22 3" xfId="18840"/>
    <cellStyle name="Comma 5 23" xfId="1241"/>
    <cellStyle name="Comma 5 23 2" xfId="4111"/>
    <cellStyle name="Comma 5 23 2 2" xfId="18843"/>
    <cellStyle name="Comma 5 23 3" xfId="18842"/>
    <cellStyle name="Comma 5 24" xfId="1251"/>
    <cellStyle name="Comma 5 24 2" xfId="4121"/>
    <cellStyle name="Comma 5 24 2 2" xfId="18845"/>
    <cellStyle name="Comma 5 24 3" xfId="18844"/>
    <cellStyle name="Comma 5 25" xfId="1261"/>
    <cellStyle name="Comma 5 25 2" xfId="4131"/>
    <cellStyle name="Comma 5 26" xfId="24521"/>
    <cellStyle name="Comma 5 26 2" xfId="26883"/>
    <cellStyle name="Comma 5 3" xfId="49"/>
    <cellStyle name="Comma 5 3 2" xfId="3916"/>
    <cellStyle name="Comma 5 3 2 2" xfId="18847"/>
    <cellStyle name="Comma 5 3 3" xfId="1046"/>
    <cellStyle name="Comma 5 3 4" xfId="18846"/>
    <cellStyle name="Comma 5 3 5" xfId="24729"/>
    <cellStyle name="Comma 5 3 5 2" xfId="26884"/>
    <cellStyle name="Comma 5 4" xfId="1048"/>
    <cellStyle name="Comma 5 4 2" xfId="3918"/>
    <cellStyle name="Comma 5 4 2 2" xfId="18849"/>
    <cellStyle name="Comma 5 4 3" xfId="18848"/>
    <cellStyle name="Comma 5 4 4" xfId="24730"/>
    <cellStyle name="Comma 5 5" xfId="1061"/>
    <cellStyle name="Comma 5 5 2" xfId="3931"/>
    <cellStyle name="Comma 5 5 2 2" xfId="18851"/>
    <cellStyle name="Comma 5 5 3" xfId="18850"/>
    <cellStyle name="Comma 5 6" xfId="1071"/>
    <cellStyle name="Comma 5 6 2" xfId="3941"/>
    <cellStyle name="Comma 5 6 2 2" xfId="18853"/>
    <cellStyle name="Comma 5 6 3" xfId="18852"/>
    <cellStyle name="Comma 5 7" xfId="1081"/>
    <cellStyle name="Comma 5 7 2" xfId="3951"/>
    <cellStyle name="Comma 5 7 2 2" xfId="18855"/>
    <cellStyle name="Comma 5 7 3" xfId="18854"/>
    <cellStyle name="Comma 5 8" xfId="1091"/>
    <cellStyle name="Comma 5 8 2" xfId="3961"/>
    <cellStyle name="Comma 5 8 2 2" xfId="18857"/>
    <cellStyle name="Comma 5 8 3" xfId="18856"/>
    <cellStyle name="Comma 5 9" xfId="1101"/>
    <cellStyle name="Comma 5 9 2" xfId="3971"/>
    <cellStyle name="Comma 5 9 2 2" xfId="18859"/>
    <cellStyle name="Comma 5 9 3" xfId="18858"/>
    <cellStyle name="Comma 50" xfId="24731"/>
    <cellStyle name="Comma 51" xfId="24732"/>
    <cellStyle name="Comma 52" xfId="24733"/>
    <cellStyle name="Comma 53" xfId="24734"/>
    <cellStyle name="Comma 54" xfId="24735"/>
    <cellStyle name="Comma 55" xfId="24736"/>
    <cellStyle name="Comma 56" xfId="24737"/>
    <cellStyle name="Comma 57" xfId="24738"/>
    <cellStyle name="Comma 58" xfId="24466"/>
    <cellStyle name="Comma 59" xfId="24555"/>
    <cellStyle name="Comma 6" xfId="65"/>
    <cellStyle name="Comma 6 10" xfId="4780"/>
    <cellStyle name="Comma 6 10 2" xfId="18862"/>
    <cellStyle name="Comma 6 10 3" xfId="18861"/>
    <cellStyle name="Comma 6 11" xfId="4781"/>
    <cellStyle name="Comma 6 11 2" xfId="18864"/>
    <cellStyle name="Comma 6 11 3" xfId="18863"/>
    <cellStyle name="Comma 6 12" xfId="4782"/>
    <cellStyle name="Comma 6 12 2" xfId="18866"/>
    <cellStyle name="Comma 6 12 3" xfId="18865"/>
    <cellStyle name="Comma 6 13" xfId="4783"/>
    <cellStyle name="Comma 6 13 2" xfId="18868"/>
    <cellStyle name="Comma 6 13 3" xfId="18867"/>
    <cellStyle name="Comma 6 14" xfId="4784"/>
    <cellStyle name="Comma 6 14 2" xfId="18870"/>
    <cellStyle name="Comma 6 14 3" xfId="18869"/>
    <cellStyle name="Comma 6 15" xfId="4785"/>
    <cellStyle name="Comma 6 15 2" xfId="18872"/>
    <cellStyle name="Comma 6 15 3" xfId="18871"/>
    <cellStyle name="Comma 6 16" xfId="4786"/>
    <cellStyle name="Comma 6 16 2" xfId="18874"/>
    <cellStyle name="Comma 6 16 3" xfId="18873"/>
    <cellStyle name="Comma 6 17" xfId="4787"/>
    <cellStyle name="Comma 6 17 2" xfId="18876"/>
    <cellStyle name="Comma 6 17 3" xfId="18875"/>
    <cellStyle name="Comma 6 18" xfId="4788"/>
    <cellStyle name="Comma 6 18 2" xfId="18878"/>
    <cellStyle name="Comma 6 18 3" xfId="18877"/>
    <cellStyle name="Comma 6 19" xfId="4789"/>
    <cellStyle name="Comma 6 19 2" xfId="18880"/>
    <cellStyle name="Comma 6 19 3" xfId="18879"/>
    <cellStyle name="Comma 6 2" xfId="50"/>
    <cellStyle name="Comma 6 2 2" xfId="18882"/>
    <cellStyle name="Comma 6 2 3" xfId="18881"/>
    <cellStyle name="Comma 6 2 4" xfId="24739"/>
    <cellStyle name="Comma 6 20" xfId="4790"/>
    <cellStyle name="Comma 6 20 2" xfId="18884"/>
    <cellStyle name="Comma 6 20 3" xfId="18883"/>
    <cellStyle name="Comma 6 21" xfId="4791"/>
    <cellStyle name="Comma 6 21 2" xfId="18886"/>
    <cellStyle name="Comma 6 21 3" xfId="18885"/>
    <cellStyle name="Comma 6 22" xfId="4792"/>
    <cellStyle name="Comma 6 22 2" xfId="18888"/>
    <cellStyle name="Comma 6 22 3" xfId="18887"/>
    <cellStyle name="Comma 6 23" xfId="4793"/>
    <cellStyle name="Comma 6 23 2" xfId="18890"/>
    <cellStyle name="Comma 6 23 3" xfId="18889"/>
    <cellStyle name="Comma 6 24" xfId="4794"/>
    <cellStyle name="Comma 6 24 2" xfId="18892"/>
    <cellStyle name="Comma 6 24 3" xfId="18891"/>
    <cellStyle name="Comma 6 25" xfId="6500"/>
    <cellStyle name="Comma 6 25 2" xfId="18893"/>
    <cellStyle name="Comma 6 25 3" xfId="26886"/>
    <cellStyle name="Comma 6 26" xfId="18860"/>
    <cellStyle name="Comma 6 27" xfId="24522"/>
    <cellStyle name="Comma 6 28" xfId="26885"/>
    <cellStyle name="Comma 6 3" xfId="51"/>
    <cellStyle name="Comma 6 3 2" xfId="18895"/>
    <cellStyle name="Comma 6 3 3" xfId="18894"/>
    <cellStyle name="Comma 6 3 4" xfId="24740"/>
    <cellStyle name="Comma 6 4" xfId="4795"/>
    <cellStyle name="Comma 6 4 2" xfId="18897"/>
    <cellStyle name="Comma 6 4 3" xfId="18896"/>
    <cellStyle name="Comma 6 4 4" xfId="24741"/>
    <cellStyle name="Comma 6 5" xfId="4796"/>
    <cellStyle name="Comma 6 5 2" xfId="18899"/>
    <cellStyle name="Comma 6 5 3" xfId="18898"/>
    <cellStyle name="Comma 6 6" xfId="4797"/>
    <cellStyle name="Comma 6 6 2" xfId="18901"/>
    <cellStyle name="Comma 6 6 3" xfId="18900"/>
    <cellStyle name="Comma 6 7" xfId="4798"/>
    <cellStyle name="Comma 6 7 2" xfId="18903"/>
    <cellStyle name="Comma 6 7 3" xfId="18902"/>
    <cellStyle name="Comma 6 8" xfId="4799"/>
    <cellStyle name="Comma 6 8 2" xfId="18905"/>
    <cellStyle name="Comma 6 8 3" xfId="18904"/>
    <cellStyle name="Comma 6 9" xfId="4800"/>
    <cellStyle name="Comma 6 9 2" xfId="18907"/>
    <cellStyle name="Comma 6 9 3" xfId="18906"/>
    <cellStyle name="Comma 60" xfId="24650"/>
    <cellStyle name="Comma 61" xfId="24828"/>
    <cellStyle name="Comma 62" xfId="24830"/>
    <cellStyle name="Comma 63" xfId="24859"/>
    <cellStyle name="Comma 64" xfId="24873"/>
    <cellStyle name="Comma 65" xfId="28139"/>
    <cellStyle name="Comma 66" xfId="28684"/>
    <cellStyle name="Comma 67" xfId="28697"/>
    <cellStyle name="Comma 68" xfId="28683"/>
    <cellStyle name="Comma 69" xfId="28696"/>
    <cellStyle name="Comma 7" xfId="52"/>
    <cellStyle name="Comma 7 10" xfId="4801"/>
    <cellStyle name="Comma 7 10 2" xfId="18910"/>
    <cellStyle name="Comma 7 10 3" xfId="18909"/>
    <cellStyle name="Comma 7 11" xfId="4802"/>
    <cellStyle name="Comma 7 11 2" xfId="18912"/>
    <cellStyle name="Comma 7 11 3" xfId="18911"/>
    <cellStyle name="Comma 7 12" xfId="4803"/>
    <cellStyle name="Comma 7 12 2" xfId="18914"/>
    <cellStyle name="Comma 7 12 3" xfId="18913"/>
    <cellStyle name="Comma 7 13" xfId="4804"/>
    <cellStyle name="Comma 7 13 2" xfId="18916"/>
    <cellStyle name="Comma 7 13 3" xfId="18915"/>
    <cellStyle name="Comma 7 14" xfId="4805"/>
    <cellStyle name="Comma 7 14 2" xfId="18918"/>
    <cellStyle name="Comma 7 14 3" xfId="18917"/>
    <cellStyle name="Comma 7 15" xfId="4806"/>
    <cellStyle name="Comma 7 15 2" xfId="18920"/>
    <cellStyle name="Comma 7 15 3" xfId="18919"/>
    <cellStyle name="Comma 7 16" xfId="4807"/>
    <cellStyle name="Comma 7 16 2" xfId="18922"/>
    <cellStyle name="Comma 7 16 3" xfId="18921"/>
    <cellStyle name="Comma 7 17" xfId="4808"/>
    <cellStyle name="Comma 7 17 2" xfId="18924"/>
    <cellStyle name="Comma 7 17 3" xfId="18923"/>
    <cellStyle name="Comma 7 18" xfId="4809"/>
    <cellStyle name="Comma 7 18 2" xfId="18926"/>
    <cellStyle name="Comma 7 18 3" xfId="18925"/>
    <cellStyle name="Comma 7 19" xfId="4810"/>
    <cellStyle name="Comma 7 19 2" xfId="18928"/>
    <cellStyle name="Comma 7 19 3" xfId="18927"/>
    <cellStyle name="Comma 7 2" xfId="3905"/>
    <cellStyle name="Comma 7 2 2" xfId="18930"/>
    <cellStyle name="Comma 7 2 3" xfId="18929"/>
    <cellStyle name="Comma 7 2 4" xfId="24524"/>
    <cellStyle name="Comma 7 20" xfId="4811"/>
    <cellStyle name="Comma 7 20 2" xfId="18932"/>
    <cellStyle name="Comma 7 20 3" xfId="18931"/>
    <cellStyle name="Comma 7 21" xfId="4812"/>
    <cellStyle name="Comma 7 21 2" xfId="18934"/>
    <cellStyle name="Comma 7 21 3" xfId="18933"/>
    <cellStyle name="Comma 7 22" xfId="4813"/>
    <cellStyle name="Comma 7 22 2" xfId="18936"/>
    <cellStyle name="Comma 7 22 3" xfId="18935"/>
    <cellStyle name="Comma 7 23" xfId="4814"/>
    <cellStyle name="Comma 7 23 2" xfId="18938"/>
    <cellStyle name="Comma 7 23 3" xfId="18937"/>
    <cellStyle name="Comma 7 24" xfId="4815"/>
    <cellStyle name="Comma 7 24 2" xfId="18940"/>
    <cellStyle name="Comma 7 24 3" xfId="18939"/>
    <cellStyle name="Comma 7 25" xfId="18941"/>
    <cellStyle name="Comma 7 26" xfId="18908"/>
    <cellStyle name="Comma 7 27" xfId="24523"/>
    <cellStyle name="Comma 7 3" xfId="4816"/>
    <cellStyle name="Comma 7 3 2" xfId="18943"/>
    <cellStyle name="Comma 7 3 3" xfId="18942"/>
    <cellStyle name="Comma 7 4" xfId="4817"/>
    <cellStyle name="Comma 7 4 2" xfId="18945"/>
    <cellStyle name="Comma 7 4 3" xfId="18944"/>
    <cellStyle name="Comma 7 5" xfId="4818"/>
    <cellStyle name="Comma 7 5 2" xfId="18947"/>
    <cellStyle name="Comma 7 5 3" xfId="18946"/>
    <cellStyle name="Comma 7 6" xfId="4819"/>
    <cellStyle name="Comma 7 6 2" xfId="18949"/>
    <cellStyle name="Comma 7 6 3" xfId="18948"/>
    <cellStyle name="Comma 7 7" xfId="4820"/>
    <cellStyle name="Comma 7 7 2" xfId="18951"/>
    <cellStyle name="Comma 7 7 3" xfId="18950"/>
    <cellStyle name="Comma 7 8" xfId="4821"/>
    <cellStyle name="Comma 7 8 2" xfId="18953"/>
    <cellStyle name="Comma 7 8 3" xfId="18952"/>
    <cellStyle name="Comma 7 9" xfId="4822"/>
    <cellStyle name="Comma 7 9 2" xfId="18955"/>
    <cellStyle name="Comma 7 9 3" xfId="18954"/>
    <cellStyle name="Comma 70" xfId="28682"/>
    <cellStyle name="Comma 71" xfId="28695"/>
    <cellStyle name="Comma 72" xfId="28698"/>
    <cellStyle name="Comma 73" xfId="28694"/>
    <cellStyle name="Comma 74" xfId="28681"/>
    <cellStyle name="Comma 75" xfId="28693"/>
    <cellStyle name="Comma 76" xfId="28680"/>
    <cellStyle name="Comma 8" xfId="53"/>
    <cellStyle name="Comma 8 10" xfId="4823"/>
    <cellStyle name="Comma 8 10 2" xfId="18958"/>
    <cellStyle name="Comma 8 10 3" xfId="18957"/>
    <cellStyle name="Comma 8 11" xfId="4824"/>
    <cellStyle name="Comma 8 11 2" xfId="18960"/>
    <cellStyle name="Comma 8 11 3" xfId="18959"/>
    <cellStyle name="Comma 8 12" xfId="4825"/>
    <cellStyle name="Comma 8 12 2" xfId="18962"/>
    <cellStyle name="Comma 8 12 3" xfId="18961"/>
    <cellStyle name="Comma 8 13" xfId="4826"/>
    <cellStyle name="Comma 8 13 2" xfId="18964"/>
    <cellStyle name="Comma 8 13 3" xfId="18963"/>
    <cellStyle name="Comma 8 14" xfId="4827"/>
    <cellStyle name="Comma 8 14 2" xfId="18966"/>
    <cellStyle name="Comma 8 14 3" xfId="18965"/>
    <cellStyle name="Comma 8 15" xfId="4828"/>
    <cellStyle name="Comma 8 15 2" xfId="18968"/>
    <cellStyle name="Comma 8 15 3" xfId="18967"/>
    <cellStyle name="Comma 8 16" xfId="4829"/>
    <cellStyle name="Comma 8 16 2" xfId="18970"/>
    <cellStyle name="Comma 8 16 3" xfId="18969"/>
    <cellStyle name="Comma 8 17" xfId="4830"/>
    <cellStyle name="Comma 8 17 2" xfId="18972"/>
    <cellStyle name="Comma 8 17 3" xfId="18971"/>
    <cellStyle name="Comma 8 18" xfId="4831"/>
    <cellStyle name="Comma 8 18 2" xfId="18974"/>
    <cellStyle name="Comma 8 18 3" xfId="18973"/>
    <cellStyle name="Comma 8 19" xfId="4832"/>
    <cellStyle name="Comma 8 19 2" xfId="18976"/>
    <cellStyle name="Comma 8 19 3" xfId="18975"/>
    <cellStyle name="Comma 8 2" xfId="3879"/>
    <cellStyle name="Comma 8 2 2" xfId="18978"/>
    <cellStyle name="Comma 8 2 2 2" xfId="24742"/>
    <cellStyle name="Comma 8 2 2 2 2" xfId="26887"/>
    <cellStyle name="Comma 8 2 3" xfId="18977"/>
    <cellStyle name="Comma 8 2 3 2" xfId="24743"/>
    <cellStyle name="Comma 8 2 3 2 2" xfId="26888"/>
    <cellStyle name="Comma 8 2 4" xfId="24744"/>
    <cellStyle name="Comma 8 2 4 2" xfId="26889"/>
    <cellStyle name="Comma 8 2 5" xfId="24745"/>
    <cellStyle name="Comma 8 2 6" xfId="24746"/>
    <cellStyle name="Comma 8 2 6 2" xfId="26890"/>
    <cellStyle name="Comma 8 2 7" xfId="24526"/>
    <cellStyle name="Comma 8 20" xfId="4833"/>
    <cellStyle name="Comma 8 20 2" xfId="18980"/>
    <cellStyle name="Comma 8 20 3" xfId="18979"/>
    <cellStyle name="Comma 8 21" xfId="4834"/>
    <cellStyle name="Comma 8 21 2" xfId="18982"/>
    <cellStyle name="Comma 8 21 3" xfId="18981"/>
    <cellStyle name="Comma 8 22" xfId="4835"/>
    <cellStyle name="Comma 8 22 2" xfId="18984"/>
    <cellStyle name="Comma 8 22 3" xfId="18983"/>
    <cellStyle name="Comma 8 23" xfId="4836"/>
    <cellStyle name="Comma 8 23 2" xfId="18986"/>
    <cellStyle name="Comma 8 23 3" xfId="18985"/>
    <cellStyle name="Comma 8 24" xfId="4837"/>
    <cellStyle name="Comma 8 24 2" xfId="18988"/>
    <cellStyle name="Comma 8 24 3" xfId="18987"/>
    <cellStyle name="Comma 8 25" xfId="18989"/>
    <cellStyle name="Comma 8 26" xfId="18956"/>
    <cellStyle name="Comma 8 27" xfId="24525"/>
    <cellStyle name="Comma 8 3" xfId="4838"/>
    <cellStyle name="Comma 8 3 2" xfId="18991"/>
    <cellStyle name="Comma 8 3 3" xfId="18990"/>
    <cellStyle name="Comma 8 3 4" xfId="24747"/>
    <cellStyle name="Comma 8 3 4 2" xfId="26891"/>
    <cellStyle name="Comma 8 4" xfId="4839"/>
    <cellStyle name="Comma 8 4 2" xfId="18993"/>
    <cellStyle name="Comma 8 4 3" xfId="18992"/>
    <cellStyle name="Comma 8 4 4" xfId="24748"/>
    <cellStyle name="Comma 8 4 4 2" xfId="26892"/>
    <cellStyle name="Comma 8 5" xfId="4840"/>
    <cellStyle name="Comma 8 5 2" xfId="18995"/>
    <cellStyle name="Comma 8 5 3" xfId="18994"/>
    <cellStyle name="Comma 8 5 4" xfId="24749"/>
    <cellStyle name="Comma 8 5 4 2" xfId="26893"/>
    <cellStyle name="Comma 8 6" xfId="4841"/>
    <cellStyle name="Comma 8 6 2" xfId="18997"/>
    <cellStyle name="Comma 8 6 3" xfId="18996"/>
    <cellStyle name="Comma 8 6 4" xfId="24750"/>
    <cellStyle name="Comma 8 7" xfId="4842"/>
    <cellStyle name="Comma 8 7 2" xfId="18999"/>
    <cellStyle name="Comma 8 7 3" xfId="18998"/>
    <cellStyle name="Comma 8 7 4" xfId="24751"/>
    <cellStyle name="Comma 8 7 4 2" xfId="26894"/>
    <cellStyle name="Comma 8 8" xfId="4843"/>
    <cellStyle name="Comma 8 8 2" xfId="19001"/>
    <cellStyle name="Comma 8 8 3" xfId="19000"/>
    <cellStyle name="Comma 8 9" xfId="4844"/>
    <cellStyle name="Comma 8 9 2" xfId="19003"/>
    <cellStyle name="Comma 8 9 3" xfId="19002"/>
    <cellStyle name="Comma 9" xfId="54"/>
    <cellStyle name="Comma 9 10" xfId="4845"/>
    <cellStyle name="Comma 9 10 2" xfId="19006"/>
    <cellStyle name="Comma 9 10 3" xfId="19005"/>
    <cellStyle name="Comma 9 11" xfId="4846"/>
    <cellStyle name="Comma 9 11 2" xfId="19008"/>
    <cellStyle name="Comma 9 11 3" xfId="19007"/>
    <cellStyle name="Comma 9 12" xfId="4847"/>
    <cellStyle name="Comma 9 12 2" xfId="19010"/>
    <cellStyle name="Comma 9 12 3" xfId="19009"/>
    <cellStyle name="Comma 9 13" xfId="4848"/>
    <cellStyle name="Comma 9 13 2" xfId="19012"/>
    <cellStyle name="Comma 9 13 3" xfId="19011"/>
    <cellStyle name="Comma 9 14" xfId="4849"/>
    <cellStyle name="Comma 9 14 2" xfId="19014"/>
    <cellStyle name="Comma 9 14 3" xfId="19013"/>
    <cellStyle name="Comma 9 15" xfId="4850"/>
    <cellStyle name="Comma 9 15 2" xfId="19016"/>
    <cellStyle name="Comma 9 15 3" xfId="19015"/>
    <cellStyle name="Comma 9 16" xfId="4851"/>
    <cellStyle name="Comma 9 16 2" xfId="19018"/>
    <cellStyle name="Comma 9 16 3" xfId="19017"/>
    <cellStyle name="Comma 9 17" xfId="4852"/>
    <cellStyle name="Comma 9 17 2" xfId="19020"/>
    <cellStyle name="Comma 9 17 3" xfId="19019"/>
    <cellStyle name="Comma 9 18" xfId="4853"/>
    <cellStyle name="Comma 9 18 2" xfId="19022"/>
    <cellStyle name="Comma 9 18 3" xfId="19021"/>
    <cellStyle name="Comma 9 19" xfId="4854"/>
    <cellStyle name="Comma 9 19 2" xfId="19024"/>
    <cellStyle name="Comma 9 19 3" xfId="19023"/>
    <cellStyle name="Comma 9 2" xfId="3909"/>
    <cellStyle name="Comma 9 2 2" xfId="19026"/>
    <cellStyle name="Comma 9 2 2 2" xfId="24752"/>
    <cellStyle name="Comma 9 2 2 2 2" xfId="26895"/>
    <cellStyle name="Comma 9 2 3" xfId="19025"/>
    <cellStyle name="Comma 9 2 3 2" xfId="24753"/>
    <cellStyle name="Comma 9 2 3 2 2" xfId="26896"/>
    <cellStyle name="Comma 9 2 4" xfId="24754"/>
    <cellStyle name="Comma 9 2 4 2" xfId="26897"/>
    <cellStyle name="Comma 9 2 5" xfId="24755"/>
    <cellStyle name="Comma 9 2 6" xfId="24756"/>
    <cellStyle name="Comma 9 2 6 2" xfId="26898"/>
    <cellStyle name="Comma 9 2 7" xfId="24528"/>
    <cellStyle name="Comma 9 20" xfId="4855"/>
    <cellStyle name="Comma 9 20 2" xfId="19028"/>
    <cellStyle name="Comma 9 20 3" xfId="19027"/>
    <cellStyle name="Comma 9 21" xfId="4856"/>
    <cellStyle name="Comma 9 21 2" xfId="19030"/>
    <cellStyle name="Comma 9 21 3" xfId="19029"/>
    <cellStyle name="Comma 9 22" xfId="4857"/>
    <cellStyle name="Comma 9 22 2" xfId="19032"/>
    <cellStyle name="Comma 9 22 3" xfId="19031"/>
    <cellStyle name="Comma 9 23" xfId="4858"/>
    <cellStyle name="Comma 9 23 2" xfId="19034"/>
    <cellStyle name="Comma 9 23 3" xfId="19033"/>
    <cellStyle name="Comma 9 24" xfId="4859"/>
    <cellStyle name="Comma 9 24 2" xfId="19036"/>
    <cellStyle name="Comma 9 24 3" xfId="19035"/>
    <cellStyle name="Comma 9 25" xfId="19037"/>
    <cellStyle name="Comma 9 26" xfId="19004"/>
    <cellStyle name="Comma 9 27" xfId="24527"/>
    <cellStyle name="Comma 9 3" xfId="4860"/>
    <cellStyle name="Comma 9 3 2" xfId="19039"/>
    <cellStyle name="Comma 9 3 3" xfId="19038"/>
    <cellStyle name="Comma 9 3 4" xfId="24757"/>
    <cellStyle name="Comma 9 3 4 2" xfId="26899"/>
    <cellStyle name="Comma 9 4" xfId="4861"/>
    <cellStyle name="Comma 9 4 2" xfId="19041"/>
    <cellStyle name="Comma 9 4 3" xfId="19040"/>
    <cellStyle name="Comma 9 4 4" xfId="24758"/>
    <cellStyle name="Comma 9 4 4 2" xfId="26900"/>
    <cellStyle name="Comma 9 5" xfId="4862"/>
    <cellStyle name="Comma 9 5 2" xfId="19043"/>
    <cellStyle name="Comma 9 5 3" xfId="19042"/>
    <cellStyle name="Comma 9 5 4" xfId="24759"/>
    <cellStyle name="Comma 9 5 4 2" xfId="26901"/>
    <cellStyle name="Comma 9 6" xfId="4863"/>
    <cellStyle name="Comma 9 6 2" xfId="19045"/>
    <cellStyle name="Comma 9 6 3" xfId="19044"/>
    <cellStyle name="Comma 9 6 4" xfId="24760"/>
    <cellStyle name="Comma 9 7" xfId="4864"/>
    <cellStyle name="Comma 9 7 2" xfId="19047"/>
    <cellStyle name="Comma 9 7 3" xfId="19046"/>
    <cellStyle name="Comma 9 7 4" xfId="24761"/>
    <cellStyle name="Comma 9 7 4 2" xfId="26902"/>
    <cellStyle name="Comma 9 8" xfId="4865"/>
    <cellStyle name="Comma 9 8 2" xfId="19049"/>
    <cellStyle name="Comma 9 8 3" xfId="19048"/>
    <cellStyle name="Comma 9 9" xfId="4866"/>
    <cellStyle name="Comma 9 9 2" xfId="19051"/>
    <cellStyle name="Comma 9 9 3" xfId="19050"/>
    <cellStyle name="Comma0" xfId="24762"/>
    <cellStyle name="Comma0 2" xfId="24763"/>
    <cellStyle name="Comma1 - Style1" xfId="24529"/>
    <cellStyle name="Currency" xfId="5" builtinId="4"/>
    <cellStyle name="Currency 2" xfId="6"/>
    <cellStyle name="Currency 2 2" xfId="139"/>
    <cellStyle name="Currency 2 2 2" xfId="19053"/>
    <cellStyle name="Currency 2 2 2 2" xfId="24530"/>
    <cellStyle name="Currency 2 2 3" xfId="19052"/>
    <cellStyle name="Currency 2 3" xfId="304"/>
    <cellStyle name="Currency 2 3 2" xfId="19055"/>
    <cellStyle name="Currency 2 3 2 2" xfId="24531"/>
    <cellStyle name="Currency 2 3 3" xfId="19054"/>
    <cellStyle name="Currency 2 4" xfId="2122"/>
    <cellStyle name="Currency 2 4 2" xfId="19057"/>
    <cellStyle name="Currency 2 4 3" xfId="19056"/>
    <cellStyle name="Currency 2 5" xfId="2496"/>
    <cellStyle name="Currency 2 5 2" xfId="19059"/>
    <cellStyle name="Currency 2 5 3" xfId="19058"/>
    <cellStyle name="Currency 2 6" xfId="2868"/>
    <cellStyle name="Currency 2 6 2" xfId="19061"/>
    <cellStyle name="Currency 2 6 3" xfId="19060"/>
    <cellStyle name="Currency 2 7" xfId="3239"/>
    <cellStyle name="Currency 2 7 2" xfId="19063"/>
    <cellStyle name="Currency 2 7 3" xfId="19062"/>
    <cellStyle name="Currency 2 8" xfId="1272"/>
    <cellStyle name="Currency 2 8 2" xfId="19065"/>
    <cellStyle name="Currency 2 8 3" xfId="19064"/>
    <cellStyle name="Currency 3" xfId="4867"/>
    <cellStyle name="Currency 3 2" xfId="19067"/>
    <cellStyle name="Currency 3 2 2" xfId="24764"/>
    <cellStyle name="Currency 3 2 2 2" xfId="26903"/>
    <cellStyle name="Currency 3 2 3" xfId="24765"/>
    <cellStyle name="Currency 3 2 3 2" xfId="26904"/>
    <cellStyle name="Currency 3 2 4" xfId="24766"/>
    <cellStyle name="Currency 3 2 4 2" xfId="26905"/>
    <cellStyle name="Currency 3 2 5" xfId="24767"/>
    <cellStyle name="Currency 3 2 6" xfId="24768"/>
    <cellStyle name="Currency 3 2 6 2" xfId="26906"/>
    <cellStyle name="Currency 3 2 7" xfId="24533"/>
    <cellStyle name="Currency 3 3" xfId="19066"/>
    <cellStyle name="Currency 3 3 2" xfId="24769"/>
    <cellStyle name="Currency 3 3 2 2" xfId="26907"/>
    <cellStyle name="Currency 3 4" xfId="24770"/>
    <cellStyle name="Currency 3 4 2" xfId="26908"/>
    <cellStyle name="Currency 3 5" xfId="24771"/>
    <cellStyle name="Currency 3 5 2" xfId="26909"/>
    <cellStyle name="Currency 3 6" xfId="24772"/>
    <cellStyle name="Currency 3 7" xfId="24773"/>
    <cellStyle name="Currency 3 7 2" xfId="26910"/>
    <cellStyle name="Currency 3 8" xfId="24532"/>
    <cellStyle name="Currency 4" xfId="7101"/>
    <cellStyle name="Currency 4 2" xfId="24534"/>
    <cellStyle name="Currency 5" xfId="24535"/>
    <cellStyle name="Currency0" xfId="24774"/>
    <cellStyle name="Currency0 2" xfId="24775"/>
    <cellStyle name="Date" xfId="24776"/>
    <cellStyle name="Date 2" xfId="24777"/>
    <cellStyle name="Euro" xfId="55"/>
    <cellStyle name="Euro 2" xfId="19069"/>
    <cellStyle name="Euro 2 2" xfId="19070"/>
    <cellStyle name="Euro 2 2 2" xfId="19071"/>
    <cellStyle name="Euro 2 3" xfId="19072"/>
    <cellStyle name="Euro 3" xfId="19073"/>
    <cellStyle name="Euro 3 2" xfId="19074"/>
    <cellStyle name="Euro 3 2 2" xfId="19075"/>
    <cellStyle name="Euro 3 3" xfId="19076"/>
    <cellStyle name="Euro 4" xfId="19077"/>
    <cellStyle name="Euro 4 2" xfId="19078"/>
    <cellStyle name="Euro 5" xfId="19079"/>
    <cellStyle name="Euro 5 2" xfId="19080"/>
    <cellStyle name="Euro 6" xfId="19081"/>
    <cellStyle name="Euro 7" xfId="19068"/>
    <cellStyle name="Explanatory Text 10" xfId="748"/>
    <cellStyle name="Explanatory Text 10 2" xfId="19084"/>
    <cellStyle name="Explanatory Text 10 3" xfId="19083"/>
    <cellStyle name="Explanatory Text 11" xfId="749"/>
    <cellStyle name="Explanatory Text 11 2" xfId="19086"/>
    <cellStyle name="Explanatory Text 11 3" xfId="19085"/>
    <cellStyle name="Explanatory Text 12" xfId="879"/>
    <cellStyle name="Explanatory Text 12 2" xfId="19087"/>
    <cellStyle name="Explanatory Text 13" xfId="880"/>
    <cellStyle name="Explanatory Text 13 2" xfId="19082"/>
    <cellStyle name="Explanatory Text 14" xfId="975"/>
    <cellStyle name="Explanatory Text 2" xfId="96"/>
    <cellStyle name="Explanatory Text 2 10" xfId="1694"/>
    <cellStyle name="Explanatory Text 2 10 2" xfId="19090"/>
    <cellStyle name="Explanatory Text 2 10 3" xfId="19089"/>
    <cellStyle name="Explanatory Text 2 11" xfId="2029"/>
    <cellStyle name="Explanatory Text 2 11 2" xfId="19092"/>
    <cellStyle name="Explanatory Text 2 11 3" xfId="19091"/>
    <cellStyle name="Explanatory Text 2 12" xfId="2403"/>
    <cellStyle name="Explanatory Text 2 12 2" xfId="19094"/>
    <cellStyle name="Explanatory Text 2 12 3" xfId="19093"/>
    <cellStyle name="Explanatory Text 2 13" xfId="2776"/>
    <cellStyle name="Explanatory Text 2 13 2" xfId="19096"/>
    <cellStyle name="Explanatory Text 2 13 3" xfId="19095"/>
    <cellStyle name="Explanatory Text 2 14" xfId="3150"/>
    <cellStyle name="Explanatory Text 2 14 2" xfId="19098"/>
    <cellStyle name="Explanatory Text 2 14 3" xfId="19097"/>
    <cellStyle name="Explanatory Text 2 15" xfId="3521"/>
    <cellStyle name="Explanatory Text 2 15 2" xfId="19100"/>
    <cellStyle name="Explanatory Text 2 15 3" xfId="19099"/>
    <cellStyle name="Explanatory Text 2 16" xfId="3659"/>
    <cellStyle name="Explanatory Text 2 16 2" xfId="19102"/>
    <cellStyle name="Explanatory Text 2 16 3" xfId="19101"/>
    <cellStyle name="Explanatory Text 2 17" xfId="19103"/>
    <cellStyle name="Explanatory Text 2 17 2" xfId="19104"/>
    <cellStyle name="Explanatory Text 2 18" xfId="19105"/>
    <cellStyle name="Explanatory Text 2 19" xfId="19088"/>
    <cellStyle name="Explanatory Text 2 2" xfId="140"/>
    <cellStyle name="Explanatory Text 2 2 2" xfId="168"/>
    <cellStyle name="Explanatory Text 2 2 2 2" xfId="19108"/>
    <cellStyle name="Explanatory Text 2 2 2 3" xfId="19107"/>
    <cellStyle name="Explanatory Text 2 2 3" xfId="332"/>
    <cellStyle name="Explanatory Text 2 2 3 2" xfId="19110"/>
    <cellStyle name="Explanatory Text 2 2 3 3" xfId="19109"/>
    <cellStyle name="Explanatory Text 2 2 4" xfId="2154"/>
    <cellStyle name="Explanatory Text 2 2 4 2" xfId="19112"/>
    <cellStyle name="Explanatory Text 2 2 4 3" xfId="19111"/>
    <cellStyle name="Explanatory Text 2 2 5" xfId="2528"/>
    <cellStyle name="Explanatory Text 2 2 5 2" xfId="19114"/>
    <cellStyle name="Explanatory Text 2 2 5 3" xfId="19113"/>
    <cellStyle name="Explanatory Text 2 2 6" xfId="2900"/>
    <cellStyle name="Explanatory Text 2 2 6 2" xfId="19116"/>
    <cellStyle name="Explanatory Text 2 2 6 3" xfId="19115"/>
    <cellStyle name="Explanatory Text 2 2 7" xfId="3272"/>
    <cellStyle name="Explanatory Text 2 2 7 2" xfId="19118"/>
    <cellStyle name="Explanatory Text 2 2 7 3" xfId="19117"/>
    <cellStyle name="Explanatory Text 2 2 8" xfId="19119"/>
    <cellStyle name="Explanatory Text 2 2 9" xfId="19106"/>
    <cellStyle name="Explanatory Text 2 20" xfId="24493"/>
    <cellStyle name="Explanatory Text 2 3" xfId="305"/>
    <cellStyle name="Explanatory Text 2 3 2" xfId="1330"/>
    <cellStyle name="Explanatory Text 2 3 2 2" xfId="19121"/>
    <cellStyle name="Explanatory Text 2 3 3" xfId="19120"/>
    <cellStyle name="Explanatory Text 2 4" xfId="466"/>
    <cellStyle name="Explanatory Text 2 4 2" xfId="19123"/>
    <cellStyle name="Explanatory Text 2 4 3" xfId="19122"/>
    <cellStyle name="Explanatory Text 2 5" xfId="600"/>
    <cellStyle name="Explanatory Text 2 5 2" xfId="19125"/>
    <cellStyle name="Explanatory Text 2 5 3" xfId="19124"/>
    <cellStyle name="Explanatory Text 2 6" xfId="750"/>
    <cellStyle name="Explanatory Text 2 6 2" xfId="19127"/>
    <cellStyle name="Explanatory Text 2 6 3" xfId="19126"/>
    <cellStyle name="Explanatory Text 2 7" xfId="751"/>
    <cellStyle name="Explanatory Text 2 7 2" xfId="19129"/>
    <cellStyle name="Explanatory Text 2 7 3" xfId="19128"/>
    <cellStyle name="Explanatory Text 2 8" xfId="881"/>
    <cellStyle name="Explanatory Text 2 8 2" xfId="1423"/>
    <cellStyle name="Explanatory Text 2 8 2 2" xfId="19131"/>
    <cellStyle name="Explanatory Text 2 8 3" xfId="19130"/>
    <cellStyle name="Explanatory Text 2 9" xfId="976"/>
    <cellStyle name="Explanatory Text 2 9 2" xfId="1554"/>
    <cellStyle name="Explanatory Text 2 9 2 2" xfId="19133"/>
    <cellStyle name="Explanatory Text 2 9 3" xfId="19132"/>
    <cellStyle name="Explanatory Text 3" xfId="209"/>
    <cellStyle name="Explanatory Text 3 10" xfId="3702"/>
    <cellStyle name="Explanatory Text 3 10 2" xfId="19136"/>
    <cellStyle name="Explanatory Text 3 10 3" xfId="19135"/>
    <cellStyle name="Explanatory Text 3 11" xfId="19137"/>
    <cellStyle name="Explanatory Text 3 11 2" xfId="19138"/>
    <cellStyle name="Explanatory Text 3 12" xfId="19139"/>
    <cellStyle name="Explanatory Text 3 13" xfId="19134"/>
    <cellStyle name="Explanatory Text 3 2" xfId="1475"/>
    <cellStyle name="Explanatory Text 3 2 2" xfId="1820"/>
    <cellStyle name="Explanatory Text 3 2 2 2" xfId="19142"/>
    <cellStyle name="Explanatory Text 3 2 2 3" xfId="19141"/>
    <cellStyle name="Explanatory Text 3 2 3" xfId="2195"/>
    <cellStyle name="Explanatory Text 3 2 3 2" xfId="19144"/>
    <cellStyle name="Explanatory Text 3 2 3 3" xfId="19143"/>
    <cellStyle name="Explanatory Text 3 2 4" xfId="2569"/>
    <cellStyle name="Explanatory Text 3 2 4 2" xfId="19146"/>
    <cellStyle name="Explanatory Text 3 2 4 3" xfId="19145"/>
    <cellStyle name="Explanatory Text 3 2 5" xfId="2941"/>
    <cellStyle name="Explanatory Text 3 2 5 2" xfId="19148"/>
    <cellStyle name="Explanatory Text 3 2 5 3" xfId="19147"/>
    <cellStyle name="Explanatory Text 3 2 6" xfId="3313"/>
    <cellStyle name="Explanatory Text 3 2 6 2" xfId="19150"/>
    <cellStyle name="Explanatory Text 3 2 6 3" xfId="19149"/>
    <cellStyle name="Explanatory Text 3 2 7" xfId="19151"/>
    <cellStyle name="Explanatory Text 3 2 8" xfId="19140"/>
    <cellStyle name="Explanatory Text 3 3" xfId="1602"/>
    <cellStyle name="Explanatory Text 3 3 2" xfId="1897"/>
    <cellStyle name="Explanatory Text 3 3 2 2" xfId="19154"/>
    <cellStyle name="Explanatory Text 3 3 2 3" xfId="19153"/>
    <cellStyle name="Explanatory Text 3 3 3" xfId="2272"/>
    <cellStyle name="Explanatory Text 3 3 3 2" xfId="19156"/>
    <cellStyle name="Explanatory Text 3 3 3 3" xfId="19155"/>
    <cellStyle name="Explanatory Text 3 3 4" xfId="2645"/>
    <cellStyle name="Explanatory Text 3 3 4 2" xfId="19158"/>
    <cellStyle name="Explanatory Text 3 3 4 3" xfId="19157"/>
    <cellStyle name="Explanatory Text 3 3 5" xfId="3018"/>
    <cellStyle name="Explanatory Text 3 3 5 2" xfId="19160"/>
    <cellStyle name="Explanatory Text 3 3 5 3" xfId="19159"/>
    <cellStyle name="Explanatory Text 3 3 6" xfId="3389"/>
    <cellStyle name="Explanatory Text 3 3 6 2" xfId="19162"/>
    <cellStyle name="Explanatory Text 3 3 6 3" xfId="19161"/>
    <cellStyle name="Explanatory Text 3 3 7" xfId="19163"/>
    <cellStyle name="Explanatory Text 3 3 8" xfId="19152"/>
    <cellStyle name="Explanatory Text 3 4" xfId="1741"/>
    <cellStyle name="Explanatory Text 3 4 2" xfId="1941"/>
    <cellStyle name="Explanatory Text 3 4 2 2" xfId="19166"/>
    <cellStyle name="Explanatory Text 3 4 2 3" xfId="19165"/>
    <cellStyle name="Explanatory Text 3 4 3" xfId="2316"/>
    <cellStyle name="Explanatory Text 3 4 3 2" xfId="19168"/>
    <cellStyle name="Explanatory Text 3 4 3 3" xfId="19167"/>
    <cellStyle name="Explanatory Text 3 4 4" xfId="2689"/>
    <cellStyle name="Explanatory Text 3 4 4 2" xfId="19170"/>
    <cellStyle name="Explanatory Text 3 4 4 3" xfId="19169"/>
    <cellStyle name="Explanatory Text 3 4 5" xfId="3062"/>
    <cellStyle name="Explanatory Text 3 4 5 2" xfId="19172"/>
    <cellStyle name="Explanatory Text 3 4 5 3" xfId="19171"/>
    <cellStyle name="Explanatory Text 3 4 6" xfId="3433"/>
    <cellStyle name="Explanatory Text 3 4 6 2" xfId="19174"/>
    <cellStyle name="Explanatory Text 3 4 6 3" xfId="19173"/>
    <cellStyle name="Explanatory Text 3 4 7" xfId="19175"/>
    <cellStyle name="Explanatory Text 3 4 8" xfId="19164"/>
    <cellStyle name="Explanatory Text 3 5" xfId="2076"/>
    <cellStyle name="Explanatory Text 3 5 2" xfId="19177"/>
    <cellStyle name="Explanatory Text 3 5 3" xfId="19176"/>
    <cellStyle name="Explanatory Text 3 6" xfId="2450"/>
    <cellStyle name="Explanatory Text 3 6 2" xfId="19179"/>
    <cellStyle name="Explanatory Text 3 6 3" xfId="19178"/>
    <cellStyle name="Explanatory Text 3 7" xfId="2822"/>
    <cellStyle name="Explanatory Text 3 7 2" xfId="19181"/>
    <cellStyle name="Explanatory Text 3 7 3" xfId="19180"/>
    <cellStyle name="Explanatory Text 3 8" xfId="3193"/>
    <cellStyle name="Explanatory Text 3 8 2" xfId="19183"/>
    <cellStyle name="Explanatory Text 3 8 3" xfId="19182"/>
    <cellStyle name="Explanatory Text 3 9" xfId="3566"/>
    <cellStyle name="Explanatory Text 3 9 2" xfId="19185"/>
    <cellStyle name="Explanatory Text 3 9 3" xfId="19184"/>
    <cellStyle name="Explanatory Text 4" xfId="262"/>
    <cellStyle name="Explanatory Text 4 10" xfId="3746"/>
    <cellStyle name="Explanatory Text 4 10 2" xfId="19188"/>
    <cellStyle name="Explanatory Text 4 10 3" xfId="19187"/>
    <cellStyle name="Explanatory Text 4 11" xfId="1291"/>
    <cellStyle name="Explanatory Text 4 11 2" xfId="19190"/>
    <cellStyle name="Explanatory Text 4 11 3" xfId="19189"/>
    <cellStyle name="Explanatory Text 4 12" xfId="19191"/>
    <cellStyle name="Explanatory Text 4 13" xfId="19186"/>
    <cellStyle name="Explanatory Text 4 2" xfId="1520"/>
    <cellStyle name="Explanatory Text 4 2 2" xfId="19193"/>
    <cellStyle name="Explanatory Text 4 2 3" xfId="19192"/>
    <cellStyle name="Explanatory Text 4 3" xfId="1645"/>
    <cellStyle name="Explanatory Text 4 3 2" xfId="19195"/>
    <cellStyle name="Explanatory Text 4 3 3" xfId="19194"/>
    <cellStyle name="Explanatory Text 4 4" xfId="1781"/>
    <cellStyle name="Explanatory Text 4 4 2" xfId="19197"/>
    <cellStyle name="Explanatory Text 4 4 3" xfId="19196"/>
    <cellStyle name="Explanatory Text 4 5" xfId="2116"/>
    <cellStyle name="Explanatory Text 4 5 2" xfId="19199"/>
    <cellStyle name="Explanatory Text 4 5 3" xfId="19198"/>
    <cellStyle name="Explanatory Text 4 6" xfId="2490"/>
    <cellStyle name="Explanatory Text 4 6 2" xfId="19201"/>
    <cellStyle name="Explanatory Text 4 6 3" xfId="19200"/>
    <cellStyle name="Explanatory Text 4 7" xfId="2862"/>
    <cellStyle name="Explanatory Text 4 7 2" xfId="19203"/>
    <cellStyle name="Explanatory Text 4 7 3" xfId="19202"/>
    <cellStyle name="Explanatory Text 4 8" xfId="3233"/>
    <cellStyle name="Explanatory Text 4 8 2" xfId="19205"/>
    <cellStyle name="Explanatory Text 4 8 3" xfId="19204"/>
    <cellStyle name="Explanatory Text 4 9" xfId="3609"/>
    <cellStyle name="Explanatory Text 4 9 2" xfId="19207"/>
    <cellStyle name="Explanatory Text 4 9 3" xfId="19206"/>
    <cellStyle name="Explanatory Text 5" xfId="467"/>
    <cellStyle name="Explanatory Text 5 2" xfId="1869"/>
    <cellStyle name="Explanatory Text 5 2 2" xfId="19210"/>
    <cellStyle name="Explanatory Text 5 2 3" xfId="19209"/>
    <cellStyle name="Explanatory Text 5 3" xfId="2244"/>
    <cellStyle name="Explanatory Text 5 3 2" xfId="19212"/>
    <cellStyle name="Explanatory Text 5 3 3" xfId="19211"/>
    <cellStyle name="Explanatory Text 5 4" xfId="2618"/>
    <cellStyle name="Explanatory Text 5 4 2" xfId="19214"/>
    <cellStyle name="Explanatory Text 5 4 3" xfId="19213"/>
    <cellStyle name="Explanatory Text 5 5" xfId="2990"/>
    <cellStyle name="Explanatory Text 5 5 2" xfId="19216"/>
    <cellStyle name="Explanatory Text 5 5 3" xfId="19215"/>
    <cellStyle name="Explanatory Text 5 6" xfId="3362"/>
    <cellStyle name="Explanatory Text 5 6 2" xfId="19218"/>
    <cellStyle name="Explanatory Text 5 6 3" xfId="19217"/>
    <cellStyle name="Explanatory Text 5 7" xfId="19219"/>
    <cellStyle name="Explanatory Text 5 7 2" xfId="19220"/>
    <cellStyle name="Explanatory Text 5 8" xfId="19221"/>
    <cellStyle name="Explanatory Text 5 9" xfId="19208"/>
    <cellStyle name="Explanatory Text 6" xfId="468"/>
    <cellStyle name="Explanatory Text 6 10" xfId="19222"/>
    <cellStyle name="Explanatory Text 6 2" xfId="1996"/>
    <cellStyle name="Explanatory Text 6 2 2" xfId="19224"/>
    <cellStyle name="Explanatory Text 6 2 3" xfId="19223"/>
    <cellStyle name="Explanatory Text 6 3" xfId="2371"/>
    <cellStyle name="Explanatory Text 6 3 2" xfId="19226"/>
    <cellStyle name="Explanatory Text 6 3 3" xfId="19225"/>
    <cellStyle name="Explanatory Text 6 4" xfId="2744"/>
    <cellStyle name="Explanatory Text 6 4 2" xfId="19228"/>
    <cellStyle name="Explanatory Text 6 4 3" xfId="19227"/>
    <cellStyle name="Explanatory Text 6 5" xfId="3117"/>
    <cellStyle name="Explanatory Text 6 5 2" xfId="19230"/>
    <cellStyle name="Explanatory Text 6 5 3" xfId="19229"/>
    <cellStyle name="Explanatory Text 6 6" xfId="3488"/>
    <cellStyle name="Explanatory Text 6 6 2" xfId="19232"/>
    <cellStyle name="Explanatory Text 6 6 3" xfId="19231"/>
    <cellStyle name="Explanatory Text 6 7" xfId="3794"/>
    <cellStyle name="Explanatory Text 6 7 2" xfId="19234"/>
    <cellStyle name="Explanatory Text 6 7 3" xfId="19233"/>
    <cellStyle name="Explanatory Text 6 8" xfId="19235"/>
    <cellStyle name="Explanatory Text 6 8 2" xfId="19236"/>
    <cellStyle name="Explanatory Text 6 9" xfId="19237"/>
    <cellStyle name="Explanatory Text 7" xfId="469"/>
    <cellStyle name="Explanatory Text 7 2" xfId="19239"/>
    <cellStyle name="Explanatory Text 7 3" xfId="19238"/>
    <cellStyle name="Explanatory Text 8" xfId="601"/>
    <cellStyle name="Explanatory Text 8 2" xfId="19241"/>
    <cellStyle name="Explanatory Text 8 3" xfId="19240"/>
    <cellStyle name="Explanatory Text 9" xfId="602"/>
    <cellStyle name="Explanatory Text 9 2" xfId="19243"/>
    <cellStyle name="Explanatory Text 9 3" xfId="19242"/>
    <cellStyle name="F2" xfId="24778"/>
    <cellStyle name="F3" xfId="24779"/>
    <cellStyle name="F4" xfId="24780"/>
    <cellStyle name="F5" xfId="24781"/>
    <cellStyle name="F6" xfId="24782"/>
    <cellStyle name="F7" xfId="24783"/>
    <cellStyle name="F8" xfId="24784"/>
    <cellStyle name="Fixed" xfId="24785"/>
    <cellStyle name="Good 10" xfId="752"/>
    <cellStyle name="Good 10 2" xfId="19246"/>
    <cellStyle name="Good 10 3" xfId="19245"/>
    <cellStyle name="Good 11" xfId="753"/>
    <cellStyle name="Good 11 2" xfId="19248"/>
    <cellStyle name="Good 11 3" xfId="19247"/>
    <cellStyle name="Good 12" xfId="882"/>
    <cellStyle name="Good 12 2" xfId="19249"/>
    <cellStyle name="Good 13" xfId="883"/>
    <cellStyle name="Good 13 2" xfId="19244"/>
    <cellStyle name="Good 14" xfId="977"/>
    <cellStyle name="Good 2" xfId="97"/>
    <cellStyle name="Good 2 10" xfId="1695"/>
    <cellStyle name="Good 2 10 2" xfId="19252"/>
    <cellStyle name="Good 2 10 3" xfId="19251"/>
    <cellStyle name="Good 2 11" xfId="2030"/>
    <cellStyle name="Good 2 11 2" xfId="19254"/>
    <cellStyle name="Good 2 11 3" xfId="19253"/>
    <cellStyle name="Good 2 12" xfId="2404"/>
    <cellStyle name="Good 2 12 2" xfId="19256"/>
    <cellStyle name="Good 2 12 3" xfId="19255"/>
    <cellStyle name="Good 2 13" xfId="2777"/>
    <cellStyle name="Good 2 13 2" xfId="19258"/>
    <cellStyle name="Good 2 13 3" xfId="19257"/>
    <cellStyle name="Good 2 14" xfId="3151"/>
    <cellStyle name="Good 2 14 2" xfId="19260"/>
    <cellStyle name="Good 2 14 3" xfId="19259"/>
    <cellStyle name="Good 2 15" xfId="3522"/>
    <cellStyle name="Good 2 15 2" xfId="19262"/>
    <cellStyle name="Good 2 15 3" xfId="19261"/>
    <cellStyle name="Good 2 16" xfId="3660"/>
    <cellStyle name="Good 2 16 2" xfId="19264"/>
    <cellStyle name="Good 2 16 3" xfId="19263"/>
    <cellStyle name="Good 2 17" xfId="19265"/>
    <cellStyle name="Good 2 17 2" xfId="19266"/>
    <cellStyle name="Good 2 18" xfId="19267"/>
    <cellStyle name="Good 2 19" xfId="19250"/>
    <cellStyle name="Good 2 2" xfId="141"/>
    <cellStyle name="Good 2 2 2" xfId="158"/>
    <cellStyle name="Good 2 2 2 2" xfId="19270"/>
    <cellStyle name="Good 2 2 2 3" xfId="19269"/>
    <cellStyle name="Good 2 2 3" xfId="322"/>
    <cellStyle name="Good 2 2 3 2" xfId="19272"/>
    <cellStyle name="Good 2 2 3 3" xfId="19271"/>
    <cellStyle name="Good 2 2 4" xfId="2145"/>
    <cellStyle name="Good 2 2 4 2" xfId="19274"/>
    <cellStyle name="Good 2 2 4 3" xfId="19273"/>
    <cellStyle name="Good 2 2 5" xfId="2519"/>
    <cellStyle name="Good 2 2 5 2" xfId="19276"/>
    <cellStyle name="Good 2 2 5 3" xfId="19275"/>
    <cellStyle name="Good 2 2 6" xfId="2891"/>
    <cellStyle name="Good 2 2 6 2" xfId="19278"/>
    <cellStyle name="Good 2 2 6 3" xfId="19277"/>
    <cellStyle name="Good 2 2 7" xfId="3262"/>
    <cellStyle name="Good 2 2 7 2" xfId="19280"/>
    <cellStyle name="Good 2 2 7 3" xfId="19279"/>
    <cellStyle name="Good 2 2 8" xfId="19281"/>
    <cellStyle name="Good 2 2 9" xfId="19268"/>
    <cellStyle name="Good 2 20" xfId="24494"/>
    <cellStyle name="Good 2 3" xfId="306"/>
    <cellStyle name="Good 2 3 2" xfId="1321"/>
    <cellStyle name="Good 2 3 2 2" xfId="19283"/>
    <cellStyle name="Good 2 3 3" xfId="19282"/>
    <cellStyle name="Good 2 4" xfId="470"/>
    <cellStyle name="Good 2 4 2" xfId="19285"/>
    <cellStyle name="Good 2 4 3" xfId="19284"/>
    <cellStyle name="Good 2 5" xfId="603"/>
    <cellStyle name="Good 2 5 2" xfId="19287"/>
    <cellStyle name="Good 2 5 3" xfId="19286"/>
    <cellStyle name="Good 2 6" xfId="754"/>
    <cellStyle name="Good 2 6 2" xfId="19289"/>
    <cellStyle name="Good 2 6 3" xfId="19288"/>
    <cellStyle name="Good 2 7" xfId="755"/>
    <cellStyle name="Good 2 7 2" xfId="19291"/>
    <cellStyle name="Good 2 7 3" xfId="19290"/>
    <cellStyle name="Good 2 8" xfId="884"/>
    <cellStyle name="Good 2 8 2" xfId="1424"/>
    <cellStyle name="Good 2 8 2 2" xfId="19293"/>
    <cellStyle name="Good 2 8 3" xfId="19292"/>
    <cellStyle name="Good 2 9" xfId="978"/>
    <cellStyle name="Good 2 9 2" xfId="1553"/>
    <cellStyle name="Good 2 9 2 2" xfId="19295"/>
    <cellStyle name="Good 2 9 3" xfId="19294"/>
    <cellStyle name="Good 3" xfId="199"/>
    <cellStyle name="Good 3 10" xfId="3703"/>
    <cellStyle name="Good 3 10 2" xfId="19298"/>
    <cellStyle name="Good 3 10 3" xfId="19297"/>
    <cellStyle name="Good 3 11" xfId="19299"/>
    <cellStyle name="Good 3 11 2" xfId="19300"/>
    <cellStyle name="Good 3 12" xfId="19301"/>
    <cellStyle name="Good 3 13" xfId="19296"/>
    <cellStyle name="Good 3 2" xfId="1476"/>
    <cellStyle name="Good 3 2 2" xfId="1810"/>
    <cellStyle name="Good 3 2 2 2" xfId="19304"/>
    <cellStyle name="Good 3 2 2 3" xfId="19303"/>
    <cellStyle name="Good 3 2 3" xfId="2185"/>
    <cellStyle name="Good 3 2 3 2" xfId="19306"/>
    <cellStyle name="Good 3 2 3 3" xfId="19305"/>
    <cellStyle name="Good 3 2 4" xfId="2559"/>
    <cellStyle name="Good 3 2 4 2" xfId="19308"/>
    <cellStyle name="Good 3 2 4 3" xfId="19307"/>
    <cellStyle name="Good 3 2 5" xfId="2931"/>
    <cellStyle name="Good 3 2 5 2" xfId="19310"/>
    <cellStyle name="Good 3 2 5 3" xfId="19309"/>
    <cellStyle name="Good 3 2 6" xfId="3303"/>
    <cellStyle name="Good 3 2 6 2" xfId="19312"/>
    <cellStyle name="Good 3 2 6 3" xfId="19311"/>
    <cellStyle name="Good 3 2 7" xfId="19313"/>
    <cellStyle name="Good 3 2 8" xfId="19302"/>
    <cellStyle name="Good 3 3" xfId="1603"/>
    <cellStyle name="Good 3 3 2" xfId="1887"/>
    <cellStyle name="Good 3 3 2 2" xfId="19316"/>
    <cellStyle name="Good 3 3 2 3" xfId="19315"/>
    <cellStyle name="Good 3 3 3" xfId="2262"/>
    <cellStyle name="Good 3 3 3 2" xfId="19318"/>
    <cellStyle name="Good 3 3 3 3" xfId="19317"/>
    <cellStyle name="Good 3 3 4" xfId="2635"/>
    <cellStyle name="Good 3 3 4 2" xfId="19320"/>
    <cellStyle name="Good 3 3 4 3" xfId="19319"/>
    <cellStyle name="Good 3 3 5" xfId="3008"/>
    <cellStyle name="Good 3 3 5 2" xfId="19322"/>
    <cellStyle name="Good 3 3 5 3" xfId="19321"/>
    <cellStyle name="Good 3 3 6" xfId="3379"/>
    <cellStyle name="Good 3 3 6 2" xfId="19324"/>
    <cellStyle name="Good 3 3 6 3" xfId="19323"/>
    <cellStyle name="Good 3 3 7" xfId="19325"/>
    <cellStyle name="Good 3 3 8" xfId="19314"/>
    <cellStyle name="Good 3 4" xfId="1742"/>
    <cellStyle name="Good 3 4 2" xfId="1931"/>
    <cellStyle name="Good 3 4 2 2" xfId="19328"/>
    <cellStyle name="Good 3 4 2 3" xfId="19327"/>
    <cellStyle name="Good 3 4 3" xfId="2306"/>
    <cellStyle name="Good 3 4 3 2" xfId="19330"/>
    <cellStyle name="Good 3 4 3 3" xfId="19329"/>
    <cellStyle name="Good 3 4 4" xfId="2679"/>
    <cellStyle name="Good 3 4 4 2" xfId="19332"/>
    <cellStyle name="Good 3 4 4 3" xfId="19331"/>
    <cellStyle name="Good 3 4 5" xfId="3052"/>
    <cellStyle name="Good 3 4 5 2" xfId="19334"/>
    <cellStyle name="Good 3 4 5 3" xfId="19333"/>
    <cellStyle name="Good 3 4 6" xfId="3423"/>
    <cellStyle name="Good 3 4 6 2" xfId="19336"/>
    <cellStyle name="Good 3 4 6 3" xfId="19335"/>
    <cellStyle name="Good 3 4 7" xfId="19337"/>
    <cellStyle name="Good 3 4 8" xfId="19326"/>
    <cellStyle name="Good 3 5" xfId="2077"/>
    <cellStyle name="Good 3 5 2" xfId="19339"/>
    <cellStyle name="Good 3 5 3" xfId="19338"/>
    <cellStyle name="Good 3 6" xfId="2451"/>
    <cellStyle name="Good 3 6 2" xfId="19341"/>
    <cellStyle name="Good 3 6 3" xfId="19340"/>
    <cellStyle name="Good 3 7" xfId="2823"/>
    <cellStyle name="Good 3 7 2" xfId="19343"/>
    <cellStyle name="Good 3 7 3" xfId="19342"/>
    <cellStyle name="Good 3 8" xfId="3194"/>
    <cellStyle name="Good 3 8 2" xfId="19345"/>
    <cellStyle name="Good 3 8 3" xfId="19344"/>
    <cellStyle name="Good 3 9" xfId="3567"/>
    <cellStyle name="Good 3 9 2" xfId="19347"/>
    <cellStyle name="Good 3 9 3" xfId="19346"/>
    <cellStyle name="Good 4" xfId="263"/>
    <cellStyle name="Good 4 10" xfId="3747"/>
    <cellStyle name="Good 4 10 2" xfId="19350"/>
    <cellStyle name="Good 4 10 3" xfId="19349"/>
    <cellStyle name="Good 4 11" xfId="1281"/>
    <cellStyle name="Good 4 11 2" xfId="19352"/>
    <cellStyle name="Good 4 11 3" xfId="19351"/>
    <cellStyle name="Good 4 12" xfId="19353"/>
    <cellStyle name="Good 4 13" xfId="19348"/>
    <cellStyle name="Good 4 2" xfId="1521"/>
    <cellStyle name="Good 4 2 2" xfId="19355"/>
    <cellStyle name="Good 4 2 3" xfId="19354"/>
    <cellStyle name="Good 4 3" xfId="1646"/>
    <cellStyle name="Good 4 3 2" xfId="19357"/>
    <cellStyle name="Good 4 3 3" xfId="19356"/>
    <cellStyle name="Good 4 4" xfId="1780"/>
    <cellStyle name="Good 4 4 2" xfId="19359"/>
    <cellStyle name="Good 4 4 3" xfId="19358"/>
    <cellStyle name="Good 4 5" xfId="2115"/>
    <cellStyle name="Good 4 5 2" xfId="19361"/>
    <cellStyle name="Good 4 5 3" xfId="19360"/>
    <cellStyle name="Good 4 6" xfId="2489"/>
    <cellStyle name="Good 4 6 2" xfId="19363"/>
    <cellStyle name="Good 4 6 3" xfId="19362"/>
    <cellStyle name="Good 4 7" xfId="2861"/>
    <cellStyle name="Good 4 7 2" xfId="19365"/>
    <cellStyle name="Good 4 7 3" xfId="19364"/>
    <cellStyle name="Good 4 8" xfId="3232"/>
    <cellStyle name="Good 4 8 2" xfId="19367"/>
    <cellStyle name="Good 4 8 3" xfId="19366"/>
    <cellStyle name="Good 4 9" xfId="3610"/>
    <cellStyle name="Good 4 9 2" xfId="19369"/>
    <cellStyle name="Good 4 9 3" xfId="19368"/>
    <cellStyle name="Good 5" xfId="471"/>
    <cellStyle name="Good 5 2" xfId="1852"/>
    <cellStyle name="Good 5 2 2" xfId="19372"/>
    <cellStyle name="Good 5 2 3" xfId="19371"/>
    <cellStyle name="Good 5 3" xfId="2227"/>
    <cellStyle name="Good 5 3 2" xfId="19374"/>
    <cellStyle name="Good 5 3 3" xfId="19373"/>
    <cellStyle name="Good 5 4" xfId="2601"/>
    <cellStyle name="Good 5 4 2" xfId="19376"/>
    <cellStyle name="Good 5 4 3" xfId="19375"/>
    <cellStyle name="Good 5 5" xfId="2973"/>
    <cellStyle name="Good 5 5 2" xfId="19378"/>
    <cellStyle name="Good 5 5 3" xfId="19377"/>
    <cellStyle name="Good 5 6" xfId="3345"/>
    <cellStyle name="Good 5 6 2" xfId="19380"/>
    <cellStyle name="Good 5 6 3" xfId="19379"/>
    <cellStyle name="Good 5 7" xfId="19381"/>
    <cellStyle name="Good 5 7 2" xfId="19382"/>
    <cellStyle name="Good 5 8" xfId="19383"/>
    <cellStyle name="Good 5 9" xfId="19370"/>
    <cellStyle name="Good 6" xfId="472"/>
    <cellStyle name="Good 6 10" xfId="19384"/>
    <cellStyle name="Good 6 2" xfId="1997"/>
    <cellStyle name="Good 6 2 2" xfId="19386"/>
    <cellStyle name="Good 6 2 3" xfId="19385"/>
    <cellStyle name="Good 6 3" xfId="2372"/>
    <cellStyle name="Good 6 3 2" xfId="19388"/>
    <cellStyle name="Good 6 3 3" xfId="19387"/>
    <cellStyle name="Good 6 4" xfId="2745"/>
    <cellStyle name="Good 6 4 2" xfId="19390"/>
    <cellStyle name="Good 6 4 3" xfId="19389"/>
    <cellStyle name="Good 6 5" xfId="3118"/>
    <cellStyle name="Good 6 5 2" xfId="19392"/>
    <cellStyle name="Good 6 5 3" xfId="19391"/>
    <cellStyle name="Good 6 6" xfId="3489"/>
    <cellStyle name="Good 6 6 2" xfId="19394"/>
    <cellStyle name="Good 6 6 3" xfId="19393"/>
    <cellStyle name="Good 6 7" xfId="3795"/>
    <cellStyle name="Good 6 7 2" xfId="19396"/>
    <cellStyle name="Good 6 7 3" xfId="19395"/>
    <cellStyle name="Good 6 8" xfId="19397"/>
    <cellStyle name="Good 6 8 2" xfId="19398"/>
    <cellStyle name="Good 6 9" xfId="19399"/>
    <cellStyle name="Good 7" xfId="473"/>
    <cellStyle name="Good 7 2" xfId="19401"/>
    <cellStyle name="Good 7 3" xfId="19400"/>
    <cellStyle name="Good 8" xfId="604"/>
    <cellStyle name="Good 8 2" xfId="19403"/>
    <cellStyle name="Good 8 3" xfId="19402"/>
    <cellStyle name="Good 9" xfId="605"/>
    <cellStyle name="Good 9 2" xfId="19405"/>
    <cellStyle name="Good 9 3" xfId="19404"/>
    <cellStyle name="Heading 1 10" xfId="756"/>
    <cellStyle name="Heading 1 10 2" xfId="19408"/>
    <cellStyle name="Heading 1 10 3" xfId="19407"/>
    <cellStyle name="Heading 1 11" xfId="757"/>
    <cellStyle name="Heading 1 11 2" xfId="19410"/>
    <cellStyle name="Heading 1 11 3" xfId="19409"/>
    <cellStyle name="Heading 1 12" xfId="885"/>
    <cellStyle name="Heading 1 12 2" xfId="19411"/>
    <cellStyle name="Heading 1 13" xfId="886"/>
    <cellStyle name="Heading 1 13 2" xfId="19406"/>
    <cellStyle name="Heading 1 14" xfId="979"/>
    <cellStyle name="Heading 1 2" xfId="98"/>
    <cellStyle name="Heading 1 2 10" xfId="1696"/>
    <cellStyle name="Heading 1 2 10 2" xfId="19414"/>
    <cellStyle name="Heading 1 2 10 3" xfId="19413"/>
    <cellStyle name="Heading 1 2 11" xfId="2031"/>
    <cellStyle name="Heading 1 2 11 2" xfId="19416"/>
    <cellStyle name="Heading 1 2 11 3" xfId="19415"/>
    <cellStyle name="Heading 1 2 12" xfId="2405"/>
    <cellStyle name="Heading 1 2 12 2" xfId="19418"/>
    <cellStyle name="Heading 1 2 12 3" xfId="19417"/>
    <cellStyle name="Heading 1 2 13" xfId="2778"/>
    <cellStyle name="Heading 1 2 13 2" xfId="19420"/>
    <cellStyle name="Heading 1 2 13 3" xfId="19419"/>
    <cellStyle name="Heading 1 2 14" xfId="3152"/>
    <cellStyle name="Heading 1 2 14 2" xfId="19422"/>
    <cellStyle name="Heading 1 2 14 3" xfId="19421"/>
    <cellStyle name="Heading 1 2 15" xfId="3523"/>
    <cellStyle name="Heading 1 2 15 2" xfId="19424"/>
    <cellStyle name="Heading 1 2 15 3" xfId="19423"/>
    <cellStyle name="Heading 1 2 16" xfId="3661"/>
    <cellStyle name="Heading 1 2 16 2" xfId="19426"/>
    <cellStyle name="Heading 1 2 16 3" xfId="19425"/>
    <cellStyle name="Heading 1 2 17" xfId="19427"/>
    <cellStyle name="Heading 1 2 17 2" xfId="19428"/>
    <cellStyle name="Heading 1 2 18" xfId="19429"/>
    <cellStyle name="Heading 1 2 19" xfId="19412"/>
    <cellStyle name="Heading 1 2 2" xfId="142"/>
    <cellStyle name="Heading 1 2 2 2" xfId="154"/>
    <cellStyle name="Heading 1 2 2 2 2" xfId="19432"/>
    <cellStyle name="Heading 1 2 2 2 3" xfId="19431"/>
    <cellStyle name="Heading 1 2 2 3" xfId="318"/>
    <cellStyle name="Heading 1 2 2 3 2" xfId="19434"/>
    <cellStyle name="Heading 1 2 2 3 3" xfId="19433"/>
    <cellStyle name="Heading 1 2 2 4" xfId="2141"/>
    <cellStyle name="Heading 1 2 2 4 2" xfId="19436"/>
    <cellStyle name="Heading 1 2 2 4 3" xfId="19435"/>
    <cellStyle name="Heading 1 2 2 5" xfId="2515"/>
    <cellStyle name="Heading 1 2 2 5 2" xfId="19438"/>
    <cellStyle name="Heading 1 2 2 5 3" xfId="19437"/>
    <cellStyle name="Heading 1 2 2 6" xfId="2887"/>
    <cellStyle name="Heading 1 2 2 6 2" xfId="19440"/>
    <cellStyle name="Heading 1 2 2 6 3" xfId="19439"/>
    <cellStyle name="Heading 1 2 2 7" xfId="3258"/>
    <cellStyle name="Heading 1 2 2 7 2" xfId="19442"/>
    <cellStyle name="Heading 1 2 2 7 3" xfId="19441"/>
    <cellStyle name="Heading 1 2 2 8" xfId="19443"/>
    <cellStyle name="Heading 1 2 2 9" xfId="19430"/>
    <cellStyle name="Heading 1 2 20" xfId="24495"/>
    <cellStyle name="Heading 1 2 3" xfId="307"/>
    <cellStyle name="Heading 1 2 3 2" xfId="1317"/>
    <cellStyle name="Heading 1 2 3 2 2" xfId="19445"/>
    <cellStyle name="Heading 1 2 3 3" xfId="19444"/>
    <cellStyle name="Heading 1 2 4" xfId="474"/>
    <cellStyle name="Heading 1 2 4 2" xfId="19447"/>
    <cellStyle name="Heading 1 2 4 3" xfId="19446"/>
    <cellStyle name="Heading 1 2 5" xfId="606"/>
    <cellStyle name="Heading 1 2 5 2" xfId="19449"/>
    <cellStyle name="Heading 1 2 5 3" xfId="19448"/>
    <cellStyle name="Heading 1 2 6" xfId="758"/>
    <cellStyle name="Heading 1 2 6 2" xfId="19451"/>
    <cellStyle name="Heading 1 2 6 3" xfId="19450"/>
    <cellStyle name="Heading 1 2 7" xfId="759"/>
    <cellStyle name="Heading 1 2 7 2" xfId="19453"/>
    <cellStyle name="Heading 1 2 7 3" xfId="19452"/>
    <cellStyle name="Heading 1 2 8" xfId="887"/>
    <cellStyle name="Heading 1 2 8 2" xfId="1425"/>
    <cellStyle name="Heading 1 2 8 2 2" xfId="19455"/>
    <cellStyle name="Heading 1 2 8 3" xfId="19454"/>
    <cellStyle name="Heading 1 2 9" xfId="980"/>
    <cellStyle name="Heading 1 2 9 2" xfId="1552"/>
    <cellStyle name="Heading 1 2 9 2 2" xfId="19457"/>
    <cellStyle name="Heading 1 2 9 3" xfId="19456"/>
    <cellStyle name="Heading 1 3" xfId="195"/>
    <cellStyle name="Heading 1 3 10" xfId="3704"/>
    <cellStyle name="Heading 1 3 10 2" xfId="19460"/>
    <cellStyle name="Heading 1 3 10 3" xfId="19459"/>
    <cellStyle name="Heading 1 3 11" xfId="19461"/>
    <cellStyle name="Heading 1 3 11 2" xfId="19462"/>
    <cellStyle name="Heading 1 3 12" xfId="19463"/>
    <cellStyle name="Heading 1 3 13" xfId="19458"/>
    <cellStyle name="Heading 1 3 2" xfId="1477"/>
    <cellStyle name="Heading 1 3 2 2" xfId="1806"/>
    <cellStyle name="Heading 1 3 2 2 2" xfId="19466"/>
    <cellStyle name="Heading 1 3 2 2 3" xfId="19465"/>
    <cellStyle name="Heading 1 3 2 3" xfId="2181"/>
    <cellStyle name="Heading 1 3 2 3 2" xfId="19468"/>
    <cellStyle name="Heading 1 3 2 3 3" xfId="19467"/>
    <cellStyle name="Heading 1 3 2 4" xfId="2555"/>
    <cellStyle name="Heading 1 3 2 4 2" xfId="19470"/>
    <cellStyle name="Heading 1 3 2 4 3" xfId="19469"/>
    <cellStyle name="Heading 1 3 2 5" xfId="2927"/>
    <cellStyle name="Heading 1 3 2 5 2" xfId="19472"/>
    <cellStyle name="Heading 1 3 2 5 3" xfId="19471"/>
    <cellStyle name="Heading 1 3 2 6" xfId="3299"/>
    <cellStyle name="Heading 1 3 2 6 2" xfId="19474"/>
    <cellStyle name="Heading 1 3 2 6 3" xfId="19473"/>
    <cellStyle name="Heading 1 3 2 7" xfId="19475"/>
    <cellStyle name="Heading 1 3 2 8" xfId="19464"/>
    <cellStyle name="Heading 1 3 3" xfId="1604"/>
    <cellStyle name="Heading 1 3 3 2" xfId="1883"/>
    <cellStyle name="Heading 1 3 3 2 2" xfId="19478"/>
    <cellStyle name="Heading 1 3 3 2 3" xfId="19477"/>
    <cellStyle name="Heading 1 3 3 3" xfId="2258"/>
    <cellStyle name="Heading 1 3 3 3 2" xfId="19480"/>
    <cellStyle name="Heading 1 3 3 3 3" xfId="19479"/>
    <cellStyle name="Heading 1 3 3 4" xfId="2631"/>
    <cellStyle name="Heading 1 3 3 4 2" xfId="19482"/>
    <cellStyle name="Heading 1 3 3 4 3" xfId="19481"/>
    <cellStyle name="Heading 1 3 3 5" xfId="3004"/>
    <cellStyle name="Heading 1 3 3 5 2" xfId="19484"/>
    <cellStyle name="Heading 1 3 3 5 3" xfId="19483"/>
    <cellStyle name="Heading 1 3 3 6" xfId="3375"/>
    <cellStyle name="Heading 1 3 3 6 2" xfId="19486"/>
    <cellStyle name="Heading 1 3 3 6 3" xfId="19485"/>
    <cellStyle name="Heading 1 3 3 7" xfId="19487"/>
    <cellStyle name="Heading 1 3 3 8" xfId="19476"/>
    <cellStyle name="Heading 1 3 4" xfId="1743"/>
    <cellStyle name="Heading 1 3 4 2" xfId="1927"/>
    <cellStyle name="Heading 1 3 4 2 2" xfId="19490"/>
    <cellStyle name="Heading 1 3 4 2 3" xfId="19489"/>
    <cellStyle name="Heading 1 3 4 3" xfId="2302"/>
    <cellStyle name="Heading 1 3 4 3 2" xfId="19492"/>
    <cellStyle name="Heading 1 3 4 3 3" xfId="19491"/>
    <cellStyle name="Heading 1 3 4 4" xfId="2675"/>
    <cellStyle name="Heading 1 3 4 4 2" xfId="19494"/>
    <cellStyle name="Heading 1 3 4 4 3" xfId="19493"/>
    <cellStyle name="Heading 1 3 4 5" xfId="3048"/>
    <cellStyle name="Heading 1 3 4 5 2" xfId="19496"/>
    <cellStyle name="Heading 1 3 4 5 3" xfId="19495"/>
    <cellStyle name="Heading 1 3 4 6" xfId="3419"/>
    <cellStyle name="Heading 1 3 4 6 2" xfId="19498"/>
    <cellStyle name="Heading 1 3 4 6 3" xfId="19497"/>
    <cellStyle name="Heading 1 3 4 7" xfId="19499"/>
    <cellStyle name="Heading 1 3 4 8" xfId="19488"/>
    <cellStyle name="Heading 1 3 5" xfId="2078"/>
    <cellStyle name="Heading 1 3 5 2" xfId="19501"/>
    <cellStyle name="Heading 1 3 5 3" xfId="19500"/>
    <cellStyle name="Heading 1 3 6" xfId="2452"/>
    <cellStyle name="Heading 1 3 6 2" xfId="19503"/>
    <cellStyle name="Heading 1 3 6 3" xfId="19502"/>
    <cellStyle name="Heading 1 3 7" xfId="2824"/>
    <cellStyle name="Heading 1 3 7 2" xfId="19505"/>
    <cellStyle name="Heading 1 3 7 3" xfId="19504"/>
    <cellStyle name="Heading 1 3 8" xfId="3195"/>
    <cellStyle name="Heading 1 3 8 2" xfId="19507"/>
    <cellStyle name="Heading 1 3 8 3" xfId="19506"/>
    <cellStyle name="Heading 1 3 9" xfId="3568"/>
    <cellStyle name="Heading 1 3 9 2" xfId="19509"/>
    <cellStyle name="Heading 1 3 9 3" xfId="19508"/>
    <cellStyle name="Heading 1 4" xfId="264"/>
    <cellStyle name="Heading 1 4 10" xfId="3748"/>
    <cellStyle name="Heading 1 4 10 2" xfId="19512"/>
    <cellStyle name="Heading 1 4 10 3" xfId="19511"/>
    <cellStyle name="Heading 1 4 11" xfId="1277"/>
    <cellStyle name="Heading 1 4 11 2" xfId="19514"/>
    <cellStyle name="Heading 1 4 11 3" xfId="19513"/>
    <cellStyle name="Heading 1 4 12" xfId="19515"/>
    <cellStyle name="Heading 1 4 13" xfId="19510"/>
    <cellStyle name="Heading 1 4 2" xfId="1522"/>
    <cellStyle name="Heading 1 4 2 2" xfId="19517"/>
    <cellStyle name="Heading 1 4 2 3" xfId="19516"/>
    <cellStyle name="Heading 1 4 3" xfId="1647"/>
    <cellStyle name="Heading 1 4 3 2" xfId="19519"/>
    <cellStyle name="Heading 1 4 3 3" xfId="19518"/>
    <cellStyle name="Heading 1 4 4" xfId="1779"/>
    <cellStyle name="Heading 1 4 4 2" xfId="19521"/>
    <cellStyle name="Heading 1 4 4 3" xfId="19520"/>
    <cellStyle name="Heading 1 4 5" xfId="2114"/>
    <cellStyle name="Heading 1 4 5 2" xfId="19523"/>
    <cellStyle name="Heading 1 4 5 3" xfId="19522"/>
    <cellStyle name="Heading 1 4 6" xfId="2488"/>
    <cellStyle name="Heading 1 4 6 2" xfId="19525"/>
    <cellStyle name="Heading 1 4 6 3" xfId="19524"/>
    <cellStyle name="Heading 1 4 7" xfId="2860"/>
    <cellStyle name="Heading 1 4 7 2" xfId="19527"/>
    <cellStyle name="Heading 1 4 7 3" xfId="19526"/>
    <cellStyle name="Heading 1 4 8" xfId="3231"/>
    <cellStyle name="Heading 1 4 8 2" xfId="19529"/>
    <cellStyle name="Heading 1 4 8 3" xfId="19528"/>
    <cellStyle name="Heading 1 4 9" xfId="3611"/>
    <cellStyle name="Heading 1 4 9 2" xfId="19531"/>
    <cellStyle name="Heading 1 4 9 3" xfId="19530"/>
    <cellStyle name="Heading 1 5" xfId="475"/>
    <cellStyle name="Heading 1 5 2" xfId="1872"/>
    <cellStyle name="Heading 1 5 2 2" xfId="19534"/>
    <cellStyle name="Heading 1 5 2 3" xfId="19533"/>
    <cellStyle name="Heading 1 5 3" xfId="2247"/>
    <cellStyle name="Heading 1 5 3 2" xfId="19536"/>
    <cellStyle name="Heading 1 5 3 3" xfId="19535"/>
    <cellStyle name="Heading 1 5 4" xfId="2621"/>
    <cellStyle name="Heading 1 5 4 2" xfId="19538"/>
    <cellStyle name="Heading 1 5 4 3" xfId="19537"/>
    <cellStyle name="Heading 1 5 5" xfId="2993"/>
    <cellStyle name="Heading 1 5 5 2" xfId="19540"/>
    <cellStyle name="Heading 1 5 5 3" xfId="19539"/>
    <cellStyle name="Heading 1 5 6" xfId="3365"/>
    <cellStyle name="Heading 1 5 6 2" xfId="19542"/>
    <cellStyle name="Heading 1 5 6 3" xfId="19541"/>
    <cellStyle name="Heading 1 5 7" xfId="19543"/>
    <cellStyle name="Heading 1 5 7 2" xfId="19544"/>
    <cellStyle name="Heading 1 5 8" xfId="19545"/>
    <cellStyle name="Heading 1 5 9" xfId="19532"/>
    <cellStyle name="Heading 1 6" xfId="476"/>
    <cellStyle name="Heading 1 6 10" xfId="19546"/>
    <cellStyle name="Heading 1 6 2" xfId="1998"/>
    <cellStyle name="Heading 1 6 2 2" xfId="19548"/>
    <cellStyle name="Heading 1 6 2 3" xfId="19547"/>
    <cellStyle name="Heading 1 6 3" xfId="2373"/>
    <cellStyle name="Heading 1 6 3 2" xfId="19550"/>
    <cellStyle name="Heading 1 6 3 3" xfId="19549"/>
    <cellStyle name="Heading 1 6 4" xfId="2746"/>
    <cellStyle name="Heading 1 6 4 2" xfId="19552"/>
    <cellStyle name="Heading 1 6 4 3" xfId="19551"/>
    <cellStyle name="Heading 1 6 5" xfId="3119"/>
    <cellStyle name="Heading 1 6 5 2" xfId="19554"/>
    <cellStyle name="Heading 1 6 5 3" xfId="19553"/>
    <cellStyle name="Heading 1 6 6" xfId="3490"/>
    <cellStyle name="Heading 1 6 6 2" xfId="19556"/>
    <cellStyle name="Heading 1 6 6 3" xfId="19555"/>
    <cellStyle name="Heading 1 6 7" xfId="3796"/>
    <cellStyle name="Heading 1 6 7 2" xfId="19558"/>
    <cellStyle name="Heading 1 6 7 3" xfId="19557"/>
    <cellStyle name="Heading 1 6 8" xfId="19559"/>
    <cellStyle name="Heading 1 6 8 2" xfId="19560"/>
    <cellStyle name="Heading 1 6 9" xfId="19561"/>
    <cellStyle name="Heading 1 7" xfId="477"/>
    <cellStyle name="Heading 1 7 2" xfId="19563"/>
    <cellStyle name="Heading 1 7 3" xfId="19562"/>
    <cellStyle name="Heading 1 8" xfId="607"/>
    <cellStyle name="Heading 1 8 2" xfId="19565"/>
    <cellStyle name="Heading 1 8 3" xfId="19564"/>
    <cellStyle name="Heading 1 9" xfId="608"/>
    <cellStyle name="Heading 1 9 2" xfId="19567"/>
    <cellStyle name="Heading 1 9 3" xfId="19566"/>
    <cellStyle name="Heading 2 10" xfId="760"/>
    <cellStyle name="Heading 2 10 2" xfId="19570"/>
    <cellStyle name="Heading 2 10 3" xfId="19569"/>
    <cellStyle name="Heading 2 11" xfId="761"/>
    <cellStyle name="Heading 2 11 2" xfId="19572"/>
    <cellStyle name="Heading 2 11 3" xfId="19571"/>
    <cellStyle name="Heading 2 12" xfId="888"/>
    <cellStyle name="Heading 2 12 2" xfId="19573"/>
    <cellStyle name="Heading 2 13" xfId="889"/>
    <cellStyle name="Heading 2 13 2" xfId="19568"/>
    <cellStyle name="Heading 2 14" xfId="981"/>
    <cellStyle name="Heading 2 2" xfId="99"/>
    <cellStyle name="Heading 2 2 10" xfId="1697"/>
    <cellStyle name="Heading 2 2 10 2" xfId="19576"/>
    <cellStyle name="Heading 2 2 10 3" xfId="19575"/>
    <cellStyle name="Heading 2 2 11" xfId="2032"/>
    <cellStyle name="Heading 2 2 11 2" xfId="19578"/>
    <cellStyle name="Heading 2 2 11 3" xfId="19577"/>
    <cellStyle name="Heading 2 2 12" xfId="2406"/>
    <cellStyle name="Heading 2 2 12 2" xfId="19580"/>
    <cellStyle name="Heading 2 2 12 3" xfId="19579"/>
    <cellStyle name="Heading 2 2 13" xfId="2779"/>
    <cellStyle name="Heading 2 2 13 2" xfId="19582"/>
    <cellStyle name="Heading 2 2 13 3" xfId="19581"/>
    <cellStyle name="Heading 2 2 14" xfId="3153"/>
    <cellStyle name="Heading 2 2 14 2" xfId="19584"/>
    <cellStyle name="Heading 2 2 14 3" xfId="19583"/>
    <cellStyle name="Heading 2 2 15" xfId="3524"/>
    <cellStyle name="Heading 2 2 15 2" xfId="19586"/>
    <cellStyle name="Heading 2 2 15 3" xfId="19585"/>
    <cellStyle name="Heading 2 2 16" xfId="3662"/>
    <cellStyle name="Heading 2 2 16 2" xfId="19588"/>
    <cellStyle name="Heading 2 2 16 3" xfId="19587"/>
    <cellStyle name="Heading 2 2 17" xfId="19589"/>
    <cellStyle name="Heading 2 2 17 2" xfId="19590"/>
    <cellStyle name="Heading 2 2 18" xfId="19591"/>
    <cellStyle name="Heading 2 2 19" xfId="19574"/>
    <cellStyle name="Heading 2 2 2" xfId="143"/>
    <cellStyle name="Heading 2 2 2 2" xfId="155"/>
    <cellStyle name="Heading 2 2 2 2 2" xfId="19594"/>
    <cellStyle name="Heading 2 2 2 2 3" xfId="19593"/>
    <cellStyle name="Heading 2 2 2 3" xfId="319"/>
    <cellStyle name="Heading 2 2 2 3 2" xfId="19596"/>
    <cellStyle name="Heading 2 2 2 3 3" xfId="19595"/>
    <cellStyle name="Heading 2 2 2 4" xfId="2142"/>
    <cellStyle name="Heading 2 2 2 4 2" xfId="19598"/>
    <cellStyle name="Heading 2 2 2 4 3" xfId="19597"/>
    <cellStyle name="Heading 2 2 2 5" xfId="2516"/>
    <cellStyle name="Heading 2 2 2 5 2" xfId="19600"/>
    <cellStyle name="Heading 2 2 2 5 3" xfId="19599"/>
    <cellStyle name="Heading 2 2 2 6" xfId="2888"/>
    <cellStyle name="Heading 2 2 2 6 2" xfId="19602"/>
    <cellStyle name="Heading 2 2 2 6 3" xfId="19601"/>
    <cellStyle name="Heading 2 2 2 7" xfId="3259"/>
    <cellStyle name="Heading 2 2 2 7 2" xfId="19604"/>
    <cellStyle name="Heading 2 2 2 7 3" xfId="19603"/>
    <cellStyle name="Heading 2 2 2 8" xfId="19605"/>
    <cellStyle name="Heading 2 2 2 9" xfId="19592"/>
    <cellStyle name="Heading 2 2 20" xfId="24496"/>
    <cellStyle name="Heading 2 2 3" xfId="308"/>
    <cellStyle name="Heading 2 2 3 2" xfId="1318"/>
    <cellStyle name="Heading 2 2 3 2 2" xfId="19607"/>
    <cellStyle name="Heading 2 2 3 3" xfId="19606"/>
    <cellStyle name="Heading 2 2 4" xfId="478"/>
    <cellStyle name="Heading 2 2 4 2" xfId="19609"/>
    <cellStyle name="Heading 2 2 4 3" xfId="19608"/>
    <cellStyle name="Heading 2 2 5" xfId="609"/>
    <cellStyle name="Heading 2 2 5 2" xfId="19611"/>
    <cellStyle name="Heading 2 2 5 3" xfId="19610"/>
    <cellStyle name="Heading 2 2 6" xfId="762"/>
    <cellStyle name="Heading 2 2 6 2" xfId="19613"/>
    <cellStyle name="Heading 2 2 6 3" xfId="19612"/>
    <cellStyle name="Heading 2 2 7" xfId="763"/>
    <cellStyle name="Heading 2 2 7 2" xfId="19615"/>
    <cellStyle name="Heading 2 2 7 3" xfId="19614"/>
    <cellStyle name="Heading 2 2 8" xfId="890"/>
    <cellStyle name="Heading 2 2 8 2" xfId="1426"/>
    <cellStyle name="Heading 2 2 8 2 2" xfId="19617"/>
    <cellStyle name="Heading 2 2 8 3" xfId="19616"/>
    <cellStyle name="Heading 2 2 9" xfId="982"/>
    <cellStyle name="Heading 2 2 9 2" xfId="1551"/>
    <cellStyle name="Heading 2 2 9 2 2" xfId="19619"/>
    <cellStyle name="Heading 2 2 9 3" xfId="19618"/>
    <cellStyle name="Heading 2 3" xfId="196"/>
    <cellStyle name="Heading 2 3 10" xfId="3705"/>
    <cellStyle name="Heading 2 3 10 2" xfId="19622"/>
    <cellStyle name="Heading 2 3 10 3" xfId="19621"/>
    <cellStyle name="Heading 2 3 11" xfId="19623"/>
    <cellStyle name="Heading 2 3 11 2" xfId="19624"/>
    <cellStyle name="Heading 2 3 12" xfId="19625"/>
    <cellStyle name="Heading 2 3 13" xfId="19620"/>
    <cellStyle name="Heading 2 3 2" xfId="1478"/>
    <cellStyle name="Heading 2 3 2 2" xfId="1807"/>
    <cellStyle name="Heading 2 3 2 2 2" xfId="19628"/>
    <cellStyle name="Heading 2 3 2 2 3" xfId="19627"/>
    <cellStyle name="Heading 2 3 2 3" xfId="2182"/>
    <cellStyle name="Heading 2 3 2 3 2" xfId="19630"/>
    <cellStyle name="Heading 2 3 2 3 3" xfId="19629"/>
    <cellStyle name="Heading 2 3 2 4" xfId="2556"/>
    <cellStyle name="Heading 2 3 2 4 2" xfId="19632"/>
    <cellStyle name="Heading 2 3 2 4 3" xfId="19631"/>
    <cellStyle name="Heading 2 3 2 5" xfId="2928"/>
    <cellStyle name="Heading 2 3 2 5 2" xfId="19634"/>
    <cellStyle name="Heading 2 3 2 5 3" xfId="19633"/>
    <cellStyle name="Heading 2 3 2 6" xfId="3300"/>
    <cellStyle name="Heading 2 3 2 6 2" xfId="19636"/>
    <cellStyle name="Heading 2 3 2 6 3" xfId="19635"/>
    <cellStyle name="Heading 2 3 2 7" xfId="19637"/>
    <cellStyle name="Heading 2 3 2 8" xfId="19626"/>
    <cellStyle name="Heading 2 3 3" xfId="1605"/>
    <cellStyle name="Heading 2 3 3 2" xfId="1884"/>
    <cellStyle name="Heading 2 3 3 2 2" xfId="19640"/>
    <cellStyle name="Heading 2 3 3 2 3" xfId="19639"/>
    <cellStyle name="Heading 2 3 3 3" xfId="2259"/>
    <cellStyle name="Heading 2 3 3 3 2" xfId="19642"/>
    <cellStyle name="Heading 2 3 3 3 3" xfId="19641"/>
    <cellStyle name="Heading 2 3 3 4" xfId="2632"/>
    <cellStyle name="Heading 2 3 3 4 2" xfId="19644"/>
    <cellStyle name="Heading 2 3 3 4 3" xfId="19643"/>
    <cellStyle name="Heading 2 3 3 5" xfId="3005"/>
    <cellStyle name="Heading 2 3 3 5 2" xfId="19646"/>
    <cellStyle name="Heading 2 3 3 5 3" xfId="19645"/>
    <cellStyle name="Heading 2 3 3 6" xfId="3376"/>
    <cellStyle name="Heading 2 3 3 6 2" xfId="19648"/>
    <cellStyle name="Heading 2 3 3 6 3" xfId="19647"/>
    <cellStyle name="Heading 2 3 3 7" xfId="19649"/>
    <cellStyle name="Heading 2 3 3 8" xfId="19638"/>
    <cellStyle name="Heading 2 3 4" xfId="1744"/>
    <cellStyle name="Heading 2 3 4 2" xfId="1928"/>
    <cellStyle name="Heading 2 3 4 2 2" xfId="19652"/>
    <cellStyle name="Heading 2 3 4 2 3" xfId="19651"/>
    <cellStyle name="Heading 2 3 4 3" xfId="2303"/>
    <cellStyle name="Heading 2 3 4 3 2" xfId="19654"/>
    <cellStyle name="Heading 2 3 4 3 3" xfId="19653"/>
    <cellStyle name="Heading 2 3 4 4" xfId="2676"/>
    <cellStyle name="Heading 2 3 4 4 2" xfId="19656"/>
    <cellStyle name="Heading 2 3 4 4 3" xfId="19655"/>
    <cellStyle name="Heading 2 3 4 5" xfId="3049"/>
    <cellStyle name="Heading 2 3 4 5 2" xfId="19658"/>
    <cellStyle name="Heading 2 3 4 5 3" xfId="19657"/>
    <cellStyle name="Heading 2 3 4 6" xfId="3420"/>
    <cellStyle name="Heading 2 3 4 6 2" xfId="19660"/>
    <cellStyle name="Heading 2 3 4 6 3" xfId="19659"/>
    <cellStyle name="Heading 2 3 4 7" xfId="19661"/>
    <cellStyle name="Heading 2 3 4 8" xfId="19650"/>
    <cellStyle name="Heading 2 3 5" xfId="2079"/>
    <cellStyle name="Heading 2 3 5 2" xfId="19663"/>
    <cellStyle name="Heading 2 3 5 3" xfId="19662"/>
    <cellStyle name="Heading 2 3 6" xfId="2453"/>
    <cellStyle name="Heading 2 3 6 2" xfId="19665"/>
    <cellStyle name="Heading 2 3 6 3" xfId="19664"/>
    <cellStyle name="Heading 2 3 7" xfId="2825"/>
    <cellStyle name="Heading 2 3 7 2" xfId="19667"/>
    <cellStyle name="Heading 2 3 7 3" xfId="19666"/>
    <cellStyle name="Heading 2 3 8" xfId="3196"/>
    <cellStyle name="Heading 2 3 8 2" xfId="19669"/>
    <cellStyle name="Heading 2 3 8 3" xfId="19668"/>
    <cellStyle name="Heading 2 3 9" xfId="3569"/>
    <cellStyle name="Heading 2 3 9 2" xfId="19671"/>
    <cellStyle name="Heading 2 3 9 3" xfId="19670"/>
    <cellStyle name="Heading 2 4" xfId="265"/>
    <cellStyle name="Heading 2 4 10" xfId="3749"/>
    <cellStyle name="Heading 2 4 10 2" xfId="19674"/>
    <cellStyle name="Heading 2 4 10 3" xfId="19673"/>
    <cellStyle name="Heading 2 4 11" xfId="1278"/>
    <cellStyle name="Heading 2 4 11 2" xfId="19676"/>
    <cellStyle name="Heading 2 4 11 3" xfId="19675"/>
    <cellStyle name="Heading 2 4 12" xfId="19677"/>
    <cellStyle name="Heading 2 4 13" xfId="19672"/>
    <cellStyle name="Heading 2 4 2" xfId="1523"/>
    <cellStyle name="Heading 2 4 2 2" xfId="19679"/>
    <cellStyle name="Heading 2 4 2 3" xfId="19678"/>
    <cellStyle name="Heading 2 4 3" xfId="1648"/>
    <cellStyle name="Heading 2 4 3 2" xfId="19681"/>
    <cellStyle name="Heading 2 4 3 3" xfId="19680"/>
    <cellStyle name="Heading 2 4 4" xfId="1778"/>
    <cellStyle name="Heading 2 4 4 2" xfId="19683"/>
    <cellStyle name="Heading 2 4 4 3" xfId="19682"/>
    <cellStyle name="Heading 2 4 5" xfId="2113"/>
    <cellStyle name="Heading 2 4 5 2" xfId="19685"/>
    <cellStyle name="Heading 2 4 5 3" xfId="19684"/>
    <cellStyle name="Heading 2 4 6" xfId="2487"/>
    <cellStyle name="Heading 2 4 6 2" xfId="19687"/>
    <cellStyle name="Heading 2 4 6 3" xfId="19686"/>
    <cellStyle name="Heading 2 4 7" xfId="2859"/>
    <cellStyle name="Heading 2 4 7 2" xfId="19689"/>
    <cellStyle name="Heading 2 4 7 3" xfId="19688"/>
    <cellStyle name="Heading 2 4 8" xfId="3230"/>
    <cellStyle name="Heading 2 4 8 2" xfId="19691"/>
    <cellStyle name="Heading 2 4 8 3" xfId="19690"/>
    <cellStyle name="Heading 2 4 9" xfId="3612"/>
    <cellStyle name="Heading 2 4 9 2" xfId="19693"/>
    <cellStyle name="Heading 2 4 9 3" xfId="19692"/>
    <cellStyle name="Heading 2 5" xfId="479"/>
    <cellStyle name="Heading 2 5 2" xfId="1851"/>
    <cellStyle name="Heading 2 5 2 2" xfId="19696"/>
    <cellStyle name="Heading 2 5 2 3" xfId="19695"/>
    <cellStyle name="Heading 2 5 3" xfId="2226"/>
    <cellStyle name="Heading 2 5 3 2" xfId="19698"/>
    <cellStyle name="Heading 2 5 3 3" xfId="19697"/>
    <cellStyle name="Heading 2 5 4" xfId="2600"/>
    <cellStyle name="Heading 2 5 4 2" xfId="19700"/>
    <cellStyle name="Heading 2 5 4 3" xfId="19699"/>
    <cellStyle name="Heading 2 5 5" xfId="2972"/>
    <cellStyle name="Heading 2 5 5 2" xfId="19702"/>
    <cellStyle name="Heading 2 5 5 3" xfId="19701"/>
    <cellStyle name="Heading 2 5 6" xfId="3344"/>
    <cellStyle name="Heading 2 5 6 2" xfId="19704"/>
    <cellStyle name="Heading 2 5 6 3" xfId="19703"/>
    <cellStyle name="Heading 2 5 7" xfId="19705"/>
    <cellStyle name="Heading 2 5 7 2" xfId="19706"/>
    <cellStyle name="Heading 2 5 8" xfId="19707"/>
    <cellStyle name="Heading 2 5 9" xfId="19694"/>
    <cellStyle name="Heading 2 6" xfId="480"/>
    <cellStyle name="Heading 2 6 10" xfId="19708"/>
    <cellStyle name="Heading 2 6 2" xfId="1999"/>
    <cellStyle name="Heading 2 6 2 2" xfId="19710"/>
    <cellStyle name="Heading 2 6 2 3" xfId="19709"/>
    <cellStyle name="Heading 2 6 3" xfId="2374"/>
    <cellStyle name="Heading 2 6 3 2" xfId="19712"/>
    <cellStyle name="Heading 2 6 3 3" xfId="19711"/>
    <cellStyle name="Heading 2 6 4" xfId="2747"/>
    <cellStyle name="Heading 2 6 4 2" xfId="19714"/>
    <cellStyle name="Heading 2 6 4 3" xfId="19713"/>
    <cellStyle name="Heading 2 6 5" xfId="3120"/>
    <cellStyle name="Heading 2 6 5 2" xfId="19716"/>
    <cellStyle name="Heading 2 6 5 3" xfId="19715"/>
    <cellStyle name="Heading 2 6 6" xfId="3491"/>
    <cellStyle name="Heading 2 6 6 2" xfId="19718"/>
    <cellStyle name="Heading 2 6 6 3" xfId="19717"/>
    <cellStyle name="Heading 2 6 7" xfId="3797"/>
    <cellStyle name="Heading 2 6 7 2" xfId="19720"/>
    <cellStyle name="Heading 2 6 7 3" xfId="19719"/>
    <cellStyle name="Heading 2 6 8" xfId="19721"/>
    <cellStyle name="Heading 2 6 8 2" xfId="19722"/>
    <cellStyle name="Heading 2 6 9" xfId="19723"/>
    <cellStyle name="Heading 2 7" xfId="481"/>
    <cellStyle name="Heading 2 7 2" xfId="19725"/>
    <cellStyle name="Heading 2 7 3" xfId="19724"/>
    <cellStyle name="Heading 2 8" xfId="610"/>
    <cellStyle name="Heading 2 8 2" xfId="19727"/>
    <cellStyle name="Heading 2 8 3" xfId="19726"/>
    <cellStyle name="Heading 2 9" xfId="611"/>
    <cellStyle name="Heading 2 9 2" xfId="19729"/>
    <cellStyle name="Heading 2 9 3" xfId="19728"/>
    <cellStyle name="Heading 3 10" xfId="764"/>
    <cellStyle name="Heading 3 10 2" xfId="19732"/>
    <cellStyle name="Heading 3 10 3" xfId="19731"/>
    <cellStyle name="Heading 3 11" xfId="765"/>
    <cellStyle name="Heading 3 11 2" xfId="19734"/>
    <cellStyle name="Heading 3 11 3" xfId="19733"/>
    <cellStyle name="Heading 3 12" xfId="891"/>
    <cellStyle name="Heading 3 12 2" xfId="19735"/>
    <cellStyle name="Heading 3 13" xfId="892"/>
    <cellStyle name="Heading 3 13 2" xfId="19730"/>
    <cellStyle name="Heading 3 14" xfId="983"/>
    <cellStyle name="Heading 3 2" xfId="100"/>
    <cellStyle name="Heading 3 2 10" xfId="1698"/>
    <cellStyle name="Heading 3 2 10 2" xfId="19738"/>
    <cellStyle name="Heading 3 2 10 3" xfId="19737"/>
    <cellStyle name="Heading 3 2 11" xfId="2033"/>
    <cellStyle name="Heading 3 2 11 2" xfId="19740"/>
    <cellStyle name="Heading 3 2 11 3" xfId="19739"/>
    <cellStyle name="Heading 3 2 12" xfId="2407"/>
    <cellStyle name="Heading 3 2 12 2" xfId="19742"/>
    <cellStyle name="Heading 3 2 12 3" xfId="19741"/>
    <cellStyle name="Heading 3 2 13" xfId="2780"/>
    <cellStyle name="Heading 3 2 13 2" xfId="19744"/>
    <cellStyle name="Heading 3 2 13 3" xfId="19743"/>
    <cellStyle name="Heading 3 2 14" xfId="3154"/>
    <cellStyle name="Heading 3 2 14 2" xfId="19746"/>
    <cellStyle name="Heading 3 2 14 3" xfId="19745"/>
    <cellStyle name="Heading 3 2 15" xfId="3525"/>
    <cellStyle name="Heading 3 2 15 2" xfId="19748"/>
    <cellStyle name="Heading 3 2 15 3" xfId="19747"/>
    <cellStyle name="Heading 3 2 16" xfId="3663"/>
    <cellStyle name="Heading 3 2 16 2" xfId="19750"/>
    <cellStyle name="Heading 3 2 16 3" xfId="19749"/>
    <cellStyle name="Heading 3 2 17" xfId="19751"/>
    <cellStyle name="Heading 3 2 17 2" xfId="19752"/>
    <cellStyle name="Heading 3 2 18" xfId="19753"/>
    <cellStyle name="Heading 3 2 19" xfId="19736"/>
    <cellStyle name="Heading 3 2 2" xfId="144"/>
    <cellStyle name="Heading 3 2 2 2" xfId="156"/>
    <cellStyle name="Heading 3 2 2 2 2" xfId="19756"/>
    <cellStyle name="Heading 3 2 2 2 3" xfId="19755"/>
    <cellStyle name="Heading 3 2 2 3" xfId="320"/>
    <cellStyle name="Heading 3 2 2 3 2" xfId="19758"/>
    <cellStyle name="Heading 3 2 2 3 3" xfId="19757"/>
    <cellStyle name="Heading 3 2 2 4" xfId="2143"/>
    <cellStyle name="Heading 3 2 2 4 2" xfId="19760"/>
    <cellStyle name="Heading 3 2 2 4 3" xfId="19759"/>
    <cellStyle name="Heading 3 2 2 5" xfId="2517"/>
    <cellStyle name="Heading 3 2 2 5 2" xfId="19762"/>
    <cellStyle name="Heading 3 2 2 5 3" xfId="19761"/>
    <cellStyle name="Heading 3 2 2 6" xfId="2889"/>
    <cellStyle name="Heading 3 2 2 6 2" xfId="19764"/>
    <cellStyle name="Heading 3 2 2 6 3" xfId="19763"/>
    <cellStyle name="Heading 3 2 2 7" xfId="3260"/>
    <cellStyle name="Heading 3 2 2 7 2" xfId="19766"/>
    <cellStyle name="Heading 3 2 2 7 3" xfId="19765"/>
    <cellStyle name="Heading 3 2 2 8" xfId="19767"/>
    <cellStyle name="Heading 3 2 2 9" xfId="19754"/>
    <cellStyle name="Heading 3 2 20" xfId="24497"/>
    <cellStyle name="Heading 3 2 3" xfId="309"/>
    <cellStyle name="Heading 3 2 3 2" xfId="1319"/>
    <cellStyle name="Heading 3 2 3 2 2" xfId="19769"/>
    <cellStyle name="Heading 3 2 3 3" xfId="19768"/>
    <cellStyle name="Heading 3 2 4" xfId="482"/>
    <cellStyle name="Heading 3 2 4 2" xfId="19771"/>
    <cellStyle name="Heading 3 2 4 3" xfId="19770"/>
    <cellStyle name="Heading 3 2 5" xfId="612"/>
    <cellStyle name="Heading 3 2 5 2" xfId="19773"/>
    <cellStyle name="Heading 3 2 5 3" xfId="19772"/>
    <cellStyle name="Heading 3 2 6" xfId="766"/>
    <cellStyle name="Heading 3 2 6 2" xfId="19775"/>
    <cellStyle name="Heading 3 2 6 3" xfId="19774"/>
    <cellStyle name="Heading 3 2 7" xfId="767"/>
    <cellStyle name="Heading 3 2 7 2" xfId="19777"/>
    <cellStyle name="Heading 3 2 7 3" xfId="19776"/>
    <cellStyle name="Heading 3 2 8" xfId="893"/>
    <cellStyle name="Heading 3 2 8 2" xfId="1427"/>
    <cellStyle name="Heading 3 2 8 2 2" xfId="19779"/>
    <cellStyle name="Heading 3 2 8 3" xfId="19778"/>
    <cellStyle name="Heading 3 2 9" xfId="984"/>
    <cellStyle name="Heading 3 2 9 2" xfId="1550"/>
    <cellStyle name="Heading 3 2 9 2 2" xfId="19781"/>
    <cellStyle name="Heading 3 2 9 3" xfId="19780"/>
    <cellStyle name="Heading 3 3" xfId="197"/>
    <cellStyle name="Heading 3 3 10" xfId="3706"/>
    <cellStyle name="Heading 3 3 10 2" xfId="19784"/>
    <cellStyle name="Heading 3 3 10 3" xfId="19783"/>
    <cellStyle name="Heading 3 3 11" xfId="19785"/>
    <cellStyle name="Heading 3 3 11 2" xfId="19786"/>
    <cellStyle name="Heading 3 3 12" xfId="19787"/>
    <cellStyle name="Heading 3 3 13" xfId="19782"/>
    <cellStyle name="Heading 3 3 2" xfId="1479"/>
    <cellStyle name="Heading 3 3 2 2" xfId="1808"/>
    <cellStyle name="Heading 3 3 2 2 2" xfId="19790"/>
    <cellStyle name="Heading 3 3 2 2 3" xfId="19789"/>
    <cellStyle name="Heading 3 3 2 3" xfId="2183"/>
    <cellStyle name="Heading 3 3 2 3 2" xfId="19792"/>
    <cellStyle name="Heading 3 3 2 3 3" xfId="19791"/>
    <cellStyle name="Heading 3 3 2 4" xfId="2557"/>
    <cellStyle name="Heading 3 3 2 4 2" xfId="19794"/>
    <cellStyle name="Heading 3 3 2 4 3" xfId="19793"/>
    <cellStyle name="Heading 3 3 2 5" xfId="2929"/>
    <cellStyle name="Heading 3 3 2 5 2" xfId="19796"/>
    <cellStyle name="Heading 3 3 2 5 3" xfId="19795"/>
    <cellStyle name="Heading 3 3 2 6" xfId="3301"/>
    <cellStyle name="Heading 3 3 2 6 2" xfId="19798"/>
    <cellStyle name="Heading 3 3 2 6 3" xfId="19797"/>
    <cellStyle name="Heading 3 3 2 7" xfId="19799"/>
    <cellStyle name="Heading 3 3 2 8" xfId="19788"/>
    <cellStyle name="Heading 3 3 3" xfId="1606"/>
    <cellStyle name="Heading 3 3 3 2" xfId="1885"/>
    <cellStyle name="Heading 3 3 3 2 2" xfId="19802"/>
    <cellStyle name="Heading 3 3 3 2 3" xfId="19801"/>
    <cellStyle name="Heading 3 3 3 3" xfId="2260"/>
    <cellStyle name="Heading 3 3 3 3 2" xfId="19804"/>
    <cellStyle name="Heading 3 3 3 3 3" xfId="19803"/>
    <cellStyle name="Heading 3 3 3 4" xfId="2633"/>
    <cellStyle name="Heading 3 3 3 4 2" xfId="19806"/>
    <cellStyle name="Heading 3 3 3 4 3" xfId="19805"/>
    <cellStyle name="Heading 3 3 3 5" xfId="3006"/>
    <cellStyle name="Heading 3 3 3 5 2" xfId="19808"/>
    <cellStyle name="Heading 3 3 3 5 3" xfId="19807"/>
    <cellStyle name="Heading 3 3 3 6" xfId="3377"/>
    <cellStyle name="Heading 3 3 3 6 2" xfId="19810"/>
    <cellStyle name="Heading 3 3 3 6 3" xfId="19809"/>
    <cellStyle name="Heading 3 3 3 7" xfId="19811"/>
    <cellStyle name="Heading 3 3 3 8" xfId="19800"/>
    <cellStyle name="Heading 3 3 4" xfId="1745"/>
    <cellStyle name="Heading 3 3 4 2" xfId="1929"/>
    <cellStyle name="Heading 3 3 4 2 2" xfId="19814"/>
    <cellStyle name="Heading 3 3 4 2 3" xfId="19813"/>
    <cellStyle name="Heading 3 3 4 3" xfId="2304"/>
    <cellStyle name="Heading 3 3 4 3 2" xfId="19816"/>
    <cellStyle name="Heading 3 3 4 3 3" xfId="19815"/>
    <cellStyle name="Heading 3 3 4 4" xfId="2677"/>
    <cellStyle name="Heading 3 3 4 4 2" xfId="19818"/>
    <cellStyle name="Heading 3 3 4 4 3" xfId="19817"/>
    <cellStyle name="Heading 3 3 4 5" xfId="3050"/>
    <cellStyle name="Heading 3 3 4 5 2" xfId="19820"/>
    <cellStyle name="Heading 3 3 4 5 3" xfId="19819"/>
    <cellStyle name="Heading 3 3 4 6" xfId="3421"/>
    <cellStyle name="Heading 3 3 4 6 2" xfId="19822"/>
    <cellStyle name="Heading 3 3 4 6 3" xfId="19821"/>
    <cellStyle name="Heading 3 3 4 7" xfId="19823"/>
    <cellStyle name="Heading 3 3 4 8" xfId="19812"/>
    <cellStyle name="Heading 3 3 5" xfId="2080"/>
    <cellStyle name="Heading 3 3 5 2" xfId="19825"/>
    <cellStyle name="Heading 3 3 5 3" xfId="19824"/>
    <cellStyle name="Heading 3 3 6" xfId="2454"/>
    <cellStyle name="Heading 3 3 6 2" xfId="19827"/>
    <cellStyle name="Heading 3 3 6 3" xfId="19826"/>
    <cellStyle name="Heading 3 3 7" xfId="2826"/>
    <cellStyle name="Heading 3 3 7 2" xfId="19829"/>
    <cellStyle name="Heading 3 3 7 3" xfId="19828"/>
    <cellStyle name="Heading 3 3 8" xfId="3197"/>
    <cellStyle name="Heading 3 3 8 2" xfId="19831"/>
    <cellStyle name="Heading 3 3 8 3" xfId="19830"/>
    <cellStyle name="Heading 3 3 9" xfId="3570"/>
    <cellStyle name="Heading 3 3 9 2" xfId="19833"/>
    <cellStyle name="Heading 3 3 9 3" xfId="19832"/>
    <cellStyle name="Heading 3 4" xfId="266"/>
    <cellStyle name="Heading 3 4 10" xfId="3750"/>
    <cellStyle name="Heading 3 4 10 2" xfId="19836"/>
    <cellStyle name="Heading 3 4 10 3" xfId="19835"/>
    <cellStyle name="Heading 3 4 11" xfId="1279"/>
    <cellStyle name="Heading 3 4 11 2" xfId="19838"/>
    <cellStyle name="Heading 3 4 11 3" xfId="19837"/>
    <cellStyle name="Heading 3 4 12" xfId="19839"/>
    <cellStyle name="Heading 3 4 13" xfId="19834"/>
    <cellStyle name="Heading 3 4 2" xfId="1524"/>
    <cellStyle name="Heading 3 4 2 2" xfId="19841"/>
    <cellStyle name="Heading 3 4 2 3" xfId="19840"/>
    <cellStyle name="Heading 3 4 3" xfId="1649"/>
    <cellStyle name="Heading 3 4 3 2" xfId="19843"/>
    <cellStyle name="Heading 3 4 3 3" xfId="19842"/>
    <cellStyle name="Heading 3 4 4" xfId="1777"/>
    <cellStyle name="Heading 3 4 4 2" xfId="19845"/>
    <cellStyle name="Heading 3 4 4 3" xfId="19844"/>
    <cellStyle name="Heading 3 4 5" xfId="2112"/>
    <cellStyle name="Heading 3 4 5 2" xfId="19847"/>
    <cellStyle name="Heading 3 4 5 3" xfId="19846"/>
    <cellStyle name="Heading 3 4 6" xfId="2486"/>
    <cellStyle name="Heading 3 4 6 2" xfId="19849"/>
    <cellStyle name="Heading 3 4 6 3" xfId="19848"/>
    <cellStyle name="Heading 3 4 7" xfId="2858"/>
    <cellStyle name="Heading 3 4 7 2" xfId="19851"/>
    <cellStyle name="Heading 3 4 7 3" xfId="19850"/>
    <cellStyle name="Heading 3 4 8" xfId="3229"/>
    <cellStyle name="Heading 3 4 8 2" xfId="19853"/>
    <cellStyle name="Heading 3 4 8 3" xfId="19852"/>
    <cellStyle name="Heading 3 4 9" xfId="3613"/>
    <cellStyle name="Heading 3 4 9 2" xfId="19855"/>
    <cellStyle name="Heading 3 4 9 3" xfId="19854"/>
    <cellStyle name="Heading 3 5" xfId="483"/>
    <cellStyle name="Heading 3 5 2" xfId="1879"/>
    <cellStyle name="Heading 3 5 2 2" xfId="19858"/>
    <cellStyle name="Heading 3 5 2 3" xfId="19857"/>
    <cellStyle name="Heading 3 5 3" xfId="2254"/>
    <cellStyle name="Heading 3 5 3 2" xfId="19860"/>
    <cellStyle name="Heading 3 5 3 3" xfId="19859"/>
    <cellStyle name="Heading 3 5 4" xfId="2627"/>
    <cellStyle name="Heading 3 5 4 2" xfId="19862"/>
    <cellStyle name="Heading 3 5 4 3" xfId="19861"/>
    <cellStyle name="Heading 3 5 5" xfId="3000"/>
    <cellStyle name="Heading 3 5 5 2" xfId="19864"/>
    <cellStyle name="Heading 3 5 5 3" xfId="19863"/>
    <cellStyle name="Heading 3 5 6" xfId="3371"/>
    <cellStyle name="Heading 3 5 6 2" xfId="19866"/>
    <cellStyle name="Heading 3 5 6 3" xfId="19865"/>
    <cellStyle name="Heading 3 5 7" xfId="19867"/>
    <cellStyle name="Heading 3 5 7 2" xfId="19868"/>
    <cellStyle name="Heading 3 5 8" xfId="19869"/>
    <cellStyle name="Heading 3 5 9" xfId="19856"/>
    <cellStyle name="Heading 3 6" xfId="484"/>
    <cellStyle name="Heading 3 6 10" xfId="19870"/>
    <cellStyle name="Heading 3 6 2" xfId="2000"/>
    <cellStyle name="Heading 3 6 2 2" xfId="19872"/>
    <cellStyle name="Heading 3 6 2 3" xfId="19871"/>
    <cellStyle name="Heading 3 6 3" xfId="2375"/>
    <cellStyle name="Heading 3 6 3 2" xfId="19874"/>
    <cellStyle name="Heading 3 6 3 3" xfId="19873"/>
    <cellStyle name="Heading 3 6 4" xfId="2748"/>
    <cellStyle name="Heading 3 6 4 2" xfId="19876"/>
    <cellStyle name="Heading 3 6 4 3" xfId="19875"/>
    <cellStyle name="Heading 3 6 5" xfId="3121"/>
    <cellStyle name="Heading 3 6 5 2" xfId="19878"/>
    <cellStyle name="Heading 3 6 5 3" xfId="19877"/>
    <cellStyle name="Heading 3 6 6" xfId="3492"/>
    <cellStyle name="Heading 3 6 6 2" xfId="19880"/>
    <cellStyle name="Heading 3 6 6 3" xfId="19879"/>
    <cellStyle name="Heading 3 6 7" xfId="3798"/>
    <cellStyle name="Heading 3 6 7 2" xfId="19882"/>
    <cellStyle name="Heading 3 6 7 3" xfId="19881"/>
    <cellStyle name="Heading 3 6 8" xfId="19883"/>
    <cellStyle name="Heading 3 6 8 2" xfId="19884"/>
    <cellStyle name="Heading 3 6 9" xfId="19885"/>
    <cellStyle name="Heading 3 7" xfId="485"/>
    <cellStyle name="Heading 3 7 2" xfId="19887"/>
    <cellStyle name="Heading 3 7 3" xfId="19886"/>
    <cellStyle name="Heading 3 8" xfId="613"/>
    <cellStyle name="Heading 3 8 2" xfId="19889"/>
    <cellStyle name="Heading 3 8 3" xfId="19888"/>
    <cellStyle name="Heading 3 9" xfId="614"/>
    <cellStyle name="Heading 3 9 2" xfId="19891"/>
    <cellStyle name="Heading 3 9 3" xfId="19890"/>
    <cellStyle name="Heading 4 10" xfId="768"/>
    <cellStyle name="Heading 4 10 2" xfId="19894"/>
    <cellStyle name="Heading 4 10 3" xfId="19893"/>
    <cellStyle name="Heading 4 11" xfId="769"/>
    <cellStyle name="Heading 4 11 2" xfId="19896"/>
    <cellStyle name="Heading 4 11 3" xfId="19895"/>
    <cellStyle name="Heading 4 12" xfId="894"/>
    <cellStyle name="Heading 4 12 2" xfId="19897"/>
    <cellStyle name="Heading 4 13" xfId="895"/>
    <cellStyle name="Heading 4 13 2" xfId="19892"/>
    <cellStyle name="Heading 4 14" xfId="985"/>
    <cellStyle name="Heading 4 2" xfId="101"/>
    <cellStyle name="Heading 4 2 10" xfId="1699"/>
    <cellStyle name="Heading 4 2 10 2" xfId="19900"/>
    <cellStyle name="Heading 4 2 10 3" xfId="19899"/>
    <cellStyle name="Heading 4 2 11" xfId="2034"/>
    <cellStyle name="Heading 4 2 11 2" xfId="19902"/>
    <cellStyle name="Heading 4 2 11 3" xfId="19901"/>
    <cellStyle name="Heading 4 2 12" xfId="2408"/>
    <cellStyle name="Heading 4 2 12 2" xfId="19904"/>
    <cellStyle name="Heading 4 2 12 3" xfId="19903"/>
    <cellStyle name="Heading 4 2 13" xfId="2781"/>
    <cellStyle name="Heading 4 2 13 2" xfId="19906"/>
    <cellStyle name="Heading 4 2 13 3" xfId="19905"/>
    <cellStyle name="Heading 4 2 14" xfId="3155"/>
    <cellStyle name="Heading 4 2 14 2" xfId="19908"/>
    <cellStyle name="Heading 4 2 14 3" xfId="19907"/>
    <cellStyle name="Heading 4 2 15" xfId="3526"/>
    <cellStyle name="Heading 4 2 15 2" xfId="19910"/>
    <cellStyle name="Heading 4 2 15 3" xfId="19909"/>
    <cellStyle name="Heading 4 2 16" xfId="3664"/>
    <cellStyle name="Heading 4 2 16 2" xfId="19912"/>
    <cellStyle name="Heading 4 2 16 3" xfId="19911"/>
    <cellStyle name="Heading 4 2 17" xfId="19913"/>
    <cellStyle name="Heading 4 2 17 2" xfId="19914"/>
    <cellStyle name="Heading 4 2 18" xfId="19915"/>
    <cellStyle name="Heading 4 2 19" xfId="19898"/>
    <cellStyle name="Heading 4 2 2" xfId="145"/>
    <cellStyle name="Heading 4 2 2 2" xfId="157"/>
    <cellStyle name="Heading 4 2 2 2 2" xfId="19918"/>
    <cellStyle name="Heading 4 2 2 2 3" xfId="19917"/>
    <cellStyle name="Heading 4 2 2 3" xfId="321"/>
    <cellStyle name="Heading 4 2 2 3 2" xfId="19920"/>
    <cellStyle name="Heading 4 2 2 3 3" xfId="19919"/>
    <cellStyle name="Heading 4 2 2 4" xfId="2144"/>
    <cellStyle name="Heading 4 2 2 4 2" xfId="19922"/>
    <cellStyle name="Heading 4 2 2 4 3" xfId="19921"/>
    <cellStyle name="Heading 4 2 2 5" xfId="2518"/>
    <cellStyle name="Heading 4 2 2 5 2" xfId="19924"/>
    <cellStyle name="Heading 4 2 2 5 3" xfId="19923"/>
    <cellStyle name="Heading 4 2 2 6" xfId="2890"/>
    <cellStyle name="Heading 4 2 2 6 2" xfId="19926"/>
    <cellStyle name="Heading 4 2 2 6 3" xfId="19925"/>
    <cellStyle name="Heading 4 2 2 7" xfId="3261"/>
    <cellStyle name="Heading 4 2 2 7 2" xfId="19928"/>
    <cellStyle name="Heading 4 2 2 7 3" xfId="19927"/>
    <cellStyle name="Heading 4 2 2 8" xfId="19929"/>
    <cellStyle name="Heading 4 2 2 9" xfId="19916"/>
    <cellStyle name="Heading 4 2 20" xfId="24498"/>
    <cellStyle name="Heading 4 2 3" xfId="310"/>
    <cellStyle name="Heading 4 2 3 2" xfId="1320"/>
    <cellStyle name="Heading 4 2 3 2 2" xfId="19931"/>
    <cellStyle name="Heading 4 2 3 3" xfId="19930"/>
    <cellStyle name="Heading 4 2 4" xfId="486"/>
    <cellStyle name="Heading 4 2 4 2" xfId="19933"/>
    <cellStyle name="Heading 4 2 4 3" xfId="19932"/>
    <cellStyle name="Heading 4 2 5" xfId="615"/>
    <cellStyle name="Heading 4 2 5 2" xfId="19935"/>
    <cellStyle name="Heading 4 2 5 3" xfId="19934"/>
    <cellStyle name="Heading 4 2 6" xfId="770"/>
    <cellStyle name="Heading 4 2 6 2" xfId="19937"/>
    <cellStyle name="Heading 4 2 6 3" xfId="19936"/>
    <cellStyle name="Heading 4 2 7" xfId="771"/>
    <cellStyle name="Heading 4 2 7 2" xfId="19939"/>
    <cellStyle name="Heading 4 2 7 3" xfId="19938"/>
    <cellStyle name="Heading 4 2 8" xfId="896"/>
    <cellStyle name="Heading 4 2 8 2" xfId="1428"/>
    <cellStyle name="Heading 4 2 8 2 2" xfId="19941"/>
    <cellStyle name="Heading 4 2 8 3" xfId="19940"/>
    <cellStyle name="Heading 4 2 9" xfId="986"/>
    <cellStyle name="Heading 4 2 9 2" xfId="1549"/>
    <cellStyle name="Heading 4 2 9 2 2" xfId="19943"/>
    <cellStyle name="Heading 4 2 9 3" xfId="19942"/>
    <cellStyle name="Heading 4 3" xfId="198"/>
    <cellStyle name="Heading 4 3 10" xfId="3707"/>
    <cellStyle name="Heading 4 3 10 2" xfId="19946"/>
    <cellStyle name="Heading 4 3 10 3" xfId="19945"/>
    <cellStyle name="Heading 4 3 11" xfId="19947"/>
    <cellStyle name="Heading 4 3 11 2" xfId="19948"/>
    <cellStyle name="Heading 4 3 12" xfId="19949"/>
    <cellStyle name="Heading 4 3 13" xfId="19944"/>
    <cellStyle name="Heading 4 3 2" xfId="1480"/>
    <cellStyle name="Heading 4 3 2 2" xfId="1809"/>
    <cellStyle name="Heading 4 3 2 2 2" xfId="19952"/>
    <cellStyle name="Heading 4 3 2 2 3" xfId="19951"/>
    <cellStyle name="Heading 4 3 2 3" xfId="2184"/>
    <cellStyle name="Heading 4 3 2 3 2" xfId="19954"/>
    <cellStyle name="Heading 4 3 2 3 3" xfId="19953"/>
    <cellStyle name="Heading 4 3 2 4" xfId="2558"/>
    <cellStyle name="Heading 4 3 2 4 2" xfId="19956"/>
    <cellStyle name="Heading 4 3 2 4 3" xfId="19955"/>
    <cellStyle name="Heading 4 3 2 5" xfId="2930"/>
    <cellStyle name="Heading 4 3 2 5 2" xfId="19958"/>
    <cellStyle name="Heading 4 3 2 5 3" xfId="19957"/>
    <cellStyle name="Heading 4 3 2 6" xfId="3302"/>
    <cellStyle name="Heading 4 3 2 6 2" xfId="19960"/>
    <cellStyle name="Heading 4 3 2 6 3" xfId="19959"/>
    <cellStyle name="Heading 4 3 2 7" xfId="19961"/>
    <cellStyle name="Heading 4 3 2 8" xfId="19950"/>
    <cellStyle name="Heading 4 3 3" xfId="1607"/>
    <cellStyle name="Heading 4 3 3 2" xfId="1886"/>
    <cellStyle name="Heading 4 3 3 2 2" xfId="19964"/>
    <cellStyle name="Heading 4 3 3 2 3" xfId="19963"/>
    <cellStyle name="Heading 4 3 3 3" xfId="2261"/>
    <cellStyle name="Heading 4 3 3 3 2" xfId="19966"/>
    <cellStyle name="Heading 4 3 3 3 3" xfId="19965"/>
    <cellStyle name="Heading 4 3 3 4" xfId="2634"/>
    <cellStyle name="Heading 4 3 3 4 2" xfId="19968"/>
    <cellStyle name="Heading 4 3 3 4 3" xfId="19967"/>
    <cellStyle name="Heading 4 3 3 5" xfId="3007"/>
    <cellStyle name="Heading 4 3 3 5 2" xfId="19970"/>
    <cellStyle name="Heading 4 3 3 5 3" xfId="19969"/>
    <cellStyle name="Heading 4 3 3 6" xfId="3378"/>
    <cellStyle name="Heading 4 3 3 6 2" xfId="19972"/>
    <cellStyle name="Heading 4 3 3 6 3" xfId="19971"/>
    <cellStyle name="Heading 4 3 3 7" xfId="19973"/>
    <cellStyle name="Heading 4 3 3 8" xfId="19962"/>
    <cellStyle name="Heading 4 3 4" xfId="1746"/>
    <cellStyle name="Heading 4 3 4 2" xfId="1930"/>
    <cellStyle name="Heading 4 3 4 2 2" xfId="19976"/>
    <cellStyle name="Heading 4 3 4 2 3" xfId="19975"/>
    <cellStyle name="Heading 4 3 4 3" xfId="2305"/>
    <cellStyle name="Heading 4 3 4 3 2" xfId="19978"/>
    <cellStyle name="Heading 4 3 4 3 3" xfId="19977"/>
    <cellStyle name="Heading 4 3 4 4" xfId="2678"/>
    <cellStyle name="Heading 4 3 4 4 2" xfId="19980"/>
    <cellStyle name="Heading 4 3 4 4 3" xfId="19979"/>
    <cellStyle name="Heading 4 3 4 5" xfId="3051"/>
    <cellStyle name="Heading 4 3 4 5 2" xfId="19982"/>
    <cellStyle name="Heading 4 3 4 5 3" xfId="19981"/>
    <cellStyle name="Heading 4 3 4 6" xfId="3422"/>
    <cellStyle name="Heading 4 3 4 6 2" xfId="19984"/>
    <cellStyle name="Heading 4 3 4 6 3" xfId="19983"/>
    <cellStyle name="Heading 4 3 4 7" xfId="19985"/>
    <cellStyle name="Heading 4 3 4 8" xfId="19974"/>
    <cellStyle name="Heading 4 3 5" xfId="2081"/>
    <cellStyle name="Heading 4 3 5 2" xfId="19987"/>
    <cellStyle name="Heading 4 3 5 3" xfId="19986"/>
    <cellStyle name="Heading 4 3 6" xfId="2455"/>
    <cellStyle name="Heading 4 3 6 2" xfId="19989"/>
    <cellStyle name="Heading 4 3 6 3" xfId="19988"/>
    <cellStyle name="Heading 4 3 7" xfId="2827"/>
    <cellStyle name="Heading 4 3 7 2" xfId="19991"/>
    <cellStyle name="Heading 4 3 7 3" xfId="19990"/>
    <cellStyle name="Heading 4 3 8" xfId="3198"/>
    <cellStyle name="Heading 4 3 8 2" xfId="19993"/>
    <cellStyle name="Heading 4 3 8 3" xfId="19992"/>
    <cellStyle name="Heading 4 3 9" xfId="3571"/>
    <cellStyle name="Heading 4 3 9 2" xfId="19995"/>
    <cellStyle name="Heading 4 3 9 3" xfId="19994"/>
    <cellStyle name="Heading 4 4" xfId="267"/>
    <cellStyle name="Heading 4 4 10" xfId="3751"/>
    <cellStyle name="Heading 4 4 10 2" xfId="19998"/>
    <cellStyle name="Heading 4 4 10 3" xfId="19997"/>
    <cellStyle name="Heading 4 4 11" xfId="1280"/>
    <cellStyle name="Heading 4 4 11 2" xfId="20000"/>
    <cellStyle name="Heading 4 4 11 3" xfId="19999"/>
    <cellStyle name="Heading 4 4 12" xfId="20001"/>
    <cellStyle name="Heading 4 4 13" xfId="19996"/>
    <cellStyle name="Heading 4 4 2" xfId="1525"/>
    <cellStyle name="Heading 4 4 2 2" xfId="20003"/>
    <cellStyle name="Heading 4 4 2 3" xfId="20002"/>
    <cellStyle name="Heading 4 4 3" xfId="1650"/>
    <cellStyle name="Heading 4 4 3 2" xfId="20005"/>
    <cellStyle name="Heading 4 4 3 3" xfId="20004"/>
    <cellStyle name="Heading 4 4 4" xfId="1776"/>
    <cellStyle name="Heading 4 4 4 2" xfId="20007"/>
    <cellStyle name="Heading 4 4 4 3" xfId="20006"/>
    <cellStyle name="Heading 4 4 5" xfId="2111"/>
    <cellStyle name="Heading 4 4 5 2" xfId="20009"/>
    <cellStyle name="Heading 4 4 5 3" xfId="20008"/>
    <cellStyle name="Heading 4 4 6" xfId="2485"/>
    <cellStyle name="Heading 4 4 6 2" xfId="20011"/>
    <cellStyle name="Heading 4 4 6 3" xfId="20010"/>
    <cellStyle name="Heading 4 4 7" xfId="2857"/>
    <cellStyle name="Heading 4 4 7 2" xfId="20013"/>
    <cellStyle name="Heading 4 4 7 3" xfId="20012"/>
    <cellStyle name="Heading 4 4 8" xfId="3228"/>
    <cellStyle name="Heading 4 4 8 2" xfId="20015"/>
    <cellStyle name="Heading 4 4 8 3" xfId="20014"/>
    <cellStyle name="Heading 4 4 9" xfId="3614"/>
    <cellStyle name="Heading 4 4 9 2" xfId="20017"/>
    <cellStyle name="Heading 4 4 9 3" xfId="20016"/>
    <cellStyle name="Heading 4 5" xfId="487"/>
    <cellStyle name="Heading 4 5 2" xfId="1850"/>
    <cellStyle name="Heading 4 5 2 2" xfId="20020"/>
    <cellStyle name="Heading 4 5 2 3" xfId="20019"/>
    <cellStyle name="Heading 4 5 3" xfId="2225"/>
    <cellStyle name="Heading 4 5 3 2" xfId="20022"/>
    <cellStyle name="Heading 4 5 3 3" xfId="20021"/>
    <cellStyle name="Heading 4 5 4" xfId="2599"/>
    <cellStyle name="Heading 4 5 4 2" xfId="20024"/>
    <cellStyle name="Heading 4 5 4 3" xfId="20023"/>
    <cellStyle name="Heading 4 5 5" xfId="2971"/>
    <cellStyle name="Heading 4 5 5 2" xfId="20026"/>
    <cellStyle name="Heading 4 5 5 3" xfId="20025"/>
    <cellStyle name="Heading 4 5 6" xfId="3343"/>
    <cellStyle name="Heading 4 5 6 2" xfId="20028"/>
    <cellStyle name="Heading 4 5 6 3" xfId="20027"/>
    <cellStyle name="Heading 4 5 7" xfId="20029"/>
    <cellStyle name="Heading 4 5 7 2" xfId="20030"/>
    <cellStyle name="Heading 4 5 8" xfId="20031"/>
    <cellStyle name="Heading 4 5 9" xfId="20018"/>
    <cellStyle name="Heading 4 6" xfId="488"/>
    <cellStyle name="Heading 4 6 10" xfId="20032"/>
    <cellStyle name="Heading 4 6 2" xfId="2001"/>
    <cellStyle name="Heading 4 6 2 2" xfId="20034"/>
    <cellStyle name="Heading 4 6 2 3" xfId="20033"/>
    <cellStyle name="Heading 4 6 3" xfId="2376"/>
    <cellStyle name="Heading 4 6 3 2" xfId="20036"/>
    <cellStyle name="Heading 4 6 3 3" xfId="20035"/>
    <cellStyle name="Heading 4 6 4" xfId="2749"/>
    <cellStyle name="Heading 4 6 4 2" xfId="20038"/>
    <cellStyle name="Heading 4 6 4 3" xfId="20037"/>
    <cellStyle name="Heading 4 6 5" xfId="3122"/>
    <cellStyle name="Heading 4 6 5 2" xfId="20040"/>
    <cellStyle name="Heading 4 6 5 3" xfId="20039"/>
    <cellStyle name="Heading 4 6 6" xfId="3493"/>
    <cellStyle name="Heading 4 6 6 2" xfId="20042"/>
    <cellStyle name="Heading 4 6 6 3" xfId="20041"/>
    <cellStyle name="Heading 4 6 7" xfId="3799"/>
    <cellStyle name="Heading 4 6 7 2" xfId="20044"/>
    <cellStyle name="Heading 4 6 7 3" xfId="20043"/>
    <cellStyle name="Heading 4 6 8" xfId="20045"/>
    <cellStyle name="Heading 4 6 8 2" xfId="20046"/>
    <cellStyle name="Heading 4 6 9" xfId="20047"/>
    <cellStyle name="Heading 4 7" xfId="489"/>
    <cellStyle name="Heading 4 7 2" xfId="20049"/>
    <cellStyle name="Heading 4 7 3" xfId="20048"/>
    <cellStyle name="Heading 4 8" xfId="616"/>
    <cellStyle name="Heading 4 8 2" xfId="20051"/>
    <cellStyle name="Heading 4 8 3" xfId="20050"/>
    <cellStyle name="Heading 4 9" xfId="617"/>
    <cellStyle name="Heading 4 9 2" xfId="20053"/>
    <cellStyle name="Heading 4 9 3" xfId="20052"/>
    <cellStyle name="Hyperlink 2" xfId="146"/>
    <cellStyle name="Hyperlink 2 2" xfId="20055"/>
    <cellStyle name="Hyperlink 2 3" xfId="20054"/>
    <cellStyle name="Input 10" xfId="772"/>
    <cellStyle name="Input 10 2" xfId="20058"/>
    <cellStyle name="Input 10 3" xfId="20057"/>
    <cellStyle name="Input 11" xfId="773"/>
    <cellStyle name="Input 11 2" xfId="20060"/>
    <cellStyle name="Input 11 3" xfId="20059"/>
    <cellStyle name="Input 12" xfId="897"/>
    <cellStyle name="Input 12 2" xfId="20061"/>
    <cellStyle name="Input 13" xfId="898"/>
    <cellStyle name="Input 13 2" xfId="20056"/>
    <cellStyle name="Input 14" xfId="987"/>
    <cellStyle name="Input 2" xfId="102"/>
    <cellStyle name="Input 2 10" xfId="1700"/>
    <cellStyle name="Input 2 10 2" xfId="20064"/>
    <cellStyle name="Input 2 10 3" xfId="20063"/>
    <cellStyle name="Input 2 11" xfId="2035"/>
    <cellStyle name="Input 2 11 2" xfId="20066"/>
    <cellStyle name="Input 2 11 3" xfId="20065"/>
    <cellStyle name="Input 2 12" xfId="2409"/>
    <cellStyle name="Input 2 12 2" xfId="20068"/>
    <cellStyle name="Input 2 12 3" xfId="20067"/>
    <cellStyle name="Input 2 13" xfId="2782"/>
    <cellStyle name="Input 2 13 2" xfId="20070"/>
    <cellStyle name="Input 2 13 3" xfId="20069"/>
    <cellStyle name="Input 2 14" xfId="3156"/>
    <cellStyle name="Input 2 14 2" xfId="20072"/>
    <cellStyle name="Input 2 14 3" xfId="20071"/>
    <cellStyle name="Input 2 15" xfId="3527"/>
    <cellStyle name="Input 2 15 2" xfId="20074"/>
    <cellStyle name="Input 2 15 3" xfId="20073"/>
    <cellStyle name="Input 2 16" xfId="3665"/>
    <cellStyle name="Input 2 16 2" xfId="20076"/>
    <cellStyle name="Input 2 16 3" xfId="20075"/>
    <cellStyle name="Input 2 17" xfId="20077"/>
    <cellStyle name="Input 2 17 2" xfId="20078"/>
    <cellStyle name="Input 2 18" xfId="20079"/>
    <cellStyle name="Input 2 19" xfId="20062"/>
    <cellStyle name="Input 2 2" xfId="147"/>
    <cellStyle name="Input 2 2 10" xfId="24786"/>
    <cellStyle name="Input 2 2 2" xfId="161"/>
    <cellStyle name="Input 2 2 2 2" xfId="20082"/>
    <cellStyle name="Input 2 2 2 3" xfId="20081"/>
    <cellStyle name="Input 2 2 3" xfId="325"/>
    <cellStyle name="Input 2 2 3 2" xfId="20084"/>
    <cellStyle name="Input 2 2 3 3" xfId="20083"/>
    <cellStyle name="Input 2 2 4" xfId="2148"/>
    <cellStyle name="Input 2 2 4 2" xfId="20086"/>
    <cellStyle name="Input 2 2 4 3" xfId="20085"/>
    <cellStyle name="Input 2 2 5" xfId="2522"/>
    <cellStyle name="Input 2 2 5 2" xfId="20088"/>
    <cellStyle name="Input 2 2 5 3" xfId="20087"/>
    <cellStyle name="Input 2 2 6" xfId="2894"/>
    <cellStyle name="Input 2 2 6 2" xfId="20090"/>
    <cellStyle name="Input 2 2 6 3" xfId="20089"/>
    <cellStyle name="Input 2 2 7" xfId="3265"/>
    <cellStyle name="Input 2 2 7 2" xfId="20092"/>
    <cellStyle name="Input 2 2 7 3" xfId="20091"/>
    <cellStyle name="Input 2 2 8" xfId="20093"/>
    <cellStyle name="Input 2 2 9" xfId="20080"/>
    <cellStyle name="Input 2 20" xfId="24499"/>
    <cellStyle name="Input 2 3" xfId="311"/>
    <cellStyle name="Input 2 3 2" xfId="1324"/>
    <cellStyle name="Input 2 3 2 2" xfId="20095"/>
    <cellStyle name="Input 2 3 3" xfId="20094"/>
    <cellStyle name="Input 2 4" xfId="490"/>
    <cellStyle name="Input 2 4 2" xfId="20097"/>
    <cellStyle name="Input 2 4 3" xfId="20096"/>
    <cellStyle name="Input 2 5" xfId="618"/>
    <cellStyle name="Input 2 5 2" xfId="20099"/>
    <cellStyle name="Input 2 5 3" xfId="20098"/>
    <cellStyle name="Input 2 6" xfId="774"/>
    <cellStyle name="Input 2 6 2" xfId="20101"/>
    <cellStyle name="Input 2 6 3" xfId="20100"/>
    <cellStyle name="Input 2 7" xfId="775"/>
    <cellStyle name="Input 2 7 2" xfId="20103"/>
    <cellStyle name="Input 2 7 3" xfId="20102"/>
    <cellStyle name="Input 2 8" xfId="899"/>
    <cellStyle name="Input 2 8 2" xfId="1429"/>
    <cellStyle name="Input 2 8 2 2" xfId="20105"/>
    <cellStyle name="Input 2 8 3" xfId="20104"/>
    <cellStyle name="Input 2 9" xfId="988"/>
    <cellStyle name="Input 2 9 2" xfId="1548"/>
    <cellStyle name="Input 2 9 2 2" xfId="20107"/>
    <cellStyle name="Input 2 9 3" xfId="20106"/>
    <cellStyle name="Input 3" xfId="202"/>
    <cellStyle name="Input 3 10" xfId="3708"/>
    <cellStyle name="Input 3 10 2" xfId="20110"/>
    <cellStyle name="Input 3 10 3" xfId="20109"/>
    <cellStyle name="Input 3 11" xfId="20111"/>
    <cellStyle name="Input 3 11 2" xfId="20112"/>
    <cellStyle name="Input 3 12" xfId="20113"/>
    <cellStyle name="Input 3 13" xfId="20108"/>
    <cellStyle name="Input 3 14" xfId="24536"/>
    <cellStyle name="Input 3 2" xfId="1481"/>
    <cellStyle name="Input 3 2 2" xfId="1813"/>
    <cellStyle name="Input 3 2 2 2" xfId="20116"/>
    <cellStyle name="Input 3 2 2 3" xfId="20115"/>
    <cellStyle name="Input 3 2 3" xfId="2188"/>
    <cellStyle name="Input 3 2 3 2" xfId="20118"/>
    <cellStyle name="Input 3 2 3 3" xfId="20117"/>
    <cellStyle name="Input 3 2 4" xfId="2562"/>
    <cellStyle name="Input 3 2 4 2" xfId="20120"/>
    <cellStyle name="Input 3 2 4 3" xfId="20119"/>
    <cellStyle name="Input 3 2 5" xfId="2934"/>
    <cellStyle name="Input 3 2 5 2" xfId="20122"/>
    <cellStyle name="Input 3 2 5 3" xfId="20121"/>
    <cellStyle name="Input 3 2 6" xfId="3306"/>
    <cellStyle name="Input 3 2 6 2" xfId="20124"/>
    <cellStyle name="Input 3 2 6 3" xfId="20123"/>
    <cellStyle name="Input 3 2 7" xfId="20125"/>
    <cellStyle name="Input 3 2 8" xfId="20114"/>
    <cellStyle name="Input 3 3" xfId="1608"/>
    <cellStyle name="Input 3 3 2" xfId="1890"/>
    <cellStyle name="Input 3 3 2 2" xfId="20128"/>
    <cellStyle name="Input 3 3 2 3" xfId="20127"/>
    <cellStyle name="Input 3 3 3" xfId="2265"/>
    <cellStyle name="Input 3 3 3 2" xfId="20130"/>
    <cellStyle name="Input 3 3 3 3" xfId="20129"/>
    <cellStyle name="Input 3 3 4" xfId="2638"/>
    <cellStyle name="Input 3 3 4 2" xfId="20132"/>
    <cellStyle name="Input 3 3 4 3" xfId="20131"/>
    <cellStyle name="Input 3 3 5" xfId="3011"/>
    <cellStyle name="Input 3 3 5 2" xfId="20134"/>
    <cellStyle name="Input 3 3 5 3" xfId="20133"/>
    <cellStyle name="Input 3 3 6" xfId="3382"/>
    <cellStyle name="Input 3 3 6 2" xfId="20136"/>
    <cellStyle name="Input 3 3 6 3" xfId="20135"/>
    <cellStyle name="Input 3 3 7" xfId="20137"/>
    <cellStyle name="Input 3 3 8" xfId="20126"/>
    <cellStyle name="Input 3 4" xfId="1748"/>
    <cellStyle name="Input 3 4 2" xfId="1934"/>
    <cellStyle name="Input 3 4 2 2" xfId="20140"/>
    <cellStyle name="Input 3 4 2 3" xfId="20139"/>
    <cellStyle name="Input 3 4 3" xfId="2309"/>
    <cellStyle name="Input 3 4 3 2" xfId="20142"/>
    <cellStyle name="Input 3 4 3 3" xfId="20141"/>
    <cellStyle name="Input 3 4 4" xfId="2682"/>
    <cellStyle name="Input 3 4 4 2" xfId="20144"/>
    <cellStyle name="Input 3 4 4 3" xfId="20143"/>
    <cellStyle name="Input 3 4 5" xfId="3055"/>
    <cellStyle name="Input 3 4 5 2" xfId="20146"/>
    <cellStyle name="Input 3 4 5 3" xfId="20145"/>
    <cellStyle name="Input 3 4 6" xfId="3426"/>
    <cellStyle name="Input 3 4 6 2" xfId="20148"/>
    <cellStyle name="Input 3 4 6 3" xfId="20147"/>
    <cellStyle name="Input 3 4 7" xfId="20149"/>
    <cellStyle name="Input 3 4 8" xfId="20138"/>
    <cellStyle name="Input 3 5" xfId="2083"/>
    <cellStyle name="Input 3 5 2" xfId="20151"/>
    <cellStyle name="Input 3 5 3" xfId="20150"/>
    <cellStyle name="Input 3 6" xfId="2457"/>
    <cellStyle name="Input 3 6 2" xfId="20153"/>
    <cellStyle name="Input 3 6 3" xfId="20152"/>
    <cellStyle name="Input 3 7" xfId="2829"/>
    <cellStyle name="Input 3 7 2" xfId="20155"/>
    <cellStyle name="Input 3 7 3" xfId="20154"/>
    <cellStyle name="Input 3 8" xfId="3200"/>
    <cellStyle name="Input 3 8 2" xfId="20157"/>
    <cellStyle name="Input 3 8 3" xfId="20156"/>
    <cellStyle name="Input 3 9" xfId="3572"/>
    <cellStyle name="Input 3 9 2" xfId="20159"/>
    <cellStyle name="Input 3 9 3" xfId="20158"/>
    <cellStyle name="Input 4" xfId="268"/>
    <cellStyle name="Input 4 10" xfId="3752"/>
    <cellStyle name="Input 4 10 2" xfId="20162"/>
    <cellStyle name="Input 4 10 3" xfId="20161"/>
    <cellStyle name="Input 4 11" xfId="1284"/>
    <cellStyle name="Input 4 11 2" xfId="20164"/>
    <cellStyle name="Input 4 11 3" xfId="20163"/>
    <cellStyle name="Input 4 12" xfId="20165"/>
    <cellStyle name="Input 4 13" xfId="20160"/>
    <cellStyle name="Input 4 2" xfId="1526"/>
    <cellStyle name="Input 4 2 2" xfId="20167"/>
    <cellStyle name="Input 4 2 3" xfId="20166"/>
    <cellStyle name="Input 4 3" xfId="1651"/>
    <cellStyle name="Input 4 3 2" xfId="20169"/>
    <cellStyle name="Input 4 3 3" xfId="20168"/>
    <cellStyle name="Input 4 4" xfId="1774"/>
    <cellStyle name="Input 4 4 2" xfId="20171"/>
    <cellStyle name="Input 4 4 3" xfId="20170"/>
    <cellStyle name="Input 4 5" xfId="2109"/>
    <cellStyle name="Input 4 5 2" xfId="20173"/>
    <cellStyle name="Input 4 5 3" xfId="20172"/>
    <cellStyle name="Input 4 6" xfId="2483"/>
    <cellStyle name="Input 4 6 2" xfId="20175"/>
    <cellStyle name="Input 4 6 3" xfId="20174"/>
    <cellStyle name="Input 4 7" xfId="2855"/>
    <cellStyle name="Input 4 7 2" xfId="20177"/>
    <cellStyle name="Input 4 7 3" xfId="20176"/>
    <cellStyle name="Input 4 8" xfId="3226"/>
    <cellStyle name="Input 4 8 2" xfId="20179"/>
    <cellStyle name="Input 4 8 3" xfId="20178"/>
    <cellStyle name="Input 4 9" xfId="3615"/>
    <cellStyle name="Input 4 9 2" xfId="20181"/>
    <cellStyle name="Input 4 9 3" xfId="20180"/>
    <cellStyle name="Input 5" xfId="491"/>
    <cellStyle name="Input 5 2" xfId="1782"/>
    <cellStyle name="Input 5 2 2" xfId="20184"/>
    <cellStyle name="Input 5 2 3" xfId="20183"/>
    <cellStyle name="Input 5 3" xfId="2117"/>
    <cellStyle name="Input 5 3 2" xfId="20186"/>
    <cellStyle name="Input 5 3 3" xfId="20185"/>
    <cellStyle name="Input 5 4" xfId="2491"/>
    <cellStyle name="Input 5 4 2" xfId="20188"/>
    <cellStyle name="Input 5 4 3" xfId="20187"/>
    <cellStyle name="Input 5 5" xfId="2863"/>
    <cellStyle name="Input 5 5 2" xfId="20190"/>
    <cellStyle name="Input 5 5 3" xfId="20189"/>
    <cellStyle name="Input 5 6" xfId="3234"/>
    <cellStyle name="Input 5 6 2" xfId="20192"/>
    <cellStyle name="Input 5 6 3" xfId="20191"/>
    <cellStyle name="Input 5 7" xfId="20193"/>
    <cellStyle name="Input 5 7 2" xfId="20194"/>
    <cellStyle name="Input 5 8" xfId="20195"/>
    <cellStyle name="Input 5 9" xfId="20182"/>
    <cellStyle name="Input 6" xfId="492"/>
    <cellStyle name="Input 6 10" xfId="20196"/>
    <cellStyle name="Input 6 2" xfId="2002"/>
    <cellStyle name="Input 6 2 2" xfId="20198"/>
    <cellStyle name="Input 6 2 3" xfId="20197"/>
    <cellStyle name="Input 6 3" xfId="2377"/>
    <cellStyle name="Input 6 3 2" xfId="20200"/>
    <cellStyle name="Input 6 3 3" xfId="20199"/>
    <cellStyle name="Input 6 4" xfId="2750"/>
    <cellStyle name="Input 6 4 2" xfId="20202"/>
    <cellStyle name="Input 6 4 3" xfId="20201"/>
    <cellStyle name="Input 6 5" xfId="3123"/>
    <cellStyle name="Input 6 5 2" xfId="20204"/>
    <cellStyle name="Input 6 5 3" xfId="20203"/>
    <cellStyle name="Input 6 6" xfId="3494"/>
    <cellStyle name="Input 6 6 2" xfId="20206"/>
    <cellStyle name="Input 6 6 3" xfId="20205"/>
    <cellStyle name="Input 6 7" xfId="3800"/>
    <cellStyle name="Input 6 7 2" xfId="20208"/>
    <cellStyle name="Input 6 7 3" xfId="20207"/>
    <cellStyle name="Input 6 8" xfId="20209"/>
    <cellStyle name="Input 6 8 2" xfId="20210"/>
    <cellStyle name="Input 6 9" xfId="20211"/>
    <cellStyle name="Input 7" xfId="493"/>
    <cellStyle name="Input 7 2" xfId="20213"/>
    <cellStyle name="Input 7 3" xfId="20212"/>
    <cellStyle name="Input 8" xfId="619"/>
    <cellStyle name="Input 8 2" xfId="20215"/>
    <cellStyle name="Input 8 3" xfId="20214"/>
    <cellStyle name="Input 9" xfId="620"/>
    <cellStyle name="Input 9 2" xfId="20217"/>
    <cellStyle name="Input 9 3" xfId="20216"/>
    <cellStyle name="Linked Cell 10" xfId="776"/>
    <cellStyle name="Linked Cell 10 2" xfId="20220"/>
    <cellStyle name="Linked Cell 10 3" xfId="20219"/>
    <cellStyle name="Linked Cell 11" xfId="777"/>
    <cellStyle name="Linked Cell 11 2" xfId="20222"/>
    <cellStyle name="Linked Cell 11 3" xfId="20221"/>
    <cellStyle name="Linked Cell 12" xfId="900"/>
    <cellStyle name="Linked Cell 12 2" xfId="20223"/>
    <cellStyle name="Linked Cell 13" xfId="901"/>
    <cellStyle name="Linked Cell 13 2" xfId="20218"/>
    <cellStyle name="Linked Cell 14" xfId="989"/>
    <cellStyle name="Linked Cell 2" xfId="103"/>
    <cellStyle name="Linked Cell 2 10" xfId="1701"/>
    <cellStyle name="Linked Cell 2 10 2" xfId="20226"/>
    <cellStyle name="Linked Cell 2 10 3" xfId="20225"/>
    <cellStyle name="Linked Cell 2 11" xfId="2036"/>
    <cellStyle name="Linked Cell 2 11 2" xfId="20228"/>
    <cellStyle name="Linked Cell 2 11 3" xfId="20227"/>
    <cellStyle name="Linked Cell 2 12" xfId="2410"/>
    <cellStyle name="Linked Cell 2 12 2" xfId="20230"/>
    <cellStyle name="Linked Cell 2 12 3" xfId="20229"/>
    <cellStyle name="Linked Cell 2 13" xfId="2783"/>
    <cellStyle name="Linked Cell 2 13 2" xfId="20232"/>
    <cellStyle name="Linked Cell 2 13 3" xfId="20231"/>
    <cellStyle name="Linked Cell 2 14" xfId="3157"/>
    <cellStyle name="Linked Cell 2 14 2" xfId="20234"/>
    <cellStyle name="Linked Cell 2 14 3" xfId="20233"/>
    <cellStyle name="Linked Cell 2 15" xfId="3528"/>
    <cellStyle name="Linked Cell 2 15 2" xfId="20236"/>
    <cellStyle name="Linked Cell 2 15 3" xfId="20235"/>
    <cellStyle name="Linked Cell 2 16" xfId="3666"/>
    <cellStyle name="Linked Cell 2 16 2" xfId="20238"/>
    <cellStyle name="Linked Cell 2 16 3" xfId="20237"/>
    <cellStyle name="Linked Cell 2 17" xfId="20239"/>
    <cellStyle name="Linked Cell 2 17 2" xfId="20240"/>
    <cellStyle name="Linked Cell 2 18" xfId="20241"/>
    <cellStyle name="Linked Cell 2 19" xfId="20224"/>
    <cellStyle name="Linked Cell 2 2" xfId="148"/>
    <cellStyle name="Linked Cell 2 2 2" xfId="164"/>
    <cellStyle name="Linked Cell 2 2 2 2" xfId="20244"/>
    <cellStyle name="Linked Cell 2 2 2 3" xfId="20243"/>
    <cellStyle name="Linked Cell 2 2 3" xfId="328"/>
    <cellStyle name="Linked Cell 2 2 3 2" xfId="20246"/>
    <cellStyle name="Linked Cell 2 2 3 3" xfId="20245"/>
    <cellStyle name="Linked Cell 2 2 4" xfId="2151"/>
    <cellStyle name="Linked Cell 2 2 4 2" xfId="20248"/>
    <cellStyle name="Linked Cell 2 2 4 3" xfId="20247"/>
    <cellStyle name="Linked Cell 2 2 5" xfId="2525"/>
    <cellStyle name="Linked Cell 2 2 5 2" xfId="20250"/>
    <cellStyle name="Linked Cell 2 2 5 3" xfId="20249"/>
    <cellStyle name="Linked Cell 2 2 6" xfId="2897"/>
    <cellStyle name="Linked Cell 2 2 6 2" xfId="20252"/>
    <cellStyle name="Linked Cell 2 2 6 3" xfId="20251"/>
    <cellStyle name="Linked Cell 2 2 7" xfId="3268"/>
    <cellStyle name="Linked Cell 2 2 7 2" xfId="20254"/>
    <cellStyle name="Linked Cell 2 2 7 3" xfId="20253"/>
    <cellStyle name="Linked Cell 2 2 8" xfId="20255"/>
    <cellStyle name="Linked Cell 2 2 9" xfId="20242"/>
    <cellStyle name="Linked Cell 2 20" xfId="24500"/>
    <cellStyle name="Linked Cell 2 3" xfId="312"/>
    <cellStyle name="Linked Cell 2 3 2" xfId="1327"/>
    <cellStyle name="Linked Cell 2 3 2 2" xfId="20257"/>
    <cellStyle name="Linked Cell 2 3 3" xfId="20256"/>
    <cellStyle name="Linked Cell 2 4" xfId="494"/>
    <cellStyle name="Linked Cell 2 4 2" xfId="20259"/>
    <cellStyle name="Linked Cell 2 4 3" xfId="20258"/>
    <cellStyle name="Linked Cell 2 5" xfId="621"/>
    <cellStyle name="Linked Cell 2 5 2" xfId="20261"/>
    <cellStyle name="Linked Cell 2 5 3" xfId="20260"/>
    <cellStyle name="Linked Cell 2 6" xfId="778"/>
    <cellStyle name="Linked Cell 2 6 2" xfId="20263"/>
    <cellStyle name="Linked Cell 2 6 3" xfId="20262"/>
    <cellStyle name="Linked Cell 2 7" xfId="779"/>
    <cellStyle name="Linked Cell 2 7 2" xfId="20265"/>
    <cellStyle name="Linked Cell 2 7 3" xfId="20264"/>
    <cellStyle name="Linked Cell 2 8" xfId="902"/>
    <cellStyle name="Linked Cell 2 8 2" xfId="1430"/>
    <cellStyle name="Linked Cell 2 8 2 2" xfId="20267"/>
    <cellStyle name="Linked Cell 2 8 3" xfId="20266"/>
    <cellStyle name="Linked Cell 2 9" xfId="990"/>
    <cellStyle name="Linked Cell 2 9 2" xfId="1547"/>
    <cellStyle name="Linked Cell 2 9 2 2" xfId="20269"/>
    <cellStyle name="Linked Cell 2 9 3" xfId="20268"/>
    <cellStyle name="Linked Cell 3" xfId="205"/>
    <cellStyle name="Linked Cell 3 10" xfId="3709"/>
    <cellStyle name="Linked Cell 3 10 2" xfId="20272"/>
    <cellStyle name="Linked Cell 3 10 3" xfId="20271"/>
    <cellStyle name="Linked Cell 3 11" xfId="20273"/>
    <cellStyle name="Linked Cell 3 11 2" xfId="20274"/>
    <cellStyle name="Linked Cell 3 12" xfId="20275"/>
    <cellStyle name="Linked Cell 3 13" xfId="20270"/>
    <cellStyle name="Linked Cell 3 2" xfId="1482"/>
    <cellStyle name="Linked Cell 3 2 2" xfId="1816"/>
    <cellStyle name="Linked Cell 3 2 2 2" xfId="20278"/>
    <cellStyle name="Linked Cell 3 2 2 3" xfId="20277"/>
    <cellStyle name="Linked Cell 3 2 3" xfId="2191"/>
    <cellStyle name="Linked Cell 3 2 3 2" xfId="20280"/>
    <cellStyle name="Linked Cell 3 2 3 3" xfId="20279"/>
    <cellStyle name="Linked Cell 3 2 4" xfId="2565"/>
    <cellStyle name="Linked Cell 3 2 4 2" xfId="20282"/>
    <cellStyle name="Linked Cell 3 2 4 3" xfId="20281"/>
    <cellStyle name="Linked Cell 3 2 5" xfId="2937"/>
    <cellStyle name="Linked Cell 3 2 5 2" xfId="20284"/>
    <cellStyle name="Linked Cell 3 2 5 3" xfId="20283"/>
    <cellStyle name="Linked Cell 3 2 6" xfId="3309"/>
    <cellStyle name="Linked Cell 3 2 6 2" xfId="20286"/>
    <cellStyle name="Linked Cell 3 2 6 3" xfId="20285"/>
    <cellStyle name="Linked Cell 3 2 7" xfId="20287"/>
    <cellStyle name="Linked Cell 3 2 8" xfId="20276"/>
    <cellStyle name="Linked Cell 3 3" xfId="1609"/>
    <cellStyle name="Linked Cell 3 3 2" xfId="1893"/>
    <cellStyle name="Linked Cell 3 3 2 2" xfId="20290"/>
    <cellStyle name="Linked Cell 3 3 2 3" xfId="20289"/>
    <cellStyle name="Linked Cell 3 3 3" xfId="2268"/>
    <cellStyle name="Linked Cell 3 3 3 2" xfId="20292"/>
    <cellStyle name="Linked Cell 3 3 3 3" xfId="20291"/>
    <cellStyle name="Linked Cell 3 3 4" xfId="2641"/>
    <cellStyle name="Linked Cell 3 3 4 2" xfId="20294"/>
    <cellStyle name="Linked Cell 3 3 4 3" xfId="20293"/>
    <cellStyle name="Linked Cell 3 3 5" xfId="3014"/>
    <cellStyle name="Linked Cell 3 3 5 2" xfId="20296"/>
    <cellStyle name="Linked Cell 3 3 5 3" xfId="20295"/>
    <cellStyle name="Linked Cell 3 3 6" xfId="3385"/>
    <cellStyle name="Linked Cell 3 3 6 2" xfId="20298"/>
    <cellStyle name="Linked Cell 3 3 6 3" xfId="20297"/>
    <cellStyle name="Linked Cell 3 3 7" xfId="20299"/>
    <cellStyle name="Linked Cell 3 3 8" xfId="20288"/>
    <cellStyle name="Linked Cell 3 4" xfId="1749"/>
    <cellStyle name="Linked Cell 3 4 2" xfId="1937"/>
    <cellStyle name="Linked Cell 3 4 2 2" xfId="20302"/>
    <cellStyle name="Linked Cell 3 4 2 3" xfId="20301"/>
    <cellStyle name="Linked Cell 3 4 3" xfId="2312"/>
    <cellStyle name="Linked Cell 3 4 3 2" xfId="20304"/>
    <cellStyle name="Linked Cell 3 4 3 3" xfId="20303"/>
    <cellStyle name="Linked Cell 3 4 4" xfId="2685"/>
    <cellStyle name="Linked Cell 3 4 4 2" xfId="20306"/>
    <cellStyle name="Linked Cell 3 4 4 3" xfId="20305"/>
    <cellStyle name="Linked Cell 3 4 5" xfId="3058"/>
    <cellStyle name="Linked Cell 3 4 5 2" xfId="20308"/>
    <cellStyle name="Linked Cell 3 4 5 3" xfId="20307"/>
    <cellStyle name="Linked Cell 3 4 6" xfId="3429"/>
    <cellStyle name="Linked Cell 3 4 6 2" xfId="20310"/>
    <cellStyle name="Linked Cell 3 4 6 3" xfId="20309"/>
    <cellStyle name="Linked Cell 3 4 7" xfId="20311"/>
    <cellStyle name="Linked Cell 3 4 8" xfId="20300"/>
    <cellStyle name="Linked Cell 3 5" xfId="2084"/>
    <cellStyle name="Linked Cell 3 5 2" xfId="20313"/>
    <cellStyle name="Linked Cell 3 5 3" xfId="20312"/>
    <cellStyle name="Linked Cell 3 6" xfId="2458"/>
    <cellStyle name="Linked Cell 3 6 2" xfId="20315"/>
    <cellStyle name="Linked Cell 3 6 3" xfId="20314"/>
    <cellStyle name="Linked Cell 3 7" xfId="2830"/>
    <cellStyle name="Linked Cell 3 7 2" xfId="20317"/>
    <cellStyle name="Linked Cell 3 7 3" xfId="20316"/>
    <cellStyle name="Linked Cell 3 8" xfId="3201"/>
    <cellStyle name="Linked Cell 3 8 2" xfId="20319"/>
    <cellStyle name="Linked Cell 3 8 3" xfId="20318"/>
    <cellStyle name="Linked Cell 3 9" xfId="3573"/>
    <cellStyle name="Linked Cell 3 9 2" xfId="20321"/>
    <cellStyle name="Linked Cell 3 9 3" xfId="20320"/>
    <cellStyle name="Linked Cell 4" xfId="269"/>
    <cellStyle name="Linked Cell 4 10" xfId="3753"/>
    <cellStyle name="Linked Cell 4 10 2" xfId="20324"/>
    <cellStyle name="Linked Cell 4 10 3" xfId="20323"/>
    <cellStyle name="Linked Cell 4 11" xfId="1287"/>
    <cellStyle name="Linked Cell 4 11 2" xfId="20326"/>
    <cellStyle name="Linked Cell 4 11 3" xfId="20325"/>
    <cellStyle name="Linked Cell 4 12" xfId="20327"/>
    <cellStyle name="Linked Cell 4 13" xfId="20322"/>
    <cellStyle name="Linked Cell 4 2" xfId="1527"/>
    <cellStyle name="Linked Cell 4 2 2" xfId="20329"/>
    <cellStyle name="Linked Cell 4 2 3" xfId="20328"/>
    <cellStyle name="Linked Cell 4 3" xfId="1652"/>
    <cellStyle name="Linked Cell 4 3 2" xfId="20331"/>
    <cellStyle name="Linked Cell 4 3 3" xfId="20330"/>
    <cellStyle name="Linked Cell 4 4" xfId="1773"/>
    <cellStyle name="Linked Cell 4 4 2" xfId="20333"/>
    <cellStyle name="Linked Cell 4 4 3" xfId="20332"/>
    <cellStyle name="Linked Cell 4 5" xfId="2108"/>
    <cellStyle name="Linked Cell 4 5 2" xfId="20335"/>
    <cellStyle name="Linked Cell 4 5 3" xfId="20334"/>
    <cellStyle name="Linked Cell 4 6" xfId="2482"/>
    <cellStyle name="Linked Cell 4 6 2" xfId="20337"/>
    <cellStyle name="Linked Cell 4 6 3" xfId="20336"/>
    <cellStyle name="Linked Cell 4 7" xfId="2854"/>
    <cellStyle name="Linked Cell 4 7 2" xfId="20339"/>
    <cellStyle name="Linked Cell 4 7 3" xfId="20338"/>
    <cellStyle name="Linked Cell 4 8" xfId="3225"/>
    <cellStyle name="Linked Cell 4 8 2" xfId="20341"/>
    <cellStyle name="Linked Cell 4 8 3" xfId="20340"/>
    <cellStyle name="Linked Cell 4 9" xfId="3616"/>
    <cellStyle name="Linked Cell 4 9 2" xfId="20343"/>
    <cellStyle name="Linked Cell 4 9 3" xfId="20342"/>
    <cellStyle name="Linked Cell 5" xfId="495"/>
    <cellStyle name="Linked Cell 5 2" xfId="1762"/>
    <cellStyle name="Linked Cell 5 2 2" xfId="20346"/>
    <cellStyle name="Linked Cell 5 2 3" xfId="20345"/>
    <cellStyle name="Linked Cell 5 3" xfId="2097"/>
    <cellStyle name="Linked Cell 5 3 2" xfId="20348"/>
    <cellStyle name="Linked Cell 5 3 3" xfId="20347"/>
    <cellStyle name="Linked Cell 5 4" xfId="2471"/>
    <cellStyle name="Linked Cell 5 4 2" xfId="20350"/>
    <cellStyle name="Linked Cell 5 4 3" xfId="20349"/>
    <cellStyle name="Linked Cell 5 5" xfId="2843"/>
    <cellStyle name="Linked Cell 5 5 2" xfId="20352"/>
    <cellStyle name="Linked Cell 5 5 3" xfId="20351"/>
    <cellStyle name="Linked Cell 5 6" xfId="3214"/>
    <cellStyle name="Linked Cell 5 6 2" xfId="20354"/>
    <cellStyle name="Linked Cell 5 6 3" xfId="20353"/>
    <cellStyle name="Linked Cell 5 7" xfId="20355"/>
    <cellStyle name="Linked Cell 5 7 2" xfId="20356"/>
    <cellStyle name="Linked Cell 5 8" xfId="20357"/>
    <cellStyle name="Linked Cell 5 9" xfId="20344"/>
    <cellStyle name="Linked Cell 6" xfId="496"/>
    <cellStyle name="Linked Cell 6 10" xfId="20358"/>
    <cellStyle name="Linked Cell 6 2" xfId="2003"/>
    <cellStyle name="Linked Cell 6 2 2" xfId="20360"/>
    <cellStyle name="Linked Cell 6 2 3" xfId="20359"/>
    <cellStyle name="Linked Cell 6 3" xfId="2378"/>
    <cellStyle name="Linked Cell 6 3 2" xfId="20362"/>
    <cellStyle name="Linked Cell 6 3 3" xfId="20361"/>
    <cellStyle name="Linked Cell 6 4" xfId="2751"/>
    <cellStyle name="Linked Cell 6 4 2" xfId="20364"/>
    <cellStyle name="Linked Cell 6 4 3" xfId="20363"/>
    <cellStyle name="Linked Cell 6 5" xfId="3124"/>
    <cellStyle name="Linked Cell 6 5 2" xfId="20366"/>
    <cellStyle name="Linked Cell 6 5 3" xfId="20365"/>
    <cellStyle name="Linked Cell 6 6" xfId="3495"/>
    <cellStyle name="Linked Cell 6 6 2" xfId="20368"/>
    <cellStyle name="Linked Cell 6 6 3" xfId="20367"/>
    <cellStyle name="Linked Cell 6 7" xfId="3801"/>
    <cellStyle name="Linked Cell 6 7 2" xfId="20370"/>
    <cellStyle name="Linked Cell 6 7 3" xfId="20369"/>
    <cellStyle name="Linked Cell 6 8" xfId="20371"/>
    <cellStyle name="Linked Cell 6 8 2" xfId="20372"/>
    <cellStyle name="Linked Cell 6 9" xfId="20373"/>
    <cellStyle name="Linked Cell 7" xfId="497"/>
    <cellStyle name="Linked Cell 7 2" xfId="20375"/>
    <cellStyle name="Linked Cell 7 3" xfId="20374"/>
    <cellStyle name="Linked Cell 8" xfId="622"/>
    <cellStyle name="Linked Cell 8 2" xfId="20377"/>
    <cellStyle name="Linked Cell 8 3" xfId="20376"/>
    <cellStyle name="Linked Cell 9" xfId="623"/>
    <cellStyle name="Linked Cell 9 2" xfId="20379"/>
    <cellStyle name="Linked Cell 9 3" xfId="20378"/>
    <cellStyle name="Neutral 10" xfId="780"/>
    <cellStyle name="Neutral 10 2" xfId="20382"/>
    <cellStyle name="Neutral 10 3" xfId="20381"/>
    <cellStyle name="Neutral 11" xfId="781"/>
    <cellStyle name="Neutral 11 2" xfId="20384"/>
    <cellStyle name="Neutral 11 3" xfId="20383"/>
    <cellStyle name="Neutral 12" xfId="903"/>
    <cellStyle name="Neutral 12 2" xfId="20385"/>
    <cellStyle name="Neutral 13" xfId="904"/>
    <cellStyle name="Neutral 13 2" xfId="20380"/>
    <cellStyle name="Neutral 14" xfId="991"/>
    <cellStyle name="Neutral 2" xfId="104"/>
    <cellStyle name="Neutral 2 10" xfId="1702"/>
    <cellStyle name="Neutral 2 10 2" xfId="20388"/>
    <cellStyle name="Neutral 2 10 3" xfId="20387"/>
    <cellStyle name="Neutral 2 11" xfId="2037"/>
    <cellStyle name="Neutral 2 11 2" xfId="20390"/>
    <cellStyle name="Neutral 2 11 3" xfId="20389"/>
    <cellStyle name="Neutral 2 12" xfId="2411"/>
    <cellStyle name="Neutral 2 12 2" xfId="20392"/>
    <cellStyle name="Neutral 2 12 3" xfId="20391"/>
    <cellStyle name="Neutral 2 13" xfId="2784"/>
    <cellStyle name="Neutral 2 13 2" xfId="20394"/>
    <cellStyle name="Neutral 2 13 3" xfId="20393"/>
    <cellStyle name="Neutral 2 14" xfId="3158"/>
    <cellStyle name="Neutral 2 14 2" xfId="20396"/>
    <cellStyle name="Neutral 2 14 3" xfId="20395"/>
    <cellStyle name="Neutral 2 15" xfId="3529"/>
    <cellStyle name="Neutral 2 15 2" xfId="20398"/>
    <cellStyle name="Neutral 2 15 3" xfId="20397"/>
    <cellStyle name="Neutral 2 16" xfId="3667"/>
    <cellStyle name="Neutral 2 16 2" xfId="20400"/>
    <cellStyle name="Neutral 2 16 3" xfId="20399"/>
    <cellStyle name="Neutral 2 17" xfId="20401"/>
    <cellStyle name="Neutral 2 17 2" xfId="20402"/>
    <cellStyle name="Neutral 2 18" xfId="20403"/>
    <cellStyle name="Neutral 2 19" xfId="20386"/>
    <cellStyle name="Neutral 2 2" xfId="149"/>
    <cellStyle name="Neutral 2 2 2" xfId="160"/>
    <cellStyle name="Neutral 2 2 2 2" xfId="20406"/>
    <cellStyle name="Neutral 2 2 2 3" xfId="20405"/>
    <cellStyle name="Neutral 2 2 3" xfId="324"/>
    <cellStyle name="Neutral 2 2 3 2" xfId="20408"/>
    <cellStyle name="Neutral 2 2 3 3" xfId="20407"/>
    <cellStyle name="Neutral 2 2 4" xfId="2147"/>
    <cellStyle name="Neutral 2 2 4 2" xfId="20410"/>
    <cellStyle name="Neutral 2 2 4 3" xfId="20409"/>
    <cellStyle name="Neutral 2 2 5" xfId="2521"/>
    <cellStyle name="Neutral 2 2 5 2" xfId="20412"/>
    <cellStyle name="Neutral 2 2 5 3" xfId="20411"/>
    <cellStyle name="Neutral 2 2 6" xfId="2893"/>
    <cellStyle name="Neutral 2 2 6 2" xfId="20414"/>
    <cellStyle name="Neutral 2 2 6 3" xfId="20413"/>
    <cellStyle name="Neutral 2 2 7" xfId="3264"/>
    <cellStyle name="Neutral 2 2 7 2" xfId="20416"/>
    <cellStyle name="Neutral 2 2 7 3" xfId="20415"/>
    <cellStyle name="Neutral 2 2 8" xfId="20417"/>
    <cellStyle name="Neutral 2 2 9" xfId="20404"/>
    <cellStyle name="Neutral 2 20" xfId="24501"/>
    <cellStyle name="Neutral 2 3" xfId="313"/>
    <cellStyle name="Neutral 2 3 2" xfId="1323"/>
    <cellStyle name="Neutral 2 3 2 2" xfId="20419"/>
    <cellStyle name="Neutral 2 3 3" xfId="20418"/>
    <cellStyle name="Neutral 2 4" xfId="498"/>
    <cellStyle name="Neutral 2 4 2" xfId="20421"/>
    <cellStyle name="Neutral 2 4 3" xfId="20420"/>
    <cellStyle name="Neutral 2 5" xfId="624"/>
    <cellStyle name="Neutral 2 5 2" xfId="20423"/>
    <cellStyle name="Neutral 2 5 3" xfId="20422"/>
    <cellStyle name="Neutral 2 6" xfId="782"/>
    <cellStyle name="Neutral 2 6 2" xfId="20425"/>
    <cellStyle name="Neutral 2 6 3" xfId="20424"/>
    <cellStyle name="Neutral 2 7" xfId="783"/>
    <cellStyle name="Neutral 2 7 2" xfId="20427"/>
    <cellStyle name="Neutral 2 7 3" xfId="20426"/>
    <cellStyle name="Neutral 2 8" xfId="905"/>
    <cellStyle name="Neutral 2 8 2" xfId="1431"/>
    <cellStyle name="Neutral 2 8 2 2" xfId="20429"/>
    <cellStyle name="Neutral 2 8 3" xfId="20428"/>
    <cellStyle name="Neutral 2 9" xfId="992"/>
    <cellStyle name="Neutral 2 9 2" xfId="1546"/>
    <cellStyle name="Neutral 2 9 2 2" xfId="20431"/>
    <cellStyle name="Neutral 2 9 3" xfId="20430"/>
    <cellStyle name="Neutral 3" xfId="201"/>
    <cellStyle name="Neutral 3 10" xfId="3710"/>
    <cellStyle name="Neutral 3 10 2" xfId="20434"/>
    <cellStyle name="Neutral 3 10 3" xfId="20433"/>
    <cellStyle name="Neutral 3 11" xfId="20435"/>
    <cellStyle name="Neutral 3 11 2" xfId="20436"/>
    <cellStyle name="Neutral 3 12" xfId="20437"/>
    <cellStyle name="Neutral 3 13" xfId="20432"/>
    <cellStyle name="Neutral 3 2" xfId="1483"/>
    <cellStyle name="Neutral 3 2 2" xfId="1812"/>
    <cellStyle name="Neutral 3 2 2 2" xfId="20440"/>
    <cellStyle name="Neutral 3 2 2 3" xfId="20439"/>
    <cellStyle name="Neutral 3 2 3" xfId="2187"/>
    <cellStyle name="Neutral 3 2 3 2" xfId="20442"/>
    <cellStyle name="Neutral 3 2 3 3" xfId="20441"/>
    <cellStyle name="Neutral 3 2 4" xfId="2561"/>
    <cellStyle name="Neutral 3 2 4 2" xfId="20444"/>
    <cellStyle name="Neutral 3 2 4 3" xfId="20443"/>
    <cellStyle name="Neutral 3 2 5" xfId="2933"/>
    <cellStyle name="Neutral 3 2 5 2" xfId="20446"/>
    <cellStyle name="Neutral 3 2 5 3" xfId="20445"/>
    <cellStyle name="Neutral 3 2 6" xfId="3305"/>
    <cellStyle name="Neutral 3 2 6 2" xfId="20448"/>
    <cellStyle name="Neutral 3 2 6 3" xfId="20447"/>
    <cellStyle name="Neutral 3 2 7" xfId="20449"/>
    <cellStyle name="Neutral 3 2 8" xfId="20438"/>
    <cellStyle name="Neutral 3 3" xfId="1610"/>
    <cellStyle name="Neutral 3 3 2" xfId="1889"/>
    <cellStyle name="Neutral 3 3 2 2" xfId="20452"/>
    <cellStyle name="Neutral 3 3 2 3" xfId="20451"/>
    <cellStyle name="Neutral 3 3 3" xfId="2264"/>
    <cellStyle name="Neutral 3 3 3 2" xfId="20454"/>
    <cellStyle name="Neutral 3 3 3 3" xfId="20453"/>
    <cellStyle name="Neutral 3 3 4" xfId="2637"/>
    <cellStyle name="Neutral 3 3 4 2" xfId="20456"/>
    <cellStyle name="Neutral 3 3 4 3" xfId="20455"/>
    <cellStyle name="Neutral 3 3 5" xfId="3010"/>
    <cellStyle name="Neutral 3 3 5 2" xfId="20458"/>
    <cellStyle name="Neutral 3 3 5 3" xfId="20457"/>
    <cellStyle name="Neutral 3 3 6" xfId="3381"/>
    <cellStyle name="Neutral 3 3 6 2" xfId="20460"/>
    <cellStyle name="Neutral 3 3 6 3" xfId="20459"/>
    <cellStyle name="Neutral 3 3 7" xfId="20461"/>
    <cellStyle name="Neutral 3 3 8" xfId="20450"/>
    <cellStyle name="Neutral 3 4" xfId="1750"/>
    <cellStyle name="Neutral 3 4 2" xfId="1933"/>
    <cellStyle name="Neutral 3 4 2 2" xfId="20464"/>
    <cellStyle name="Neutral 3 4 2 3" xfId="20463"/>
    <cellStyle name="Neutral 3 4 3" xfId="2308"/>
    <cellStyle name="Neutral 3 4 3 2" xfId="20466"/>
    <cellStyle name="Neutral 3 4 3 3" xfId="20465"/>
    <cellStyle name="Neutral 3 4 4" xfId="2681"/>
    <cellStyle name="Neutral 3 4 4 2" xfId="20468"/>
    <cellStyle name="Neutral 3 4 4 3" xfId="20467"/>
    <cellStyle name="Neutral 3 4 5" xfId="3054"/>
    <cellStyle name="Neutral 3 4 5 2" xfId="20470"/>
    <cellStyle name="Neutral 3 4 5 3" xfId="20469"/>
    <cellStyle name="Neutral 3 4 6" xfId="3425"/>
    <cellStyle name="Neutral 3 4 6 2" xfId="20472"/>
    <cellStyle name="Neutral 3 4 6 3" xfId="20471"/>
    <cellStyle name="Neutral 3 4 7" xfId="20473"/>
    <cellStyle name="Neutral 3 4 8" xfId="20462"/>
    <cellStyle name="Neutral 3 5" xfId="2085"/>
    <cellStyle name="Neutral 3 5 2" xfId="20475"/>
    <cellStyle name="Neutral 3 5 3" xfId="20474"/>
    <cellStyle name="Neutral 3 6" xfId="2459"/>
    <cellStyle name="Neutral 3 6 2" xfId="20477"/>
    <cellStyle name="Neutral 3 6 3" xfId="20476"/>
    <cellStyle name="Neutral 3 7" xfId="2831"/>
    <cellStyle name="Neutral 3 7 2" xfId="20479"/>
    <cellStyle name="Neutral 3 7 3" xfId="20478"/>
    <cellStyle name="Neutral 3 8" xfId="3202"/>
    <cellStyle name="Neutral 3 8 2" xfId="20481"/>
    <cellStyle name="Neutral 3 8 3" xfId="20480"/>
    <cellStyle name="Neutral 3 9" xfId="3574"/>
    <cellStyle name="Neutral 3 9 2" xfId="20483"/>
    <cellStyle name="Neutral 3 9 3" xfId="20482"/>
    <cellStyle name="Neutral 4" xfId="270"/>
    <cellStyle name="Neutral 4 10" xfId="3754"/>
    <cellStyle name="Neutral 4 10 2" xfId="20486"/>
    <cellStyle name="Neutral 4 10 3" xfId="20485"/>
    <cellStyle name="Neutral 4 11" xfId="1283"/>
    <cellStyle name="Neutral 4 11 2" xfId="20488"/>
    <cellStyle name="Neutral 4 11 3" xfId="20487"/>
    <cellStyle name="Neutral 4 12" xfId="20489"/>
    <cellStyle name="Neutral 4 13" xfId="20484"/>
    <cellStyle name="Neutral 4 2" xfId="1528"/>
    <cellStyle name="Neutral 4 2 2" xfId="20491"/>
    <cellStyle name="Neutral 4 2 3" xfId="20490"/>
    <cellStyle name="Neutral 4 3" xfId="1653"/>
    <cellStyle name="Neutral 4 3 2" xfId="20493"/>
    <cellStyle name="Neutral 4 3 3" xfId="20492"/>
    <cellStyle name="Neutral 4 4" xfId="1772"/>
    <cellStyle name="Neutral 4 4 2" xfId="20495"/>
    <cellStyle name="Neutral 4 4 3" xfId="20494"/>
    <cellStyle name="Neutral 4 5" xfId="2107"/>
    <cellStyle name="Neutral 4 5 2" xfId="20497"/>
    <cellStyle name="Neutral 4 5 3" xfId="20496"/>
    <cellStyle name="Neutral 4 6" xfId="2481"/>
    <cellStyle name="Neutral 4 6 2" xfId="20499"/>
    <cellStyle name="Neutral 4 6 3" xfId="20498"/>
    <cellStyle name="Neutral 4 7" xfId="2853"/>
    <cellStyle name="Neutral 4 7 2" xfId="20501"/>
    <cellStyle name="Neutral 4 7 3" xfId="20500"/>
    <cellStyle name="Neutral 4 8" xfId="3224"/>
    <cellStyle name="Neutral 4 8 2" xfId="20503"/>
    <cellStyle name="Neutral 4 8 3" xfId="20502"/>
    <cellStyle name="Neutral 4 9" xfId="3617"/>
    <cellStyle name="Neutral 4 9 2" xfId="20505"/>
    <cellStyle name="Neutral 4 9 3" xfId="20504"/>
    <cellStyle name="Neutral 5" xfId="499"/>
    <cellStyle name="Neutral 5 2" xfId="1761"/>
    <cellStyle name="Neutral 5 2 2" xfId="20508"/>
    <cellStyle name="Neutral 5 2 3" xfId="20507"/>
    <cellStyle name="Neutral 5 3" xfId="2096"/>
    <cellStyle name="Neutral 5 3 2" xfId="20510"/>
    <cellStyle name="Neutral 5 3 3" xfId="20509"/>
    <cellStyle name="Neutral 5 4" xfId="2470"/>
    <cellStyle name="Neutral 5 4 2" xfId="20512"/>
    <cellStyle name="Neutral 5 4 3" xfId="20511"/>
    <cellStyle name="Neutral 5 5" xfId="2842"/>
    <cellStyle name="Neutral 5 5 2" xfId="20514"/>
    <cellStyle name="Neutral 5 5 3" xfId="20513"/>
    <cellStyle name="Neutral 5 6" xfId="3213"/>
    <cellStyle name="Neutral 5 6 2" xfId="20516"/>
    <cellStyle name="Neutral 5 6 3" xfId="20515"/>
    <cellStyle name="Neutral 5 7" xfId="20517"/>
    <cellStyle name="Neutral 5 7 2" xfId="20518"/>
    <cellStyle name="Neutral 5 8" xfId="20519"/>
    <cellStyle name="Neutral 5 9" xfId="20506"/>
    <cellStyle name="Neutral 6" xfId="500"/>
    <cellStyle name="Neutral 6 10" xfId="20520"/>
    <cellStyle name="Neutral 6 2" xfId="2004"/>
    <cellStyle name="Neutral 6 2 2" xfId="20522"/>
    <cellStyle name="Neutral 6 2 3" xfId="20521"/>
    <cellStyle name="Neutral 6 3" xfId="2379"/>
    <cellStyle name="Neutral 6 3 2" xfId="20524"/>
    <cellStyle name="Neutral 6 3 3" xfId="20523"/>
    <cellStyle name="Neutral 6 4" xfId="2752"/>
    <cellStyle name="Neutral 6 4 2" xfId="20526"/>
    <cellStyle name="Neutral 6 4 3" xfId="20525"/>
    <cellStyle name="Neutral 6 5" xfId="3125"/>
    <cellStyle name="Neutral 6 5 2" xfId="20528"/>
    <cellStyle name="Neutral 6 5 3" xfId="20527"/>
    <cellStyle name="Neutral 6 6" xfId="3496"/>
    <cellStyle name="Neutral 6 6 2" xfId="20530"/>
    <cellStyle name="Neutral 6 6 3" xfId="20529"/>
    <cellStyle name="Neutral 6 7" xfId="3802"/>
    <cellStyle name="Neutral 6 7 2" xfId="20532"/>
    <cellStyle name="Neutral 6 7 3" xfId="20531"/>
    <cellStyle name="Neutral 6 8" xfId="20533"/>
    <cellStyle name="Neutral 6 8 2" xfId="20534"/>
    <cellStyle name="Neutral 6 9" xfId="20535"/>
    <cellStyle name="Neutral 7" xfId="501"/>
    <cellStyle name="Neutral 7 2" xfId="20537"/>
    <cellStyle name="Neutral 7 3" xfId="20536"/>
    <cellStyle name="Neutral 8" xfId="625"/>
    <cellStyle name="Neutral 8 2" xfId="20539"/>
    <cellStyle name="Neutral 8 3" xfId="20538"/>
    <cellStyle name="Neutral 9" xfId="626"/>
    <cellStyle name="Neutral 9 2" xfId="20541"/>
    <cellStyle name="Neutral 9 3" xfId="20540"/>
    <cellStyle name="Normal" xfId="0" builtinId="0"/>
    <cellStyle name="Normal 10" xfId="56"/>
    <cellStyle name="Normal 10 10" xfId="1127"/>
    <cellStyle name="Normal 10 10 2" xfId="3997"/>
    <cellStyle name="Normal 10 11" xfId="1137"/>
    <cellStyle name="Normal 10 11 2" xfId="4007"/>
    <cellStyle name="Normal 10 12" xfId="1147"/>
    <cellStyle name="Normal 10 12 2" xfId="4017"/>
    <cellStyle name="Normal 10 13" xfId="1156"/>
    <cellStyle name="Normal 10 13 2" xfId="4026"/>
    <cellStyle name="Normal 10 14" xfId="1167"/>
    <cellStyle name="Normal 10 14 2" xfId="4037"/>
    <cellStyle name="Normal 10 15" xfId="1177"/>
    <cellStyle name="Normal 10 15 2" xfId="4047"/>
    <cellStyle name="Normal 10 16" xfId="1187"/>
    <cellStyle name="Normal 10 16 2" xfId="4057"/>
    <cellStyle name="Normal 10 17" xfId="1197"/>
    <cellStyle name="Normal 10 17 2" xfId="4067"/>
    <cellStyle name="Normal 10 18" xfId="1207"/>
    <cellStyle name="Normal 10 18 2" xfId="4077"/>
    <cellStyle name="Normal 10 19" xfId="1217"/>
    <cellStyle name="Normal 10 19 2" xfId="4087"/>
    <cellStyle name="Normal 10 2" xfId="1044"/>
    <cellStyle name="Normal 10 2 2" xfId="3912"/>
    <cellStyle name="Normal 10 2 2 2" xfId="20544"/>
    <cellStyle name="Normal 10 2 2 2 2" xfId="20545"/>
    <cellStyle name="Normal 10 2 2 3" xfId="20546"/>
    <cellStyle name="Normal 10 2 2 4" xfId="20543"/>
    <cellStyle name="Normal 10 2 3" xfId="4868"/>
    <cellStyle name="Normal 10 2 4" xfId="24787"/>
    <cellStyle name="Normal 10 20" xfId="1227"/>
    <cellStyle name="Normal 10 20 2" xfId="4097"/>
    <cellStyle name="Normal 10 21" xfId="1237"/>
    <cellStyle name="Normal 10 21 2" xfId="4107"/>
    <cellStyle name="Normal 10 22" xfId="1247"/>
    <cellStyle name="Normal 10 22 2" xfId="4117"/>
    <cellStyle name="Normal 10 23" xfId="1257"/>
    <cellStyle name="Normal 10 23 2" xfId="4127"/>
    <cellStyle name="Normal 10 24" xfId="1266"/>
    <cellStyle name="Normal 10 24 2" xfId="4136"/>
    <cellStyle name="Normal 10 25" xfId="1271"/>
    <cellStyle name="Normal 10 25 2" xfId="4141"/>
    <cellStyle name="Normal 10 26" xfId="993"/>
    <cellStyle name="Normal 10 27" xfId="24537"/>
    <cellStyle name="Normal 10 3" xfId="1057"/>
    <cellStyle name="Normal 10 3 2" xfId="3927"/>
    <cellStyle name="Normal 10 3 2 2" xfId="20548"/>
    <cellStyle name="Normal 10 3 2 2 2" xfId="20549"/>
    <cellStyle name="Normal 10 3 2 3" xfId="20550"/>
    <cellStyle name="Normal 10 3 2 4" xfId="20547"/>
    <cellStyle name="Normal 10 3 3" xfId="4869"/>
    <cellStyle name="Normal 10 3 3 2" xfId="20551"/>
    <cellStyle name="Normal 10 3 3 2 2" xfId="20552"/>
    <cellStyle name="Normal 10 3 3 3" xfId="20553"/>
    <cellStyle name="Normal 10 3 4" xfId="20554"/>
    <cellStyle name="Normal 10 3 4 2" xfId="20555"/>
    <cellStyle name="Normal 10 3 5" xfId="20556"/>
    <cellStyle name="Normal 10 3 5 2" xfId="20557"/>
    <cellStyle name="Normal 10 3 6" xfId="20558"/>
    <cellStyle name="Normal 10 3 6 2" xfId="20559"/>
    <cellStyle name="Normal 10 4" xfId="1067"/>
    <cellStyle name="Normal 10 4 2" xfId="3937"/>
    <cellStyle name="Normal 10 4 2 2" xfId="20561"/>
    <cellStyle name="Normal 10 4 3" xfId="20560"/>
    <cellStyle name="Normal 10 4 4" xfId="24788"/>
    <cellStyle name="Normal 10 4 4 2" xfId="26911"/>
    <cellStyle name="Normal 10 5" xfId="1077"/>
    <cellStyle name="Normal 10 5 2" xfId="3947"/>
    <cellStyle name="Normal 10 6" xfId="1087"/>
    <cellStyle name="Normal 10 6 2" xfId="3957"/>
    <cellStyle name="Normal 10 7" xfId="1097"/>
    <cellStyle name="Normal 10 7 2" xfId="3967"/>
    <cellStyle name="Normal 10 8" xfId="1107"/>
    <cellStyle name="Normal 10 8 2" xfId="3977"/>
    <cellStyle name="Normal 10 9" xfId="1117"/>
    <cellStyle name="Normal 10 9 2" xfId="3987"/>
    <cellStyle name="Normal 11" xfId="57"/>
    <cellStyle name="Normal 11 2" xfId="3811"/>
    <cellStyle name="Normal 11 2 2" xfId="20562"/>
    <cellStyle name="Normal 11 2 2 2" xfId="20563"/>
    <cellStyle name="Normal 11 2 2 2 2" xfId="20564"/>
    <cellStyle name="Normal 11 2 2 3" xfId="20565"/>
    <cellStyle name="Normal 11 2 3" xfId="20566"/>
    <cellStyle name="Normal 11 2 3 2" xfId="20567"/>
    <cellStyle name="Normal 11 2 3 2 2" xfId="20568"/>
    <cellStyle name="Normal 11 2 3 3" xfId="20569"/>
    <cellStyle name="Normal 11 2 4" xfId="20570"/>
    <cellStyle name="Normal 11 2 4 2" xfId="20571"/>
    <cellStyle name="Normal 11 2 5" xfId="20572"/>
    <cellStyle name="Normal 11 2 5 2" xfId="20573"/>
    <cellStyle name="Normal 11 2 6" xfId="20574"/>
    <cellStyle name="Normal 11 2 6 2" xfId="20575"/>
    <cellStyle name="Normal 11 2 7" xfId="24539"/>
    <cellStyle name="Normal 11 3" xfId="3860"/>
    <cellStyle name="Normal 11 3 2" xfId="20577"/>
    <cellStyle name="Normal 11 3 3" xfId="20576"/>
    <cellStyle name="Normal 11 3 4" xfId="24789"/>
    <cellStyle name="Normal 11 4" xfId="20578"/>
    <cellStyle name="Normal 11 4 2" xfId="20579"/>
    <cellStyle name="Normal 11 4 3" xfId="24790"/>
    <cellStyle name="Normal 11 4 3 2" xfId="26912"/>
    <cellStyle name="Normal 11 5" xfId="24538"/>
    <cellStyle name="Normal 12" xfId="1003"/>
    <cellStyle name="Normal 12 2" xfId="3861"/>
    <cellStyle name="Normal 12 2 2" xfId="20582"/>
    <cellStyle name="Normal 12 2 2 2" xfId="20583"/>
    <cellStyle name="Normal 12 2 3" xfId="20584"/>
    <cellStyle name="Normal 12 2 3 2" xfId="20585"/>
    <cellStyle name="Normal 12 2 4" xfId="20586"/>
    <cellStyle name="Normal 12 2 5" xfId="20581"/>
    <cellStyle name="Normal 12 3" xfId="20587"/>
    <cellStyle name="Normal 12 3 2" xfId="20588"/>
    <cellStyle name="Normal 12 4" xfId="20589"/>
    <cellStyle name="Normal 12 4 2" xfId="20590"/>
    <cellStyle name="Normal 12 5" xfId="20591"/>
    <cellStyle name="Normal 12 6" xfId="20580"/>
    <cellStyle name="Normal 13" xfId="58"/>
    <cellStyle name="Normal 13 2" xfId="3862"/>
    <cellStyle name="Normal 13 2 2" xfId="4870"/>
    <cellStyle name="Normal 13 2 3" xfId="24792"/>
    <cellStyle name="Normal 13 3" xfId="24791"/>
    <cellStyle name="Normal 14" xfId="1004"/>
    <cellStyle name="Normal 14 2" xfId="3863"/>
    <cellStyle name="Normal 14 2 2" xfId="20593"/>
    <cellStyle name="Normal 14 3" xfId="4871"/>
    <cellStyle name="Normal 14 4" xfId="20592"/>
    <cellStyle name="Normal 15" xfId="1006"/>
    <cellStyle name="Normal 15 2" xfId="3865"/>
    <cellStyle name="Normal 15 2 2" xfId="20595"/>
    <cellStyle name="Normal 15 3" xfId="20594"/>
    <cellStyle name="Normal 16" xfId="59"/>
    <cellStyle name="Normal 16 2" xfId="3867"/>
    <cellStyle name="Normal 16 2 2" xfId="20597"/>
    <cellStyle name="Normal 16 3" xfId="20596"/>
    <cellStyle name="Normal 17" xfId="1009"/>
    <cellStyle name="Normal 17 10" xfId="20599"/>
    <cellStyle name="Normal 17 10 2" xfId="20600"/>
    <cellStyle name="Normal 17 10 2 2" xfId="20601"/>
    <cellStyle name="Normal 17 10 3" xfId="20602"/>
    <cellStyle name="Normal 17 11" xfId="20603"/>
    <cellStyle name="Normal 17 11 2" xfId="20604"/>
    <cellStyle name="Normal 17 12" xfId="20605"/>
    <cellStyle name="Normal 17 13" xfId="20598"/>
    <cellStyle name="Normal 17 2" xfId="3869"/>
    <cellStyle name="Normal 17 2 2" xfId="20607"/>
    <cellStyle name="Normal 17 2 3" xfId="20606"/>
    <cellStyle name="Normal 17 3" xfId="20608"/>
    <cellStyle name="Normal 17 3 2" xfId="20609"/>
    <cellStyle name="Normal 17 4" xfId="20610"/>
    <cellStyle name="Normal 17 4 2" xfId="20611"/>
    <cellStyle name="Normal 17 5" xfId="20612"/>
    <cellStyle name="Normal 17 5 2" xfId="20613"/>
    <cellStyle name="Normal 17 6" xfId="20614"/>
    <cellStyle name="Normal 17 6 2" xfId="20615"/>
    <cellStyle name="Normal 17 7" xfId="20616"/>
    <cellStyle name="Normal 17 7 2" xfId="20617"/>
    <cellStyle name="Normal 17 8" xfId="20618"/>
    <cellStyle name="Normal 17 8 2" xfId="20619"/>
    <cellStyle name="Normal 17 9" xfId="20620"/>
    <cellStyle name="Normal 17 9 2" xfId="20621"/>
    <cellStyle name="Normal 18" xfId="1011"/>
    <cellStyle name="Normal 18 2" xfId="3871"/>
    <cellStyle name="Normal 18 2 2" xfId="20623"/>
    <cellStyle name="Normal 18 3" xfId="20622"/>
    <cellStyle name="Normal 19" xfId="1013"/>
    <cellStyle name="Normal 19 2" xfId="3873"/>
    <cellStyle name="Normal 19 2 2" xfId="20625"/>
    <cellStyle name="Normal 19 3" xfId="20624"/>
    <cellStyle name="Normal 2" xfId="7"/>
    <cellStyle name="Normal 2 10" xfId="1968"/>
    <cellStyle name="Normal 2 10 2" xfId="20626"/>
    <cellStyle name="Normal 2 10 2 2" xfId="20627"/>
    <cellStyle name="Normal 2 10 3" xfId="20628"/>
    <cellStyle name="Normal 2 10 3 2" xfId="20629"/>
    <cellStyle name="Normal 2 10 4" xfId="20630"/>
    <cellStyle name="Normal 2 10 4 2" xfId="20631"/>
    <cellStyle name="Normal 2 11" xfId="2343"/>
    <cellStyle name="Normal 2 11 2" xfId="20632"/>
    <cellStyle name="Normal 2 11 2 2" xfId="20633"/>
    <cellStyle name="Normal 2 11 3" xfId="20634"/>
    <cellStyle name="Normal 2 11 3 2" xfId="20635"/>
    <cellStyle name="Normal 2 11 4" xfId="20636"/>
    <cellStyle name="Normal 2 11 4 2" xfId="20637"/>
    <cellStyle name="Normal 2 12" xfId="2716"/>
    <cellStyle name="Normal 2 12 2" xfId="20638"/>
    <cellStyle name="Normal 2 12 2 2" xfId="20639"/>
    <cellStyle name="Normal 2 12 3" xfId="20640"/>
    <cellStyle name="Normal 2 12 3 2" xfId="20641"/>
    <cellStyle name="Normal 2 12 4" xfId="20642"/>
    <cellStyle name="Normal 2 12 4 2" xfId="20643"/>
    <cellStyle name="Normal 2 13" xfId="3089"/>
    <cellStyle name="Normal 2 13 2" xfId="20644"/>
    <cellStyle name="Normal 2 13 2 2" xfId="20645"/>
    <cellStyle name="Normal 2 13 3" xfId="20646"/>
    <cellStyle name="Normal 2 13 3 2" xfId="20647"/>
    <cellStyle name="Normal 2 13 4" xfId="20648"/>
    <cellStyle name="Normal 2 13 4 2" xfId="20649"/>
    <cellStyle name="Normal 2 14" xfId="3460"/>
    <cellStyle name="Normal 2 14 2" xfId="20650"/>
    <cellStyle name="Normal 2 14 2 2" xfId="20651"/>
    <cellStyle name="Normal 2 14 3" xfId="20652"/>
    <cellStyle name="Normal 2 14 3 2" xfId="20653"/>
    <cellStyle name="Normal 2 14 4" xfId="20654"/>
    <cellStyle name="Normal 2 14 4 2" xfId="20655"/>
    <cellStyle name="Normal 2 15" xfId="3271"/>
    <cellStyle name="Normal 2 15 2" xfId="20656"/>
    <cellStyle name="Normal 2 15 2 2" xfId="20657"/>
    <cellStyle name="Normal 2 15 3" xfId="20658"/>
    <cellStyle name="Normal 2 15 3 2" xfId="20659"/>
    <cellStyle name="Normal 2 15 4" xfId="20660"/>
    <cellStyle name="Normal 2 15 4 2" xfId="20661"/>
    <cellStyle name="Normal 2 16" xfId="3626"/>
    <cellStyle name="Normal 2 16 2" xfId="20662"/>
    <cellStyle name="Normal 2 16 2 2" xfId="20663"/>
    <cellStyle name="Normal 2 17" xfId="3629"/>
    <cellStyle name="Normal 2 17 2" xfId="20664"/>
    <cellStyle name="Normal 2 17 2 2" xfId="20665"/>
    <cellStyle name="Normal 2 18" xfId="3631"/>
    <cellStyle name="Normal 2 19" xfId="3858"/>
    <cellStyle name="Normal 2 19 2" xfId="20667"/>
    <cellStyle name="Normal 2 19 2 2" xfId="20668"/>
    <cellStyle name="Normal 2 19 3" xfId="20669"/>
    <cellStyle name="Normal 2 19 4" xfId="20666"/>
    <cellStyle name="Normal 2 2" xfId="8"/>
    <cellStyle name="Normal 2 2 10" xfId="20670"/>
    <cellStyle name="Normal 2 2 10 2" xfId="20671"/>
    <cellStyle name="Normal 2 2 10 2 2" xfId="20672"/>
    <cellStyle name="Normal 2 2 10 3" xfId="20673"/>
    <cellStyle name="Normal 2 2 10 3 2" xfId="20674"/>
    <cellStyle name="Normal 2 2 10 4" xfId="20675"/>
    <cellStyle name="Normal 2 2 11" xfId="20676"/>
    <cellStyle name="Normal 2 2 11 2" xfId="20677"/>
    <cellStyle name="Normal 2 2 11 2 2" xfId="20678"/>
    <cellStyle name="Normal 2 2 11 3" xfId="20679"/>
    <cellStyle name="Normal 2 2 11 3 2" xfId="20680"/>
    <cellStyle name="Normal 2 2 11 4" xfId="20681"/>
    <cellStyle name="Normal 2 2 12" xfId="20682"/>
    <cellStyle name="Normal 2 2 12 2" xfId="20683"/>
    <cellStyle name="Normal 2 2 12 2 2" xfId="20684"/>
    <cellStyle name="Normal 2 2 12 3" xfId="20685"/>
    <cellStyle name="Normal 2 2 12 3 2" xfId="20686"/>
    <cellStyle name="Normal 2 2 12 4" xfId="20687"/>
    <cellStyle name="Normal 2 2 13" xfId="20688"/>
    <cellStyle name="Normal 2 2 13 2" xfId="20689"/>
    <cellStyle name="Normal 2 2 14" xfId="20690"/>
    <cellStyle name="Normal 2 2 14 2" xfId="20691"/>
    <cellStyle name="Normal 2 2 15" xfId="20692"/>
    <cellStyle name="Normal 2 2 15 2" xfId="20693"/>
    <cellStyle name="Normal 2 2 2" xfId="7103"/>
    <cellStyle name="Normal 2 2 2 2" xfId="20695"/>
    <cellStyle name="Normal 2 2 2 2 2" xfId="20696"/>
    <cellStyle name="Normal 2 2 2 3" xfId="20697"/>
    <cellStyle name="Normal 2 2 2 3 2" xfId="20698"/>
    <cellStyle name="Normal 2 2 2 4" xfId="20699"/>
    <cellStyle name="Normal 2 2 2 5" xfId="20694"/>
    <cellStyle name="Normal 2 2 3" xfId="20700"/>
    <cellStyle name="Normal 2 2 3 2" xfId="20701"/>
    <cellStyle name="Normal 2 2 3 2 2" xfId="20702"/>
    <cellStyle name="Normal 2 2 3 3" xfId="20703"/>
    <cellStyle name="Normal 2 2 3 3 2" xfId="20704"/>
    <cellStyle name="Normal 2 2 3 4" xfId="20705"/>
    <cellStyle name="Normal 2 2 3 5" xfId="24540"/>
    <cellStyle name="Normal 2 2 4" xfId="20706"/>
    <cellStyle name="Normal 2 2 4 2" xfId="20707"/>
    <cellStyle name="Normal 2 2 4 2 2" xfId="20708"/>
    <cellStyle name="Normal 2 2 4 3" xfId="20709"/>
    <cellStyle name="Normal 2 2 4 3 2" xfId="20710"/>
    <cellStyle name="Normal 2 2 4 4" xfId="20711"/>
    <cellStyle name="Normal 2 2 5" xfId="20712"/>
    <cellStyle name="Normal 2 2 5 2" xfId="20713"/>
    <cellStyle name="Normal 2 2 5 2 2" xfId="20714"/>
    <cellStyle name="Normal 2 2 5 3" xfId="20715"/>
    <cellStyle name="Normal 2 2 5 3 2" xfId="20716"/>
    <cellStyle name="Normal 2 2 5 4" xfId="20717"/>
    <cellStyle name="Normal 2 2 6" xfId="20718"/>
    <cellStyle name="Normal 2 2 6 2" xfId="20719"/>
    <cellStyle name="Normal 2 2 6 2 2" xfId="20720"/>
    <cellStyle name="Normal 2 2 6 3" xfId="20721"/>
    <cellStyle name="Normal 2 2 6 3 2" xfId="20722"/>
    <cellStyle name="Normal 2 2 6 4" xfId="20723"/>
    <cellStyle name="Normal 2 2 7" xfId="20724"/>
    <cellStyle name="Normal 2 2 7 2" xfId="20725"/>
    <cellStyle name="Normal 2 2 7 2 2" xfId="20726"/>
    <cellStyle name="Normal 2 2 7 3" xfId="20727"/>
    <cellStyle name="Normal 2 2 7 3 2" xfId="20728"/>
    <cellStyle name="Normal 2 2 7 4" xfId="20729"/>
    <cellStyle name="Normal 2 2 8" xfId="20730"/>
    <cellStyle name="Normal 2 2 8 2" xfId="20731"/>
    <cellStyle name="Normal 2 2 8 2 2" xfId="20732"/>
    <cellStyle name="Normal 2 2 8 3" xfId="20733"/>
    <cellStyle name="Normal 2 2 8 3 2" xfId="20734"/>
    <cellStyle name="Normal 2 2 8 4" xfId="20735"/>
    <cellStyle name="Normal 2 2 9" xfId="20736"/>
    <cellStyle name="Normal 2 2 9 2" xfId="20737"/>
    <cellStyle name="Normal 2 2 9 2 2" xfId="20738"/>
    <cellStyle name="Normal 2 2 9 3" xfId="20739"/>
    <cellStyle name="Normal 2 2 9 3 2" xfId="20740"/>
    <cellStyle name="Normal 2 2 9 4" xfId="20741"/>
    <cellStyle name="Normal 2 20" xfId="1001"/>
    <cellStyle name="Normal 2 20 2" xfId="20743"/>
    <cellStyle name="Normal 2 20 3" xfId="20742"/>
    <cellStyle name="Normal 2 21" xfId="20744"/>
    <cellStyle name="Normal 2 21 2" xfId="20745"/>
    <cellStyle name="Normal 2 22" xfId="24457"/>
    <cellStyle name="Normal 2 23" xfId="28685"/>
    <cellStyle name="Normal 2 24" xfId="28690"/>
    <cellStyle name="Normal 2 3" xfId="1274"/>
    <cellStyle name="Normal 2 3 10" xfId="20746"/>
    <cellStyle name="Normal 2 3 10 2" xfId="20747"/>
    <cellStyle name="Normal 2 3 10 2 2" xfId="20748"/>
    <cellStyle name="Normal 2 3 10 3" xfId="20749"/>
    <cellStyle name="Normal 2 3 10 3 2" xfId="20750"/>
    <cellStyle name="Normal 2 3 10 4" xfId="20751"/>
    <cellStyle name="Normal 2 3 11" xfId="20752"/>
    <cellStyle name="Normal 2 3 11 2" xfId="20753"/>
    <cellStyle name="Normal 2 3 11 2 2" xfId="20754"/>
    <cellStyle name="Normal 2 3 11 3" xfId="20755"/>
    <cellStyle name="Normal 2 3 11 3 2" xfId="20756"/>
    <cellStyle name="Normal 2 3 11 4" xfId="20757"/>
    <cellStyle name="Normal 2 3 12" xfId="20758"/>
    <cellStyle name="Normal 2 3 12 2" xfId="20759"/>
    <cellStyle name="Normal 2 3 12 2 2" xfId="20760"/>
    <cellStyle name="Normal 2 3 12 3" xfId="20761"/>
    <cellStyle name="Normal 2 3 12 3 2" xfId="20762"/>
    <cellStyle name="Normal 2 3 12 4" xfId="20763"/>
    <cellStyle name="Normal 2 3 13" xfId="20764"/>
    <cellStyle name="Normal 2 3 13 2" xfId="20765"/>
    <cellStyle name="Normal 2 3 14" xfId="20766"/>
    <cellStyle name="Normal 2 3 14 2" xfId="20767"/>
    <cellStyle name="Normal 2 3 15" xfId="20768"/>
    <cellStyle name="Normal 2 3 15 2" xfId="20769"/>
    <cellStyle name="Normal 2 3 2" xfId="20770"/>
    <cellStyle name="Normal 2 3 2 2" xfId="20771"/>
    <cellStyle name="Normal 2 3 2 2 2" xfId="20772"/>
    <cellStyle name="Normal 2 3 2 3" xfId="20773"/>
    <cellStyle name="Normal 2 3 2 3 2" xfId="20774"/>
    <cellStyle name="Normal 2 3 2 4" xfId="20775"/>
    <cellStyle name="Normal 2 3 3" xfId="20776"/>
    <cellStyle name="Normal 2 3 3 2" xfId="20777"/>
    <cellStyle name="Normal 2 3 3 2 2" xfId="20778"/>
    <cellStyle name="Normal 2 3 3 3" xfId="20779"/>
    <cellStyle name="Normal 2 3 3 3 2" xfId="20780"/>
    <cellStyle name="Normal 2 3 3 4" xfId="20781"/>
    <cellStyle name="Normal 2 3 4" xfId="20782"/>
    <cellStyle name="Normal 2 3 4 2" xfId="20783"/>
    <cellStyle name="Normal 2 3 4 2 2" xfId="20784"/>
    <cellStyle name="Normal 2 3 4 3" xfId="20785"/>
    <cellStyle name="Normal 2 3 4 3 2" xfId="20786"/>
    <cellStyle name="Normal 2 3 4 4" xfId="20787"/>
    <cellStyle name="Normal 2 3 5" xfId="20788"/>
    <cellStyle name="Normal 2 3 5 2" xfId="20789"/>
    <cellStyle name="Normal 2 3 5 2 2" xfId="20790"/>
    <cellStyle name="Normal 2 3 5 3" xfId="20791"/>
    <cellStyle name="Normal 2 3 5 3 2" xfId="20792"/>
    <cellStyle name="Normal 2 3 5 4" xfId="20793"/>
    <cellStyle name="Normal 2 3 6" xfId="20794"/>
    <cellStyle name="Normal 2 3 6 2" xfId="20795"/>
    <cellStyle name="Normal 2 3 6 2 2" xfId="20796"/>
    <cellStyle name="Normal 2 3 6 3" xfId="20797"/>
    <cellStyle name="Normal 2 3 6 3 2" xfId="20798"/>
    <cellStyle name="Normal 2 3 6 4" xfId="20799"/>
    <cellStyle name="Normal 2 3 7" xfId="20800"/>
    <cellStyle name="Normal 2 3 7 2" xfId="20801"/>
    <cellStyle name="Normal 2 3 7 2 2" xfId="20802"/>
    <cellStyle name="Normal 2 3 7 3" xfId="20803"/>
    <cellStyle name="Normal 2 3 7 3 2" xfId="20804"/>
    <cellStyle name="Normal 2 3 7 4" xfId="20805"/>
    <cellStyle name="Normal 2 3 8" xfId="20806"/>
    <cellStyle name="Normal 2 3 8 2" xfId="20807"/>
    <cellStyle name="Normal 2 3 8 2 2" xfId="20808"/>
    <cellStyle name="Normal 2 3 8 3" xfId="20809"/>
    <cellStyle name="Normal 2 3 8 3 2" xfId="20810"/>
    <cellStyle name="Normal 2 3 8 4" xfId="20811"/>
    <cellStyle name="Normal 2 3 9" xfId="20812"/>
    <cellStyle name="Normal 2 3 9 2" xfId="20813"/>
    <cellStyle name="Normal 2 3 9 2 2" xfId="20814"/>
    <cellStyle name="Normal 2 3 9 3" xfId="20815"/>
    <cellStyle name="Normal 2 3 9 3 2" xfId="20816"/>
    <cellStyle name="Normal 2 3 9 4" xfId="20817"/>
    <cellStyle name="Normal 2 4" xfId="1384"/>
    <cellStyle name="Normal 2 4 10" xfId="20818"/>
    <cellStyle name="Normal 2 4 10 2" xfId="20819"/>
    <cellStyle name="Normal 2 4 10 2 2" xfId="20820"/>
    <cellStyle name="Normal 2 4 10 3" xfId="20821"/>
    <cellStyle name="Normal 2 4 10 3 2" xfId="20822"/>
    <cellStyle name="Normal 2 4 10 4" xfId="20823"/>
    <cellStyle name="Normal 2 4 11" xfId="20824"/>
    <cellStyle name="Normal 2 4 11 2" xfId="20825"/>
    <cellStyle name="Normal 2 4 11 2 2" xfId="20826"/>
    <cellStyle name="Normal 2 4 11 3" xfId="20827"/>
    <cellStyle name="Normal 2 4 11 3 2" xfId="20828"/>
    <cellStyle name="Normal 2 4 11 4" xfId="20829"/>
    <cellStyle name="Normal 2 4 12" xfId="20830"/>
    <cellStyle name="Normal 2 4 12 2" xfId="20831"/>
    <cellStyle name="Normal 2 4 12 2 2" xfId="20832"/>
    <cellStyle name="Normal 2 4 12 3" xfId="20833"/>
    <cellStyle name="Normal 2 4 12 3 2" xfId="20834"/>
    <cellStyle name="Normal 2 4 12 4" xfId="20835"/>
    <cellStyle name="Normal 2 4 13" xfId="20836"/>
    <cellStyle name="Normal 2 4 13 2" xfId="20837"/>
    <cellStyle name="Normal 2 4 14" xfId="20838"/>
    <cellStyle name="Normal 2 4 14 2" xfId="20839"/>
    <cellStyle name="Normal 2 4 15" xfId="20840"/>
    <cellStyle name="Normal 2 4 15 2" xfId="20841"/>
    <cellStyle name="Normal 2 4 2" xfId="20842"/>
    <cellStyle name="Normal 2 4 2 2" xfId="20843"/>
    <cellStyle name="Normal 2 4 2 2 2" xfId="20844"/>
    <cellStyle name="Normal 2 4 2 3" xfId="20845"/>
    <cellStyle name="Normal 2 4 2 3 2" xfId="20846"/>
    <cellStyle name="Normal 2 4 2 4" xfId="20847"/>
    <cellStyle name="Normal 2 4 3" xfId="20848"/>
    <cellStyle name="Normal 2 4 3 2" xfId="20849"/>
    <cellStyle name="Normal 2 4 3 2 2" xfId="20850"/>
    <cellStyle name="Normal 2 4 3 3" xfId="20851"/>
    <cellStyle name="Normal 2 4 3 3 2" xfId="20852"/>
    <cellStyle name="Normal 2 4 3 4" xfId="20853"/>
    <cellStyle name="Normal 2 4 3 5" xfId="24793"/>
    <cellStyle name="Normal 2 4 3 5 2" xfId="26913"/>
    <cellStyle name="Normal 2 4 4" xfId="20854"/>
    <cellStyle name="Normal 2 4 4 2" xfId="20855"/>
    <cellStyle name="Normal 2 4 4 2 2" xfId="20856"/>
    <cellStyle name="Normal 2 4 4 3" xfId="20857"/>
    <cellStyle name="Normal 2 4 4 3 2" xfId="20858"/>
    <cellStyle name="Normal 2 4 4 4" xfId="20859"/>
    <cellStyle name="Normal 2 4 5" xfId="20860"/>
    <cellStyle name="Normal 2 4 5 2" xfId="20861"/>
    <cellStyle name="Normal 2 4 5 2 2" xfId="20862"/>
    <cellStyle name="Normal 2 4 5 3" xfId="20863"/>
    <cellStyle name="Normal 2 4 5 3 2" xfId="20864"/>
    <cellStyle name="Normal 2 4 5 4" xfId="20865"/>
    <cellStyle name="Normal 2 4 6" xfId="20866"/>
    <cellStyle name="Normal 2 4 6 2" xfId="20867"/>
    <cellStyle name="Normal 2 4 6 2 2" xfId="20868"/>
    <cellStyle name="Normal 2 4 6 3" xfId="20869"/>
    <cellStyle name="Normal 2 4 6 3 2" xfId="20870"/>
    <cellStyle name="Normal 2 4 6 4" xfId="20871"/>
    <cellStyle name="Normal 2 4 7" xfId="20872"/>
    <cellStyle name="Normal 2 4 7 2" xfId="20873"/>
    <cellStyle name="Normal 2 4 7 2 2" xfId="20874"/>
    <cellStyle name="Normal 2 4 7 3" xfId="20875"/>
    <cellStyle name="Normal 2 4 7 3 2" xfId="20876"/>
    <cellStyle name="Normal 2 4 7 4" xfId="20877"/>
    <cellStyle name="Normal 2 4 8" xfId="20878"/>
    <cellStyle name="Normal 2 4 8 2" xfId="20879"/>
    <cellStyle name="Normal 2 4 8 2 2" xfId="20880"/>
    <cellStyle name="Normal 2 4 8 3" xfId="20881"/>
    <cellStyle name="Normal 2 4 8 3 2" xfId="20882"/>
    <cellStyle name="Normal 2 4 8 4" xfId="20883"/>
    <cellStyle name="Normal 2 4 9" xfId="20884"/>
    <cellStyle name="Normal 2 4 9 2" xfId="20885"/>
    <cellStyle name="Normal 2 4 9 2 2" xfId="20886"/>
    <cellStyle name="Normal 2 4 9 3" xfId="20887"/>
    <cellStyle name="Normal 2 4 9 3 2" xfId="20888"/>
    <cellStyle name="Normal 2 4 9 4" xfId="20889"/>
    <cellStyle name="Normal 2 5" xfId="1388"/>
    <cellStyle name="Normal 2 5 2" xfId="20890"/>
    <cellStyle name="Normal 2 5 2 2" xfId="20891"/>
    <cellStyle name="Normal 2 5 2 2 2" xfId="20892"/>
    <cellStyle name="Normal 2 5 2 3" xfId="20893"/>
    <cellStyle name="Normal 2 5 2 3 2" xfId="20894"/>
    <cellStyle name="Normal 2 5 2 4" xfId="20895"/>
    <cellStyle name="Normal 2 5 2 5" xfId="24795"/>
    <cellStyle name="Normal 2 5 3" xfId="20896"/>
    <cellStyle name="Normal 2 5 3 2" xfId="20897"/>
    <cellStyle name="Normal 2 5 4" xfId="20898"/>
    <cellStyle name="Normal 2 5 4 2" xfId="20899"/>
    <cellStyle name="Normal 2 5 5" xfId="20900"/>
    <cellStyle name="Normal 2 5 5 2" xfId="20901"/>
    <cellStyle name="Normal 2 5 6" xfId="24794"/>
    <cellStyle name="Normal 2 6" xfId="1391"/>
    <cellStyle name="Normal 2 6 2" xfId="20902"/>
    <cellStyle name="Normal 2 6 2 2" xfId="20903"/>
    <cellStyle name="Normal 2 6 2 3" xfId="24797"/>
    <cellStyle name="Normal 2 6 3" xfId="20904"/>
    <cellStyle name="Normal 2 6 3 2" xfId="20905"/>
    <cellStyle name="Normal 2 6 4" xfId="20906"/>
    <cellStyle name="Normal 2 6 4 2" xfId="20907"/>
    <cellStyle name="Normal 2 6 5" xfId="24796"/>
    <cellStyle name="Normal 2 7" xfId="1394"/>
    <cellStyle name="Normal 2 7 2" xfId="20909"/>
    <cellStyle name="Normal 2 7 2 2" xfId="20910"/>
    <cellStyle name="Normal 2 7 3" xfId="20911"/>
    <cellStyle name="Normal 2 7 3 2" xfId="20912"/>
    <cellStyle name="Normal 2 7 4" xfId="20913"/>
    <cellStyle name="Normal 2 7 4 2" xfId="20914"/>
    <cellStyle name="Normal 2 7 5" xfId="24798"/>
    <cellStyle name="Normal 2 8" xfId="1568"/>
    <cellStyle name="Normal 2 8 2" xfId="20915"/>
    <cellStyle name="Normal 2 8 2 2" xfId="20916"/>
    <cellStyle name="Normal 2 8 3" xfId="20917"/>
    <cellStyle name="Normal 2 8 3 2" xfId="20918"/>
    <cellStyle name="Normal 2 8 4" xfId="20919"/>
    <cellStyle name="Normal 2 8 4 2" xfId="20920"/>
    <cellStyle name="Normal 2 9" xfId="1542"/>
    <cellStyle name="Normal 2 9 2" xfId="20921"/>
    <cellStyle name="Normal 2 9 2 2" xfId="20922"/>
    <cellStyle name="Normal 2 9 3" xfId="20923"/>
    <cellStyle name="Normal 2 9 3 2" xfId="20924"/>
    <cellStyle name="Normal 2 9 4" xfId="20925"/>
    <cellStyle name="Normal 2 9 4 2" xfId="20926"/>
    <cellStyle name="Normal 20" xfId="1015"/>
    <cellStyle name="Normal 20 10" xfId="20928"/>
    <cellStyle name="Normal 20 11" xfId="20927"/>
    <cellStyle name="Normal 20 2" xfId="3875"/>
    <cellStyle name="Normal 20 2 2" xfId="20930"/>
    <cellStyle name="Normal 20 2 3" xfId="20929"/>
    <cellStyle name="Normal 20 3" xfId="20931"/>
    <cellStyle name="Normal 20 3 2" xfId="20932"/>
    <cellStyle name="Normal 20 4" xfId="20933"/>
    <cellStyle name="Normal 20 4 2" xfId="20934"/>
    <cellStyle name="Normal 20 5" xfId="20935"/>
    <cellStyle name="Normal 20 5 2" xfId="20936"/>
    <cellStyle name="Normal 20 6" xfId="20937"/>
    <cellStyle name="Normal 20 6 2" xfId="20938"/>
    <cellStyle name="Normal 20 7" xfId="20939"/>
    <cellStyle name="Normal 20 7 2" xfId="20940"/>
    <cellStyle name="Normal 20 8" xfId="20941"/>
    <cellStyle name="Normal 20 8 2" xfId="20942"/>
    <cellStyle name="Normal 20 9" xfId="20943"/>
    <cellStyle name="Normal 20 9 2" xfId="20944"/>
    <cellStyle name="Normal 21" xfId="3816"/>
    <cellStyle name="Normal 21 10" xfId="20946"/>
    <cellStyle name="Normal 21 11" xfId="20945"/>
    <cellStyle name="Normal 21 2" xfId="20947"/>
    <cellStyle name="Normal 21 2 2" xfId="20948"/>
    <cellStyle name="Normal 21 3" xfId="20949"/>
    <cellStyle name="Normal 21 3 2" xfId="20950"/>
    <cellStyle name="Normal 21 4" xfId="20951"/>
    <cellStyle name="Normal 21 4 2" xfId="20952"/>
    <cellStyle name="Normal 21 5" xfId="20953"/>
    <cellStyle name="Normal 21 5 2" xfId="20954"/>
    <cellStyle name="Normal 21 6" xfId="20955"/>
    <cellStyle name="Normal 21 6 2" xfId="20956"/>
    <cellStyle name="Normal 21 7" xfId="20957"/>
    <cellStyle name="Normal 21 7 2" xfId="20958"/>
    <cellStyle name="Normal 21 8" xfId="20959"/>
    <cellStyle name="Normal 21 8 2" xfId="20960"/>
    <cellStyle name="Normal 21 9" xfId="20961"/>
    <cellStyle name="Normal 21 9 2" xfId="20962"/>
    <cellStyle name="Normal 22" xfId="1017"/>
    <cellStyle name="Normal 22 2" xfId="3877"/>
    <cellStyle name="Normal 22 2 2" xfId="20964"/>
    <cellStyle name="Normal 22 3" xfId="20963"/>
    <cellStyle name="Normal 23" xfId="4872"/>
    <cellStyle name="Normal 23 2" xfId="20966"/>
    <cellStyle name="Normal 23 3" xfId="20965"/>
    <cellStyle name="Normal 24" xfId="1018"/>
    <cellStyle name="Normal 24 2" xfId="3878"/>
    <cellStyle name="Normal 24 2 2" xfId="20969"/>
    <cellStyle name="Normal 24 2 3" xfId="20968"/>
    <cellStyle name="Normal 24 3" xfId="20970"/>
    <cellStyle name="Normal 24 3 2" xfId="20971"/>
    <cellStyle name="Normal 24 4" xfId="20972"/>
    <cellStyle name="Normal 24 4 2" xfId="20973"/>
    <cellStyle name="Normal 24 5" xfId="20974"/>
    <cellStyle name="Normal 24 6" xfId="20967"/>
    <cellStyle name="Normal 25" xfId="4873"/>
    <cellStyle name="Normal 25 2" xfId="20976"/>
    <cellStyle name="Normal 25 3" xfId="20975"/>
    <cellStyle name="Normal 26" xfId="1019"/>
    <cellStyle name="Normal 26 2" xfId="3880"/>
    <cellStyle name="Normal 26 2 2" xfId="20979"/>
    <cellStyle name="Normal 26 2 3" xfId="20978"/>
    <cellStyle name="Normal 26 3" xfId="20980"/>
    <cellStyle name="Normal 26 4" xfId="20977"/>
    <cellStyle name="Normal 27" xfId="7098"/>
    <cellStyle name="Normal 27 2" xfId="20982"/>
    <cellStyle name="Normal 27 3" xfId="20981"/>
    <cellStyle name="Normal 27 4" xfId="7116"/>
    <cellStyle name="Normal 28" xfId="1020"/>
    <cellStyle name="Normal 28 2" xfId="3882"/>
    <cellStyle name="Normal 29" xfId="7100"/>
    <cellStyle name="Normal 29 2" xfId="26914"/>
    <cellStyle name="Normal 3" xfId="9"/>
    <cellStyle name="Normal 3 2" xfId="10"/>
    <cellStyle name="Normal 3 2 2" xfId="4142"/>
    <cellStyle name="Normal 3 2 2 10" xfId="26916"/>
    <cellStyle name="Normal 3 2 2 2" xfId="4875"/>
    <cellStyle name="Normal 3 2 2 2 2" xfId="5450"/>
    <cellStyle name="Normal 3 2 2 2 2 2" xfId="6504"/>
    <cellStyle name="Normal 3 2 2 2 2 2 2" xfId="20986"/>
    <cellStyle name="Normal 3 2 2 2 2 2 3" xfId="26919"/>
    <cellStyle name="Normal 3 2 2 2 2 3" xfId="20985"/>
    <cellStyle name="Normal 3 2 2 2 2 4" xfId="26918"/>
    <cellStyle name="Normal 3 2 2 2 3" xfId="5760"/>
    <cellStyle name="Normal 3 2 2 2 3 2" xfId="6505"/>
    <cellStyle name="Normal 3 2 2 2 3 2 2" xfId="20988"/>
    <cellStyle name="Normal 3 2 2 2 3 2 3" xfId="26921"/>
    <cellStyle name="Normal 3 2 2 2 3 3" xfId="20987"/>
    <cellStyle name="Normal 3 2 2 2 3 4" xfId="26920"/>
    <cellStyle name="Normal 3 2 2 2 4" xfId="6503"/>
    <cellStyle name="Normal 3 2 2 2 4 2" xfId="20989"/>
    <cellStyle name="Normal 3 2 2 2 4 3" xfId="26922"/>
    <cellStyle name="Normal 3 2 2 2 5" xfId="20984"/>
    <cellStyle name="Normal 3 2 2 2 6" xfId="26917"/>
    <cellStyle name="Normal 3 2 2 3" xfId="5449"/>
    <cellStyle name="Normal 3 2 2 3 2" xfId="6506"/>
    <cellStyle name="Normal 3 2 2 3 2 2" xfId="20991"/>
    <cellStyle name="Normal 3 2 2 3 2 3" xfId="26924"/>
    <cellStyle name="Normal 3 2 2 3 3" xfId="20990"/>
    <cellStyle name="Normal 3 2 2 3 4" xfId="26923"/>
    <cellStyle name="Normal 3 2 2 4" xfId="5759"/>
    <cellStyle name="Normal 3 2 2 4 2" xfId="6507"/>
    <cellStyle name="Normal 3 2 2 4 2 2" xfId="20993"/>
    <cellStyle name="Normal 3 2 2 4 2 3" xfId="26926"/>
    <cellStyle name="Normal 3 2 2 4 3" xfId="20992"/>
    <cellStyle name="Normal 3 2 2 4 4" xfId="26925"/>
    <cellStyle name="Normal 3 2 2 5" xfId="4874"/>
    <cellStyle name="Normal 3 2 2 5 2" xfId="6508"/>
    <cellStyle name="Normal 3 2 2 5 2 2" xfId="26928"/>
    <cellStyle name="Normal 3 2 2 5 3" xfId="20994"/>
    <cellStyle name="Normal 3 2 2 5 4" xfId="26927"/>
    <cellStyle name="Normal 3 2 2 6" xfId="6502"/>
    <cellStyle name="Normal 3 2 2 6 2" xfId="26929"/>
    <cellStyle name="Normal 3 2 2 7" xfId="20983"/>
    <cellStyle name="Normal 3 2 2 8" xfId="24799"/>
    <cellStyle name="Normal 3 2 2 8 2" xfId="26930"/>
    <cellStyle name="Normal 3 2 2 9" xfId="24994"/>
    <cellStyle name="Normal 3 2 3" xfId="1275"/>
    <cellStyle name="Normal 3 2 3 2" xfId="5451"/>
    <cellStyle name="Normal 3 2 3 2 2" xfId="6510"/>
    <cellStyle name="Normal 3 2 3 2 2 2" xfId="26933"/>
    <cellStyle name="Normal 3 2 3 2 3" xfId="20996"/>
    <cellStyle name="Normal 3 2 3 2 4" xfId="26932"/>
    <cellStyle name="Normal 3 2 3 3" xfId="5761"/>
    <cellStyle name="Normal 3 2 3 3 2" xfId="6511"/>
    <cellStyle name="Normal 3 2 3 3 2 2" xfId="26935"/>
    <cellStyle name="Normal 3 2 3 3 3" xfId="26934"/>
    <cellStyle name="Normal 3 2 3 4" xfId="4876"/>
    <cellStyle name="Normal 3 2 3 4 2" xfId="6512"/>
    <cellStyle name="Normal 3 2 3 4 2 2" xfId="26937"/>
    <cellStyle name="Normal 3 2 3 4 3" xfId="26936"/>
    <cellStyle name="Normal 3 2 3 5" xfId="6509"/>
    <cellStyle name="Normal 3 2 3 5 2" xfId="26938"/>
    <cellStyle name="Normal 3 2 3 6" xfId="20995"/>
    <cellStyle name="Normal 3 2 3 7" xfId="24800"/>
    <cellStyle name="Normal 3 2 3 7 2" xfId="26939"/>
    <cellStyle name="Normal 3 2 3 8" xfId="26931"/>
    <cellStyle name="Normal 3 2 4" xfId="4877"/>
    <cellStyle name="Normal 3 2 4 2" xfId="6513"/>
    <cellStyle name="Normal 3 2 4 2 2" xfId="20999"/>
    <cellStyle name="Normal 3 2 4 2 3" xfId="20998"/>
    <cellStyle name="Normal 3 2 4 2 4" xfId="26941"/>
    <cellStyle name="Normal 3 2 4 3" xfId="21000"/>
    <cellStyle name="Normal 3 2 4 4" xfId="20997"/>
    <cellStyle name="Normal 3 2 4 5" xfId="24801"/>
    <cellStyle name="Normal 3 2 4 5 2" xfId="26942"/>
    <cellStyle name="Normal 3 2 4 6" xfId="26940"/>
    <cellStyle name="Normal 3 2 5" xfId="5448"/>
    <cellStyle name="Normal 3 2 5 2" xfId="6514"/>
    <cellStyle name="Normal 3 2 5 2 2" xfId="21003"/>
    <cellStyle name="Normal 3 2 5 2 3" xfId="21002"/>
    <cellStyle name="Normal 3 2 5 2 4" xfId="26944"/>
    <cellStyle name="Normal 3 2 5 3" xfId="21004"/>
    <cellStyle name="Normal 3 2 5 4" xfId="21001"/>
    <cellStyle name="Normal 3 2 5 5" xfId="26943"/>
    <cellStyle name="Normal 3 2 6" xfId="5758"/>
    <cellStyle name="Normal 3 2 6 2" xfId="6515"/>
    <cellStyle name="Normal 3 2 6 2 2" xfId="21006"/>
    <cellStyle name="Normal 3 2 6 2 3" xfId="26946"/>
    <cellStyle name="Normal 3 2 6 3" xfId="21005"/>
    <cellStyle name="Normal 3 2 6 4" xfId="26945"/>
    <cellStyle name="Normal 3 2 7" xfId="21007"/>
    <cellStyle name="Normal 3 2 7 2" xfId="21008"/>
    <cellStyle name="Normal 3 2 8" xfId="24505"/>
    <cellStyle name="Normal 3 2 8 2" xfId="26947"/>
    <cellStyle name="Normal 3 2 9" xfId="24874"/>
    <cellStyle name="Normal 3 3" xfId="60"/>
    <cellStyle name="Normal 3 3 2" xfId="21009"/>
    <cellStyle name="Normal 3 3 2 2" xfId="21010"/>
    <cellStyle name="Normal 3 3 2 3" xfId="24802"/>
    <cellStyle name="Normal 3 3 3" xfId="24803"/>
    <cellStyle name="Normal 3 3 3 2" xfId="26948"/>
    <cellStyle name="Normal 3 3 4" xfId="24541"/>
    <cellStyle name="Normal 3 4" xfId="66"/>
    <cellStyle name="Normal 3 4 2" xfId="3859"/>
    <cellStyle name="Normal 3 4 2 2" xfId="21013"/>
    <cellStyle name="Normal 3 4 2 2 2" xfId="21014"/>
    <cellStyle name="Normal 3 4 2 3" xfId="21015"/>
    <cellStyle name="Normal 3 4 2 3 2" xfId="21016"/>
    <cellStyle name="Normal 3 4 2 4" xfId="21017"/>
    <cellStyle name="Normal 3 4 2 5" xfId="21012"/>
    <cellStyle name="Normal 3 4 3" xfId="6516"/>
    <cellStyle name="Normal 3 4 3 2" xfId="21019"/>
    <cellStyle name="Normal 3 4 3 3" xfId="21018"/>
    <cellStyle name="Normal 3 4 3 4" xfId="26950"/>
    <cellStyle name="Normal 3 4 4" xfId="21020"/>
    <cellStyle name="Normal 3 4 4 2" xfId="21021"/>
    <cellStyle name="Normal 3 4 5" xfId="21022"/>
    <cellStyle name="Normal 3 4 6" xfId="21011"/>
    <cellStyle name="Normal 3 4 7" xfId="24570"/>
    <cellStyle name="Normal 3 4 7 2" xfId="26951"/>
    <cellStyle name="Normal 3 4 8" xfId="26949"/>
    <cellStyle name="Normal 3 5" xfId="1002"/>
    <cellStyle name="Normal 3 5 2" xfId="21023"/>
    <cellStyle name="Normal 3 5 3" xfId="24804"/>
    <cellStyle name="Normal 3 5 3 2" xfId="26952"/>
    <cellStyle name="Normal 3 6" xfId="6501"/>
    <cellStyle name="Normal 3 6 2" xfId="21025"/>
    <cellStyle name="Normal 3 6 2 2" xfId="21026"/>
    <cellStyle name="Normal 3 6 2 2 2" xfId="21027"/>
    <cellStyle name="Normal 3 6 2 3" xfId="21028"/>
    <cellStyle name="Normal 3 6 2 3 2" xfId="21029"/>
    <cellStyle name="Normal 3 6 2 4" xfId="21030"/>
    <cellStyle name="Normal 3 6 3" xfId="21031"/>
    <cellStyle name="Normal 3 6 3 2" xfId="21032"/>
    <cellStyle name="Normal 3 6 4" xfId="21033"/>
    <cellStyle name="Normal 3 6 4 2" xfId="21034"/>
    <cellStyle name="Normal 3 6 5" xfId="21035"/>
    <cellStyle name="Normal 3 6 6" xfId="21024"/>
    <cellStyle name="Normal 3 6 7" xfId="26953"/>
    <cellStyle name="Normal 3 7" xfId="24464"/>
    <cellStyle name="Normal 3 7 2" xfId="28689"/>
    <cellStyle name="Normal 3 8" xfId="26915"/>
    <cellStyle name="Normal 30" xfId="1021"/>
    <cellStyle name="Normal 30 2" xfId="3884"/>
    <cellStyle name="Normal 30 2 2" xfId="21037"/>
    <cellStyle name="Normal 30 3" xfId="21036"/>
    <cellStyle name="Normal 31" xfId="7113"/>
    <cellStyle name="Normal 31 2" xfId="26954"/>
    <cellStyle name="Normal 32" xfId="1023"/>
    <cellStyle name="Normal 32 2" xfId="3886"/>
    <cellStyle name="Normal 33" xfId="24465"/>
    <cellStyle name="Normal 34" xfId="1025"/>
    <cellStyle name="Normal 34 2" xfId="3888"/>
    <cellStyle name="Normal 35" xfId="24829"/>
    <cellStyle name="Normal 36" xfId="1027"/>
    <cellStyle name="Normal 36 2" xfId="3890"/>
    <cellStyle name="Normal 37" xfId="28137"/>
    <cellStyle name="Normal 38" xfId="1029"/>
    <cellStyle name="Normal 38 2" xfId="3892"/>
    <cellStyle name="Normal 39" xfId="28138"/>
    <cellStyle name="Normal 4" xfId="11"/>
    <cellStyle name="Normal 4 10" xfId="1108"/>
    <cellStyle name="Normal 4 10 10" xfId="21038"/>
    <cellStyle name="Normal 4 10 2" xfId="3672"/>
    <cellStyle name="Normal 4 10 2 2" xfId="4203"/>
    <cellStyle name="Normal 4 10 2 2 2" xfId="5454"/>
    <cellStyle name="Normal 4 10 2 2 2 2" xfId="6519"/>
    <cellStyle name="Normal 4 10 2 2 2 2 2" xfId="21042"/>
    <cellStyle name="Normal 4 10 2 2 2 2 3" xfId="26958"/>
    <cellStyle name="Normal 4 10 2 2 2 3" xfId="21041"/>
    <cellStyle name="Normal 4 10 2 2 2 4" xfId="26957"/>
    <cellStyle name="Normal 4 10 2 2 3" xfId="5764"/>
    <cellStyle name="Normal 4 10 2 2 3 2" xfId="6520"/>
    <cellStyle name="Normal 4 10 2 2 3 2 2" xfId="26960"/>
    <cellStyle name="Normal 4 10 2 2 3 3" xfId="21043"/>
    <cellStyle name="Normal 4 10 2 2 3 4" xfId="26959"/>
    <cellStyle name="Normal 4 10 2 2 4" xfId="4880"/>
    <cellStyle name="Normal 4 10 2 2 4 2" xfId="6521"/>
    <cellStyle name="Normal 4 10 2 2 4 2 2" xfId="26962"/>
    <cellStyle name="Normal 4 10 2 2 4 3" xfId="26961"/>
    <cellStyle name="Normal 4 10 2 2 5" xfId="6518"/>
    <cellStyle name="Normal 4 10 2 2 5 2" xfId="26963"/>
    <cellStyle name="Normal 4 10 2 2 6" xfId="21040"/>
    <cellStyle name="Normal 4 10 2 2 7" xfId="25055"/>
    <cellStyle name="Normal 4 10 2 2 8" xfId="26956"/>
    <cellStyle name="Normal 4 10 2 3" xfId="5453"/>
    <cellStyle name="Normal 4 10 2 3 2" xfId="6522"/>
    <cellStyle name="Normal 4 10 2 3 2 2" xfId="21046"/>
    <cellStyle name="Normal 4 10 2 3 2 3" xfId="21045"/>
    <cellStyle name="Normal 4 10 2 3 2 4" xfId="26965"/>
    <cellStyle name="Normal 4 10 2 3 3" xfId="21047"/>
    <cellStyle name="Normal 4 10 2 3 3 2" xfId="21048"/>
    <cellStyle name="Normal 4 10 2 3 4" xfId="21049"/>
    <cellStyle name="Normal 4 10 2 3 5" xfId="21044"/>
    <cellStyle name="Normal 4 10 2 3 6" xfId="26964"/>
    <cellStyle name="Normal 4 10 2 4" xfId="5763"/>
    <cellStyle name="Normal 4 10 2 4 2" xfId="6523"/>
    <cellStyle name="Normal 4 10 2 4 2 2" xfId="21051"/>
    <cellStyle name="Normal 4 10 2 4 2 3" xfId="26967"/>
    <cellStyle name="Normal 4 10 2 4 3" xfId="21050"/>
    <cellStyle name="Normal 4 10 2 4 4" xfId="26966"/>
    <cellStyle name="Normal 4 10 2 5" xfId="4879"/>
    <cellStyle name="Normal 4 10 2 5 2" xfId="6524"/>
    <cellStyle name="Normal 4 10 2 5 2 2" xfId="21053"/>
    <cellStyle name="Normal 4 10 2 5 2 3" xfId="26969"/>
    <cellStyle name="Normal 4 10 2 5 3" xfId="21052"/>
    <cellStyle name="Normal 4 10 2 5 4" xfId="26968"/>
    <cellStyle name="Normal 4 10 2 6" xfId="6517"/>
    <cellStyle name="Normal 4 10 2 6 2" xfId="21054"/>
    <cellStyle name="Normal 4 10 2 6 3" xfId="26970"/>
    <cellStyle name="Normal 4 10 2 7" xfId="21039"/>
    <cellStyle name="Normal 4 10 2 8" xfId="24935"/>
    <cellStyle name="Normal 4 10 2 9" xfId="26955"/>
    <cellStyle name="Normal 4 10 3" xfId="3978"/>
    <cellStyle name="Normal 4 10 3 2" xfId="5455"/>
    <cellStyle name="Normal 4 10 3 2 2" xfId="6525"/>
    <cellStyle name="Normal 4 10 3 2 2 2" xfId="21057"/>
    <cellStyle name="Normal 4 10 3 2 2 3" xfId="26972"/>
    <cellStyle name="Normal 4 10 3 2 3" xfId="21056"/>
    <cellStyle name="Normal 4 10 3 2 4" xfId="26971"/>
    <cellStyle name="Normal 4 10 3 3" xfId="5765"/>
    <cellStyle name="Normal 4 10 3 3 2" xfId="6526"/>
    <cellStyle name="Normal 4 10 3 3 2 2" xfId="26974"/>
    <cellStyle name="Normal 4 10 3 3 3" xfId="21058"/>
    <cellStyle name="Normal 4 10 3 3 4" xfId="26973"/>
    <cellStyle name="Normal 4 10 3 4" xfId="4881"/>
    <cellStyle name="Normal 4 10 3 4 2" xfId="6527"/>
    <cellStyle name="Normal 4 10 3 4 2 2" xfId="26976"/>
    <cellStyle name="Normal 4 10 3 4 3" xfId="26975"/>
    <cellStyle name="Normal 4 10 3 5" xfId="21055"/>
    <cellStyle name="Normal 4 10 4" xfId="5452"/>
    <cellStyle name="Normal 4 10 4 2" xfId="6528"/>
    <cellStyle name="Normal 4 10 4 2 2" xfId="21060"/>
    <cellStyle name="Normal 4 10 4 2 3" xfId="26978"/>
    <cellStyle name="Normal 4 10 4 3" xfId="21059"/>
    <cellStyle name="Normal 4 10 4 4" xfId="26977"/>
    <cellStyle name="Normal 4 10 5" xfId="5762"/>
    <cellStyle name="Normal 4 10 5 2" xfId="6529"/>
    <cellStyle name="Normal 4 10 5 2 2" xfId="21063"/>
    <cellStyle name="Normal 4 10 5 2 3" xfId="21062"/>
    <cellStyle name="Normal 4 10 5 2 4" xfId="26980"/>
    <cellStyle name="Normal 4 10 5 3" xfId="21064"/>
    <cellStyle name="Normal 4 10 5 4" xfId="21061"/>
    <cellStyle name="Normal 4 10 5 5" xfId="26979"/>
    <cellStyle name="Normal 4 10 6" xfId="4878"/>
    <cellStyle name="Normal 4 10 6 2" xfId="6530"/>
    <cellStyle name="Normal 4 10 6 2 2" xfId="21067"/>
    <cellStyle name="Normal 4 10 6 2 3" xfId="21066"/>
    <cellStyle name="Normal 4 10 6 2 4" xfId="26982"/>
    <cellStyle name="Normal 4 10 6 3" xfId="21068"/>
    <cellStyle name="Normal 4 10 6 4" xfId="21065"/>
    <cellStyle name="Normal 4 10 6 5" xfId="26981"/>
    <cellStyle name="Normal 4 10 7" xfId="21069"/>
    <cellStyle name="Normal 4 10 7 2" xfId="21070"/>
    <cellStyle name="Normal 4 10 8" xfId="21071"/>
    <cellStyle name="Normal 4 10 8 2" xfId="21072"/>
    <cellStyle name="Normal 4 10 9" xfId="21073"/>
    <cellStyle name="Normal 4 11" xfId="1118"/>
    <cellStyle name="Normal 4 11 2" xfId="3988"/>
    <cellStyle name="Normal 4 11 2 2" xfId="21075"/>
    <cellStyle name="Normal 4 11 2 3" xfId="21074"/>
    <cellStyle name="Normal 4 11 3" xfId="4882"/>
    <cellStyle name="Normal 4 11 3 2" xfId="21076"/>
    <cellStyle name="Normal 4 11 4" xfId="21077"/>
    <cellStyle name="Normal 4 11 4 2" xfId="21078"/>
    <cellStyle name="Normal 4 11 5" xfId="21079"/>
    <cellStyle name="Normal 4 11 5 2" xfId="21080"/>
    <cellStyle name="Normal 4 12" xfId="1128"/>
    <cellStyle name="Normal 4 12 2" xfId="3998"/>
    <cellStyle name="Normal 4 12 2 2" xfId="21083"/>
    <cellStyle name="Normal 4 12 2 3" xfId="21082"/>
    <cellStyle name="Normal 4 12 3" xfId="21084"/>
    <cellStyle name="Normal 4 12 3 2" xfId="21085"/>
    <cellStyle name="Normal 4 12 4" xfId="21086"/>
    <cellStyle name="Normal 4 12 4 2" xfId="21087"/>
    <cellStyle name="Normal 4 12 5" xfId="21088"/>
    <cellStyle name="Normal 4 12 6" xfId="21081"/>
    <cellStyle name="Normal 4 13" xfId="1138"/>
    <cellStyle name="Normal 4 13 2" xfId="4008"/>
    <cellStyle name="Normal 4 13 2 2" xfId="21091"/>
    <cellStyle name="Normal 4 13 2 3" xfId="21090"/>
    <cellStyle name="Normal 4 13 3" xfId="21092"/>
    <cellStyle name="Normal 4 13 3 2" xfId="21093"/>
    <cellStyle name="Normal 4 13 4" xfId="21094"/>
    <cellStyle name="Normal 4 13 4 2" xfId="21095"/>
    <cellStyle name="Normal 4 13 5" xfId="21096"/>
    <cellStyle name="Normal 4 13 6" xfId="21089"/>
    <cellStyle name="Normal 4 14" xfId="1151"/>
    <cellStyle name="Normal 4 14 2" xfId="4021"/>
    <cellStyle name="Normal 4 14 2 2" xfId="21099"/>
    <cellStyle name="Normal 4 14 2 3" xfId="21098"/>
    <cellStyle name="Normal 4 14 3" xfId="21100"/>
    <cellStyle name="Normal 4 14 3 2" xfId="21101"/>
    <cellStyle name="Normal 4 14 4" xfId="21102"/>
    <cellStyle name="Normal 4 14 4 2" xfId="21103"/>
    <cellStyle name="Normal 4 14 5" xfId="21104"/>
    <cellStyle name="Normal 4 14 6" xfId="21097"/>
    <cellStyle name="Normal 4 15" xfId="1155"/>
    <cellStyle name="Normal 4 15 2" xfId="4025"/>
    <cellStyle name="Normal 4 15 2 2" xfId="21107"/>
    <cellStyle name="Normal 4 15 2 3" xfId="21106"/>
    <cellStyle name="Normal 4 15 3" xfId="21108"/>
    <cellStyle name="Normal 4 15 4" xfId="21105"/>
    <cellStyle name="Normal 4 16" xfId="1168"/>
    <cellStyle name="Normal 4 16 2" xfId="4038"/>
    <cellStyle name="Normal 4 16 2 2" xfId="21111"/>
    <cellStyle name="Normal 4 16 2 3" xfId="21110"/>
    <cellStyle name="Normal 4 16 3" xfId="21112"/>
    <cellStyle name="Normal 4 16 4" xfId="21109"/>
    <cellStyle name="Normal 4 17" xfId="1178"/>
    <cellStyle name="Normal 4 17 2" xfId="4048"/>
    <cellStyle name="Normal 4 17 2 2" xfId="21115"/>
    <cellStyle name="Normal 4 17 2 3" xfId="21114"/>
    <cellStyle name="Normal 4 17 3" xfId="21116"/>
    <cellStyle name="Normal 4 17 4" xfId="21113"/>
    <cellStyle name="Normal 4 18" xfId="1188"/>
    <cellStyle name="Normal 4 18 2" xfId="4058"/>
    <cellStyle name="Normal 4 18 2 2" xfId="21118"/>
    <cellStyle name="Normal 4 18 3" xfId="21117"/>
    <cellStyle name="Normal 4 19" xfId="1198"/>
    <cellStyle name="Normal 4 19 2" xfId="4068"/>
    <cellStyle name="Normal 4 19 2 2" xfId="21120"/>
    <cellStyle name="Normal 4 19 3" xfId="21119"/>
    <cellStyle name="Normal 4 2" xfId="1037"/>
    <cellStyle name="Normal 4 2 10" xfId="21122"/>
    <cellStyle name="Normal 4 2 10 2" xfId="21123"/>
    <cellStyle name="Normal 4 2 10 2 2" xfId="21124"/>
    <cellStyle name="Normal 4 2 10 3" xfId="21125"/>
    <cellStyle name="Normal 4 2 10 3 2" xfId="21126"/>
    <cellStyle name="Normal 4 2 10 4" xfId="21127"/>
    <cellStyle name="Normal 4 2 11" xfId="21128"/>
    <cellStyle name="Normal 4 2 11 2" xfId="21129"/>
    <cellStyle name="Normal 4 2 11 2 2" xfId="21130"/>
    <cellStyle name="Normal 4 2 11 3" xfId="21131"/>
    <cellStyle name="Normal 4 2 11 3 2" xfId="21132"/>
    <cellStyle name="Normal 4 2 11 4" xfId="21133"/>
    <cellStyle name="Normal 4 2 12" xfId="21134"/>
    <cellStyle name="Normal 4 2 12 2" xfId="21135"/>
    <cellStyle name="Normal 4 2 12 2 2" xfId="21136"/>
    <cellStyle name="Normal 4 2 12 3" xfId="21137"/>
    <cellStyle name="Normal 4 2 12 3 2" xfId="21138"/>
    <cellStyle name="Normal 4 2 12 4" xfId="21139"/>
    <cellStyle name="Normal 4 2 13" xfId="21140"/>
    <cellStyle name="Normal 4 2 13 2" xfId="21141"/>
    <cellStyle name="Normal 4 2 14" xfId="21142"/>
    <cellStyle name="Normal 4 2 14 2" xfId="21143"/>
    <cellStyle name="Normal 4 2 15" xfId="21144"/>
    <cellStyle name="Normal 4 2 15 2" xfId="21145"/>
    <cellStyle name="Normal 4 2 16" xfId="21146"/>
    <cellStyle name="Normal 4 2 16 2" xfId="21147"/>
    <cellStyle name="Normal 4 2 16 2 2" xfId="21148"/>
    <cellStyle name="Normal 4 2 16 3" xfId="21149"/>
    <cellStyle name="Normal 4 2 17" xfId="21150"/>
    <cellStyle name="Normal 4 2 17 2" xfId="21151"/>
    <cellStyle name="Normal 4 2 17 2 2" xfId="21152"/>
    <cellStyle name="Normal 4 2 17 3" xfId="21153"/>
    <cellStyle name="Normal 4 2 18" xfId="21154"/>
    <cellStyle name="Normal 4 2 18 2" xfId="21155"/>
    <cellStyle name="Normal 4 2 19" xfId="21156"/>
    <cellStyle name="Normal 4 2 19 2" xfId="21157"/>
    <cellStyle name="Normal 4 2 2" xfId="3716"/>
    <cellStyle name="Normal 4 2 2 10" xfId="24938"/>
    <cellStyle name="Normal 4 2 2 11" xfId="26983"/>
    <cellStyle name="Normal 4 2 2 2" xfId="4206"/>
    <cellStyle name="Normal 4 2 2 2 2" xfId="4886"/>
    <cellStyle name="Normal 4 2 2 2 2 2" xfId="5459"/>
    <cellStyle name="Normal 4 2 2 2 2 2 2" xfId="6534"/>
    <cellStyle name="Normal 4 2 2 2 2 2 2 2" xfId="21162"/>
    <cellStyle name="Normal 4 2 2 2 2 2 2 3" xfId="26987"/>
    <cellStyle name="Normal 4 2 2 2 2 2 3" xfId="21161"/>
    <cellStyle name="Normal 4 2 2 2 2 2 4" xfId="26986"/>
    <cellStyle name="Normal 4 2 2 2 2 3" xfId="5769"/>
    <cellStyle name="Normal 4 2 2 2 2 3 2" xfId="6535"/>
    <cellStyle name="Normal 4 2 2 2 2 3 2 2" xfId="26989"/>
    <cellStyle name="Normal 4 2 2 2 2 3 3" xfId="21163"/>
    <cellStyle name="Normal 4 2 2 2 2 3 4" xfId="26988"/>
    <cellStyle name="Normal 4 2 2 2 2 4" xfId="6533"/>
    <cellStyle name="Normal 4 2 2 2 2 4 2" xfId="26990"/>
    <cellStyle name="Normal 4 2 2 2 2 5" xfId="21160"/>
    <cellStyle name="Normal 4 2 2 2 2 6" xfId="26985"/>
    <cellStyle name="Normal 4 2 2 2 3" xfId="5458"/>
    <cellStyle name="Normal 4 2 2 2 3 2" xfId="6536"/>
    <cellStyle name="Normal 4 2 2 2 3 2 2" xfId="21166"/>
    <cellStyle name="Normal 4 2 2 2 3 2 3" xfId="21165"/>
    <cellStyle name="Normal 4 2 2 2 3 2 4" xfId="26992"/>
    <cellStyle name="Normal 4 2 2 2 3 3" xfId="21167"/>
    <cellStyle name="Normal 4 2 2 2 3 3 2" xfId="21168"/>
    <cellStyle name="Normal 4 2 2 2 3 4" xfId="21169"/>
    <cellStyle name="Normal 4 2 2 2 3 5" xfId="21164"/>
    <cellStyle name="Normal 4 2 2 2 3 6" xfId="26991"/>
    <cellStyle name="Normal 4 2 2 2 4" xfId="5768"/>
    <cellStyle name="Normal 4 2 2 2 4 2" xfId="6537"/>
    <cellStyle name="Normal 4 2 2 2 4 2 2" xfId="21171"/>
    <cellStyle name="Normal 4 2 2 2 4 2 3" xfId="26994"/>
    <cellStyle name="Normal 4 2 2 2 4 3" xfId="21170"/>
    <cellStyle name="Normal 4 2 2 2 4 4" xfId="26993"/>
    <cellStyle name="Normal 4 2 2 2 5" xfId="4885"/>
    <cellStyle name="Normal 4 2 2 2 5 2" xfId="6538"/>
    <cellStyle name="Normal 4 2 2 2 5 2 2" xfId="21173"/>
    <cellStyle name="Normal 4 2 2 2 5 2 3" xfId="26996"/>
    <cellStyle name="Normal 4 2 2 2 5 3" xfId="21172"/>
    <cellStyle name="Normal 4 2 2 2 5 4" xfId="26995"/>
    <cellStyle name="Normal 4 2 2 2 6" xfId="6532"/>
    <cellStyle name="Normal 4 2 2 2 6 2" xfId="21174"/>
    <cellStyle name="Normal 4 2 2 2 6 3" xfId="26997"/>
    <cellStyle name="Normal 4 2 2 2 7" xfId="21159"/>
    <cellStyle name="Normal 4 2 2 2 8" xfId="25058"/>
    <cellStyle name="Normal 4 2 2 2 9" xfId="26984"/>
    <cellStyle name="Normal 4 2 2 3" xfId="4887"/>
    <cellStyle name="Normal 4 2 2 3 2" xfId="5460"/>
    <cellStyle name="Normal 4 2 2 3 2 2" xfId="6540"/>
    <cellStyle name="Normal 4 2 2 3 2 2 2" xfId="21177"/>
    <cellStyle name="Normal 4 2 2 3 2 2 3" xfId="27000"/>
    <cellStyle name="Normal 4 2 2 3 2 3" xfId="21176"/>
    <cellStyle name="Normal 4 2 2 3 2 4" xfId="26999"/>
    <cellStyle name="Normal 4 2 2 3 3" xfId="5770"/>
    <cellStyle name="Normal 4 2 2 3 3 2" xfId="6541"/>
    <cellStyle name="Normal 4 2 2 3 3 2 2" xfId="27002"/>
    <cellStyle name="Normal 4 2 2 3 3 3" xfId="21178"/>
    <cellStyle name="Normal 4 2 2 3 3 4" xfId="27001"/>
    <cellStyle name="Normal 4 2 2 3 4" xfId="6539"/>
    <cellStyle name="Normal 4 2 2 3 4 2" xfId="27003"/>
    <cellStyle name="Normal 4 2 2 3 5" xfId="21175"/>
    <cellStyle name="Normal 4 2 2 3 6" xfId="26998"/>
    <cellStyle name="Normal 4 2 2 4" xfId="5457"/>
    <cellStyle name="Normal 4 2 2 4 2" xfId="6542"/>
    <cellStyle name="Normal 4 2 2 4 2 2" xfId="21180"/>
    <cellStyle name="Normal 4 2 2 4 2 3" xfId="27005"/>
    <cellStyle name="Normal 4 2 2 4 3" xfId="21179"/>
    <cellStyle name="Normal 4 2 2 4 4" xfId="27004"/>
    <cellStyle name="Normal 4 2 2 5" xfId="5767"/>
    <cellStyle name="Normal 4 2 2 5 2" xfId="6543"/>
    <cellStyle name="Normal 4 2 2 5 2 2" xfId="21183"/>
    <cellStyle name="Normal 4 2 2 5 2 3" xfId="21182"/>
    <cellStyle name="Normal 4 2 2 5 2 4" xfId="27007"/>
    <cellStyle name="Normal 4 2 2 5 3" xfId="21184"/>
    <cellStyle name="Normal 4 2 2 5 3 2" xfId="21185"/>
    <cellStyle name="Normal 4 2 2 5 4" xfId="21186"/>
    <cellStyle name="Normal 4 2 2 5 5" xfId="21181"/>
    <cellStyle name="Normal 4 2 2 5 6" xfId="27006"/>
    <cellStyle name="Normal 4 2 2 6" xfId="4884"/>
    <cellStyle name="Normal 4 2 2 6 2" xfId="6544"/>
    <cellStyle name="Normal 4 2 2 6 2 2" xfId="21188"/>
    <cellStyle name="Normal 4 2 2 6 2 3" xfId="27009"/>
    <cellStyle name="Normal 4 2 2 6 3" xfId="21187"/>
    <cellStyle name="Normal 4 2 2 6 4" xfId="27008"/>
    <cellStyle name="Normal 4 2 2 7" xfId="6531"/>
    <cellStyle name="Normal 4 2 2 7 2" xfId="21190"/>
    <cellStyle name="Normal 4 2 2 7 3" xfId="21189"/>
    <cellStyle name="Normal 4 2 2 7 4" xfId="27010"/>
    <cellStyle name="Normal 4 2 2 8" xfId="21191"/>
    <cellStyle name="Normal 4 2 2 9" xfId="21158"/>
    <cellStyle name="Normal 4 2 20" xfId="21192"/>
    <cellStyle name="Normal 4 2 21" xfId="21121"/>
    <cellStyle name="Normal 4 2 3" xfId="1362"/>
    <cellStyle name="Normal 4 2 3 10" xfId="24894"/>
    <cellStyle name="Normal 4 2 3 11" xfId="27011"/>
    <cellStyle name="Normal 4 2 3 2" xfId="4162"/>
    <cellStyle name="Normal 4 2 3 2 2" xfId="5462"/>
    <cellStyle name="Normal 4 2 3 2 2 2" xfId="6547"/>
    <cellStyle name="Normal 4 2 3 2 2 2 2" xfId="21196"/>
    <cellStyle name="Normal 4 2 3 2 2 2 3" xfId="27014"/>
    <cellStyle name="Normal 4 2 3 2 2 3" xfId="21195"/>
    <cellStyle name="Normal 4 2 3 2 2 4" xfId="27013"/>
    <cellStyle name="Normal 4 2 3 2 3" xfId="5772"/>
    <cellStyle name="Normal 4 2 3 2 3 2" xfId="6548"/>
    <cellStyle name="Normal 4 2 3 2 3 2 2" xfId="27016"/>
    <cellStyle name="Normal 4 2 3 2 3 3" xfId="21197"/>
    <cellStyle name="Normal 4 2 3 2 3 4" xfId="27015"/>
    <cellStyle name="Normal 4 2 3 2 4" xfId="4889"/>
    <cellStyle name="Normal 4 2 3 2 4 2" xfId="6549"/>
    <cellStyle name="Normal 4 2 3 2 4 2 2" xfId="27018"/>
    <cellStyle name="Normal 4 2 3 2 4 3" xfId="27017"/>
    <cellStyle name="Normal 4 2 3 2 5" xfId="6546"/>
    <cellStyle name="Normal 4 2 3 2 5 2" xfId="27019"/>
    <cellStyle name="Normal 4 2 3 2 6" xfId="21194"/>
    <cellStyle name="Normal 4 2 3 2 7" xfId="25014"/>
    <cellStyle name="Normal 4 2 3 2 8" xfId="27012"/>
    <cellStyle name="Normal 4 2 3 3" xfId="5461"/>
    <cellStyle name="Normal 4 2 3 3 2" xfId="6550"/>
    <cellStyle name="Normal 4 2 3 3 2 2" xfId="21199"/>
    <cellStyle name="Normal 4 2 3 3 2 3" xfId="27021"/>
    <cellStyle name="Normal 4 2 3 3 3" xfId="21198"/>
    <cellStyle name="Normal 4 2 3 3 4" xfId="27020"/>
    <cellStyle name="Normal 4 2 3 4" xfId="5771"/>
    <cellStyle name="Normal 4 2 3 4 2" xfId="6551"/>
    <cellStyle name="Normal 4 2 3 4 2 2" xfId="21201"/>
    <cellStyle name="Normal 4 2 3 4 2 3" xfId="27023"/>
    <cellStyle name="Normal 4 2 3 4 3" xfId="21200"/>
    <cellStyle name="Normal 4 2 3 4 4" xfId="27022"/>
    <cellStyle name="Normal 4 2 3 5" xfId="4888"/>
    <cellStyle name="Normal 4 2 3 5 2" xfId="6552"/>
    <cellStyle name="Normal 4 2 3 5 2 2" xfId="21204"/>
    <cellStyle name="Normal 4 2 3 5 2 3" xfId="21203"/>
    <cellStyle name="Normal 4 2 3 5 2 4" xfId="27025"/>
    <cellStyle name="Normal 4 2 3 5 3" xfId="21205"/>
    <cellStyle name="Normal 4 2 3 5 3 2" xfId="21206"/>
    <cellStyle name="Normal 4 2 3 5 4" xfId="21207"/>
    <cellStyle name="Normal 4 2 3 5 5" xfId="21202"/>
    <cellStyle name="Normal 4 2 3 5 6" xfId="27024"/>
    <cellStyle name="Normal 4 2 3 6" xfId="6545"/>
    <cellStyle name="Normal 4 2 3 6 2" xfId="21209"/>
    <cellStyle name="Normal 4 2 3 6 3" xfId="21208"/>
    <cellStyle name="Normal 4 2 3 6 4" xfId="27026"/>
    <cellStyle name="Normal 4 2 3 7" xfId="21210"/>
    <cellStyle name="Normal 4 2 3 7 2" xfId="21211"/>
    <cellStyle name="Normal 4 2 3 8" xfId="21212"/>
    <cellStyle name="Normal 4 2 3 9" xfId="21193"/>
    <cellStyle name="Normal 4 2 4" xfId="3902"/>
    <cellStyle name="Normal 4 2 4 2" xfId="5463"/>
    <cellStyle name="Normal 4 2 4 2 2" xfId="6553"/>
    <cellStyle name="Normal 4 2 4 2 2 2" xfId="21215"/>
    <cellStyle name="Normal 4 2 4 2 2 3" xfId="27028"/>
    <cellStyle name="Normal 4 2 4 2 3" xfId="21214"/>
    <cellStyle name="Normal 4 2 4 2 4" xfId="27027"/>
    <cellStyle name="Normal 4 2 4 3" xfId="5773"/>
    <cellStyle name="Normal 4 2 4 3 2" xfId="6554"/>
    <cellStyle name="Normal 4 2 4 3 2 2" xfId="21217"/>
    <cellStyle name="Normal 4 2 4 3 2 3" xfId="27030"/>
    <cellStyle name="Normal 4 2 4 3 3" xfId="21216"/>
    <cellStyle name="Normal 4 2 4 3 4" xfId="27029"/>
    <cellStyle name="Normal 4 2 4 4" xfId="4890"/>
    <cellStyle name="Normal 4 2 4 4 2" xfId="6555"/>
    <cellStyle name="Normal 4 2 4 4 2 2" xfId="21219"/>
    <cellStyle name="Normal 4 2 4 4 2 3" xfId="27032"/>
    <cellStyle name="Normal 4 2 4 4 3" xfId="21218"/>
    <cellStyle name="Normal 4 2 4 4 4" xfId="27031"/>
    <cellStyle name="Normal 4 2 4 5" xfId="21220"/>
    <cellStyle name="Normal 4 2 4 6" xfId="21213"/>
    <cellStyle name="Normal 4 2 5" xfId="5456"/>
    <cellStyle name="Normal 4 2 5 2" xfId="6556"/>
    <cellStyle name="Normal 4 2 5 2 2" xfId="21223"/>
    <cellStyle name="Normal 4 2 5 2 3" xfId="21222"/>
    <cellStyle name="Normal 4 2 5 2 4" xfId="27034"/>
    <cellStyle name="Normal 4 2 5 3" xfId="21224"/>
    <cellStyle name="Normal 4 2 5 3 2" xfId="21225"/>
    <cellStyle name="Normal 4 2 5 4" xfId="21226"/>
    <cellStyle name="Normal 4 2 5 5" xfId="21221"/>
    <cellStyle name="Normal 4 2 5 6" xfId="27033"/>
    <cellStyle name="Normal 4 2 6" xfId="5766"/>
    <cellStyle name="Normal 4 2 6 2" xfId="6557"/>
    <cellStyle name="Normal 4 2 6 2 2" xfId="21229"/>
    <cellStyle name="Normal 4 2 6 2 3" xfId="21228"/>
    <cellStyle name="Normal 4 2 6 2 4" xfId="27036"/>
    <cellStyle name="Normal 4 2 6 3" xfId="21230"/>
    <cellStyle name="Normal 4 2 6 3 2" xfId="21231"/>
    <cellStyle name="Normal 4 2 6 4" xfId="21232"/>
    <cellStyle name="Normal 4 2 6 5" xfId="21227"/>
    <cellStyle name="Normal 4 2 6 6" xfId="27035"/>
    <cellStyle name="Normal 4 2 7" xfId="4883"/>
    <cellStyle name="Normal 4 2 7 2" xfId="6558"/>
    <cellStyle name="Normal 4 2 7 2 2" xfId="21235"/>
    <cellStyle name="Normal 4 2 7 2 3" xfId="21234"/>
    <cellStyle name="Normal 4 2 7 2 4" xfId="27038"/>
    <cellStyle name="Normal 4 2 7 3" xfId="21236"/>
    <cellStyle name="Normal 4 2 7 3 2" xfId="21237"/>
    <cellStyle name="Normal 4 2 7 4" xfId="21238"/>
    <cellStyle name="Normal 4 2 7 5" xfId="21233"/>
    <cellStyle name="Normal 4 2 7 6" xfId="27037"/>
    <cellStyle name="Normal 4 2 8" xfId="21239"/>
    <cellStyle name="Normal 4 2 8 2" xfId="21240"/>
    <cellStyle name="Normal 4 2 8 2 2" xfId="21241"/>
    <cellStyle name="Normal 4 2 8 3" xfId="21242"/>
    <cellStyle name="Normal 4 2 8 3 2" xfId="21243"/>
    <cellStyle name="Normal 4 2 8 4" xfId="21244"/>
    <cellStyle name="Normal 4 2 9" xfId="21245"/>
    <cellStyle name="Normal 4 2 9 2" xfId="21246"/>
    <cellStyle name="Normal 4 2 9 2 2" xfId="21247"/>
    <cellStyle name="Normal 4 2 9 3" xfId="21248"/>
    <cellStyle name="Normal 4 2 9 3 2" xfId="21249"/>
    <cellStyle name="Normal 4 2 9 4" xfId="21250"/>
    <cellStyle name="Normal 4 20" xfId="1208"/>
    <cellStyle name="Normal 4 20 2" xfId="4078"/>
    <cellStyle name="Normal 4 20 2 2" xfId="21252"/>
    <cellStyle name="Normal 4 20 3" xfId="21251"/>
    <cellStyle name="Normal 4 21" xfId="1218"/>
    <cellStyle name="Normal 4 21 2" xfId="4088"/>
    <cellStyle name="Normal 4 21 2 2" xfId="21254"/>
    <cellStyle name="Normal 4 21 3" xfId="21253"/>
    <cellStyle name="Normal 4 22" xfId="1228"/>
    <cellStyle name="Normal 4 22 2" xfId="4098"/>
    <cellStyle name="Normal 4 22 3" xfId="28687"/>
    <cellStyle name="Normal 4 23" xfId="1238"/>
    <cellStyle name="Normal 4 23 2" xfId="4108"/>
    <cellStyle name="Normal 4 24" xfId="1248"/>
    <cellStyle name="Normal 4 24 2" xfId="4118"/>
    <cellStyle name="Normal 4 25" xfId="1258"/>
    <cellStyle name="Normal 4 25 2" xfId="4128"/>
    <cellStyle name="Normal 4 26" xfId="3627"/>
    <cellStyle name="Normal 4 27" xfId="3829"/>
    <cellStyle name="Normal 4 27 2" xfId="6559"/>
    <cellStyle name="Normal 4 27 2 2" xfId="27040"/>
    <cellStyle name="Normal 4 27 3" xfId="24965"/>
    <cellStyle name="Normal 4 27 4" xfId="27039"/>
    <cellStyle name="Normal 4 28" xfId="502"/>
    <cellStyle name="Normal 4 28 2" xfId="6560"/>
    <cellStyle name="Normal 4 28 2 2" xfId="27042"/>
    <cellStyle name="Normal 4 28 3" xfId="27041"/>
    <cellStyle name="Normal 4 29" xfId="24843"/>
    <cellStyle name="Normal 4 3" xfId="1043"/>
    <cellStyle name="Normal 4 3 2" xfId="1534"/>
    <cellStyle name="Normal 4 3 2 10" xfId="24919"/>
    <cellStyle name="Normal 4 3 2 11" xfId="27043"/>
    <cellStyle name="Normal 4 3 2 2" xfId="4187"/>
    <cellStyle name="Normal 4 3 2 2 2" xfId="4893"/>
    <cellStyle name="Normal 4 3 2 2 2 2" xfId="5466"/>
    <cellStyle name="Normal 4 3 2 2 2 2 2" xfId="6564"/>
    <cellStyle name="Normal 4 3 2 2 2 2 2 2" xfId="21259"/>
    <cellStyle name="Normal 4 3 2 2 2 2 2 3" xfId="27047"/>
    <cellStyle name="Normal 4 3 2 2 2 2 3" xfId="21258"/>
    <cellStyle name="Normal 4 3 2 2 2 2 4" xfId="27046"/>
    <cellStyle name="Normal 4 3 2 2 2 3" xfId="5776"/>
    <cellStyle name="Normal 4 3 2 2 2 3 2" xfId="6565"/>
    <cellStyle name="Normal 4 3 2 2 2 3 2 2" xfId="27049"/>
    <cellStyle name="Normal 4 3 2 2 2 3 3" xfId="21260"/>
    <cellStyle name="Normal 4 3 2 2 2 3 4" xfId="27048"/>
    <cellStyle name="Normal 4 3 2 2 2 4" xfId="6563"/>
    <cellStyle name="Normal 4 3 2 2 2 4 2" xfId="27050"/>
    <cellStyle name="Normal 4 3 2 2 2 5" xfId="21257"/>
    <cellStyle name="Normal 4 3 2 2 2 6" xfId="27045"/>
    <cellStyle name="Normal 4 3 2 2 3" xfId="5465"/>
    <cellStyle name="Normal 4 3 2 2 3 2" xfId="6566"/>
    <cellStyle name="Normal 4 3 2 2 3 2 2" xfId="21263"/>
    <cellStyle name="Normal 4 3 2 2 3 2 3" xfId="21262"/>
    <cellStyle name="Normal 4 3 2 2 3 2 4" xfId="27052"/>
    <cellStyle name="Normal 4 3 2 2 3 3" xfId="21264"/>
    <cellStyle name="Normal 4 3 2 2 3 3 2" xfId="21265"/>
    <cellStyle name="Normal 4 3 2 2 3 4" xfId="21266"/>
    <cellStyle name="Normal 4 3 2 2 3 5" xfId="21261"/>
    <cellStyle name="Normal 4 3 2 2 3 6" xfId="27051"/>
    <cellStyle name="Normal 4 3 2 2 4" xfId="5775"/>
    <cellStyle name="Normal 4 3 2 2 4 2" xfId="6567"/>
    <cellStyle name="Normal 4 3 2 2 4 2 2" xfId="21268"/>
    <cellStyle name="Normal 4 3 2 2 4 2 3" xfId="27054"/>
    <cellStyle name="Normal 4 3 2 2 4 3" xfId="21267"/>
    <cellStyle name="Normal 4 3 2 2 4 4" xfId="27053"/>
    <cellStyle name="Normal 4 3 2 2 5" xfId="4892"/>
    <cellStyle name="Normal 4 3 2 2 5 2" xfId="6568"/>
    <cellStyle name="Normal 4 3 2 2 5 2 2" xfId="21270"/>
    <cellStyle name="Normal 4 3 2 2 5 2 3" xfId="27056"/>
    <cellStyle name="Normal 4 3 2 2 5 3" xfId="21269"/>
    <cellStyle name="Normal 4 3 2 2 5 4" xfId="27055"/>
    <cellStyle name="Normal 4 3 2 2 6" xfId="6562"/>
    <cellStyle name="Normal 4 3 2 2 6 2" xfId="21271"/>
    <cellStyle name="Normal 4 3 2 2 6 3" xfId="27057"/>
    <cellStyle name="Normal 4 3 2 2 7" xfId="21256"/>
    <cellStyle name="Normal 4 3 2 2 8" xfId="25039"/>
    <cellStyle name="Normal 4 3 2 2 9" xfId="27044"/>
    <cellStyle name="Normal 4 3 2 3" xfId="4894"/>
    <cellStyle name="Normal 4 3 2 3 2" xfId="5467"/>
    <cellStyle name="Normal 4 3 2 3 2 2" xfId="6570"/>
    <cellStyle name="Normal 4 3 2 3 2 2 2" xfId="21274"/>
    <cellStyle name="Normal 4 3 2 3 2 2 3" xfId="27060"/>
    <cellStyle name="Normal 4 3 2 3 2 3" xfId="21273"/>
    <cellStyle name="Normal 4 3 2 3 2 4" xfId="27059"/>
    <cellStyle name="Normal 4 3 2 3 3" xfId="5777"/>
    <cellStyle name="Normal 4 3 2 3 3 2" xfId="6571"/>
    <cellStyle name="Normal 4 3 2 3 3 2 2" xfId="27062"/>
    <cellStyle name="Normal 4 3 2 3 3 3" xfId="21275"/>
    <cellStyle name="Normal 4 3 2 3 3 4" xfId="27061"/>
    <cellStyle name="Normal 4 3 2 3 4" xfId="6569"/>
    <cellStyle name="Normal 4 3 2 3 4 2" xfId="27063"/>
    <cellStyle name="Normal 4 3 2 3 5" xfId="21272"/>
    <cellStyle name="Normal 4 3 2 3 6" xfId="27058"/>
    <cellStyle name="Normal 4 3 2 4" xfId="5464"/>
    <cellStyle name="Normal 4 3 2 4 2" xfId="6572"/>
    <cellStyle name="Normal 4 3 2 4 2 2" xfId="21277"/>
    <cellStyle name="Normal 4 3 2 4 2 3" xfId="27065"/>
    <cellStyle name="Normal 4 3 2 4 3" xfId="21276"/>
    <cellStyle name="Normal 4 3 2 4 4" xfId="27064"/>
    <cellStyle name="Normal 4 3 2 5" xfId="5774"/>
    <cellStyle name="Normal 4 3 2 5 2" xfId="6573"/>
    <cellStyle name="Normal 4 3 2 5 2 2" xfId="21280"/>
    <cellStyle name="Normal 4 3 2 5 2 3" xfId="21279"/>
    <cellStyle name="Normal 4 3 2 5 2 4" xfId="27067"/>
    <cellStyle name="Normal 4 3 2 5 3" xfId="21281"/>
    <cellStyle name="Normal 4 3 2 5 3 2" xfId="21282"/>
    <cellStyle name="Normal 4 3 2 5 4" xfId="21283"/>
    <cellStyle name="Normal 4 3 2 5 5" xfId="21278"/>
    <cellStyle name="Normal 4 3 2 5 6" xfId="27066"/>
    <cellStyle name="Normal 4 3 2 6" xfId="4891"/>
    <cellStyle name="Normal 4 3 2 6 2" xfId="6574"/>
    <cellStyle name="Normal 4 3 2 6 2 2" xfId="21285"/>
    <cellStyle name="Normal 4 3 2 6 2 3" xfId="27069"/>
    <cellStyle name="Normal 4 3 2 6 3" xfId="21284"/>
    <cellStyle name="Normal 4 3 2 6 4" xfId="27068"/>
    <cellStyle name="Normal 4 3 2 7" xfId="6561"/>
    <cellStyle name="Normal 4 3 2 7 2" xfId="21287"/>
    <cellStyle name="Normal 4 3 2 7 3" xfId="21286"/>
    <cellStyle name="Normal 4 3 2 7 4" xfId="27070"/>
    <cellStyle name="Normal 4 3 2 8" xfId="21288"/>
    <cellStyle name="Normal 4 3 2 9" xfId="21255"/>
    <cellStyle name="Normal 4 3 3" xfId="1659"/>
    <cellStyle name="Normal 4 3 3 10" xfId="27071"/>
    <cellStyle name="Normal 4 3 3 2" xfId="4196"/>
    <cellStyle name="Normal 4 3 3 2 2" xfId="4897"/>
    <cellStyle name="Normal 4 3 3 2 2 2" xfId="5470"/>
    <cellStyle name="Normal 4 3 3 2 2 2 2" xfId="6578"/>
    <cellStyle name="Normal 4 3 3 2 2 2 2 2" xfId="21293"/>
    <cellStyle name="Normal 4 3 3 2 2 2 2 3" xfId="27075"/>
    <cellStyle name="Normal 4 3 3 2 2 2 3" xfId="21292"/>
    <cellStyle name="Normal 4 3 3 2 2 2 4" xfId="27074"/>
    <cellStyle name="Normal 4 3 3 2 2 3" xfId="5780"/>
    <cellStyle name="Normal 4 3 3 2 2 3 2" xfId="6579"/>
    <cellStyle name="Normal 4 3 3 2 2 3 2 2" xfId="21295"/>
    <cellStyle name="Normal 4 3 3 2 2 3 2 3" xfId="27077"/>
    <cellStyle name="Normal 4 3 3 2 2 3 3" xfId="21294"/>
    <cellStyle name="Normal 4 3 3 2 2 3 4" xfId="27076"/>
    <cellStyle name="Normal 4 3 3 2 2 4" xfId="6577"/>
    <cellStyle name="Normal 4 3 3 2 2 4 2" xfId="21296"/>
    <cellStyle name="Normal 4 3 3 2 2 4 3" xfId="27078"/>
    <cellStyle name="Normal 4 3 3 2 2 5" xfId="21291"/>
    <cellStyle name="Normal 4 3 3 2 2 6" xfId="27073"/>
    <cellStyle name="Normal 4 3 3 2 3" xfId="5469"/>
    <cellStyle name="Normal 4 3 3 2 3 2" xfId="6580"/>
    <cellStyle name="Normal 4 3 3 2 3 2 2" xfId="21298"/>
    <cellStyle name="Normal 4 3 3 2 3 2 3" xfId="27080"/>
    <cellStyle name="Normal 4 3 3 2 3 3" xfId="21297"/>
    <cellStyle name="Normal 4 3 3 2 3 4" xfId="27079"/>
    <cellStyle name="Normal 4 3 3 2 4" xfId="5779"/>
    <cellStyle name="Normal 4 3 3 2 4 2" xfId="6581"/>
    <cellStyle name="Normal 4 3 3 2 4 2 2" xfId="21300"/>
    <cellStyle name="Normal 4 3 3 2 4 2 3" xfId="27082"/>
    <cellStyle name="Normal 4 3 3 2 4 3" xfId="21299"/>
    <cellStyle name="Normal 4 3 3 2 4 4" xfId="27081"/>
    <cellStyle name="Normal 4 3 3 2 5" xfId="4896"/>
    <cellStyle name="Normal 4 3 3 2 5 2" xfId="6582"/>
    <cellStyle name="Normal 4 3 3 2 5 2 2" xfId="27084"/>
    <cellStyle name="Normal 4 3 3 2 5 3" xfId="21301"/>
    <cellStyle name="Normal 4 3 3 2 5 4" xfId="27083"/>
    <cellStyle name="Normal 4 3 3 2 6" xfId="6576"/>
    <cellStyle name="Normal 4 3 3 2 6 2" xfId="27085"/>
    <cellStyle name="Normal 4 3 3 2 7" xfId="21290"/>
    <cellStyle name="Normal 4 3 3 2 8" xfId="25048"/>
    <cellStyle name="Normal 4 3 3 2 9" xfId="27072"/>
    <cellStyle name="Normal 4 3 3 3" xfId="4898"/>
    <cellStyle name="Normal 4 3 3 3 2" xfId="5471"/>
    <cellStyle name="Normal 4 3 3 3 2 2" xfId="6584"/>
    <cellStyle name="Normal 4 3 3 3 2 2 2" xfId="21304"/>
    <cellStyle name="Normal 4 3 3 3 2 2 3" xfId="27088"/>
    <cellStyle name="Normal 4 3 3 3 2 3" xfId="21303"/>
    <cellStyle name="Normal 4 3 3 3 2 4" xfId="27087"/>
    <cellStyle name="Normal 4 3 3 3 3" xfId="5781"/>
    <cellStyle name="Normal 4 3 3 3 3 2" xfId="6585"/>
    <cellStyle name="Normal 4 3 3 3 3 2 2" xfId="27090"/>
    <cellStyle name="Normal 4 3 3 3 3 3" xfId="21305"/>
    <cellStyle name="Normal 4 3 3 3 3 4" xfId="27089"/>
    <cellStyle name="Normal 4 3 3 3 4" xfId="6583"/>
    <cellStyle name="Normal 4 3 3 3 4 2" xfId="27091"/>
    <cellStyle name="Normal 4 3 3 3 5" xfId="21302"/>
    <cellStyle name="Normal 4 3 3 3 6" xfId="27086"/>
    <cellStyle name="Normal 4 3 3 4" xfId="5468"/>
    <cellStyle name="Normal 4 3 3 4 2" xfId="6586"/>
    <cellStyle name="Normal 4 3 3 4 2 2" xfId="21308"/>
    <cellStyle name="Normal 4 3 3 4 2 3" xfId="21307"/>
    <cellStyle name="Normal 4 3 3 4 2 4" xfId="27093"/>
    <cellStyle name="Normal 4 3 3 4 3" xfId="21309"/>
    <cellStyle name="Normal 4 3 3 4 3 2" xfId="21310"/>
    <cellStyle name="Normal 4 3 3 4 4" xfId="21311"/>
    <cellStyle name="Normal 4 3 3 4 5" xfId="21306"/>
    <cellStyle name="Normal 4 3 3 4 6" xfId="27092"/>
    <cellStyle name="Normal 4 3 3 5" xfId="5778"/>
    <cellStyle name="Normal 4 3 3 5 2" xfId="6587"/>
    <cellStyle name="Normal 4 3 3 5 2 2" xfId="21313"/>
    <cellStyle name="Normal 4 3 3 5 2 3" xfId="27095"/>
    <cellStyle name="Normal 4 3 3 5 3" xfId="21312"/>
    <cellStyle name="Normal 4 3 3 5 4" xfId="27094"/>
    <cellStyle name="Normal 4 3 3 6" xfId="4895"/>
    <cellStyle name="Normal 4 3 3 6 2" xfId="6588"/>
    <cellStyle name="Normal 4 3 3 6 2 2" xfId="21315"/>
    <cellStyle name="Normal 4 3 3 6 2 3" xfId="27097"/>
    <cellStyle name="Normal 4 3 3 6 3" xfId="21314"/>
    <cellStyle name="Normal 4 3 3 6 4" xfId="27096"/>
    <cellStyle name="Normal 4 3 3 7" xfId="6575"/>
    <cellStyle name="Normal 4 3 3 7 2" xfId="21316"/>
    <cellStyle name="Normal 4 3 3 7 3" xfId="27098"/>
    <cellStyle name="Normal 4 3 3 8" xfId="21289"/>
    <cellStyle name="Normal 4 3 3 9" xfId="24928"/>
    <cellStyle name="Normal 4 3 4" xfId="3623"/>
    <cellStyle name="Normal 4 3 4 10" xfId="27099"/>
    <cellStyle name="Normal 4 3 4 2" xfId="4201"/>
    <cellStyle name="Normal 4 3 4 2 2" xfId="4901"/>
    <cellStyle name="Normal 4 3 4 2 2 2" xfId="5474"/>
    <cellStyle name="Normal 4 3 4 2 2 2 2" xfId="6592"/>
    <cellStyle name="Normal 4 3 4 2 2 2 2 2" xfId="21321"/>
    <cellStyle name="Normal 4 3 4 2 2 2 2 3" xfId="27103"/>
    <cellStyle name="Normal 4 3 4 2 2 2 3" xfId="21320"/>
    <cellStyle name="Normal 4 3 4 2 2 2 4" xfId="27102"/>
    <cellStyle name="Normal 4 3 4 2 2 3" xfId="5784"/>
    <cellStyle name="Normal 4 3 4 2 2 3 2" xfId="6593"/>
    <cellStyle name="Normal 4 3 4 2 2 3 2 2" xfId="21323"/>
    <cellStyle name="Normal 4 3 4 2 2 3 2 3" xfId="27105"/>
    <cellStyle name="Normal 4 3 4 2 2 3 3" xfId="21322"/>
    <cellStyle name="Normal 4 3 4 2 2 3 4" xfId="27104"/>
    <cellStyle name="Normal 4 3 4 2 2 4" xfId="6591"/>
    <cellStyle name="Normal 4 3 4 2 2 4 2" xfId="21324"/>
    <cellStyle name="Normal 4 3 4 2 2 4 3" xfId="27106"/>
    <cellStyle name="Normal 4 3 4 2 2 5" xfId="21319"/>
    <cellStyle name="Normal 4 3 4 2 2 6" xfId="27101"/>
    <cellStyle name="Normal 4 3 4 2 3" xfId="5473"/>
    <cellStyle name="Normal 4 3 4 2 3 2" xfId="6594"/>
    <cellStyle name="Normal 4 3 4 2 3 2 2" xfId="21326"/>
    <cellStyle name="Normal 4 3 4 2 3 2 3" xfId="27108"/>
    <cellStyle name="Normal 4 3 4 2 3 3" xfId="21325"/>
    <cellStyle name="Normal 4 3 4 2 3 4" xfId="27107"/>
    <cellStyle name="Normal 4 3 4 2 4" xfId="5783"/>
    <cellStyle name="Normal 4 3 4 2 4 2" xfId="6595"/>
    <cellStyle name="Normal 4 3 4 2 4 2 2" xfId="21328"/>
    <cellStyle name="Normal 4 3 4 2 4 2 3" xfId="27110"/>
    <cellStyle name="Normal 4 3 4 2 4 3" xfId="21327"/>
    <cellStyle name="Normal 4 3 4 2 4 4" xfId="27109"/>
    <cellStyle name="Normal 4 3 4 2 5" xfId="4900"/>
    <cellStyle name="Normal 4 3 4 2 5 2" xfId="6596"/>
    <cellStyle name="Normal 4 3 4 2 5 2 2" xfId="27112"/>
    <cellStyle name="Normal 4 3 4 2 5 3" xfId="21329"/>
    <cellStyle name="Normal 4 3 4 2 5 4" xfId="27111"/>
    <cellStyle name="Normal 4 3 4 2 6" xfId="6590"/>
    <cellStyle name="Normal 4 3 4 2 6 2" xfId="27113"/>
    <cellStyle name="Normal 4 3 4 2 7" xfId="21318"/>
    <cellStyle name="Normal 4 3 4 2 8" xfId="25053"/>
    <cellStyle name="Normal 4 3 4 2 9" xfId="27100"/>
    <cellStyle name="Normal 4 3 4 3" xfId="4902"/>
    <cellStyle name="Normal 4 3 4 3 2" xfId="5475"/>
    <cellStyle name="Normal 4 3 4 3 2 2" xfId="6598"/>
    <cellStyle name="Normal 4 3 4 3 2 2 2" xfId="21332"/>
    <cellStyle name="Normal 4 3 4 3 2 2 3" xfId="27116"/>
    <cellStyle name="Normal 4 3 4 3 2 3" xfId="21331"/>
    <cellStyle name="Normal 4 3 4 3 2 4" xfId="27115"/>
    <cellStyle name="Normal 4 3 4 3 3" xfId="5785"/>
    <cellStyle name="Normal 4 3 4 3 3 2" xfId="6599"/>
    <cellStyle name="Normal 4 3 4 3 3 2 2" xfId="27118"/>
    <cellStyle name="Normal 4 3 4 3 3 3" xfId="21333"/>
    <cellStyle name="Normal 4 3 4 3 3 4" xfId="27117"/>
    <cellStyle name="Normal 4 3 4 3 4" xfId="6597"/>
    <cellStyle name="Normal 4 3 4 3 4 2" xfId="27119"/>
    <cellStyle name="Normal 4 3 4 3 5" xfId="21330"/>
    <cellStyle name="Normal 4 3 4 3 6" xfId="27114"/>
    <cellStyle name="Normal 4 3 4 4" xfId="5472"/>
    <cellStyle name="Normal 4 3 4 4 2" xfId="6600"/>
    <cellStyle name="Normal 4 3 4 4 2 2" xfId="21336"/>
    <cellStyle name="Normal 4 3 4 4 2 3" xfId="21335"/>
    <cellStyle name="Normal 4 3 4 4 2 4" xfId="27121"/>
    <cellStyle name="Normal 4 3 4 4 3" xfId="21337"/>
    <cellStyle name="Normal 4 3 4 4 3 2" xfId="21338"/>
    <cellStyle name="Normal 4 3 4 4 4" xfId="21339"/>
    <cellStyle name="Normal 4 3 4 4 5" xfId="21334"/>
    <cellStyle name="Normal 4 3 4 4 6" xfId="27120"/>
    <cellStyle name="Normal 4 3 4 5" xfId="5782"/>
    <cellStyle name="Normal 4 3 4 5 2" xfId="6601"/>
    <cellStyle name="Normal 4 3 4 5 2 2" xfId="21341"/>
    <cellStyle name="Normal 4 3 4 5 2 3" xfId="27123"/>
    <cellStyle name="Normal 4 3 4 5 3" xfId="21340"/>
    <cellStyle name="Normal 4 3 4 5 4" xfId="27122"/>
    <cellStyle name="Normal 4 3 4 6" xfId="4899"/>
    <cellStyle name="Normal 4 3 4 6 2" xfId="6602"/>
    <cellStyle name="Normal 4 3 4 6 2 2" xfId="21343"/>
    <cellStyle name="Normal 4 3 4 6 2 3" xfId="27125"/>
    <cellStyle name="Normal 4 3 4 6 3" xfId="21342"/>
    <cellStyle name="Normal 4 3 4 6 4" xfId="27124"/>
    <cellStyle name="Normal 4 3 4 7" xfId="6589"/>
    <cellStyle name="Normal 4 3 4 7 2" xfId="21344"/>
    <cellStyle name="Normal 4 3 4 7 3" xfId="27126"/>
    <cellStyle name="Normal 4 3 4 8" xfId="21317"/>
    <cellStyle name="Normal 4 3 4 9" xfId="24933"/>
    <cellStyle name="Normal 4 3 5" xfId="3760"/>
    <cellStyle name="Normal 4 3 5 10" xfId="27127"/>
    <cellStyle name="Normal 4 3 5 2" xfId="4209"/>
    <cellStyle name="Normal 4 3 5 2 2" xfId="4905"/>
    <cellStyle name="Normal 4 3 5 2 2 2" xfId="5478"/>
    <cellStyle name="Normal 4 3 5 2 2 2 2" xfId="6606"/>
    <cellStyle name="Normal 4 3 5 2 2 2 2 2" xfId="21349"/>
    <cellStyle name="Normal 4 3 5 2 2 2 2 3" xfId="27131"/>
    <cellStyle name="Normal 4 3 5 2 2 2 3" xfId="21348"/>
    <cellStyle name="Normal 4 3 5 2 2 2 4" xfId="27130"/>
    <cellStyle name="Normal 4 3 5 2 2 3" xfId="5788"/>
    <cellStyle name="Normal 4 3 5 2 2 3 2" xfId="6607"/>
    <cellStyle name="Normal 4 3 5 2 2 3 2 2" xfId="21351"/>
    <cellStyle name="Normal 4 3 5 2 2 3 2 3" xfId="27133"/>
    <cellStyle name="Normal 4 3 5 2 2 3 3" xfId="21350"/>
    <cellStyle name="Normal 4 3 5 2 2 3 4" xfId="27132"/>
    <cellStyle name="Normal 4 3 5 2 2 4" xfId="6605"/>
    <cellStyle name="Normal 4 3 5 2 2 4 2" xfId="21352"/>
    <cellStyle name="Normal 4 3 5 2 2 4 3" xfId="27134"/>
    <cellStyle name="Normal 4 3 5 2 2 5" xfId="21347"/>
    <cellStyle name="Normal 4 3 5 2 2 6" xfId="27129"/>
    <cellStyle name="Normal 4 3 5 2 3" xfId="5477"/>
    <cellStyle name="Normal 4 3 5 2 3 2" xfId="6608"/>
    <cellStyle name="Normal 4 3 5 2 3 2 2" xfId="21354"/>
    <cellStyle name="Normal 4 3 5 2 3 2 3" xfId="27136"/>
    <cellStyle name="Normal 4 3 5 2 3 3" xfId="21353"/>
    <cellStyle name="Normal 4 3 5 2 3 4" xfId="27135"/>
    <cellStyle name="Normal 4 3 5 2 4" xfId="5787"/>
    <cellStyle name="Normal 4 3 5 2 4 2" xfId="6609"/>
    <cellStyle name="Normal 4 3 5 2 4 2 2" xfId="21356"/>
    <cellStyle name="Normal 4 3 5 2 4 2 3" xfId="27138"/>
    <cellStyle name="Normal 4 3 5 2 4 3" xfId="21355"/>
    <cellStyle name="Normal 4 3 5 2 4 4" xfId="27137"/>
    <cellStyle name="Normal 4 3 5 2 5" xfId="4904"/>
    <cellStyle name="Normal 4 3 5 2 5 2" xfId="6610"/>
    <cellStyle name="Normal 4 3 5 2 5 2 2" xfId="27140"/>
    <cellStyle name="Normal 4 3 5 2 5 3" xfId="21357"/>
    <cellStyle name="Normal 4 3 5 2 5 4" xfId="27139"/>
    <cellStyle name="Normal 4 3 5 2 6" xfId="6604"/>
    <cellStyle name="Normal 4 3 5 2 6 2" xfId="27141"/>
    <cellStyle name="Normal 4 3 5 2 7" xfId="21346"/>
    <cellStyle name="Normal 4 3 5 2 8" xfId="25061"/>
    <cellStyle name="Normal 4 3 5 2 9" xfId="27128"/>
    <cellStyle name="Normal 4 3 5 3" xfId="4906"/>
    <cellStyle name="Normal 4 3 5 3 2" xfId="5479"/>
    <cellStyle name="Normal 4 3 5 3 2 2" xfId="6612"/>
    <cellStyle name="Normal 4 3 5 3 2 2 2" xfId="21360"/>
    <cellStyle name="Normal 4 3 5 3 2 2 3" xfId="27144"/>
    <cellStyle name="Normal 4 3 5 3 2 3" xfId="21359"/>
    <cellStyle name="Normal 4 3 5 3 2 4" xfId="27143"/>
    <cellStyle name="Normal 4 3 5 3 3" xfId="5789"/>
    <cellStyle name="Normal 4 3 5 3 3 2" xfId="6613"/>
    <cellStyle name="Normal 4 3 5 3 3 2 2" xfId="21362"/>
    <cellStyle name="Normal 4 3 5 3 3 2 3" xfId="27146"/>
    <cellStyle name="Normal 4 3 5 3 3 3" xfId="21361"/>
    <cellStyle name="Normal 4 3 5 3 3 4" xfId="27145"/>
    <cellStyle name="Normal 4 3 5 3 4" xfId="6611"/>
    <cellStyle name="Normal 4 3 5 3 4 2" xfId="21363"/>
    <cellStyle name="Normal 4 3 5 3 4 3" xfId="27147"/>
    <cellStyle name="Normal 4 3 5 3 5" xfId="21358"/>
    <cellStyle name="Normal 4 3 5 3 6" xfId="27142"/>
    <cellStyle name="Normal 4 3 5 4" xfId="5476"/>
    <cellStyle name="Normal 4 3 5 4 2" xfId="6614"/>
    <cellStyle name="Normal 4 3 5 4 2 2" xfId="21365"/>
    <cellStyle name="Normal 4 3 5 4 2 3" xfId="27149"/>
    <cellStyle name="Normal 4 3 5 4 3" xfId="21364"/>
    <cellStyle name="Normal 4 3 5 4 4" xfId="27148"/>
    <cellStyle name="Normal 4 3 5 5" xfId="5786"/>
    <cellStyle name="Normal 4 3 5 5 2" xfId="6615"/>
    <cellStyle name="Normal 4 3 5 5 2 2" xfId="21367"/>
    <cellStyle name="Normal 4 3 5 5 2 3" xfId="27151"/>
    <cellStyle name="Normal 4 3 5 5 3" xfId="21366"/>
    <cellStyle name="Normal 4 3 5 5 4" xfId="27150"/>
    <cellStyle name="Normal 4 3 5 6" xfId="4903"/>
    <cellStyle name="Normal 4 3 5 6 2" xfId="6616"/>
    <cellStyle name="Normal 4 3 5 6 2 2" xfId="27153"/>
    <cellStyle name="Normal 4 3 5 6 3" xfId="21368"/>
    <cellStyle name="Normal 4 3 5 6 4" xfId="27152"/>
    <cellStyle name="Normal 4 3 5 7" xfId="6603"/>
    <cellStyle name="Normal 4 3 5 7 2" xfId="27154"/>
    <cellStyle name="Normal 4 3 5 8" xfId="21345"/>
    <cellStyle name="Normal 4 3 5 9" xfId="24941"/>
    <cellStyle name="Normal 4 3 6" xfId="1385"/>
    <cellStyle name="Normal 4 3 6 2" xfId="21369"/>
    <cellStyle name="Normal 4 3 7" xfId="3911"/>
    <cellStyle name="Normal 4 3 7 2" xfId="21371"/>
    <cellStyle name="Normal 4 3 7 3" xfId="21370"/>
    <cellStyle name="Normal 4 3 8" xfId="24542"/>
    <cellStyle name="Normal 4 4" xfId="1050"/>
    <cellStyle name="Normal 4 4 2" xfId="1570"/>
    <cellStyle name="Normal 4 4 2 10" xfId="24923"/>
    <cellStyle name="Normal 4 4 2 11" xfId="27155"/>
    <cellStyle name="Normal 4 4 2 2" xfId="4191"/>
    <cellStyle name="Normal 4 4 2 2 2" xfId="4909"/>
    <cellStyle name="Normal 4 4 2 2 2 2" xfId="5482"/>
    <cellStyle name="Normal 4 4 2 2 2 2 2" xfId="6620"/>
    <cellStyle name="Normal 4 4 2 2 2 2 2 2" xfId="21376"/>
    <cellStyle name="Normal 4 4 2 2 2 2 2 3" xfId="27159"/>
    <cellStyle name="Normal 4 4 2 2 2 2 3" xfId="21375"/>
    <cellStyle name="Normal 4 4 2 2 2 2 4" xfId="27158"/>
    <cellStyle name="Normal 4 4 2 2 2 3" xfId="5792"/>
    <cellStyle name="Normal 4 4 2 2 2 3 2" xfId="6621"/>
    <cellStyle name="Normal 4 4 2 2 2 3 2 2" xfId="27161"/>
    <cellStyle name="Normal 4 4 2 2 2 3 3" xfId="21377"/>
    <cellStyle name="Normal 4 4 2 2 2 3 4" xfId="27160"/>
    <cellStyle name="Normal 4 4 2 2 2 4" xfId="6619"/>
    <cellStyle name="Normal 4 4 2 2 2 4 2" xfId="27162"/>
    <cellStyle name="Normal 4 4 2 2 2 5" xfId="21374"/>
    <cellStyle name="Normal 4 4 2 2 2 6" xfId="27157"/>
    <cellStyle name="Normal 4 4 2 2 3" xfId="5481"/>
    <cellStyle name="Normal 4 4 2 2 3 2" xfId="6622"/>
    <cellStyle name="Normal 4 4 2 2 3 2 2" xfId="21380"/>
    <cellStyle name="Normal 4 4 2 2 3 2 3" xfId="21379"/>
    <cellStyle name="Normal 4 4 2 2 3 2 4" xfId="27164"/>
    <cellStyle name="Normal 4 4 2 2 3 3" xfId="21381"/>
    <cellStyle name="Normal 4 4 2 2 3 3 2" xfId="21382"/>
    <cellStyle name="Normal 4 4 2 2 3 4" xfId="21383"/>
    <cellStyle name="Normal 4 4 2 2 3 5" xfId="21378"/>
    <cellStyle name="Normal 4 4 2 2 3 6" xfId="27163"/>
    <cellStyle name="Normal 4 4 2 2 4" xfId="5791"/>
    <cellStyle name="Normal 4 4 2 2 4 2" xfId="6623"/>
    <cellStyle name="Normal 4 4 2 2 4 2 2" xfId="21385"/>
    <cellStyle name="Normal 4 4 2 2 4 2 3" xfId="27166"/>
    <cellStyle name="Normal 4 4 2 2 4 3" xfId="21384"/>
    <cellStyle name="Normal 4 4 2 2 4 4" xfId="27165"/>
    <cellStyle name="Normal 4 4 2 2 5" xfId="4908"/>
    <cellStyle name="Normal 4 4 2 2 5 2" xfId="6624"/>
    <cellStyle name="Normal 4 4 2 2 5 2 2" xfId="21387"/>
    <cellStyle name="Normal 4 4 2 2 5 2 3" xfId="27168"/>
    <cellStyle name="Normal 4 4 2 2 5 3" xfId="21386"/>
    <cellStyle name="Normal 4 4 2 2 5 4" xfId="27167"/>
    <cellStyle name="Normal 4 4 2 2 6" xfId="6618"/>
    <cellStyle name="Normal 4 4 2 2 6 2" xfId="21388"/>
    <cellStyle name="Normal 4 4 2 2 6 3" xfId="27169"/>
    <cellStyle name="Normal 4 4 2 2 7" xfId="21373"/>
    <cellStyle name="Normal 4 4 2 2 8" xfId="25043"/>
    <cellStyle name="Normal 4 4 2 2 9" xfId="27156"/>
    <cellStyle name="Normal 4 4 2 3" xfId="4910"/>
    <cellStyle name="Normal 4 4 2 3 2" xfId="5483"/>
    <cellStyle name="Normal 4 4 2 3 2 2" xfId="6626"/>
    <cellStyle name="Normal 4 4 2 3 2 2 2" xfId="21391"/>
    <cellStyle name="Normal 4 4 2 3 2 2 3" xfId="27172"/>
    <cellStyle name="Normal 4 4 2 3 2 3" xfId="21390"/>
    <cellStyle name="Normal 4 4 2 3 2 4" xfId="27171"/>
    <cellStyle name="Normal 4 4 2 3 3" xfId="5793"/>
    <cellStyle name="Normal 4 4 2 3 3 2" xfId="6627"/>
    <cellStyle name="Normal 4 4 2 3 3 2 2" xfId="27174"/>
    <cellStyle name="Normal 4 4 2 3 3 3" xfId="21392"/>
    <cellStyle name="Normal 4 4 2 3 3 4" xfId="27173"/>
    <cellStyle name="Normal 4 4 2 3 4" xfId="6625"/>
    <cellStyle name="Normal 4 4 2 3 4 2" xfId="27175"/>
    <cellStyle name="Normal 4 4 2 3 5" xfId="21389"/>
    <cellStyle name="Normal 4 4 2 3 6" xfId="27170"/>
    <cellStyle name="Normal 4 4 2 4" xfId="5480"/>
    <cellStyle name="Normal 4 4 2 4 2" xfId="6628"/>
    <cellStyle name="Normal 4 4 2 4 2 2" xfId="21394"/>
    <cellStyle name="Normal 4 4 2 4 2 3" xfId="27177"/>
    <cellStyle name="Normal 4 4 2 4 3" xfId="21393"/>
    <cellStyle name="Normal 4 4 2 4 4" xfId="27176"/>
    <cellStyle name="Normal 4 4 2 5" xfId="5790"/>
    <cellStyle name="Normal 4 4 2 5 2" xfId="6629"/>
    <cellStyle name="Normal 4 4 2 5 2 2" xfId="21397"/>
    <cellStyle name="Normal 4 4 2 5 2 3" xfId="21396"/>
    <cellStyle name="Normal 4 4 2 5 2 4" xfId="27179"/>
    <cellStyle name="Normal 4 4 2 5 3" xfId="21398"/>
    <cellStyle name="Normal 4 4 2 5 3 2" xfId="21399"/>
    <cellStyle name="Normal 4 4 2 5 4" xfId="21400"/>
    <cellStyle name="Normal 4 4 2 5 5" xfId="21395"/>
    <cellStyle name="Normal 4 4 2 5 6" xfId="27178"/>
    <cellStyle name="Normal 4 4 2 6" xfId="4907"/>
    <cellStyle name="Normal 4 4 2 6 2" xfId="6630"/>
    <cellStyle name="Normal 4 4 2 6 2 2" xfId="21402"/>
    <cellStyle name="Normal 4 4 2 6 2 3" xfId="27181"/>
    <cellStyle name="Normal 4 4 2 6 3" xfId="21401"/>
    <cellStyle name="Normal 4 4 2 6 4" xfId="27180"/>
    <cellStyle name="Normal 4 4 2 7" xfId="6617"/>
    <cellStyle name="Normal 4 4 2 7 2" xfId="21404"/>
    <cellStyle name="Normal 4 4 2 7 3" xfId="21403"/>
    <cellStyle name="Normal 4 4 2 7 4" xfId="27182"/>
    <cellStyle name="Normal 4 4 2 8" xfId="21405"/>
    <cellStyle name="Normal 4 4 2 9" xfId="21372"/>
    <cellStyle name="Normal 4 4 3" xfId="1662"/>
    <cellStyle name="Normal 4 4 3 10" xfId="27183"/>
    <cellStyle name="Normal 4 4 3 2" xfId="4197"/>
    <cellStyle name="Normal 4 4 3 2 2" xfId="4913"/>
    <cellStyle name="Normal 4 4 3 2 2 2" xfId="5486"/>
    <cellStyle name="Normal 4 4 3 2 2 2 2" xfId="6634"/>
    <cellStyle name="Normal 4 4 3 2 2 2 2 2" xfId="21410"/>
    <cellStyle name="Normal 4 4 3 2 2 2 2 3" xfId="27187"/>
    <cellStyle name="Normal 4 4 3 2 2 2 3" xfId="21409"/>
    <cellStyle name="Normal 4 4 3 2 2 2 4" xfId="27186"/>
    <cellStyle name="Normal 4 4 3 2 2 3" xfId="5796"/>
    <cellStyle name="Normal 4 4 3 2 2 3 2" xfId="6635"/>
    <cellStyle name="Normal 4 4 3 2 2 3 2 2" xfId="21412"/>
    <cellStyle name="Normal 4 4 3 2 2 3 2 3" xfId="27189"/>
    <cellStyle name="Normal 4 4 3 2 2 3 3" xfId="21411"/>
    <cellStyle name="Normal 4 4 3 2 2 3 4" xfId="27188"/>
    <cellStyle name="Normal 4 4 3 2 2 4" xfId="6633"/>
    <cellStyle name="Normal 4 4 3 2 2 4 2" xfId="21413"/>
    <cellStyle name="Normal 4 4 3 2 2 4 3" xfId="27190"/>
    <cellStyle name="Normal 4 4 3 2 2 5" xfId="21408"/>
    <cellStyle name="Normal 4 4 3 2 2 6" xfId="27185"/>
    <cellStyle name="Normal 4 4 3 2 3" xfId="5485"/>
    <cellStyle name="Normal 4 4 3 2 3 2" xfId="6636"/>
    <cellStyle name="Normal 4 4 3 2 3 2 2" xfId="21415"/>
    <cellStyle name="Normal 4 4 3 2 3 2 3" xfId="27192"/>
    <cellStyle name="Normal 4 4 3 2 3 3" xfId="21414"/>
    <cellStyle name="Normal 4 4 3 2 3 4" xfId="27191"/>
    <cellStyle name="Normal 4 4 3 2 4" xfId="5795"/>
    <cellStyle name="Normal 4 4 3 2 4 2" xfId="6637"/>
    <cellStyle name="Normal 4 4 3 2 4 2 2" xfId="21417"/>
    <cellStyle name="Normal 4 4 3 2 4 2 3" xfId="27194"/>
    <cellStyle name="Normal 4 4 3 2 4 3" xfId="21416"/>
    <cellStyle name="Normal 4 4 3 2 4 4" xfId="27193"/>
    <cellStyle name="Normal 4 4 3 2 5" xfId="4912"/>
    <cellStyle name="Normal 4 4 3 2 5 2" xfId="6638"/>
    <cellStyle name="Normal 4 4 3 2 5 2 2" xfId="27196"/>
    <cellStyle name="Normal 4 4 3 2 5 3" xfId="21418"/>
    <cellStyle name="Normal 4 4 3 2 5 4" xfId="27195"/>
    <cellStyle name="Normal 4 4 3 2 6" xfId="6632"/>
    <cellStyle name="Normal 4 4 3 2 6 2" xfId="27197"/>
    <cellStyle name="Normal 4 4 3 2 7" xfId="21407"/>
    <cellStyle name="Normal 4 4 3 2 8" xfId="25049"/>
    <cellStyle name="Normal 4 4 3 2 9" xfId="27184"/>
    <cellStyle name="Normal 4 4 3 3" xfId="4914"/>
    <cellStyle name="Normal 4 4 3 3 2" xfId="5487"/>
    <cellStyle name="Normal 4 4 3 3 2 2" xfId="6640"/>
    <cellStyle name="Normal 4 4 3 3 2 2 2" xfId="21421"/>
    <cellStyle name="Normal 4 4 3 3 2 2 3" xfId="27200"/>
    <cellStyle name="Normal 4 4 3 3 2 3" xfId="21420"/>
    <cellStyle name="Normal 4 4 3 3 2 4" xfId="27199"/>
    <cellStyle name="Normal 4 4 3 3 3" xfId="5797"/>
    <cellStyle name="Normal 4 4 3 3 3 2" xfId="6641"/>
    <cellStyle name="Normal 4 4 3 3 3 2 2" xfId="27202"/>
    <cellStyle name="Normal 4 4 3 3 3 3" xfId="21422"/>
    <cellStyle name="Normal 4 4 3 3 3 4" xfId="27201"/>
    <cellStyle name="Normal 4 4 3 3 4" xfId="6639"/>
    <cellStyle name="Normal 4 4 3 3 4 2" xfId="27203"/>
    <cellStyle name="Normal 4 4 3 3 5" xfId="21419"/>
    <cellStyle name="Normal 4 4 3 3 6" xfId="27198"/>
    <cellStyle name="Normal 4 4 3 4" xfId="5484"/>
    <cellStyle name="Normal 4 4 3 4 2" xfId="6642"/>
    <cellStyle name="Normal 4 4 3 4 2 2" xfId="21425"/>
    <cellStyle name="Normal 4 4 3 4 2 3" xfId="21424"/>
    <cellStyle name="Normal 4 4 3 4 2 4" xfId="27205"/>
    <cellStyle name="Normal 4 4 3 4 3" xfId="21426"/>
    <cellStyle name="Normal 4 4 3 4 3 2" xfId="21427"/>
    <cellStyle name="Normal 4 4 3 4 4" xfId="21428"/>
    <cellStyle name="Normal 4 4 3 4 5" xfId="21423"/>
    <cellStyle name="Normal 4 4 3 4 6" xfId="27204"/>
    <cellStyle name="Normal 4 4 3 5" xfId="5794"/>
    <cellStyle name="Normal 4 4 3 5 2" xfId="6643"/>
    <cellStyle name="Normal 4 4 3 5 2 2" xfId="21430"/>
    <cellStyle name="Normal 4 4 3 5 2 3" xfId="27207"/>
    <cellStyle name="Normal 4 4 3 5 3" xfId="21429"/>
    <cellStyle name="Normal 4 4 3 5 4" xfId="27206"/>
    <cellStyle name="Normal 4 4 3 6" xfId="4911"/>
    <cellStyle name="Normal 4 4 3 6 2" xfId="6644"/>
    <cellStyle name="Normal 4 4 3 6 2 2" xfId="21432"/>
    <cellStyle name="Normal 4 4 3 6 2 3" xfId="27209"/>
    <cellStyle name="Normal 4 4 3 6 3" xfId="21431"/>
    <cellStyle name="Normal 4 4 3 6 4" xfId="27208"/>
    <cellStyle name="Normal 4 4 3 7" xfId="6631"/>
    <cellStyle name="Normal 4 4 3 7 2" xfId="21433"/>
    <cellStyle name="Normal 4 4 3 7 3" xfId="27210"/>
    <cellStyle name="Normal 4 4 3 8" xfId="21406"/>
    <cellStyle name="Normal 4 4 3 9" xfId="24929"/>
    <cellStyle name="Normal 4 4 4" xfId="3625"/>
    <cellStyle name="Normal 4 4 4 10" xfId="27211"/>
    <cellStyle name="Normal 4 4 4 2" xfId="4202"/>
    <cellStyle name="Normal 4 4 4 2 2" xfId="4917"/>
    <cellStyle name="Normal 4 4 4 2 2 2" xfId="5490"/>
    <cellStyle name="Normal 4 4 4 2 2 2 2" xfId="6648"/>
    <cellStyle name="Normal 4 4 4 2 2 2 2 2" xfId="21438"/>
    <cellStyle name="Normal 4 4 4 2 2 2 2 3" xfId="27215"/>
    <cellStyle name="Normal 4 4 4 2 2 2 3" xfId="21437"/>
    <cellStyle name="Normal 4 4 4 2 2 2 4" xfId="27214"/>
    <cellStyle name="Normal 4 4 4 2 2 3" xfId="5800"/>
    <cellStyle name="Normal 4 4 4 2 2 3 2" xfId="6649"/>
    <cellStyle name="Normal 4 4 4 2 2 3 2 2" xfId="21440"/>
    <cellStyle name="Normal 4 4 4 2 2 3 2 3" xfId="27217"/>
    <cellStyle name="Normal 4 4 4 2 2 3 3" xfId="21439"/>
    <cellStyle name="Normal 4 4 4 2 2 3 4" xfId="27216"/>
    <cellStyle name="Normal 4 4 4 2 2 4" xfId="6647"/>
    <cellStyle name="Normal 4 4 4 2 2 4 2" xfId="21441"/>
    <cellStyle name="Normal 4 4 4 2 2 4 3" xfId="27218"/>
    <cellStyle name="Normal 4 4 4 2 2 5" xfId="21436"/>
    <cellStyle name="Normal 4 4 4 2 2 6" xfId="27213"/>
    <cellStyle name="Normal 4 4 4 2 3" xfId="5489"/>
    <cellStyle name="Normal 4 4 4 2 3 2" xfId="6650"/>
    <cellStyle name="Normal 4 4 4 2 3 2 2" xfId="21443"/>
    <cellStyle name="Normal 4 4 4 2 3 2 3" xfId="27220"/>
    <cellStyle name="Normal 4 4 4 2 3 3" xfId="21442"/>
    <cellStyle name="Normal 4 4 4 2 3 4" xfId="27219"/>
    <cellStyle name="Normal 4 4 4 2 4" xfId="5799"/>
    <cellStyle name="Normal 4 4 4 2 4 2" xfId="6651"/>
    <cellStyle name="Normal 4 4 4 2 4 2 2" xfId="21445"/>
    <cellStyle name="Normal 4 4 4 2 4 2 3" xfId="27222"/>
    <cellStyle name="Normal 4 4 4 2 4 3" xfId="21444"/>
    <cellStyle name="Normal 4 4 4 2 4 4" xfId="27221"/>
    <cellStyle name="Normal 4 4 4 2 5" xfId="4916"/>
    <cellStyle name="Normal 4 4 4 2 5 2" xfId="6652"/>
    <cellStyle name="Normal 4 4 4 2 5 2 2" xfId="27224"/>
    <cellStyle name="Normal 4 4 4 2 5 3" xfId="21446"/>
    <cellStyle name="Normal 4 4 4 2 5 4" xfId="27223"/>
    <cellStyle name="Normal 4 4 4 2 6" xfId="6646"/>
    <cellStyle name="Normal 4 4 4 2 6 2" xfId="27225"/>
    <cellStyle name="Normal 4 4 4 2 7" xfId="21435"/>
    <cellStyle name="Normal 4 4 4 2 8" xfId="25054"/>
    <cellStyle name="Normal 4 4 4 2 9" xfId="27212"/>
    <cellStyle name="Normal 4 4 4 3" xfId="4918"/>
    <cellStyle name="Normal 4 4 4 3 2" xfId="5491"/>
    <cellStyle name="Normal 4 4 4 3 2 2" xfId="6654"/>
    <cellStyle name="Normal 4 4 4 3 2 2 2" xfId="21449"/>
    <cellStyle name="Normal 4 4 4 3 2 2 3" xfId="27228"/>
    <cellStyle name="Normal 4 4 4 3 2 3" xfId="21448"/>
    <cellStyle name="Normal 4 4 4 3 2 4" xfId="27227"/>
    <cellStyle name="Normal 4 4 4 3 3" xfId="5801"/>
    <cellStyle name="Normal 4 4 4 3 3 2" xfId="6655"/>
    <cellStyle name="Normal 4 4 4 3 3 2 2" xfId="27230"/>
    <cellStyle name="Normal 4 4 4 3 3 3" xfId="21450"/>
    <cellStyle name="Normal 4 4 4 3 3 4" xfId="27229"/>
    <cellStyle name="Normal 4 4 4 3 4" xfId="6653"/>
    <cellStyle name="Normal 4 4 4 3 4 2" xfId="27231"/>
    <cellStyle name="Normal 4 4 4 3 5" xfId="21447"/>
    <cellStyle name="Normal 4 4 4 3 6" xfId="27226"/>
    <cellStyle name="Normal 4 4 4 4" xfId="5488"/>
    <cellStyle name="Normal 4 4 4 4 2" xfId="6656"/>
    <cellStyle name="Normal 4 4 4 4 2 2" xfId="21453"/>
    <cellStyle name="Normal 4 4 4 4 2 3" xfId="21452"/>
    <cellStyle name="Normal 4 4 4 4 2 4" xfId="27233"/>
    <cellStyle name="Normal 4 4 4 4 3" xfId="21454"/>
    <cellStyle name="Normal 4 4 4 4 3 2" xfId="21455"/>
    <cellStyle name="Normal 4 4 4 4 4" xfId="21456"/>
    <cellStyle name="Normal 4 4 4 4 5" xfId="21451"/>
    <cellStyle name="Normal 4 4 4 4 6" xfId="27232"/>
    <cellStyle name="Normal 4 4 4 5" xfId="5798"/>
    <cellStyle name="Normal 4 4 4 5 2" xfId="6657"/>
    <cellStyle name="Normal 4 4 4 5 2 2" xfId="21458"/>
    <cellStyle name="Normal 4 4 4 5 2 3" xfId="27235"/>
    <cellStyle name="Normal 4 4 4 5 3" xfId="21457"/>
    <cellStyle name="Normal 4 4 4 5 4" xfId="27234"/>
    <cellStyle name="Normal 4 4 4 6" xfId="4915"/>
    <cellStyle name="Normal 4 4 4 6 2" xfId="6658"/>
    <cellStyle name="Normal 4 4 4 6 2 2" xfId="21460"/>
    <cellStyle name="Normal 4 4 4 6 2 3" xfId="27237"/>
    <cellStyle name="Normal 4 4 4 6 3" xfId="21459"/>
    <cellStyle name="Normal 4 4 4 6 4" xfId="27236"/>
    <cellStyle name="Normal 4 4 4 7" xfId="6645"/>
    <cellStyle name="Normal 4 4 4 7 2" xfId="21461"/>
    <cellStyle name="Normal 4 4 4 7 3" xfId="27238"/>
    <cellStyle name="Normal 4 4 4 8" xfId="21434"/>
    <cellStyle name="Normal 4 4 4 9" xfId="24934"/>
    <cellStyle name="Normal 4 4 5" xfId="3764"/>
    <cellStyle name="Normal 4 4 5 10" xfId="27239"/>
    <cellStyle name="Normal 4 4 5 2" xfId="4212"/>
    <cellStyle name="Normal 4 4 5 2 2" xfId="4921"/>
    <cellStyle name="Normal 4 4 5 2 2 2" xfId="5494"/>
    <cellStyle name="Normal 4 4 5 2 2 2 2" xfId="6662"/>
    <cellStyle name="Normal 4 4 5 2 2 2 2 2" xfId="21466"/>
    <cellStyle name="Normal 4 4 5 2 2 2 2 3" xfId="27243"/>
    <cellStyle name="Normal 4 4 5 2 2 2 3" xfId="21465"/>
    <cellStyle name="Normal 4 4 5 2 2 2 4" xfId="27242"/>
    <cellStyle name="Normal 4 4 5 2 2 3" xfId="5804"/>
    <cellStyle name="Normal 4 4 5 2 2 3 2" xfId="6663"/>
    <cellStyle name="Normal 4 4 5 2 2 3 2 2" xfId="21468"/>
    <cellStyle name="Normal 4 4 5 2 2 3 2 3" xfId="27245"/>
    <cellStyle name="Normal 4 4 5 2 2 3 3" xfId="21467"/>
    <cellStyle name="Normal 4 4 5 2 2 3 4" xfId="27244"/>
    <cellStyle name="Normal 4 4 5 2 2 4" xfId="6661"/>
    <cellStyle name="Normal 4 4 5 2 2 4 2" xfId="21469"/>
    <cellStyle name="Normal 4 4 5 2 2 4 3" xfId="27246"/>
    <cellStyle name="Normal 4 4 5 2 2 5" xfId="21464"/>
    <cellStyle name="Normal 4 4 5 2 2 6" xfId="27241"/>
    <cellStyle name="Normal 4 4 5 2 3" xfId="5493"/>
    <cellStyle name="Normal 4 4 5 2 3 2" xfId="6664"/>
    <cellStyle name="Normal 4 4 5 2 3 2 2" xfId="21471"/>
    <cellStyle name="Normal 4 4 5 2 3 2 3" xfId="27248"/>
    <cellStyle name="Normal 4 4 5 2 3 3" xfId="21470"/>
    <cellStyle name="Normal 4 4 5 2 3 4" xfId="27247"/>
    <cellStyle name="Normal 4 4 5 2 4" xfId="5803"/>
    <cellStyle name="Normal 4 4 5 2 4 2" xfId="6665"/>
    <cellStyle name="Normal 4 4 5 2 4 2 2" xfId="21473"/>
    <cellStyle name="Normal 4 4 5 2 4 2 3" xfId="27250"/>
    <cellStyle name="Normal 4 4 5 2 4 3" xfId="21472"/>
    <cellStyle name="Normal 4 4 5 2 4 4" xfId="27249"/>
    <cellStyle name="Normal 4 4 5 2 5" xfId="4920"/>
    <cellStyle name="Normal 4 4 5 2 5 2" xfId="6666"/>
    <cellStyle name="Normal 4 4 5 2 5 2 2" xfId="27252"/>
    <cellStyle name="Normal 4 4 5 2 5 3" xfId="21474"/>
    <cellStyle name="Normal 4 4 5 2 5 4" xfId="27251"/>
    <cellStyle name="Normal 4 4 5 2 6" xfId="6660"/>
    <cellStyle name="Normal 4 4 5 2 6 2" xfId="27253"/>
    <cellStyle name="Normal 4 4 5 2 7" xfId="21463"/>
    <cellStyle name="Normal 4 4 5 2 8" xfId="25064"/>
    <cellStyle name="Normal 4 4 5 2 9" xfId="27240"/>
    <cellStyle name="Normal 4 4 5 3" xfId="4922"/>
    <cellStyle name="Normal 4 4 5 3 2" xfId="5495"/>
    <cellStyle name="Normal 4 4 5 3 2 2" xfId="6668"/>
    <cellStyle name="Normal 4 4 5 3 2 2 2" xfId="21477"/>
    <cellStyle name="Normal 4 4 5 3 2 2 3" xfId="27256"/>
    <cellStyle name="Normal 4 4 5 3 2 3" xfId="21476"/>
    <cellStyle name="Normal 4 4 5 3 2 4" xfId="27255"/>
    <cellStyle name="Normal 4 4 5 3 3" xfId="5805"/>
    <cellStyle name="Normal 4 4 5 3 3 2" xfId="6669"/>
    <cellStyle name="Normal 4 4 5 3 3 2 2" xfId="21479"/>
    <cellStyle name="Normal 4 4 5 3 3 2 3" xfId="27258"/>
    <cellStyle name="Normal 4 4 5 3 3 3" xfId="21478"/>
    <cellStyle name="Normal 4 4 5 3 3 4" xfId="27257"/>
    <cellStyle name="Normal 4 4 5 3 4" xfId="6667"/>
    <cellStyle name="Normal 4 4 5 3 4 2" xfId="21480"/>
    <cellStyle name="Normal 4 4 5 3 4 3" xfId="27259"/>
    <cellStyle name="Normal 4 4 5 3 5" xfId="21475"/>
    <cellStyle name="Normal 4 4 5 3 6" xfId="27254"/>
    <cellStyle name="Normal 4 4 5 4" xfId="5492"/>
    <cellStyle name="Normal 4 4 5 4 2" xfId="6670"/>
    <cellStyle name="Normal 4 4 5 4 2 2" xfId="21482"/>
    <cellStyle name="Normal 4 4 5 4 2 3" xfId="27261"/>
    <cellStyle name="Normal 4 4 5 4 3" xfId="21481"/>
    <cellStyle name="Normal 4 4 5 4 4" xfId="27260"/>
    <cellStyle name="Normal 4 4 5 5" xfId="5802"/>
    <cellStyle name="Normal 4 4 5 5 2" xfId="6671"/>
    <cellStyle name="Normal 4 4 5 5 2 2" xfId="21484"/>
    <cellStyle name="Normal 4 4 5 5 2 3" xfId="27263"/>
    <cellStyle name="Normal 4 4 5 5 3" xfId="21483"/>
    <cellStyle name="Normal 4 4 5 5 4" xfId="27262"/>
    <cellStyle name="Normal 4 4 5 6" xfId="4919"/>
    <cellStyle name="Normal 4 4 5 6 2" xfId="6672"/>
    <cellStyle name="Normal 4 4 5 6 2 2" xfId="27265"/>
    <cellStyle name="Normal 4 4 5 6 3" xfId="21485"/>
    <cellStyle name="Normal 4 4 5 6 4" xfId="27264"/>
    <cellStyle name="Normal 4 4 5 7" xfId="6659"/>
    <cellStyle name="Normal 4 4 5 7 2" xfId="27266"/>
    <cellStyle name="Normal 4 4 5 8" xfId="21462"/>
    <cellStyle name="Normal 4 4 5 9" xfId="24944"/>
    <cellStyle name="Normal 4 4 6" xfId="1389"/>
    <cellStyle name="Normal 4 4 6 2" xfId="21486"/>
    <cellStyle name="Normal 4 4 7" xfId="3920"/>
    <cellStyle name="Normal 4 4 7 2" xfId="21488"/>
    <cellStyle name="Normal 4 4 7 3" xfId="21487"/>
    <cellStyle name="Normal 4 5" xfId="1058"/>
    <cellStyle name="Normal 4 5 2" xfId="3808"/>
    <cellStyle name="Normal 4 5 2 10" xfId="27267"/>
    <cellStyle name="Normal 4 5 2 2" xfId="4215"/>
    <cellStyle name="Normal 4 5 2 2 2" xfId="4925"/>
    <cellStyle name="Normal 4 5 2 2 2 2" xfId="5498"/>
    <cellStyle name="Normal 4 5 2 2 2 2 2" xfId="6676"/>
    <cellStyle name="Normal 4 5 2 2 2 2 2 2" xfId="21493"/>
    <cellStyle name="Normal 4 5 2 2 2 2 2 3" xfId="27271"/>
    <cellStyle name="Normal 4 5 2 2 2 2 3" xfId="21492"/>
    <cellStyle name="Normal 4 5 2 2 2 2 4" xfId="27270"/>
    <cellStyle name="Normal 4 5 2 2 2 3" xfId="5808"/>
    <cellStyle name="Normal 4 5 2 2 2 3 2" xfId="6677"/>
    <cellStyle name="Normal 4 5 2 2 2 3 2 2" xfId="21495"/>
    <cellStyle name="Normal 4 5 2 2 2 3 2 3" xfId="27273"/>
    <cellStyle name="Normal 4 5 2 2 2 3 3" xfId="21494"/>
    <cellStyle name="Normal 4 5 2 2 2 3 4" xfId="27272"/>
    <cellStyle name="Normal 4 5 2 2 2 4" xfId="6675"/>
    <cellStyle name="Normal 4 5 2 2 2 4 2" xfId="21496"/>
    <cellStyle name="Normal 4 5 2 2 2 4 3" xfId="27274"/>
    <cellStyle name="Normal 4 5 2 2 2 5" xfId="21491"/>
    <cellStyle name="Normal 4 5 2 2 2 6" xfId="27269"/>
    <cellStyle name="Normal 4 5 2 2 3" xfId="5497"/>
    <cellStyle name="Normal 4 5 2 2 3 2" xfId="6678"/>
    <cellStyle name="Normal 4 5 2 2 3 2 2" xfId="21498"/>
    <cellStyle name="Normal 4 5 2 2 3 2 3" xfId="27276"/>
    <cellStyle name="Normal 4 5 2 2 3 3" xfId="21497"/>
    <cellStyle name="Normal 4 5 2 2 3 4" xfId="27275"/>
    <cellStyle name="Normal 4 5 2 2 4" xfId="5807"/>
    <cellStyle name="Normal 4 5 2 2 4 2" xfId="6679"/>
    <cellStyle name="Normal 4 5 2 2 4 2 2" xfId="21500"/>
    <cellStyle name="Normal 4 5 2 2 4 2 3" xfId="27278"/>
    <cellStyle name="Normal 4 5 2 2 4 3" xfId="21499"/>
    <cellStyle name="Normal 4 5 2 2 4 4" xfId="27277"/>
    <cellStyle name="Normal 4 5 2 2 5" xfId="4924"/>
    <cellStyle name="Normal 4 5 2 2 5 2" xfId="6680"/>
    <cellStyle name="Normal 4 5 2 2 5 2 2" xfId="27280"/>
    <cellStyle name="Normal 4 5 2 2 5 3" xfId="21501"/>
    <cellStyle name="Normal 4 5 2 2 5 4" xfId="27279"/>
    <cellStyle name="Normal 4 5 2 2 6" xfId="6674"/>
    <cellStyle name="Normal 4 5 2 2 6 2" xfId="27281"/>
    <cellStyle name="Normal 4 5 2 2 7" xfId="21490"/>
    <cellStyle name="Normal 4 5 2 2 8" xfId="25067"/>
    <cellStyle name="Normal 4 5 2 2 9" xfId="27268"/>
    <cellStyle name="Normal 4 5 2 3" xfId="4926"/>
    <cellStyle name="Normal 4 5 2 3 2" xfId="5499"/>
    <cellStyle name="Normal 4 5 2 3 2 2" xfId="6682"/>
    <cellStyle name="Normal 4 5 2 3 2 2 2" xfId="21504"/>
    <cellStyle name="Normal 4 5 2 3 2 2 3" xfId="27284"/>
    <cellStyle name="Normal 4 5 2 3 2 3" xfId="21503"/>
    <cellStyle name="Normal 4 5 2 3 2 4" xfId="27283"/>
    <cellStyle name="Normal 4 5 2 3 3" xfId="5809"/>
    <cellStyle name="Normal 4 5 2 3 3 2" xfId="6683"/>
    <cellStyle name="Normal 4 5 2 3 3 2 2" xfId="27286"/>
    <cellStyle name="Normal 4 5 2 3 3 3" xfId="21505"/>
    <cellStyle name="Normal 4 5 2 3 3 4" xfId="27285"/>
    <cellStyle name="Normal 4 5 2 3 4" xfId="6681"/>
    <cellStyle name="Normal 4 5 2 3 4 2" xfId="27287"/>
    <cellStyle name="Normal 4 5 2 3 5" xfId="21502"/>
    <cellStyle name="Normal 4 5 2 3 6" xfId="27282"/>
    <cellStyle name="Normal 4 5 2 4" xfId="5496"/>
    <cellStyle name="Normal 4 5 2 4 2" xfId="6684"/>
    <cellStyle name="Normal 4 5 2 4 2 2" xfId="21508"/>
    <cellStyle name="Normal 4 5 2 4 2 3" xfId="21507"/>
    <cellStyle name="Normal 4 5 2 4 2 4" xfId="27289"/>
    <cellStyle name="Normal 4 5 2 4 3" xfId="21509"/>
    <cellStyle name="Normal 4 5 2 4 3 2" xfId="21510"/>
    <cellStyle name="Normal 4 5 2 4 4" xfId="21511"/>
    <cellStyle name="Normal 4 5 2 4 5" xfId="21506"/>
    <cellStyle name="Normal 4 5 2 4 6" xfId="27288"/>
    <cellStyle name="Normal 4 5 2 5" xfId="5806"/>
    <cellStyle name="Normal 4 5 2 5 2" xfId="6685"/>
    <cellStyle name="Normal 4 5 2 5 2 2" xfId="21513"/>
    <cellStyle name="Normal 4 5 2 5 2 3" xfId="27291"/>
    <cellStyle name="Normal 4 5 2 5 3" xfId="21512"/>
    <cellStyle name="Normal 4 5 2 5 4" xfId="27290"/>
    <cellStyle name="Normal 4 5 2 6" xfId="4923"/>
    <cellStyle name="Normal 4 5 2 6 2" xfId="6686"/>
    <cellStyle name="Normal 4 5 2 6 2 2" xfId="21515"/>
    <cellStyle name="Normal 4 5 2 6 2 3" xfId="27293"/>
    <cellStyle name="Normal 4 5 2 6 3" xfId="21514"/>
    <cellStyle name="Normal 4 5 2 6 4" xfId="27292"/>
    <cellStyle name="Normal 4 5 2 7" xfId="6673"/>
    <cellStyle name="Normal 4 5 2 7 2" xfId="21516"/>
    <cellStyle name="Normal 4 5 2 7 3" xfId="27294"/>
    <cellStyle name="Normal 4 5 2 8" xfId="21489"/>
    <cellStyle name="Normal 4 5 2 9" xfId="24947"/>
    <cellStyle name="Normal 4 5 3" xfId="1393"/>
    <cellStyle name="Normal 4 5 3 2" xfId="21517"/>
    <cellStyle name="Normal 4 5 4" xfId="3928"/>
    <cellStyle name="Normal 4 5 4 2" xfId="21519"/>
    <cellStyle name="Normal 4 5 4 3" xfId="21518"/>
    <cellStyle name="Normal 4 5 5" xfId="21520"/>
    <cellStyle name="Normal 4 5 5 2" xfId="21521"/>
    <cellStyle name="Normal 4 6" xfId="1068"/>
    <cellStyle name="Normal 4 6 10" xfId="21522"/>
    <cellStyle name="Normal 4 6 2" xfId="3813"/>
    <cellStyle name="Normal 4 6 2 10" xfId="27295"/>
    <cellStyle name="Normal 4 6 2 2" xfId="4218"/>
    <cellStyle name="Normal 4 6 2 2 2" xfId="4930"/>
    <cellStyle name="Normal 4 6 2 2 2 2" xfId="5503"/>
    <cellStyle name="Normal 4 6 2 2 2 2 2" xfId="6690"/>
    <cellStyle name="Normal 4 6 2 2 2 2 2 2" xfId="21527"/>
    <cellStyle name="Normal 4 6 2 2 2 2 2 3" xfId="27299"/>
    <cellStyle name="Normal 4 6 2 2 2 2 3" xfId="21526"/>
    <cellStyle name="Normal 4 6 2 2 2 2 4" xfId="27298"/>
    <cellStyle name="Normal 4 6 2 2 2 3" xfId="5813"/>
    <cellStyle name="Normal 4 6 2 2 2 3 2" xfId="6691"/>
    <cellStyle name="Normal 4 6 2 2 2 3 2 2" xfId="21529"/>
    <cellStyle name="Normal 4 6 2 2 2 3 2 3" xfId="27301"/>
    <cellStyle name="Normal 4 6 2 2 2 3 3" xfId="21528"/>
    <cellStyle name="Normal 4 6 2 2 2 3 4" xfId="27300"/>
    <cellStyle name="Normal 4 6 2 2 2 4" xfId="6689"/>
    <cellStyle name="Normal 4 6 2 2 2 4 2" xfId="21530"/>
    <cellStyle name="Normal 4 6 2 2 2 4 3" xfId="27302"/>
    <cellStyle name="Normal 4 6 2 2 2 5" xfId="21525"/>
    <cellStyle name="Normal 4 6 2 2 2 6" xfId="27297"/>
    <cellStyle name="Normal 4 6 2 2 3" xfId="5502"/>
    <cellStyle name="Normal 4 6 2 2 3 2" xfId="6692"/>
    <cellStyle name="Normal 4 6 2 2 3 2 2" xfId="21532"/>
    <cellStyle name="Normal 4 6 2 2 3 2 3" xfId="27304"/>
    <cellStyle name="Normal 4 6 2 2 3 3" xfId="21531"/>
    <cellStyle name="Normal 4 6 2 2 3 4" xfId="27303"/>
    <cellStyle name="Normal 4 6 2 2 4" xfId="5812"/>
    <cellStyle name="Normal 4 6 2 2 4 2" xfId="6693"/>
    <cellStyle name="Normal 4 6 2 2 4 2 2" xfId="21534"/>
    <cellStyle name="Normal 4 6 2 2 4 2 3" xfId="27306"/>
    <cellStyle name="Normal 4 6 2 2 4 3" xfId="21533"/>
    <cellStyle name="Normal 4 6 2 2 4 4" xfId="27305"/>
    <cellStyle name="Normal 4 6 2 2 5" xfId="4929"/>
    <cellStyle name="Normal 4 6 2 2 5 2" xfId="6694"/>
    <cellStyle name="Normal 4 6 2 2 5 2 2" xfId="27308"/>
    <cellStyle name="Normal 4 6 2 2 5 3" xfId="21535"/>
    <cellStyle name="Normal 4 6 2 2 5 4" xfId="27307"/>
    <cellStyle name="Normal 4 6 2 2 6" xfId="6688"/>
    <cellStyle name="Normal 4 6 2 2 6 2" xfId="27309"/>
    <cellStyle name="Normal 4 6 2 2 7" xfId="21524"/>
    <cellStyle name="Normal 4 6 2 2 8" xfId="25070"/>
    <cellStyle name="Normal 4 6 2 2 9" xfId="27296"/>
    <cellStyle name="Normal 4 6 2 3" xfId="4931"/>
    <cellStyle name="Normal 4 6 2 3 2" xfId="5504"/>
    <cellStyle name="Normal 4 6 2 3 2 2" xfId="6696"/>
    <cellStyle name="Normal 4 6 2 3 2 2 2" xfId="21538"/>
    <cellStyle name="Normal 4 6 2 3 2 2 3" xfId="27312"/>
    <cellStyle name="Normal 4 6 2 3 2 3" xfId="21537"/>
    <cellStyle name="Normal 4 6 2 3 2 4" xfId="27311"/>
    <cellStyle name="Normal 4 6 2 3 3" xfId="5814"/>
    <cellStyle name="Normal 4 6 2 3 3 2" xfId="6697"/>
    <cellStyle name="Normal 4 6 2 3 3 2 2" xfId="27314"/>
    <cellStyle name="Normal 4 6 2 3 3 3" xfId="21539"/>
    <cellStyle name="Normal 4 6 2 3 3 4" xfId="27313"/>
    <cellStyle name="Normal 4 6 2 3 4" xfId="6695"/>
    <cellStyle name="Normal 4 6 2 3 4 2" xfId="27315"/>
    <cellStyle name="Normal 4 6 2 3 5" xfId="21536"/>
    <cellStyle name="Normal 4 6 2 3 6" xfId="27310"/>
    <cellStyle name="Normal 4 6 2 4" xfId="5501"/>
    <cellStyle name="Normal 4 6 2 4 2" xfId="6698"/>
    <cellStyle name="Normal 4 6 2 4 2 2" xfId="21542"/>
    <cellStyle name="Normal 4 6 2 4 2 3" xfId="21541"/>
    <cellStyle name="Normal 4 6 2 4 2 4" xfId="27317"/>
    <cellStyle name="Normal 4 6 2 4 3" xfId="21543"/>
    <cellStyle name="Normal 4 6 2 4 3 2" xfId="21544"/>
    <cellStyle name="Normal 4 6 2 4 4" xfId="21545"/>
    <cellStyle name="Normal 4 6 2 4 5" xfId="21540"/>
    <cellStyle name="Normal 4 6 2 4 6" xfId="27316"/>
    <cellStyle name="Normal 4 6 2 5" xfId="5811"/>
    <cellStyle name="Normal 4 6 2 5 2" xfId="6699"/>
    <cellStyle name="Normal 4 6 2 5 2 2" xfId="21547"/>
    <cellStyle name="Normal 4 6 2 5 2 3" xfId="27319"/>
    <cellStyle name="Normal 4 6 2 5 3" xfId="21546"/>
    <cellStyle name="Normal 4 6 2 5 4" xfId="27318"/>
    <cellStyle name="Normal 4 6 2 6" xfId="4928"/>
    <cellStyle name="Normal 4 6 2 6 2" xfId="6700"/>
    <cellStyle name="Normal 4 6 2 6 2 2" xfId="21549"/>
    <cellStyle name="Normal 4 6 2 6 2 3" xfId="27321"/>
    <cellStyle name="Normal 4 6 2 6 3" xfId="21548"/>
    <cellStyle name="Normal 4 6 2 6 4" xfId="27320"/>
    <cellStyle name="Normal 4 6 2 7" xfId="6687"/>
    <cellStyle name="Normal 4 6 2 7 2" xfId="21550"/>
    <cellStyle name="Normal 4 6 2 7 3" xfId="27322"/>
    <cellStyle name="Normal 4 6 2 8" xfId="21523"/>
    <cellStyle name="Normal 4 6 2 9" xfId="24950"/>
    <cellStyle name="Normal 4 6 3" xfId="1438"/>
    <cellStyle name="Normal 4 6 3 2" xfId="4184"/>
    <cellStyle name="Normal 4 6 3 2 2" xfId="5506"/>
    <cellStyle name="Normal 4 6 3 2 2 2" xfId="6703"/>
    <cellStyle name="Normal 4 6 3 2 2 2 2" xfId="21554"/>
    <cellStyle name="Normal 4 6 3 2 2 2 3" xfId="27326"/>
    <cellStyle name="Normal 4 6 3 2 2 3" xfId="21553"/>
    <cellStyle name="Normal 4 6 3 2 2 4" xfId="27325"/>
    <cellStyle name="Normal 4 6 3 2 3" xfId="5816"/>
    <cellStyle name="Normal 4 6 3 2 3 2" xfId="6704"/>
    <cellStyle name="Normal 4 6 3 2 3 2 2" xfId="27328"/>
    <cellStyle name="Normal 4 6 3 2 3 3" xfId="21555"/>
    <cellStyle name="Normal 4 6 3 2 3 4" xfId="27327"/>
    <cellStyle name="Normal 4 6 3 2 4" xfId="4933"/>
    <cellStyle name="Normal 4 6 3 2 4 2" xfId="6705"/>
    <cellStyle name="Normal 4 6 3 2 4 2 2" xfId="27330"/>
    <cellStyle name="Normal 4 6 3 2 4 3" xfId="27329"/>
    <cellStyle name="Normal 4 6 3 2 5" xfId="6702"/>
    <cellStyle name="Normal 4 6 3 2 5 2" xfId="27331"/>
    <cellStyle name="Normal 4 6 3 2 6" xfId="21552"/>
    <cellStyle name="Normal 4 6 3 2 7" xfId="25036"/>
    <cellStyle name="Normal 4 6 3 2 8" xfId="27324"/>
    <cellStyle name="Normal 4 6 3 3" xfId="5505"/>
    <cellStyle name="Normal 4 6 3 3 2" xfId="6706"/>
    <cellStyle name="Normal 4 6 3 3 2 2" xfId="21558"/>
    <cellStyle name="Normal 4 6 3 3 2 3" xfId="21557"/>
    <cellStyle name="Normal 4 6 3 3 2 4" xfId="27333"/>
    <cellStyle name="Normal 4 6 3 3 3" xfId="21559"/>
    <cellStyle name="Normal 4 6 3 3 3 2" xfId="21560"/>
    <cellStyle name="Normal 4 6 3 3 4" xfId="21561"/>
    <cellStyle name="Normal 4 6 3 3 5" xfId="21556"/>
    <cellStyle name="Normal 4 6 3 3 6" xfId="27332"/>
    <cellStyle name="Normal 4 6 3 4" xfId="5815"/>
    <cellStyle name="Normal 4 6 3 4 2" xfId="6707"/>
    <cellStyle name="Normal 4 6 3 4 2 2" xfId="21563"/>
    <cellStyle name="Normal 4 6 3 4 2 3" xfId="27335"/>
    <cellStyle name="Normal 4 6 3 4 3" xfId="21562"/>
    <cellStyle name="Normal 4 6 3 4 4" xfId="27334"/>
    <cellStyle name="Normal 4 6 3 5" xfId="4932"/>
    <cellStyle name="Normal 4 6 3 5 2" xfId="6708"/>
    <cellStyle name="Normal 4 6 3 5 2 2" xfId="21565"/>
    <cellStyle name="Normal 4 6 3 5 2 3" xfId="27337"/>
    <cellStyle name="Normal 4 6 3 5 3" xfId="21564"/>
    <cellStyle name="Normal 4 6 3 5 4" xfId="27336"/>
    <cellStyle name="Normal 4 6 3 6" xfId="6701"/>
    <cellStyle name="Normal 4 6 3 6 2" xfId="21566"/>
    <cellStyle name="Normal 4 6 3 6 3" xfId="27338"/>
    <cellStyle name="Normal 4 6 3 7" xfId="21551"/>
    <cellStyle name="Normal 4 6 3 8" xfId="24916"/>
    <cellStyle name="Normal 4 6 3 9" xfId="27323"/>
    <cellStyle name="Normal 4 6 4" xfId="3938"/>
    <cellStyle name="Normal 4 6 4 2" xfId="5507"/>
    <cellStyle name="Normal 4 6 4 2 2" xfId="6709"/>
    <cellStyle name="Normal 4 6 4 2 2 2" xfId="21569"/>
    <cellStyle name="Normal 4 6 4 2 2 3" xfId="27340"/>
    <cellStyle name="Normal 4 6 4 2 3" xfId="21568"/>
    <cellStyle name="Normal 4 6 4 2 4" xfId="27339"/>
    <cellStyle name="Normal 4 6 4 3" xfId="5817"/>
    <cellStyle name="Normal 4 6 4 3 2" xfId="6710"/>
    <cellStyle name="Normal 4 6 4 3 2 2" xfId="27342"/>
    <cellStyle name="Normal 4 6 4 3 3" xfId="21570"/>
    <cellStyle name="Normal 4 6 4 3 4" xfId="27341"/>
    <cellStyle name="Normal 4 6 4 4" xfId="4934"/>
    <cellStyle name="Normal 4 6 4 4 2" xfId="6711"/>
    <cellStyle name="Normal 4 6 4 4 2 2" xfId="27344"/>
    <cellStyle name="Normal 4 6 4 4 3" xfId="27343"/>
    <cellStyle name="Normal 4 6 4 5" xfId="21567"/>
    <cellStyle name="Normal 4 6 5" xfId="5500"/>
    <cellStyle name="Normal 4 6 5 2" xfId="6712"/>
    <cellStyle name="Normal 4 6 5 2 2" xfId="21573"/>
    <cellStyle name="Normal 4 6 5 2 3" xfId="21572"/>
    <cellStyle name="Normal 4 6 5 2 4" xfId="27346"/>
    <cellStyle name="Normal 4 6 5 3" xfId="21574"/>
    <cellStyle name="Normal 4 6 5 4" xfId="21571"/>
    <cellStyle name="Normal 4 6 5 5" xfId="27345"/>
    <cellStyle name="Normal 4 6 6" xfId="5810"/>
    <cellStyle name="Normal 4 6 6 2" xfId="6713"/>
    <cellStyle name="Normal 4 6 6 2 2" xfId="21577"/>
    <cellStyle name="Normal 4 6 6 2 3" xfId="21576"/>
    <cellStyle name="Normal 4 6 6 2 4" xfId="27348"/>
    <cellStyle name="Normal 4 6 6 3" xfId="21578"/>
    <cellStyle name="Normal 4 6 6 4" xfId="21575"/>
    <cellStyle name="Normal 4 6 6 5" xfId="27347"/>
    <cellStyle name="Normal 4 6 7" xfId="4927"/>
    <cellStyle name="Normal 4 6 7 2" xfId="6714"/>
    <cellStyle name="Normal 4 6 7 2 2" xfId="21580"/>
    <cellStyle name="Normal 4 6 7 2 3" xfId="27350"/>
    <cellStyle name="Normal 4 6 7 3" xfId="21579"/>
    <cellStyle name="Normal 4 6 7 4" xfId="27349"/>
    <cellStyle name="Normal 4 6 8" xfId="21581"/>
    <cellStyle name="Normal 4 6 8 2" xfId="21582"/>
    <cellStyle name="Normal 4 6 9" xfId="21583"/>
    <cellStyle name="Normal 4 7" xfId="1078"/>
    <cellStyle name="Normal 4 7 10" xfId="21584"/>
    <cellStyle name="Normal 4 7 2" xfId="1537"/>
    <cellStyle name="Normal 4 7 2 2" xfId="4190"/>
    <cellStyle name="Normal 4 7 2 2 2" xfId="5510"/>
    <cellStyle name="Normal 4 7 2 2 2 2" xfId="6717"/>
    <cellStyle name="Normal 4 7 2 2 2 2 2" xfId="21588"/>
    <cellStyle name="Normal 4 7 2 2 2 2 3" xfId="27354"/>
    <cellStyle name="Normal 4 7 2 2 2 3" xfId="21587"/>
    <cellStyle name="Normal 4 7 2 2 2 4" xfId="27353"/>
    <cellStyle name="Normal 4 7 2 2 3" xfId="5820"/>
    <cellStyle name="Normal 4 7 2 2 3 2" xfId="6718"/>
    <cellStyle name="Normal 4 7 2 2 3 2 2" xfId="27356"/>
    <cellStyle name="Normal 4 7 2 2 3 3" xfId="21589"/>
    <cellStyle name="Normal 4 7 2 2 3 4" xfId="27355"/>
    <cellStyle name="Normal 4 7 2 2 4" xfId="4937"/>
    <cellStyle name="Normal 4 7 2 2 4 2" xfId="6719"/>
    <cellStyle name="Normal 4 7 2 2 4 2 2" xfId="27358"/>
    <cellStyle name="Normal 4 7 2 2 4 3" xfId="27357"/>
    <cellStyle name="Normal 4 7 2 2 5" xfId="6716"/>
    <cellStyle name="Normal 4 7 2 2 5 2" xfId="27359"/>
    <cellStyle name="Normal 4 7 2 2 6" xfId="21586"/>
    <cellStyle name="Normal 4 7 2 2 7" xfId="25042"/>
    <cellStyle name="Normal 4 7 2 2 8" xfId="27352"/>
    <cellStyle name="Normal 4 7 2 3" xfId="5509"/>
    <cellStyle name="Normal 4 7 2 3 2" xfId="6720"/>
    <cellStyle name="Normal 4 7 2 3 2 2" xfId="21592"/>
    <cellStyle name="Normal 4 7 2 3 2 3" xfId="21591"/>
    <cellStyle name="Normal 4 7 2 3 2 4" xfId="27361"/>
    <cellStyle name="Normal 4 7 2 3 3" xfId="21593"/>
    <cellStyle name="Normal 4 7 2 3 3 2" xfId="21594"/>
    <cellStyle name="Normal 4 7 2 3 4" xfId="21595"/>
    <cellStyle name="Normal 4 7 2 3 5" xfId="21590"/>
    <cellStyle name="Normal 4 7 2 3 6" xfId="27360"/>
    <cellStyle name="Normal 4 7 2 4" xfId="5819"/>
    <cellStyle name="Normal 4 7 2 4 2" xfId="6721"/>
    <cellStyle name="Normal 4 7 2 4 2 2" xfId="21597"/>
    <cellStyle name="Normal 4 7 2 4 2 3" xfId="27363"/>
    <cellStyle name="Normal 4 7 2 4 3" xfId="21596"/>
    <cellStyle name="Normal 4 7 2 4 4" xfId="27362"/>
    <cellStyle name="Normal 4 7 2 5" xfId="4936"/>
    <cellStyle name="Normal 4 7 2 5 2" xfId="6722"/>
    <cellStyle name="Normal 4 7 2 5 2 2" xfId="21599"/>
    <cellStyle name="Normal 4 7 2 5 2 3" xfId="27365"/>
    <cellStyle name="Normal 4 7 2 5 3" xfId="21598"/>
    <cellStyle name="Normal 4 7 2 5 4" xfId="27364"/>
    <cellStyle name="Normal 4 7 2 6" xfId="6715"/>
    <cellStyle name="Normal 4 7 2 6 2" xfId="21600"/>
    <cellStyle name="Normal 4 7 2 6 3" xfId="27366"/>
    <cellStyle name="Normal 4 7 2 7" xfId="21585"/>
    <cellStyle name="Normal 4 7 2 8" xfId="24922"/>
    <cellStyle name="Normal 4 7 2 9" xfId="27351"/>
    <cellStyle name="Normal 4 7 3" xfId="3948"/>
    <cellStyle name="Normal 4 7 3 2" xfId="5511"/>
    <cellStyle name="Normal 4 7 3 2 2" xfId="6723"/>
    <cellStyle name="Normal 4 7 3 2 2 2" xfId="21603"/>
    <cellStyle name="Normal 4 7 3 2 2 3" xfId="27368"/>
    <cellStyle name="Normal 4 7 3 2 3" xfId="21602"/>
    <cellStyle name="Normal 4 7 3 2 4" xfId="27367"/>
    <cellStyle name="Normal 4 7 3 3" xfId="5821"/>
    <cellStyle name="Normal 4 7 3 3 2" xfId="6724"/>
    <cellStyle name="Normal 4 7 3 3 2 2" xfId="27370"/>
    <cellStyle name="Normal 4 7 3 3 3" xfId="21604"/>
    <cellStyle name="Normal 4 7 3 3 4" xfId="27369"/>
    <cellStyle name="Normal 4 7 3 4" xfId="4938"/>
    <cellStyle name="Normal 4 7 3 4 2" xfId="6725"/>
    <cellStyle name="Normal 4 7 3 4 2 2" xfId="27372"/>
    <cellStyle name="Normal 4 7 3 4 3" xfId="27371"/>
    <cellStyle name="Normal 4 7 3 5" xfId="21601"/>
    <cellStyle name="Normal 4 7 4" xfId="5508"/>
    <cellStyle name="Normal 4 7 4 2" xfId="6726"/>
    <cellStyle name="Normal 4 7 4 2 2" xfId="21606"/>
    <cellStyle name="Normal 4 7 4 2 3" xfId="27374"/>
    <cellStyle name="Normal 4 7 4 3" xfId="21605"/>
    <cellStyle name="Normal 4 7 4 4" xfId="27373"/>
    <cellStyle name="Normal 4 7 5" xfId="5818"/>
    <cellStyle name="Normal 4 7 5 2" xfId="6727"/>
    <cellStyle name="Normal 4 7 5 2 2" xfId="21609"/>
    <cellStyle name="Normal 4 7 5 2 3" xfId="21608"/>
    <cellStyle name="Normal 4 7 5 2 4" xfId="27376"/>
    <cellStyle name="Normal 4 7 5 3" xfId="21610"/>
    <cellStyle name="Normal 4 7 5 4" xfId="21607"/>
    <cellStyle name="Normal 4 7 5 5" xfId="27375"/>
    <cellStyle name="Normal 4 7 6" xfId="4935"/>
    <cellStyle name="Normal 4 7 6 2" xfId="6728"/>
    <cellStyle name="Normal 4 7 6 2 2" xfId="21613"/>
    <cellStyle name="Normal 4 7 6 2 3" xfId="21612"/>
    <cellStyle name="Normal 4 7 6 2 4" xfId="27378"/>
    <cellStyle name="Normal 4 7 6 3" xfId="21614"/>
    <cellStyle name="Normal 4 7 6 4" xfId="21611"/>
    <cellStyle name="Normal 4 7 6 5" xfId="27377"/>
    <cellStyle name="Normal 4 7 7" xfId="21615"/>
    <cellStyle name="Normal 4 7 7 2" xfId="21616"/>
    <cellStyle name="Normal 4 7 8" xfId="21617"/>
    <cellStyle name="Normal 4 7 8 2" xfId="21618"/>
    <cellStyle name="Normal 4 7 9" xfId="21619"/>
    <cellStyle name="Normal 4 8" xfId="1088"/>
    <cellStyle name="Normal 4 8 2" xfId="1543"/>
    <cellStyle name="Normal 4 8 2 2" xfId="21620"/>
    <cellStyle name="Normal 4 8 3" xfId="3958"/>
    <cellStyle name="Normal 4 8 3 2" xfId="21622"/>
    <cellStyle name="Normal 4 8 3 3" xfId="21621"/>
    <cellStyle name="Normal 4 8 4" xfId="21623"/>
    <cellStyle name="Normal 4 8 4 2" xfId="21624"/>
    <cellStyle name="Normal 4 8 5" xfId="21625"/>
    <cellStyle name="Normal 4 8 5 2" xfId="21626"/>
    <cellStyle name="Normal 4 9" xfId="1098"/>
    <cellStyle name="Normal 4 9 10" xfId="21627"/>
    <cellStyle name="Normal 4 9 2" xfId="3536"/>
    <cellStyle name="Normal 4 9 2 2" xfId="4198"/>
    <cellStyle name="Normal 4 9 2 2 2" xfId="5514"/>
    <cellStyle name="Normal 4 9 2 2 2 2" xfId="6731"/>
    <cellStyle name="Normal 4 9 2 2 2 2 2" xfId="21631"/>
    <cellStyle name="Normal 4 9 2 2 2 2 3" xfId="27382"/>
    <cellStyle name="Normal 4 9 2 2 2 3" xfId="21630"/>
    <cellStyle name="Normal 4 9 2 2 2 4" xfId="27381"/>
    <cellStyle name="Normal 4 9 2 2 3" xfId="5824"/>
    <cellStyle name="Normal 4 9 2 2 3 2" xfId="6732"/>
    <cellStyle name="Normal 4 9 2 2 3 2 2" xfId="27384"/>
    <cellStyle name="Normal 4 9 2 2 3 3" xfId="21632"/>
    <cellStyle name="Normal 4 9 2 2 3 4" xfId="27383"/>
    <cellStyle name="Normal 4 9 2 2 4" xfId="4941"/>
    <cellStyle name="Normal 4 9 2 2 4 2" xfId="6733"/>
    <cellStyle name="Normal 4 9 2 2 4 2 2" xfId="27386"/>
    <cellStyle name="Normal 4 9 2 2 4 3" xfId="27385"/>
    <cellStyle name="Normal 4 9 2 2 5" xfId="6730"/>
    <cellStyle name="Normal 4 9 2 2 5 2" xfId="27387"/>
    <cellStyle name="Normal 4 9 2 2 6" xfId="21629"/>
    <cellStyle name="Normal 4 9 2 2 7" xfId="25050"/>
    <cellStyle name="Normal 4 9 2 2 8" xfId="27380"/>
    <cellStyle name="Normal 4 9 2 3" xfId="5513"/>
    <cellStyle name="Normal 4 9 2 3 2" xfId="6734"/>
    <cellStyle name="Normal 4 9 2 3 2 2" xfId="21635"/>
    <cellStyle name="Normal 4 9 2 3 2 3" xfId="21634"/>
    <cellStyle name="Normal 4 9 2 3 2 4" xfId="27389"/>
    <cellStyle name="Normal 4 9 2 3 3" xfId="21636"/>
    <cellStyle name="Normal 4 9 2 3 3 2" xfId="21637"/>
    <cellStyle name="Normal 4 9 2 3 4" xfId="21638"/>
    <cellStyle name="Normal 4 9 2 3 5" xfId="21633"/>
    <cellStyle name="Normal 4 9 2 3 6" xfId="27388"/>
    <cellStyle name="Normal 4 9 2 4" xfId="5823"/>
    <cellStyle name="Normal 4 9 2 4 2" xfId="6735"/>
    <cellStyle name="Normal 4 9 2 4 2 2" xfId="21640"/>
    <cellStyle name="Normal 4 9 2 4 2 3" xfId="27391"/>
    <cellStyle name="Normal 4 9 2 4 3" xfId="21639"/>
    <cellStyle name="Normal 4 9 2 4 4" xfId="27390"/>
    <cellStyle name="Normal 4 9 2 5" xfId="4940"/>
    <cellStyle name="Normal 4 9 2 5 2" xfId="6736"/>
    <cellStyle name="Normal 4 9 2 5 2 2" xfId="21642"/>
    <cellStyle name="Normal 4 9 2 5 2 3" xfId="27393"/>
    <cellStyle name="Normal 4 9 2 5 3" xfId="21641"/>
    <cellStyle name="Normal 4 9 2 5 4" xfId="27392"/>
    <cellStyle name="Normal 4 9 2 6" xfId="6729"/>
    <cellStyle name="Normal 4 9 2 6 2" xfId="21643"/>
    <cellStyle name="Normal 4 9 2 6 3" xfId="27394"/>
    <cellStyle name="Normal 4 9 2 7" xfId="21628"/>
    <cellStyle name="Normal 4 9 2 8" xfId="24930"/>
    <cellStyle name="Normal 4 9 2 9" xfId="27379"/>
    <cellStyle name="Normal 4 9 3" xfId="3968"/>
    <cellStyle name="Normal 4 9 3 2" xfId="5515"/>
    <cellStyle name="Normal 4 9 3 2 2" xfId="6737"/>
    <cellStyle name="Normal 4 9 3 2 2 2" xfId="21646"/>
    <cellStyle name="Normal 4 9 3 2 2 3" xfId="27396"/>
    <cellStyle name="Normal 4 9 3 2 3" xfId="21645"/>
    <cellStyle name="Normal 4 9 3 2 4" xfId="27395"/>
    <cellStyle name="Normal 4 9 3 3" xfId="5825"/>
    <cellStyle name="Normal 4 9 3 3 2" xfId="6738"/>
    <cellStyle name="Normal 4 9 3 3 2 2" xfId="27398"/>
    <cellStyle name="Normal 4 9 3 3 3" xfId="21647"/>
    <cellStyle name="Normal 4 9 3 3 4" xfId="27397"/>
    <cellStyle name="Normal 4 9 3 4" xfId="4942"/>
    <cellStyle name="Normal 4 9 3 4 2" xfId="6739"/>
    <cellStyle name="Normal 4 9 3 4 2 2" xfId="27400"/>
    <cellStyle name="Normal 4 9 3 4 3" xfId="27399"/>
    <cellStyle name="Normal 4 9 3 5" xfId="21644"/>
    <cellStyle name="Normal 4 9 4" xfId="5512"/>
    <cellStyle name="Normal 4 9 4 2" xfId="6740"/>
    <cellStyle name="Normal 4 9 4 2 2" xfId="21649"/>
    <cellStyle name="Normal 4 9 4 2 3" xfId="27402"/>
    <cellStyle name="Normal 4 9 4 3" xfId="21648"/>
    <cellStyle name="Normal 4 9 4 4" xfId="27401"/>
    <cellStyle name="Normal 4 9 5" xfId="5822"/>
    <cellStyle name="Normal 4 9 5 2" xfId="6741"/>
    <cellStyle name="Normal 4 9 5 2 2" xfId="21652"/>
    <cellStyle name="Normal 4 9 5 2 3" xfId="21651"/>
    <cellStyle name="Normal 4 9 5 2 4" xfId="27404"/>
    <cellStyle name="Normal 4 9 5 3" xfId="21653"/>
    <cellStyle name="Normal 4 9 5 4" xfId="21650"/>
    <cellStyle name="Normal 4 9 5 5" xfId="27403"/>
    <cellStyle name="Normal 4 9 6" xfId="4939"/>
    <cellStyle name="Normal 4 9 6 2" xfId="6742"/>
    <cellStyle name="Normal 4 9 6 2 2" xfId="21656"/>
    <cellStyle name="Normal 4 9 6 2 3" xfId="21655"/>
    <cellStyle name="Normal 4 9 6 2 4" xfId="27406"/>
    <cellStyle name="Normal 4 9 6 3" xfId="21657"/>
    <cellStyle name="Normal 4 9 6 4" xfId="21654"/>
    <cellStyle name="Normal 4 9 6 5" xfId="27405"/>
    <cellStyle name="Normal 4 9 7" xfId="21658"/>
    <cellStyle name="Normal 4 9 7 2" xfId="21659"/>
    <cellStyle name="Normal 4 9 8" xfId="21660"/>
    <cellStyle name="Normal 4 9 8 2" xfId="21661"/>
    <cellStyle name="Normal 4 9 9" xfId="21662"/>
    <cellStyle name="Normal 40" xfId="1031"/>
    <cellStyle name="Normal 40 2" xfId="3894"/>
    <cellStyle name="Normal 42" xfId="1032"/>
    <cellStyle name="Normal 42 2" xfId="3896"/>
    <cellStyle name="Normal 44" xfId="1033"/>
    <cellStyle name="Normal 44 2" xfId="3898"/>
    <cellStyle name="Normal 5" xfId="12"/>
    <cellStyle name="Normal 5 10" xfId="1102"/>
    <cellStyle name="Normal 5 10 2" xfId="3972"/>
    <cellStyle name="Normal 5 10 2 2" xfId="5517"/>
    <cellStyle name="Normal 5 10 2 2 2" xfId="6743"/>
    <cellStyle name="Normal 5 10 2 2 2 2" xfId="21665"/>
    <cellStyle name="Normal 5 10 2 2 2 3" xfId="27408"/>
    <cellStyle name="Normal 5 10 2 2 3" xfId="21664"/>
    <cellStyle name="Normal 5 10 2 2 4" xfId="27407"/>
    <cellStyle name="Normal 5 10 2 3" xfId="5827"/>
    <cellStyle name="Normal 5 10 2 3 2" xfId="6744"/>
    <cellStyle name="Normal 5 10 2 3 2 2" xfId="21667"/>
    <cellStyle name="Normal 5 10 2 3 2 3" xfId="27410"/>
    <cellStyle name="Normal 5 10 2 3 3" xfId="21666"/>
    <cellStyle name="Normal 5 10 2 3 4" xfId="27409"/>
    <cellStyle name="Normal 5 10 2 4" xfId="4944"/>
    <cellStyle name="Normal 5 10 2 4 2" xfId="6745"/>
    <cellStyle name="Normal 5 10 2 4 2 2" xfId="27412"/>
    <cellStyle name="Normal 5 10 2 4 3" xfId="21668"/>
    <cellStyle name="Normal 5 10 2 4 4" xfId="27411"/>
    <cellStyle name="Normal 5 10 2 5" xfId="21663"/>
    <cellStyle name="Normal 5 10 3" xfId="5516"/>
    <cellStyle name="Normal 5 10 3 2" xfId="6746"/>
    <cellStyle name="Normal 5 10 3 2 2" xfId="21670"/>
    <cellStyle name="Normal 5 10 3 2 3" xfId="27414"/>
    <cellStyle name="Normal 5 10 3 3" xfId="21669"/>
    <cellStyle name="Normal 5 10 3 4" xfId="27413"/>
    <cellStyle name="Normal 5 10 4" xfId="5826"/>
    <cellStyle name="Normal 5 10 4 2" xfId="6747"/>
    <cellStyle name="Normal 5 10 4 2 2" xfId="21672"/>
    <cellStyle name="Normal 5 10 4 2 3" xfId="27416"/>
    <cellStyle name="Normal 5 10 4 3" xfId="21671"/>
    <cellStyle name="Normal 5 10 4 4" xfId="27415"/>
    <cellStyle name="Normal 5 10 5" xfId="4943"/>
    <cellStyle name="Normal 5 10 5 2" xfId="6748"/>
    <cellStyle name="Normal 5 10 5 2 2" xfId="27418"/>
    <cellStyle name="Normal 5 10 5 3" xfId="21673"/>
    <cellStyle name="Normal 5 10 5 4" xfId="27417"/>
    <cellStyle name="Normal 5 10 6" xfId="7115"/>
    <cellStyle name="Normal 5 11" xfId="1112"/>
    <cellStyle name="Normal 5 11 2" xfId="3982"/>
    <cellStyle name="Normal 5 11 2 2" xfId="5518"/>
    <cellStyle name="Normal 5 11 2 2 2" xfId="6749"/>
    <cellStyle name="Normal 5 11 2 2 2 2" xfId="27420"/>
    <cellStyle name="Normal 5 11 2 2 3" xfId="21676"/>
    <cellStyle name="Normal 5 11 2 2 4" xfId="27419"/>
    <cellStyle name="Normal 5 11 2 3" xfId="21675"/>
    <cellStyle name="Normal 5 11 3" xfId="5828"/>
    <cellStyle name="Normal 5 11 3 2" xfId="6750"/>
    <cellStyle name="Normal 5 11 3 2 2" xfId="21678"/>
    <cellStyle name="Normal 5 11 3 2 3" xfId="27422"/>
    <cellStyle name="Normal 5 11 3 3" xfId="21677"/>
    <cellStyle name="Normal 5 11 3 4" xfId="27421"/>
    <cellStyle name="Normal 5 11 4" xfId="4945"/>
    <cellStyle name="Normal 5 11 4 2" xfId="6751"/>
    <cellStyle name="Normal 5 11 4 2 2" xfId="27424"/>
    <cellStyle name="Normal 5 11 4 3" xfId="21679"/>
    <cellStyle name="Normal 5 11 4 4" xfId="27423"/>
    <cellStyle name="Normal 5 11 5" xfId="21674"/>
    <cellStyle name="Normal 5 12" xfId="1122"/>
    <cellStyle name="Normal 5 12 2" xfId="3992"/>
    <cellStyle name="Normal 5 12 2 2" xfId="21681"/>
    <cellStyle name="Normal 5 12 3" xfId="21680"/>
    <cellStyle name="Normal 5 13" xfId="1132"/>
    <cellStyle name="Normal 5 13 2" xfId="4002"/>
    <cellStyle name="Normal 5 13 2 2" xfId="21683"/>
    <cellStyle name="Normal 5 13 3" xfId="21682"/>
    <cellStyle name="Normal 5 14" xfId="1160"/>
    <cellStyle name="Normal 5 14 2" xfId="4030"/>
    <cellStyle name="Normal 5 15" xfId="1148"/>
    <cellStyle name="Normal 5 15 2" xfId="4018"/>
    <cellStyle name="Normal 5 16" xfId="1162"/>
    <cellStyle name="Normal 5 16 2" xfId="4032"/>
    <cellStyle name="Normal 5 17" xfId="1172"/>
    <cellStyle name="Normal 5 17 2" xfId="4042"/>
    <cellStyle name="Normal 5 18" xfId="1182"/>
    <cellStyle name="Normal 5 18 2" xfId="4052"/>
    <cellStyle name="Normal 5 19" xfId="1192"/>
    <cellStyle name="Normal 5 19 2" xfId="4062"/>
    <cellStyle name="Normal 5 2" xfId="61"/>
    <cellStyle name="Normal 5 2 2" xfId="1490"/>
    <cellStyle name="Normal 5 2 2 10" xfId="27425"/>
    <cellStyle name="Normal 5 2 2 2" xfId="4186"/>
    <cellStyle name="Normal 5 2 2 2 2" xfId="4948"/>
    <cellStyle name="Normal 5 2 2 2 2 2" xfId="5521"/>
    <cellStyle name="Normal 5 2 2 2 2 2 2" xfId="6755"/>
    <cellStyle name="Normal 5 2 2 2 2 2 2 2" xfId="21688"/>
    <cellStyle name="Normal 5 2 2 2 2 2 2 3" xfId="27429"/>
    <cellStyle name="Normal 5 2 2 2 2 2 3" xfId="21687"/>
    <cellStyle name="Normal 5 2 2 2 2 2 4" xfId="27428"/>
    <cellStyle name="Normal 5 2 2 2 2 3" xfId="5831"/>
    <cellStyle name="Normal 5 2 2 2 2 3 2" xfId="6756"/>
    <cellStyle name="Normal 5 2 2 2 2 3 2 2" xfId="21690"/>
    <cellStyle name="Normal 5 2 2 2 2 3 2 3" xfId="27431"/>
    <cellStyle name="Normal 5 2 2 2 2 3 3" xfId="21689"/>
    <cellStyle name="Normal 5 2 2 2 2 3 4" xfId="27430"/>
    <cellStyle name="Normal 5 2 2 2 2 4" xfId="6754"/>
    <cellStyle name="Normal 5 2 2 2 2 4 2" xfId="21691"/>
    <cellStyle name="Normal 5 2 2 2 2 4 3" xfId="27432"/>
    <cellStyle name="Normal 5 2 2 2 2 5" xfId="21686"/>
    <cellStyle name="Normal 5 2 2 2 2 6" xfId="27427"/>
    <cellStyle name="Normal 5 2 2 2 3" xfId="5520"/>
    <cellStyle name="Normal 5 2 2 2 3 2" xfId="6757"/>
    <cellStyle name="Normal 5 2 2 2 3 2 2" xfId="21693"/>
    <cellStyle name="Normal 5 2 2 2 3 2 3" xfId="27434"/>
    <cellStyle name="Normal 5 2 2 2 3 3" xfId="21692"/>
    <cellStyle name="Normal 5 2 2 2 3 4" xfId="27433"/>
    <cellStyle name="Normal 5 2 2 2 4" xfId="5830"/>
    <cellStyle name="Normal 5 2 2 2 4 2" xfId="6758"/>
    <cellStyle name="Normal 5 2 2 2 4 2 2" xfId="21695"/>
    <cellStyle name="Normal 5 2 2 2 4 2 3" xfId="27436"/>
    <cellStyle name="Normal 5 2 2 2 4 3" xfId="21694"/>
    <cellStyle name="Normal 5 2 2 2 4 4" xfId="27435"/>
    <cellStyle name="Normal 5 2 2 2 5" xfId="4947"/>
    <cellStyle name="Normal 5 2 2 2 5 2" xfId="6759"/>
    <cellStyle name="Normal 5 2 2 2 5 2 2" xfId="27438"/>
    <cellStyle name="Normal 5 2 2 2 5 3" xfId="21696"/>
    <cellStyle name="Normal 5 2 2 2 5 4" xfId="27437"/>
    <cellStyle name="Normal 5 2 2 2 6" xfId="6753"/>
    <cellStyle name="Normal 5 2 2 2 6 2" xfId="27439"/>
    <cellStyle name="Normal 5 2 2 2 7" xfId="21685"/>
    <cellStyle name="Normal 5 2 2 2 8" xfId="25038"/>
    <cellStyle name="Normal 5 2 2 2 9" xfId="27426"/>
    <cellStyle name="Normal 5 2 2 3" xfId="4949"/>
    <cellStyle name="Normal 5 2 2 3 2" xfId="5522"/>
    <cellStyle name="Normal 5 2 2 3 2 2" xfId="6761"/>
    <cellStyle name="Normal 5 2 2 3 2 2 2" xfId="21699"/>
    <cellStyle name="Normal 5 2 2 3 2 2 3" xfId="27442"/>
    <cellStyle name="Normal 5 2 2 3 2 3" xfId="21698"/>
    <cellStyle name="Normal 5 2 2 3 2 4" xfId="27441"/>
    <cellStyle name="Normal 5 2 2 3 3" xfId="5832"/>
    <cellStyle name="Normal 5 2 2 3 3 2" xfId="6762"/>
    <cellStyle name="Normal 5 2 2 3 3 2 2" xfId="21701"/>
    <cellStyle name="Normal 5 2 2 3 3 2 3" xfId="27444"/>
    <cellStyle name="Normal 5 2 2 3 3 3" xfId="21700"/>
    <cellStyle name="Normal 5 2 2 3 3 4" xfId="27443"/>
    <cellStyle name="Normal 5 2 2 3 4" xfId="6760"/>
    <cellStyle name="Normal 5 2 2 3 4 2" xfId="21702"/>
    <cellStyle name="Normal 5 2 2 3 4 3" xfId="27445"/>
    <cellStyle name="Normal 5 2 2 3 5" xfId="21697"/>
    <cellStyle name="Normal 5 2 2 3 6" xfId="27440"/>
    <cellStyle name="Normal 5 2 2 4" xfId="5519"/>
    <cellStyle name="Normal 5 2 2 4 2" xfId="6763"/>
    <cellStyle name="Normal 5 2 2 4 2 2" xfId="21704"/>
    <cellStyle name="Normal 5 2 2 4 2 3" xfId="27447"/>
    <cellStyle name="Normal 5 2 2 4 3" xfId="21703"/>
    <cellStyle name="Normal 5 2 2 4 4" xfId="27446"/>
    <cellStyle name="Normal 5 2 2 5" xfId="5829"/>
    <cellStyle name="Normal 5 2 2 5 2" xfId="6764"/>
    <cellStyle name="Normal 5 2 2 5 2 2" xfId="21706"/>
    <cellStyle name="Normal 5 2 2 5 2 3" xfId="27449"/>
    <cellStyle name="Normal 5 2 2 5 3" xfId="21705"/>
    <cellStyle name="Normal 5 2 2 5 4" xfId="27448"/>
    <cellStyle name="Normal 5 2 2 6" xfId="4946"/>
    <cellStyle name="Normal 5 2 2 6 2" xfId="6765"/>
    <cellStyle name="Normal 5 2 2 6 2 2" xfId="27451"/>
    <cellStyle name="Normal 5 2 2 6 3" xfId="21707"/>
    <cellStyle name="Normal 5 2 2 6 4" xfId="27450"/>
    <cellStyle name="Normal 5 2 2 7" xfId="6752"/>
    <cellStyle name="Normal 5 2 2 7 2" xfId="27452"/>
    <cellStyle name="Normal 5 2 2 8" xfId="21684"/>
    <cellStyle name="Normal 5 2 2 9" xfId="24918"/>
    <cellStyle name="Normal 5 2 3" xfId="1616"/>
    <cellStyle name="Normal 5 2 3 10" xfId="27453"/>
    <cellStyle name="Normal 5 2 3 2" xfId="4195"/>
    <cellStyle name="Normal 5 2 3 2 2" xfId="4952"/>
    <cellStyle name="Normal 5 2 3 2 2 2" xfId="5525"/>
    <cellStyle name="Normal 5 2 3 2 2 2 2" xfId="6769"/>
    <cellStyle name="Normal 5 2 3 2 2 2 2 2" xfId="21712"/>
    <cellStyle name="Normal 5 2 3 2 2 2 2 3" xfId="27457"/>
    <cellStyle name="Normal 5 2 3 2 2 2 3" xfId="21711"/>
    <cellStyle name="Normal 5 2 3 2 2 2 4" xfId="27456"/>
    <cellStyle name="Normal 5 2 3 2 2 3" xfId="5835"/>
    <cellStyle name="Normal 5 2 3 2 2 3 2" xfId="6770"/>
    <cellStyle name="Normal 5 2 3 2 2 3 2 2" xfId="21714"/>
    <cellStyle name="Normal 5 2 3 2 2 3 2 3" xfId="27459"/>
    <cellStyle name="Normal 5 2 3 2 2 3 3" xfId="21713"/>
    <cellStyle name="Normal 5 2 3 2 2 3 4" xfId="27458"/>
    <cellStyle name="Normal 5 2 3 2 2 4" xfId="6768"/>
    <cellStyle name="Normal 5 2 3 2 2 4 2" xfId="21715"/>
    <cellStyle name="Normal 5 2 3 2 2 4 3" xfId="27460"/>
    <cellStyle name="Normal 5 2 3 2 2 5" xfId="21710"/>
    <cellStyle name="Normal 5 2 3 2 2 6" xfId="27455"/>
    <cellStyle name="Normal 5 2 3 2 3" xfId="5524"/>
    <cellStyle name="Normal 5 2 3 2 3 2" xfId="6771"/>
    <cellStyle name="Normal 5 2 3 2 3 2 2" xfId="21717"/>
    <cellStyle name="Normal 5 2 3 2 3 2 3" xfId="27462"/>
    <cellStyle name="Normal 5 2 3 2 3 3" xfId="21716"/>
    <cellStyle name="Normal 5 2 3 2 3 4" xfId="27461"/>
    <cellStyle name="Normal 5 2 3 2 4" xfId="5834"/>
    <cellStyle name="Normal 5 2 3 2 4 2" xfId="6772"/>
    <cellStyle name="Normal 5 2 3 2 4 2 2" xfId="21719"/>
    <cellStyle name="Normal 5 2 3 2 4 2 3" xfId="27464"/>
    <cellStyle name="Normal 5 2 3 2 4 3" xfId="21718"/>
    <cellStyle name="Normal 5 2 3 2 4 4" xfId="27463"/>
    <cellStyle name="Normal 5 2 3 2 5" xfId="4951"/>
    <cellStyle name="Normal 5 2 3 2 5 2" xfId="6773"/>
    <cellStyle name="Normal 5 2 3 2 5 2 2" xfId="27466"/>
    <cellStyle name="Normal 5 2 3 2 5 3" xfId="21720"/>
    <cellStyle name="Normal 5 2 3 2 5 4" xfId="27465"/>
    <cellStyle name="Normal 5 2 3 2 6" xfId="6767"/>
    <cellStyle name="Normal 5 2 3 2 6 2" xfId="27467"/>
    <cellStyle name="Normal 5 2 3 2 7" xfId="21709"/>
    <cellStyle name="Normal 5 2 3 2 8" xfId="25047"/>
    <cellStyle name="Normal 5 2 3 2 9" xfId="27454"/>
    <cellStyle name="Normal 5 2 3 3" xfId="4953"/>
    <cellStyle name="Normal 5 2 3 3 2" xfId="5526"/>
    <cellStyle name="Normal 5 2 3 3 2 2" xfId="6775"/>
    <cellStyle name="Normal 5 2 3 3 2 2 2" xfId="21723"/>
    <cellStyle name="Normal 5 2 3 3 2 2 3" xfId="27470"/>
    <cellStyle name="Normal 5 2 3 3 2 3" xfId="21722"/>
    <cellStyle name="Normal 5 2 3 3 2 4" xfId="27469"/>
    <cellStyle name="Normal 5 2 3 3 3" xfId="5836"/>
    <cellStyle name="Normal 5 2 3 3 3 2" xfId="6776"/>
    <cellStyle name="Normal 5 2 3 3 3 2 2" xfId="21725"/>
    <cellStyle name="Normal 5 2 3 3 3 2 3" xfId="27472"/>
    <cellStyle name="Normal 5 2 3 3 3 3" xfId="21724"/>
    <cellStyle name="Normal 5 2 3 3 3 4" xfId="27471"/>
    <cellStyle name="Normal 5 2 3 3 4" xfId="6774"/>
    <cellStyle name="Normal 5 2 3 3 4 2" xfId="21726"/>
    <cellStyle name="Normal 5 2 3 3 4 3" xfId="27473"/>
    <cellStyle name="Normal 5 2 3 3 5" xfId="21721"/>
    <cellStyle name="Normal 5 2 3 3 6" xfId="27468"/>
    <cellStyle name="Normal 5 2 3 4" xfId="5523"/>
    <cellStyle name="Normal 5 2 3 4 2" xfId="6777"/>
    <cellStyle name="Normal 5 2 3 4 2 2" xfId="21728"/>
    <cellStyle name="Normal 5 2 3 4 2 3" xfId="27475"/>
    <cellStyle name="Normal 5 2 3 4 3" xfId="21727"/>
    <cellStyle name="Normal 5 2 3 4 4" xfId="27474"/>
    <cellStyle name="Normal 5 2 3 5" xfId="5833"/>
    <cellStyle name="Normal 5 2 3 5 2" xfId="6778"/>
    <cellStyle name="Normal 5 2 3 5 2 2" xfId="21730"/>
    <cellStyle name="Normal 5 2 3 5 2 3" xfId="27477"/>
    <cellStyle name="Normal 5 2 3 5 3" xfId="21729"/>
    <cellStyle name="Normal 5 2 3 5 4" xfId="27476"/>
    <cellStyle name="Normal 5 2 3 6" xfId="4950"/>
    <cellStyle name="Normal 5 2 3 6 2" xfId="6779"/>
    <cellStyle name="Normal 5 2 3 6 2 2" xfId="27479"/>
    <cellStyle name="Normal 5 2 3 6 3" xfId="21731"/>
    <cellStyle name="Normal 5 2 3 6 4" xfId="27478"/>
    <cellStyle name="Normal 5 2 3 7" xfId="6766"/>
    <cellStyle name="Normal 5 2 3 7 2" xfId="27480"/>
    <cellStyle name="Normal 5 2 3 8" xfId="21708"/>
    <cellStyle name="Normal 5 2 3 9" xfId="24927"/>
    <cellStyle name="Normal 5 2 4" xfId="3580"/>
    <cellStyle name="Normal 5 2 4 10" xfId="27481"/>
    <cellStyle name="Normal 5 2 4 2" xfId="4200"/>
    <cellStyle name="Normal 5 2 4 2 2" xfId="4956"/>
    <cellStyle name="Normal 5 2 4 2 2 2" xfId="5529"/>
    <cellStyle name="Normal 5 2 4 2 2 2 2" xfId="6783"/>
    <cellStyle name="Normal 5 2 4 2 2 2 2 2" xfId="21736"/>
    <cellStyle name="Normal 5 2 4 2 2 2 2 3" xfId="27485"/>
    <cellStyle name="Normal 5 2 4 2 2 2 3" xfId="21735"/>
    <cellStyle name="Normal 5 2 4 2 2 2 4" xfId="27484"/>
    <cellStyle name="Normal 5 2 4 2 2 3" xfId="5839"/>
    <cellStyle name="Normal 5 2 4 2 2 3 2" xfId="6784"/>
    <cellStyle name="Normal 5 2 4 2 2 3 2 2" xfId="21738"/>
    <cellStyle name="Normal 5 2 4 2 2 3 2 3" xfId="27487"/>
    <cellStyle name="Normal 5 2 4 2 2 3 3" xfId="21737"/>
    <cellStyle name="Normal 5 2 4 2 2 3 4" xfId="27486"/>
    <cellStyle name="Normal 5 2 4 2 2 4" xfId="6782"/>
    <cellStyle name="Normal 5 2 4 2 2 4 2" xfId="21739"/>
    <cellStyle name="Normal 5 2 4 2 2 4 3" xfId="27488"/>
    <cellStyle name="Normal 5 2 4 2 2 5" xfId="21734"/>
    <cellStyle name="Normal 5 2 4 2 2 6" xfId="27483"/>
    <cellStyle name="Normal 5 2 4 2 3" xfId="5528"/>
    <cellStyle name="Normal 5 2 4 2 3 2" xfId="6785"/>
    <cellStyle name="Normal 5 2 4 2 3 2 2" xfId="21741"/>
    <cellStyle name="Normal 5 2 4 2 3 2 3" xfId="27490"/>
    <cellStyle name="Normal 5 2 4 2 3 3" xfId="21740"/>
    <cellStyle name="Normal 5 2 4 2 3 4" xfId="27489"/>
    <cellStyle name="Normal 5 2 4 2 4" xfId="5838"/>
    <cellStyle name="Normal 5 2 4 2 4 2" xfId="6786"/>
    <cellStyle name="Normal 5 2 4 2 4 2 2" xfId="21743"/>
    <cellStyle name="Normal 5 2 4 2 4 2 3" xfId="27492"/>
    <cellStyle name="Normal 5 2 4 2 4 3" xfId="21742"/>
    <cellStyle name="Normal 5 2 4 2 4 4" xfId="27491"/>
    <cellStyle name="Normal 5 2 4 2 5" xfId="4955"/>
    <cellStyle name="Normal 5 2 4 2 5 2" xfId="6787"/>
    <cellStyle name="Normal 5 2 4 2 5 2 2" xfId="27494"/>
    <cellStyle name="Normal 5 2 4 2 5 3" xfId="21744"/>
    <cellStyle name="Normal 5 2 4 2 5 4" xfId="27493"/>
    <cellStyle name="Normal 5 2 4 2 6" xfId="6781"/>
    <cellStyle name="Normal 5 2 4 2 6 2" xfId="27495"/>
    <cellStyle name="Normal 5 2 4 2 7" xfId="21733"/>
    <cellStyle name="Normal 5 2 4 2 8" xfId="25052"/>
    <cellStyle name="Normal 5 2 4 2 9" xfId="27482"/>
    <cellStyle name="Normal 5 2 4 3" xfId="4957"/>
    <cellStyle name="Normal 5 2 4 3 2" xfId="5530"/>
    <cellStyle name="Normal 5 2 4 3 2 2" xfId="6789"/>
    <cellStyle name="Normal 5 2 4 3 2 2 2" xfId="21747"/>
    <cellStyle name="Normal 5 2 4 3 2 2 3" xfId="27498"/>
    <cellStyle name="Normal 5 2 4 3 2 3" xfId="21746"/>
    <cellStyle name="Normal 5 2 4 3 2 4" xfId="27497"/>
    <cellStyle name="Normal 5 2 4 3 3" xfId="5840"/>
    <cellStyle name="Normal 5 2 4 3 3 2" xfId="6790"/>
    <cellStyle name="Normal 5 2 4 3 3 2 2" xfId="21749"/>
    <cellStyle name="Normal 5 2 4 3 3 2 3" xfId="27500"/>
    <cellStyle name="Normal 5 2 4 3 3 3" xfId="21748"/>
    <cellStyle name="Normal 5 2 4 3 3 4" xfId="27499"/>
    <cellStyle name="Normal 5 2 4 3 4" xfId="6788"/>
    <cellStyle name="Normal 5 2 4 3 4 2" xfId="21750"/>
    <cellStyle name="Normal 5 2 4 3 4 3" xfId="27501"/>
    <cellStyle name="Normal 5 2 4 3 5" xfId="21745"/>
    <cellStyle name="Normal 5 2 4 3 6" xfId="27496"/>
    <cellStyle name="Normal 5 2 4 4" xfId="5527"/>
    <cellStyle name="Normal 5 2 4 4 2" xfId="6791"/>
    <cellStyle name="Normal 5 2 4 4 2 2" xfId="21752"/>
    <cellStyle name="Normal 5 2 4 4 2 3" xfId="27503"/>
    <cellStyle name="Normal 5 2 4 4 3" xfId="21751"/>
    <cellStyle name="Normal 5 2 4 4 4" xfId="27502"/>
    <cellStyle name="Normal 5 2 4 5" xfId="5837"/>
    <cellStyle name="Normal 5 2 4 5 2" xfId="6792"/>
    <cellStyle name="Normal 5 2 4 5 2 2" xfId="21754"/>
    <cellStyle name="Normal 5 2 4 5 2 3" xfId="27505"/>
    <cellStyle name="Normal 5 2 4 5 3" xfId="21753"/>
    <cellStyle name="Normal 5 2 4 5 4" xfId="27504"/>
    <cellStyle name="Normal 5 2 4 6" xfId="4954"/>
    <cellStyle name="Normal 5 2 4 6 2" xfId="6793"/>
    <cellStyle name="Normal 5 2 4 6 2 2" xfId="27507"/>
    <cellStyle name="Normal 5 2 4 6 3" xfId="21755"/>
    <cellStyle name="Normal 5 2 4 6 4" xfId="27506"/>
    <cellStyle name="Normal 5 2 4 7" xfId="6780"/>
    <cellStyle name="Normal 5 2 4 7 2" xfId="27508"/>
    <cellStyle name="Normal 5 2 4 8" xfId="21732"/>
    <cellStyle name="Normal 5 2 4 9" xfId="24932"/>
    <cellStyle name="Normal 5 2 5" xfId="3717"/>
    <cellStyle name="Normal 5 2 5 10" xfId="27509"/>
    <cellStyle name="Normal 5 2 5 2" xfId="4207"/>
    <cellStyle name="Normal 5 2 5 2 2" xfId="4960"/>
    <cellStyle name="Normal 5 2 5 2 2 2" xfId="5533"/>
    <cellStyle name="Normal 5 2 5 2 2 2 2" xfId="6797"/>
    <cellStyle name="Normal 5 2 5 2 2 2 2 2" xfId="21760"/>
    <cellStyle name="Normal 5 2 5 2 2 2 2 3" xfId="27513"/>
    <cellStyle name="Normal 5 2 5 2 2 2 3" xfId="21759"/>
    <cellStyle name="Normal 5 2 5 2 2 2 4" xfId="27512"/>
    <cellStyle name="Normal 5 2 5 2 2 3" xfId="5843"/>
    <cellStyle name="Normal 5 2 5 2 2 3 2" xfId="6798"/>
    <cellStyle name="Normal 5 2 5 2 2 3 2 2" xfId="21762"/>
    <cellStyle name="Normal 5 2 5 2 2 3 2 3" xfId="27515"/>
    <cellStyle name="Normal 5 2 5 2 2 3 3" xfId="21761"/>
    <cellStyle name="Normal 5 2 5 2 2 3 4" xfId="27514"/>
    <cellStyle name="Normal 5 2 5 2 2 4" xfId="6796"/>
    <cellStyle name="Normal 5 2 5 2 2 4 2" xfId="21763"/>
    <cellStyle name="Normal 5 2 5 2 2 4 3" xfId="27516"/>
    <cellStyle name="Normal 5 2 5 2 2 5" xfId="21758"/>
    <cellStyle name="Normal 5 2 5 2 2 6" xfId="27511"/>
    <cellStyle name="Normal 5 2 5 2 3" xfId="5532"/>
    <cellStyle name="Normal 5 2 5 2 3 2" xfId="6799"/>
    <cellStyle name="Normal 5 2 5 2 3 2 2" xfId="21765"/>
    <cellStyle name="Normal 5 2 5 2 3 2 3" xfId="27518"/>
    <cellStyle name="Normal 5 2 5 2 3 3" xfId="21764"/>
    <cellStyle name="Normal 5 2 5 2 3 4" xfId="27517"/>
    <cellStyle name="Normal 5 2 5 2 4" xfId="5842"/>
    <cellStyle name="Normal 5 2 5 2 4 2" xfId="6800"/>
    <cellStyle name="Normal 5 2 5 2 4 2 2" xfId="21767"/>
    <cellStyle name="Normal 5 2 5 2 4 2 3" xfId="27520"/>
    <cellStyle name="Normal 5 2 5 2 4 3" xfId="21766"/>
    <cellStyle name="Normal 5 2 5 2 4 4" xfId="27519"/>
    <cellStyle name="Normal 5 2 5 2 5" xfId="4959"/>
    <cellStyle name="Normal 5 2 5 2 5 2" xfId="6801"/>
    <cellStyle name="Normal 5 2 5 2 5 2 2" xfId="27522"/>
    <cellStyle name="Normal 5 2 5 2 5 3" xfId="21768"/>
    <cellStyle name="Normal 5 2 5 2 5 4" xfId="27521"/>
    <cellStyle name="Normal 5 2 5 2 6" xfId="6795"/>
    <cellStyle name="Normal 5 2 5 2 6 2" xfId="27523"/>
    <cellStyle name="Normal 5 2 5 2 7" xfId="21757"/>
    <cellStyle name="Normal 5 2 5 2 8" xfId="25059"/>
    <cellStyle name="Normal 5 2 5 2 9" xfId="27510"/>
    <cellStyle name="Normal 5 2 5 3" xfId="4961"/>
    <cellStyle name="Normal 5 2 5 3 2" xfId="5534"/>
    <cellStyle name="Normal 5 2 5 3 2 2" xfId="6803"/>
    <cellStyle name="Normal 5 2 5 3 2 2 2" xfId="21771"/>
    <cellStyle name="Normal 5 2 5 3 2 2 3" xfId="27526"/>
    <cellStyle name="Normal 5 2 5 3 2 3" xfId="21770"/>
    <cellStyle name="Normal 5 2 5 3 2 4" xfId="27525"/>
    <cellStyle name="Normal 5 2 5 3 3" xfId="5844"/>
    <cellStyle name="Normal 5 2 5 3 3 2" xfId="6804"/>
    <cellStyle name="Normal 5 2 5 3 3 2 2" xfId="21773"/>
    <cellStyle name="Normal 5 2 5 3 3 2 3" xfId="27528"/>
    <cellStyle name="Normal 5 2 5 3 3 3" xfId="21772"/>
    <cellStyle name="Normal 5 2 5 3 3 4" xfId="27527"/>
    <cellStyle name="Normal 5 2 5 3 4" xfId="6802"/>
    <cellStyle name="Normal 5 2 5 3 4 2" xfId="21774"/>
    <cellStyle name="Normal 5 2 5 3 4 3" xfId="27529"/>
    <cellStyle name="Normal 5 2 5 3 5" xfId="21769"/>
    <cellStyle name="Normal 5 2 5 3 6" xfId="27524"/>
    <cellStyle name="Normal 5 2 5 4" xfId="5531"/>
    <cellStyle name="Normal 5 2 5 4 2" xfId="6805"/>
    <cellStyle name="Normal 5 2 5 4 2 2" xfId="21776"/>
    <cellStyle name="Normal 5 2 5 4 2 3" xfId="27531"/>
    <cellStyle name="Normal 5 2 5 4 3" xfId="21775"/>
    <cellStyle name="Normal 5 2 5 4 4" xfId="27530"/>
    <cellStyle name="Normal 5 2 5 5" xfId="5841"/>
    <cellStyle name="Normal 5 2 5 5 2" xfId="6806"/>
    <cellStyle name="Normal 5 2 5 5 2 2" xfId="21778"/>
    <cellStyle name="Normal 5 2 5 5 2 3" xfId="27533"/>
    <cellStyle name="Normal 5 2 5 5 3" xfId="21777"/>
    <cellStyle name="Normal 5 2 5 5 4" xfId="27532"/>
    <cellStyle name="Normal 5 2 5 6" xfId="4958"/>
    <cellStyle name="Normal 5 2 5 6 2" xfId="6807"/>
    <cellStyle name="Normal 5 2 5 6 2 2" xfId="27535"/>
    <cellStyle name="Normal 5 2 5 6 3" xfId="21779"/>
    <cellStyle name="Normal 5 2 5 6 4" xfId="27534"/>
    <cellStyle name="Normal 5 2 5 7" xfId="6794"/>
    <cellStyle name="Normal 5 2 5 7 2" xfId="27536"/>
    <cellStyle name="Normal 5 2 5 8" xfId="21756"/>
    <cellStyle name="Normal 5 2 5 9" xfId="24939"/>
    <cellStyle name="Normal 5 2 6" xfId="1386"/>
    <cellStyle name="Normal 5 2 6 2" xfId="21780"/>
    <cellStyle name="Normal 5 2 7" xfId="3903"/>
    <cellStyle name="Normal 5 2 8" xfId="1038"/>
    <cellStyle name="Normal 5 2 9" xfId="24544"/>
    <cellStyle name="Normal 5 20" xfId="1202"/>
    <cellStyle name="Normal 5 20 2" xfId="4072"/>
    <cellStyle name="Normal 5 21" xfId="1212"/>
    <cellStyle name="Normal 5 21 2" xfId="4082"/>
    <cellStyle name="Normal 5 22" xfId="1222"/>
    <cellStyle name="Normal 5 22 2" xfId="4092"/>
    <cellStyle name="Normal 5 23" xfId="1232"/>
    <cellStyle name="Normal 5 23 2" xfId="4102"/>
    <cellStyle name="Normal 5 24" xfId="1242"/>
    <cellStyle name="Normal 5 24 2" xfId="4112"/>
    <cellStyle name="Normal 5 25" xfId="1252"/>
    <cellStyle name="Normal 5 25 2" xfId="4122"/>
    <cellStyle name="Normal 5 26" xfId="1370"/>
    <cellStyle name="Normal 5 26 2" xfId="4170"/>
    <cellStyle name="Normal 5 26 2 2" xfId="6809"/>
    <cellStyle name="Normal 5 26 2 2 2" xfId="27539"/>
    <cellStyle name="Normal 5 26 2 3" xfId="25022"/>
    <cellStyle name="Normal 5 26 2 4" xfId="27538"/>
    <cellStyle name="Normal 5 26 3" xfId="6808"/>
    <cellStyle name="Normal 5 26 3 2" xfId="27540"/>
    <cellStyle name="Normal 5 26 4" xfId="24902"/>
    <cellStyle name="Normal 5 26 5" xfId="27537"/>
    <cellStyle name="Normal 5 27" xfId="3843"/>
    <cellStyle name="Normal 5 27 2" xfId="6810"/>
    <cellStyle name="Normal 5 27 2 2" xfId="27542"/>
    <cellStyle name="Normal 5 27 3" xfId="24979"/>
    <cellStyle name="Normal 5 27 4" xfId="27541"/>
    <cellStyle name="Normal 5 28" xfId="627"/>
    <cellStyle name="Normal 5 28 2" xfId="6811"/>
    <cellStyle name="Normal 5 28 2 2" xfId="27544"/>
    <cellStyle name="Normal 5 28 3" xfId="27543"/>
    <cellStyle name="Normal 5 29" xfId="24543"/>
    <cellStyle name="Normal 5 3" xfId="62"/>
    <cellStyle name="Normal 5 3 2" xfId="3761"/>
    <cellStyle name="Normal 5 3 2 10" xfId="27545"/>
    <cellStyle name="Normal 5 3 2 2" xfId="4210"/>
    <cellStyle name="Normal 5 3 2 2 2" xfId="4964"/>
    <cellStyle name="Normal 5 3 2 2 2 2" xfId="5538"/>
    <cellStyle name="Normal 5 3 2 2 2 2 2" xfId="6815"/>
    <cellStyle name="Normal 5 3 2 2 2 2 2 2" xfId="21785"/>
    <cellStyle name="Normal 5 3 2 2 2 2 2 3" xfId="27549"/>
    <cellStyle name="Normal 5 3 2 2 2 2 3" xfId="21784"/>
    <cellStyle name="Normal 5 3 2 2 2 2 4" xfId="27548"/>
    <cellStyle name="Normal 5 3 2 2 2 3" xfId="5848"/>
    <cellStyle name="Normal 5 3 2 2 2 3 2" xfId="6816"/>
    <cellStyle name="Normal 5 3 2 2 2 3 2 2" xfId="21787"/>
    <cellStyle name="Normal 5 3 2 2 2 3 2 3" xfId="27551"/>
    <cellStyle name="Normal 5 3 2 2 2 3 3" xfId="21786"/>
    <cellStyle name="Normal 5 3 2 2 2 3 4" xfId="27550"/>
    <cellStyle name="Normal 5 3 2 2 2 4" xfId="6814"/>
    <cellStyle name="Normal 5 3 2 2 2 4 2" xfId="21788"/>
    <cellStyle name="Normal 5 3 2 2 2 4 3" xfId="27552"/>
    <cellStyle name="Normal 5 3 2 2 2 5" xfId="21783"/>
    <cellStyle name="Normal 5 3 2 2 2 6" xfId="27547"/>
    <cellStyle name="Normal 5 3 2 2 3" xfId="5537"/>
    <cellStyle name="Normal 5 3 2 2 3 2" xfId="6817"/>
    <cellStyle name="Normal 5 3 2 2 3 2 2" xfId="21790"/>
    <cellStyle name="Normal 5 3 2 2 3 2 3" xfId="27554"/>
    <cellStyle name="Normal 5 3 2 2 3 3" xfId="21789"/>
    <cellStyle name="Normal 5 3 2 2 3 4" xfId="27553"/>
    <cellStyle name="Normal 5 3 2 2 4" xfId="5847"/>
    <cellStyle name="Normal 5 3 2 2 4 2" xfId="6818"/>
    <cellStyle name="Normal 5 3 2 2 4 2 2" xfId="21792"/>
    <cellStyle name="Normal 5 3 2 2 4 2 3" xfId="27556"/>
    <cellStyle name="Normal 5 3 2 2 4 3" xfId="21791"/>
    <cellStyle name="Normal 5 3 2 2 4 4" xfId="27555"/>
    <cellStyle name="Normal 5 3 2 2 5" xfId="4963"/>
    <cellStyle name="Normal 5 3 2 2 5 2" xfId="6819"/>
    <cellStyle name="Normal 5 3 2 2 5 2 2" xfId="27558"/>
    <cellStyle name="Normal 5 3 2 2 5 3" xfId="21793"/>
    <cellStyle name="Normal 5 3 2 2 5 4" xfId="27557"/>
    <cellStyle name="Normal 5 3 2 2 6" xfId="6813"/>
    <cellStyle name="Normal 5 3 2 2 6 2" xfId="27559"/>
    <cellStyle name="Normal 5 3 2 2 7" xfId="21782"/>
    <cellStyle name="Normal 5 3 2 2 8" xfId="25062"/>
    <cellStyle name="Normal 5 3 2 2 9" xfId="27546"/>
    <cellStyle name="Normal 5 3 2 3" xfId="4965"/>
    <cellStyle name="Normal 5 3 2 3 2" xfId="5539"/>
    <cellStyle name="Normal 5 3 2 3 2 2" xfId="6821"/>
    <cellStyle name="Normal 5 3 2 3 2 2 2" xfId="21796"/>
    <cellStyle name="Normal 5 3 2 3 2 2 3" xfId="27562"/>
    <cellStyle name="Normal 5 3 2 3 2 3" xfId="21795"/>
    <cellStyle name="Normal 5 3 2 3 2 4" xfId="27561"/>
    <cellStyle name="Normal 5 3 2 3 3" xfId="5849"/>
    <cellStyle name="Normal 5 3 2 3 3 2" xfId="6822"/>
    <cellStyle name="Normal 5 3 2 3 3 2 2" xfId="21798"/>
    <cellStyle name="Normal 5 3 2 3 3 2 3" xfId="27564"/>
    <cellStyle name="Normal 5 3 2 3 3 3" xfId="21797"/>
    <cellStyle name="Normal 5 3 2 3 3 4" xfId="27563"/>
    <cellStyle name="Normal 5 3 2 3 4" xfId="6820"/>
    <cellStyle name="Normal 5 3 2 3 4 2" xfId="21799"/>
    <cellStyle name="Normal 5 3 2 3 4 3" xfId="27565"/>
    <cellStyle name="Normal 5 3 2 3 5" xfId="21794"/>
    <cellStyle name="Normal 5 3 2 3 6" xfId="27560"/>
    <cellStyle name="Normal 5 3 2 4" xfId="5536"/>
    <cellStyle name="Normal 5 3 2 4 2" xfId="6823"/>
    <cellStyle name="Normal 5 3 2 4 2 2" xfId="21801"/>
    <cellStyle name="Normal 5 3 2 4 2 3" xfId="27567"/>
    <cellStyle name="Normal 5 3 2 4 3" xfId="21800"/>
    <cellStyle name="Normal 5 3 2 4 4" xfId="27566"/>
    <cellStyle name="Normal 5 3 2 5" xfId="5846"/>
    <cellStyle name="Normal 5 3 2 5 2" xfId="6824"/>
    <cellStyle name="Normal 5 3 2 5 2 2" xfId="21803"/>
    <cellStyle name="Normal 5 3 2 5 2 3" xfId="27569"/>
    <cellStyle name="Normal 5 3 2 5 3" xfId="21802"/>
    <cellStyle name="Normal 5 3 2 5 4" xfId="27568"/>
    <cellStyle name="Normal 5 3 2 6" xfId="4962"/>
    <cellStyle name="Normal 5 3 2 6 2" xfId="6825"/>
    <cellStyle name="Normal 5 3 2 6 2 2" xfId="27571"/>
    <cellStyle name="Normal 5 3 2 6 3" xfId="21804"/>
    <cellStyle name="Normal 5 3 2 6 4" xfId="27570"/>
    <cellStyle name="Normal 5 3 2 7" xfId="6812"/>
    <cellStyle name="Normal 5 3 2 7 2" xfId="27572"/>
    <cellStyle name="Normal 5 3 2 8" xfId="21781"/>
    <cellStyle name="Normal 5 3 2 9" xfId="24942"/>
    <cellStyle name="Normal 5 3 3" xfId="1535"/>
    <cellStyle name="Normal 5 3 3 2" xfId="4188"/>
    <cellStyle name="Normal 5 3 3 2 2" xfId="5541"/>
    <cellStyle name="Normal 5 3 3 2 2 2" xfId="6828"/>
    <cellStyle name="Normal 5 3 3 2 2 2 2" xfId="21808"/>
    <cellStyle name="Normal 5 3 3 2 2 2 3" xfId="27576"/>
    <cellStyle name="Normal 5 3 3 2 2 3" xfId="21807"/>
    <cellStyle name="Normal 5 3 3 2 2 4" xfId="27575"/>
    <cellStyle name="Normal 5 3 3 2 3" xfId="5851"/>
    <cellStyle name="Normal 5 3 3 2 3 2" xfId="6829"/>
    <cellStyle name="Normal 5 3 3 2 3 2 2" xfId="21810"/>
    <cellStyle name="Normal 5 3 3 2 3 2 3" xfId="27578"/>
    <cellStyle name="Normal 5 3 3 2 3 3" xfId="21809"/>
    <cellStyle name="Normal 5 3 3 2 3 4" xfId="27577"/>
    <cellStyle name="Normal 5 3 3 2 4" xfId="4967"/>
    <cellStyle name="Normal 5 3 3 2 4 2" xfId="6830"/>
    <cellStyle name="Normal 5 3 3 2 4 2 2" xfId="27580"/>
    <cellStyle name="Normal 5 3 3 2 4 3" xfId="21811"/>
    <cellStyle name="Normal 5 3 3 2 4 4" xfId="27579"/>
    <cellStyle name="Normal 5 3 3 2 5" xfId="6827"/>
    <cellStyle name="Normal 5 3 3 2 5 2" xfId="27581"/>
    <cellStyle name="Normal 5 3 3 2 6" xfId="21806"/>
    <cellStyle name="Normal 5 3 3 2 7" xfId="25040"/>
    <cellStyle name="Normal 5 3 3 2 8" xfId="27574"/>
    <cellStyle name="Normal 5 3 3 3" xfId="5540"/>
    <cellStyle name="Normal 5 3 3 3 2" xfId="6831"/>
    <cellStyle name="Normal 5 3 3 3 2 2" xfId="21813"/>
    <cellStyle name="Normal 5 3 3 3 2 3" xfId="27583"/>
    <cellStyle name="Normal 5 3 3 3 3" xfId="21812"/>
    <cellStyle name="Normal 5 3 3 3 4" xfId="27582"/>
    <cellStyle name="Normal 5 3 3 4" xfId="5850"/>
    <cellStyle name="Normal 5 3 3 4 2" xfId="6832"/>
    <cellStyle name="Normal 5 3 3 4 2 2" xfId="21815"/>
    <cellStyle name="Normal 5 3 3 4 2 3" xfId="27585"/>
    <cellStyle name="Normal 5 3 3 4 3" xfId="21814"/>
    <cellStyle name="Normal 5 3 3 4 4" xfId="27584"/>
    <cellStyle name="Normal 5 3 3 5" xfId="4966"/>
    <cellStyle name="Normal 5 3 3 5 2" xfId="6833"/>
    <cellStyle name="Normal 5 3 3 5 2 2" xfId="27587"/>
    <cellStyle name="Normal 5 3 3 5 3" xfId="21816"/>
    <cellStyle name="Normal 5 3 3 5 4" xfId="27586"/>
    <cellStyle name="Normal 5 3 3 6" xfId="6826"/>
    <cellStyle name="Normal 5 3 3 6 2" xfId="27588"/>
    <cellStyle name="Normal 5 3 3 7" xfId="21805"/>
    <cellStyle name="Normal 5 3 3 8" xfId="24920"/>
    <cellStyle name="Normal 5 3 3 9" xfId="27573"/>
    <cellStyle name="Normal 5 3 4" xfId="3917"/>
    <cellStyle name="Normal 5 3 4 2" xfId="5542"/>
    <cellStyle name="Normal 5 3 4 2 2" xfId="6834"/>
    <cellStyle name="Normal 5 3 4 2 2 2" xfId="21819"/>
    <cellStyle name="Normal 5 3 4 2 2 3" xfId="27590"/>
    <cellStyle name="Normal 5 3 4 2 3" xfId="21818"/>
    <cellStyle name="Normal 5 3 4 2 4" xfId="27589"/>
    <cellStyle name="Normal 5 3 4 3" xfId="5852"/>
    <cellStyle name="Normal 5 3 4 3 2" xfId="6835"/>
    <cellStyle name="Normal 5 3 4 3 2 2" xfId="21821"/>
    <cellStyle name="Normal 5 3 4 3 2 3" xfId="27592"/>
    <cellStyle name="Normal 5 3 4 3 3" xfId="21820"/>
    <cellStyle name="Normal 5 3 4 3 4" xfId="27591"/>
    <cellStyle name="Normal 5 3 4 4" xfId="4968"/>
    <cellStyle name="Normal 5 3 4 4 2" xfId="6836"/>
    <cellStyle name="Normal 5 3 4 4 2 2" xfId="27594"/>
    <cellStyle name="Normal 5 3 4 4 3" xfId="21822"/>
    <cellStyle name="Normal 5 3 4 4 4" xfId="27593"/>
    <cellStyle name="Normal 5 3 4 5" xfId="21817"/>
    <cellStyle name="Normal 5 3 5" xfId="1047"/>
    <cellStyle name="Normal 5 3 5 2" xfId="4969"/>
    <cellStyle name="Normal 5 3 5 2 2" xfId="6837"/>
    <cellStyle name="Normal 5 3 5 2 2 2" xfId="21825"/>
    <cellStyle name="Normal 5 3 5 2 2 3" xfId="27596"/>
    <cellStyle name="Normal 5 3 5 2 3" xfId="21824"/>
    <cellStyle name="Normal 5 3 5 2 4" xfId="27595"/>
    <cellStyle name="Normal 5 3 5 3" xfId="21826"/>
    <cellStyle name="Normal 5 3 5 4" xfId="21823"/>
    <cellStyle name="Normal 5 3 6" xfId="5535"/>
    <cellStyle name="Normal 5 3 6 2" xfId="6838"/>
    <cellStyle name="Normal 5 3 6 2 2" xfId="21828"/>
    <cellStyle name="Normal 5 3 6 2 3" xfId="27598"/>
    <cellStyle name="Normal 5 3 6 3" xfId="21827"/>
    <cellStyle name="Normal 5 3 6 4" xfId="27597"/>
    <cellStyle name="Normal 5 3 7" xfId="5845"/>
    <cellStyle name="Normal 5 3 7 2" xfId="6839"/>
    <cellStyle name="Normal 5 3 7 2 2" xfId="21830"/>
    <cellStyle name="Normal 5 3 7 2 3" xfId="27600"/>
    <cellStyle name="Normal 5 3 7 3" xfId="21829"/>
    <cellStyle name="Normal 5 3 7 4" xfId="27599"/>
    <cellStyle name="Normal 5 3 8" xfId="21831"/>
    <cellStyle name="Normal 5 30" xfId="24857"/>
    <cellStyle name="Normal 5 4" xfId="67"/>
    <cellStyle name="Normal 5 4 2" xfId="3765"/>
    <cellStyle name="Normal 5 4 2 10" xfId="27601"/>
    <cellStyle name="Normal 5 4 2 2" xfId="4213"/>
    <cellStyle name="Normal 5 4 2 2 2" xfId="4973"/>
    <cellStyle name="Normal 5 4 2 2 2 2" xfId="5546"/>
    <cellStyle name="Normal 5 4 2 2 2 2 2" xfId="6843"/>
    <cellStyle name="Normal 5 4 2 2 2 2 2 2" xfId="21837"/>
    <cellStyle name="Normal 5 4 2 2 2 2 2 3" xfId="27605"/>
    <cellStyle name="Normal 5 4 2 2 2 2 3" xfId="21836"/>
    <cellStyle name="Normal 5 4 2 2 2 2 4" xfId="27604"/>
    <cellStyle name="Normal 5 4 2 2 2 3" xfId="5856"/>
    <cellStyle name="Normal 5 4 2 2 2 3 2" xfId="6844"/>
    <cellStyle name="Normal 5 4 2 2 2 3 2 2" xfId="21839"/>
    <cellStyle name="Normal 5 4 2 2 2 3 2 3" xfId="27607"/>
    <cellStyle name="Normal 5 4 2 2 2 3 3" xfId="21838"/>
    <cellStyle name="Normal 5 4 2 2 2 3 4" xfId="27606"/>
    <cellStyle name="Normal 5 4 2 2 2 4" xfId="6842"/>
    <cellStyle name="Normal 5 4 2 2 2 4 2" xfId="21840"/>
    <cellStyle name="Normal 5 4 2 2 2 4 3" xfId="27608"/>
    <cellStyle name="Normal 5 4 2 2 2 5" xfId="21835"/>
    <cellStyle name="Normal 5 4 2 2 2 6" xfId="27603"/>
    <cellStyle name="Normal 5 4 2 2 3" xfId="5545"/>
    <cellStyle name="Normal 5 4 2 2 3 2" xfId="6845"/>
    <cellStyle name="Normal 5 4 2 2 3 2 2" xfId="21842"/>
    <cellStyle name="Normal 5 4 2 2 3 2 3" xfId="27610"/>
    <cellStyle name="Normal 5 4 2 2 3 3" xfId="21841"/>
    <cellStyle name="Normal 5 4 2 2 3 4" xfId="27609"/>
    <cellStyle name="Normal 5 4 2 2 4" xfId="5855"/>
    <cellStyle name="Normal 5 4 2 2 4 2" xfId="6846"/>
    <cellStyle name="Normal 5 4 2 2 4 2 2" xfId="21844"/>
    <cellStyle name="Normal 5 4 2 2 4 2 3" xfId="27612"/>
    <cellStyle name="Normal 5 4 2 2 4 3" xfId="21843"/>
    <cellStyle name="Normal 5 4 2 2 4 4" xfId="27611"/>
    <cellStyle name="Normal 5 4 2 2 5" xfId="4972"/>
    <cellStyle name="Normal 5 4 2 2 5 2" xfId="6847"/>
    <cellStyle name="Normal 5 4 2 2 5 2 2" xfId="27614"/>
    <cellStyle name="Normal 5 4 2 2 5 3" xfId="21845"/>
    <cellStyle name="Normal 5 4 2 2 5 4" xfId="27613"/>
    <cellStyle name="Normal 5 4 2 2 6" xfId="6841"/>
    <cellStyle name="Normal 5 4 2 2 6 2" xfId="27615"/>
    <cellStyle name="Normal 5 4 2 2 7" xfId="21834"/>
    <cellStyle name="Normal 5 4 2 2 8" xfId="25065"/>
    <cellStyle name="Normal 5 4 2 2 9" xfId="27602"/>
    <cellStyle name="Normal 5 4 2 3" xfId="4974"/>
    <cellStyle name="Normal 5 4 2 3 2" xfId="5547"/>
    <cellStyle name="Normal 5 4 2 3 2 2" xfId="6849"/>
    <cellStyle name="Normal 5 4 2 3 2 2 2" xfId="21848"/>
    <cellStyle name="Normal 5 4 2 3 2 2 3" xfId="27618"/>
    <cellStyle name="Normal 5 4 2 3 2 3" xfId="21847"/>
    <cellStyle name="Normal 5 4 2 3 2 4" xfId="27617"/>
    <cellStyle name="Normal 5 4 2 3 3" xfId="5857"/>
    <cellStyle name="Normal 5 4 2 3 3 2" xfId="6850"/>
    <cellStyle name="Normal 5 4 2 3 3 2 2" xfId="21850"/>
    <cellStyle name="Normal 5 4 2 3 3 2 3" xfId="27620"/>
    <cellStyle name="Normal 5 4 2 3 3 3" xfId="21849"/>
    <cellStyle name="Normal 5 4 2 3 3 4" xfId="27619"/>
    <cellStyle name="Normal 5 4 2 3 4" xfId="6848"/>
    <cellStyle name="Normal 5 4 2 3 4 2" xfId="21851"/>
    <cellStyle name="Normal 5 4 2 3 4 3" xfId="27621"/>
    <cellStyle name="Normal 5 4 2 3 5" xfId="21846"/>
    <cellStyle name="Normal 5 4 2 3 6" xfId="27616"/>
    <cellStyle name="Normal 5 4 2 4" xfId="5544"/>
    <cellStyle name="Normal 5 4 2 4 2" xfId="6851"/>
    <cellStyle name="Normal 5 4 2 4 2 2" xfId="21853"/>
    <cellStyle name="Normal 5 4 2 4 2 3" xfId="27623"/>
    <cellStyle name="Normal 5 4 2 4 3" xfId="21852"/>
    <cellStyle name="Normal 5 4 2 4 4" xfId="27622"/>
    <cellStyle name="Normal 5 4 2 5" xfId="5854"/>
    <cellStyle name="Normal 5 4 2 5 2" xfId="6852"/>
    <cellStyle name="Normal 5 4 2 5 2 2" xfId="21855"/>
    <cellStyle name="Normal 5 4 2 5 2 3" xfId="27625"/>
    <cellStyle name="Normal 5 4 2 5 3" xfId="21854"/>
    <cellStyle name="Normal 5 4 2 5 4" xfId="27624"/>
    <cellStyle name="Normal 5 4 2 6" xfId="4971"/>
    <cellStyle name="Normal 5 4 2 6 2" xfId="6853"/>
    <cellStyle name="Normal 5 4 2 6 2 2" xfId="27627"/>
    <cellStyle name="Normal 5 4 2 6 3" xfId="21856"/>
    <cellStyle name="Normal 5 4 2 6 4" xfId="27626"/>
    <cellStyle name="Normal 5 4 2 7" xfId="6840"/>
    <cellStyle name="Normal 5 4 2 7 2" xfId="27628"/>
    <cellStyle name="Normal 5 4 2 8" xfId="21833"/>
    <cellStyle name="Normal 5 4 2 9" xfId="24945"/>
    <cellStyle name="Normal 5 4 3" xfId="1571"/>
    <cellStyle name="Normal 5 4 3 2" xfId="4192"/>
    <cellStyle name="Normal 5 4 3 2 2" xfId="5549"/>
    <cellStyle name="Normal 5 4 3 2 2 2" xfId="6856"/>
    <cellStyle name="Normal 5 4 3 2 2 2 2" xfId="21860"/>
    <cellStyle name="Normal 5 4 3 2 2 2 3" xfId="27632"/>
    <cellStyle name="Normal 5 4 3 2 2 3" xfId="21859"/>
    <cellStyle name="Normal 5 4 3 2 2 4" xfId="27631"/>
    <cellStyle name="Normal 5 4 3 2 3" xfId="5859"/>
    <cellStyle name="Normal 5 4 3 2 3 2" xfId="6857"/>
    <cellStyle name="Normal 5 4 3 2 3 2 2" xfId="21862"/>
    <cellStyle name="Normal 5 4 3 2 3 2 3" xfId="27634"/>
    <cellStyle name="Normal 5 4 3 2 3 3" xfId="21861"/>
    <cellStyle name="Normal 5 4 3 2 3 4" xfId="27633"/>
    <cellStyle name="Normal 5 4 3 2 4" xfId="4976"/>
    <cellStyle name="Normal 5 4 3 2 4 2" xfId="6858"/>
    <cellStyle name="Normal 5 4 3 2 4 2 2" xfId="27636"/>
    <cellStyle name="Normal 5 4 3 2 4 3" xfId="21863"/>
    <cellStyle name="Normal 5 4 3 2 4 4" xfId="27635"/>
    <cellStyle name="Normal 5 4 3 2 5" xfId="6855"/>
    <cellStyle name="Normal 5 4 3 2 5 2" xfId="27637"/>
    <cellStyle name="Normal 5 4 3 2 6" xfId="21858"/>
    <cellStyle name="Normal 5 4 3 2 7" xfId="25044"/>
    <cellStyle name="Normal 5 4 3 2 8" xfId="27630"/>
    <cellStyle name="Normal 5 4 3 3" xfId="5548"/>
    <cellStyle name="Normal 5 4 3 3 2" xfId="6859"/>
    <cellStyle name="Normal 5 4 3 3 2 2" xfId="21865"/>
    <cellStyle name="Normal 5 4 3 3 2 3" xfId="27639"/>
    <cellStyle name="Normal 5 4 3 3 3" xfId="21864"/>
    <cellStyle name="Normal 5 4 3 3 4" xfId="27638"/>
    <cellStyle name="Normal 5 4 3 4" xfId="5858"/>
    <cellStyle name="Normal 5 4 3 4 2" xfId="6860"/>
    <cellStyle name="Normal 5 4 3 4 2 2" xfId="21867"/>
    <cellStyle name="Normal 5 4 3 4 2 3" xfId="27641"/>
    <cellStyle name="Normal 5 4 3 4 3" xfId="21866"/>
    <cellStyle name="Normal 5 4 3 4 4" xfId="27640"/>
    <cellStyle name="Normal 5 4 3 5" xfId="4975"/>
    <cellStyle name="Normal 5 4 3 5 2" xfId="6861"/>
    <cellStyle name="Normal 5 4 3 5 2 2" xfId="27643"/>
    <cellStyle name="Normal 5 4 3 5 3" xfId="21868"/>
    <cellStyle name="Normal 5 4 3 5 4" xfId="27642"/>
    <cellStyle name="Normal 5 4 3 6" xfId="6854"/>
    <cellStyle name="Normal 5 4 3 6 2" xfId="27644"/>
    <cellStyle name="Normal 5 4 3 7" xfId="21857"/>
    <cellStyle name="Normal 5 4 3 8" xfId="24924"/>
    <cellStyle name="Normal 5 4 3 9" xfId="27629"/>
    <cellStyle name="Normal 5 4 4" xfId="3914"/>
    <cellStyle name="Normal 5 4 4 2" xfId="5550"/>
    <cellStyle name="Normal 5 4 4 2 2" xfId="6862"/>
    <cellStyle name="Normal 5 4 4 2 2 2" xfId="21871"/>
    <cellStyle name="Normal 5 4 4 2 2 3" xfId="27646"/>
    <cellStyle name="Normal 5 4 4 2 3" xfId="21870"/>
    <cellStyle name="Normal 5 4 4 2 4" xfId="27645"/>
    <cellStyle name="Normal 5 4 4 3" xfId="5860"/>
    <cellStyle name="Normal 5 4 4 3 2" xfId="6863"/>
    <cellStyle name="Normal 5 4 4 3 2 2" xfId="21873"/>
    <cellStyle name="Normal 5 4 4 3 2 3" xfId="27648"/>
    <cellStyle name="Normal 5 4 4 3 3" xfId="21872"/>
    <cellStyle name="Normal 5 4 4 3 4" xfId="27647"/>
    <cellStyle name="Normal 5 4 4 4" xfId="4977"/>
    <cellStyle name="Normal 5 4 4 4 2" xfId="6864"/>
    <cellStyle name="Normal 5 4 4 4 2 2" xfId="27650"/>
    <cellStyle name="Normal 5 4 4 4 3" xfId="21874"/>
    <cellStyle name="Normal 5 4 4 4 4" xfId="27649"/>
    <cellStyle name="Normal 5 4 4 5" xfId="21869"/>
    <cellStyle name="Normal 5 4 5" xfId="1045"/>
    <cellStyle name="Normal 5 4 5 2" xfId="5543"/>
    <cellStyle name="Normal 5 4 5 2 2" xfId="6865"/>
    <cellStyle name="Normal 5 4 5 2 2 2" xfId="27652"/>
    <cellStyle name="Normal 5 4 5 2 3" xfId="21876"/>
    <cellStyle name="Normal 5 4 5 2 4" xfId="27651"/>
    <cellStyle name="Normal 5 4 5 3" xfId="21875"/>
    <cellStyle name="Normal 5 4 6" xfId="5853"/>
    <cellStyle name="Normal 5 4 6 2" xfId="6866"/>
    <cellStyle name="Normal 5 4 6 2 2" xfId="21878"/>
    <cellStyle name="Normal 5 4 6 2 3" xfId="27654"/>
    <cellStyle name="Normal 5 4 6 3" xfId="21877"/>
    <cellStyle name="Normal 5 4 6 4" xfId="27653"/>
    <cellStyle name="Normal 5 4 7" xfId="4970"/>
    <cellStyle name="Normal 5 4 7 2" xfId="6867"/>
    <cellStyle name="Normal 5 4 7 2 2" xfId="27656"/>
    <cellStyle name="Normal 5 4 7 3" xfId="21879"/>
    <cellStyle name="Normal 5 4 7 4" xfId="27655"/>
    <cellStyle name="Normal 5 4 8" xfId="21832"/>
    <cellStyle name="Normal 5 5" xfId="1052"/>
    <cellStyle name="Normal 5 5 2" xfId="3809"/>
    <cellStyle name="Normal 5 5 2 10" xfId="27657"/>
    <cellStyle name="Normal 5 5 2 2" xfId="4216"/>
    <cellStyle name="Normal 5 5 2 2 2" xfId="4980"/>
    <cellStyle name="Normal 5 5 2 2 2 2" xfId="5553"/>
    <cellStyle name="Normal 5 5 2 2 2 2 2" xfId="6871"/>
    <cellStyle name="Normal 5 5 2 2 2 2 2 2" xfId="21884"/>
    <cellStyle name="Normal 5 5 2 2 2 2 2 3" xfId="27661"/>
    <cellStyle name="Normal 5 5 2 2 2 2 3" xfId="21883"/>
    <cellStyle name="Normal 5 5 2 2 2 2 4" xfId="27660"/>
    <cellStyle name="Normal 5 5 2 2 2 3" xfId="5863"/>
    <cellStyle name="Normal 5 5 2 2 2 3 2" xfId="6872"/>
    <cellStyle name="Normal 5 5 2 2 2 3 2 2" xfId="21886"/>
    <cellStyle name="Normal 5 5 2 2 2 3 2 3" xfId="27663"/>
    <cellStyle name="Normal 5 5 2 2 2 3 3" xfId="21885"/>
    <cellStyle name="Normal 5 5 2 2 2 3 4" xfId="27662"/>
    <cellStyle name="Normal 5 5 2 2 2 4" xfId="6870"/>
    <cellStyle name="Normal 5 5 2 2 2 4 2" xfId="21887"/>
    <cellStyle name="Normal 5 5 2 2 2 4 3" xfId="27664"/>
    <cellStyle name="Normal 5 5 2 2 2 5" xfId="21882"/>
    <cellStyle name="Normal 5 5 2 2 2 6" xfId="27659"/>
    <cellStyle name="Normal 5 5 2 2 3" xfId="5552"/>
    <cellStyle name="Normal 5 5 2 2 3 2" xfId="6873"/>
    <cellStyle name="Normal 5 5 2 2 3 2 2" xfId="21889"/>
    <cellStyle name="Normal 5 5 2 2 3 2 3" xfId="27666"/>
    <cellStyle name="Normal 5 5 2 2 3 3" xfId="21888"/>
    <cellStyle name="Normal 5 5 2 2 3 4" xfId="27665"/>
    <cellStyle name="Normal 5 5 2 2 4" xfId="5862"/>
    <cellStyle name="Normal 5 5 2 2 4 2" xfId="6874"/>
    <cellStyle name="Normal 5 5 2 2 4 2 2" xfId="21891"/>
    <cellStyle name="Normal 5 5 2 2 4 2 3" xfId="27668"/>
    <cellStyle name="Normal 5 5 2 2 4 3" xfId="21890"/>
    <cellStyle name="Normal 5 5 2 2 4 4" xfId="27667"/>
    <cellStyle name="Normal 5 5 2 2 5" xfId="4979"/>
    <cellStyle name="Normal 5 5 2 2 5 2" xfId="6875"/>
    <cellStyle name="Normal 5 5 2 2 5 2 2" xfId="27670"/>
    <cellStyle name="Normal 5 5 2 2 5 3" xfId="21892"/>
    <cellStyle name="Normal 5 5 2 2 5 4" xfId="27669"/>
    <cellStyle name="Normal 5 5 2 2 6" xfId="6869"/>
    <cellStyle name="Normal 5 5 2 2 6 2" xfId="27671"/>
    <cellStyle name="Normal 5 5 2 2 7" xfId="21881"/>
    <cellStyle name="Normal 5 5 2 2 8" xfId="25068"/>
    <cellStyle name="Normal 5 5 2 2 9" xfId="27658"/>
    <cellStyle name="Normal 5 5 2 3" xfId="4981"/>
    <cellStyle name="Normal 5 5 2 3 2" xfId="5554"/>
    <cellStyle name="Normal 5 5 2 3 2 2" xfId="6877"/>
    <cellStyle name="Normal 5 5 2 3 2 2 2" xfId="21895"/>
    <cellStyle name="Normal 5 5 2 3 2 2 3" xfId="27674"/>
    <cellStyle name="Normal 5 5 2 3 2 3" xfId="21894"/>
    <cellStyle name="Normal 5 5 2 3 2 4" xfId="27673"/>
    <cellStyle name="Normal 5 5 2 3 3" xfId="5864"/>
    <cellStyle name="Normal 5 5 2 3 3 2" xfId="6878"/>
    <cellStyle name="Normal 5 5 2 3 3 2 2" xfId="21897"/>
    <cellStyle name="Normal 5 5 2 3 3 2 3" xfId="27676"/>
    <cellStyle name="Normal 5 5 2 3 3 3" xfId="21896"/>
    <cellStyle name="Normal 5 5 2 3 3 4" xfId="27675"/>
    <cellStyle name="Normal 5 5 2 3 4" xfId="6876"/>
    <cellStyle name="Normal 5 5 2 3 4 2" xfId="21898"/>
    <cellStyle name="Normal 5 5 2 3 4 3" xfId="27677"/>
    <cellStyle name="Normal 5 5 2 3 5" xfId="21893"/>
    <cellStyle name="Normal 5 5 2 3 6" xfId="27672"/>
    <cellStyle name="Normal 5 5 2 4" xfId="5551"/>
    <cellStyle name="Normal 5 5 2 4 2" xfId="6879"/>
    <cellStyle name="Normal 5 5 2 4 2 2" xfId="21900"/>
    <cellStyle name="Normal 5 5 2 4 2 3" xfId="27679"/>
    <cellStyle name="Normal 5 5 2 4 3" xfId="21899"/>
    <cellStyle name="Normal 5 5 2 4 4" xfId="27678"/>
    <cellStyle name="Normal 5 5 2 5" xfId="5861"/>
    <cellStyle name="Normal 5 5 2 5 2" xfId="6880"/>
    <cellStyle name="Normal 5 5 2 5 2 2" xfId="21902"/>
    <cellStyle name="Normal 5 5 2 5 2 3" xfId="27681"/>
    <cellStyle name="Normal 5 5 2 5 3" xfId="21901"/>
    <cellStyle name="Normal 5 5 2 5 4" xfId="27680"/>
    <cellStyle name="Normal 5 5 2 6" xfId="4978"/>
    <cellStyle name="Normal 5 5 2 6 2" xfId="6881"/>
    <cellStyle name="Normal 5 5 2 6 2 2" xfId="27683"/>
    <cellStyle name="Normal 5 5 2 6 3" xfId="21903"/>
    <cellStyle name="Normal 5 5 2 6 4" xfId="27682"/>
    <cellStyle name="Normal 5 5 2 7" xfId="6868"/>
    <cellStyle name="Normal 5 5 2 7 2" xfId="27684"/>
    <cellStyle name="Normal 5 5 2 8" xfId="21880"/>
    <cellStyle name="Normal 5 5 2 9" xfId="24948"/>
    <cellStyle name="Normal 5 5 3" xfId="1660"/>
    <cellStyle name="Normal 5 5 4" xfId="3922"/>
    <cellStyle name="Normal 5 6" xfId="1062"/>
    <cellStyle name="Normal 5 6 2" xfId="3814"/>
    <cellStyle name="Normal 5 6 2 10" xfId="27685"/>
    <cellStyle name="Normal 5 6 2 2" xfId="4219"/>
    <cellStyle name="Normal 5 6 2 2 2" xfId="4984"/>
    <cellStyle name="Normal 5 6 2 2 2 2" xfId="5557"/>
    <cellStyle name="Normal 5 6 2 2 2 2 2" xfId="6885"/>
    <cellStyle name="Normal 5 6 2 2 2 2 2 2" xfId="21908"/>
    <cellStyle name="Normal 5 6 2 2 2 2 2 3" xfId="27689"/>
    <cellStyle name="Normal 5 6 2 2 2 2 3" xfId="21907"/>
    <cellStyle name="Normal 5 6 2 2 2 2 4" xfId="27688"/>
    <cellStyle name="Normal 5 6 2 2 2 3" xfId="5867"/>
    <cellStyle name="Normal 5 6 2 2 2 3 2" xfId="6886"/>
    <cellStyle name="Normal 5 6 2 2 2 3 2 2" xfId="21910"/>
    <cellStyle name="Normal 5 6 2 2 2 3 2 3" xfId="27691"/>
    <cellStyle name="Normal 5 6 2 2 2 3 3" xfId="21909"/>
    <cellStyle name="Normal 5 6 2 2 2 3 4" xfId="27690"/>
    <cellStyle name="Normal 5 6 2 2 2 4" xfId="6884"/>
    <cellStyle name="Normal 5 6 2 2 2 4 2" xfId="21911"/>
    <cellStyle name="Normal 5 6 2 2 2 4 3" xfId="27692"/>
    <cellStyle name="Normal 5 6 2 2 2 5" xfId="21906"/>
    <cellStyle name="Normal 5 6 2 2 2 6" xfId="27687"/>
    <cellStyle name="Normal 5 6 2 2 3" xfId="5556"/>
    <cellStyle name="Normal 5 6 2 2 3 2" xfId="6887"/>
    <cellStyle name="Normal 5 6 2 2 3 2 2" xfId="21913"/>
    <cellStyle name="Normal 5 6 2 2 3 2 3" xfId="27694"/>
    <cellStyle name="Normal 5 6 2 2 3 3" xfId="21912"/>
    <cellStyle name="Normal 5 6 2 2 3 4" xfId="27693"/>
    <cellStyle name="Normal 5 6 2 2 4" xfId="5866"/>
    <cellStyle name="Normal 5 6 2 2 4 2" xfId="6888"/>
    <cellStyle name="Normal 5 6 2 2 4 2 2" xfId="21915"/>
    <cellStyle name="Normal 5 6 2 2 4 2 3" xfId="27696"/>
    <cellStyle name="Normal 5 6 2 2 4 3" xfId="21914"/>
    <cellStyle name="Normal 5 6 2 2 4 4" xfId="27695"/>
    <cellStyle name="Normal 5 6 2 2 5" xfId="4983"/>
    <cellStyle name="Normal 5 6 2 2 5 2" xfId="6889"/>
    <cellStyle name="Normal 5 6 2 2 5 2 2" xfId="27698"/>
    <cellStyle name="Normal 5 6 2 2 5 3" xfId="21916"/>
    <cellStyle name="Normal 5 6 2 2 5 4" xfId="27697"/>
    <cellStyle name="Normal 5 6 2 2 6" xfId="6883"/>
    <cellStyle name="Normal 5 6 2 2 6 2" xfId="27699"/>
    <cellStyle name="Normal 5 6 2 2 7" xfId="21905"/>
    <cellStyle name="Normal 5 6 2 2 8" xfId="25071"/>
    <cellStyle name="Normal 5 6 2 2 9" xfId="27686"/>
    <cellStyle name="Normal 5 6 2 3" xfId="4985"/>
    <cellStyle name="Normal 5 6 2 3 2" xfId="5558"/>
    <cellStyle name="Normal 5 6 2 3 2 2" xfId="6891"/>
    <cellStyle name="Normal 5 6 2 3 2 2 2" xfId="21919"/>
    <cellStyle name="Normal 5 6 2 3 2 2 3" xfId="27702"/>
    <cellStyle name="Normal 5 6 2 3 2 3" xfId="21918"/>
    <cellStyle name="Normal 5 6 2 3 2 4" xfId="27701"/>
    <cellStyle name="Normal 5 6 2 3 3" xfId="5868"/>
    <cellStyle name="Normal 5 6 2 3 3 2" xfId="6892"/>
    <cellStyle name="Normal 5 6 2 3 3 2 2" xfId="21921"/>
    <cellStyle name="Normal 5 6 2 3 3 2 3" xfId="27704"/>
    <cellStyle name="Normal 5 6 2 3 3 3" xfId="21920"/>
    <cellStyle name="Normal 5 6 2 3 3 4" xfId="27703"/>
    <cellStyle name="Normal 5 6 2 3 4" xfId="6890"/>
    <cellStyle name="Normal 5 6 2 3 4 2" xfId="21922"/>
    <cellStyle name="Normal 5 6 2 3 4 3" xfId="27705"/>
    <cellStyle name="Normal 5 6 2 3 5" xfId="21917"/>
    <cellStyle name="Normal 5 6 2 3 6" xfId="27700"/>
    <cellStyle name="Normal 5 6 2 4" xfId="5555"/>
    <cellStyle name="Normal 5 6 2 4 2" xfId="6893"/>
    <cellStyle name="Normal 5 6 2 4 2 2" xfId="21924"/>
    <cellStyle name="Normal 5 6 2 4 2 3" xfId="27707"/>
    <cellStyle name="Normal 5 6 2 4 3" xfId="21923"/>
    <cellStyle name="Normal 5 6 2 4 4" xfId="27706"/>
    <cellStyle name="Normal 5 6 2 5" xfId="5865"/>
    <cellStyle name="Normal 5 6 2 5 2" xfId="6894"/>
    <cellStyle name="Normal 5 6 2 5 2 2" xfId="21926"/>
    <cellStyle name="Normal 5 6 2 5 2 3" xfId="27709"/>
    <cellStyle name="Normal 5 6 2 5 3" xfId="21925"/>
    <cellStyle name="Normal 5 6 2 5 4" xfId="27708"/>
    <cellStyle name="Normal 5 6 2 6" xfId="4982"/>
    <cellStyle name="Normal 5 6 2 6 2" xfId="6895"/>
    <cellStyle name="Normal 5 6 2 6 2 2" xfId="27711"/>
    <cellStyle name="Normal 5 6 2 6 3" xfId="21927"/>
    <cellStyle name="Normal 5 6 2 6 4" xfId="27710"/>
    <cellStyle name="Normal 5 6 2 7" xfId="6882"/>
    <cellStyle name="Normal 5 6 2 7 2" xfId="27712"/>
    <cellStyle name="Normal 5 6 2 8" xfId="21904"/>
    <cellStyle name="Normal 5 6 2 9" xfId="24951"/>
    <cellStyle name="Normal 5 6 3" xfId="3628"/>
    <cellStyle name="Normal 5 6 4" xfId="3932"/>
    <cellStyle name="Normal 5 7" xfId="1072"/>
    <cellStyle name="Normal 5 7 2" xfId="3630"/>
    <cellStyle name="Normal 5 7 3" xfId="3942"/>
    <cellStyle name="Normal 5 8" xfId="1082"/>
    <cellStyle name="Normal 5 8 2" xfId="3673"/>
    <cellStyle name="Normal 5 8 2 2" xfId="4204"/>
    <cellStyle name="Normal 5 8 2 2 2" xfId="5561"/>
    <cellStyle name="Normal 5 8 2 2 2 2" xfId="6898"/>
    <cellStyle name="Normal 5 8 2 2 2 2 2" xfId="21932"/>
    <cellStyle name="Normal 5 8 2 2 2 2 3" xfId="27716"/>
    <cellStyle name="Normal 5 8 2 2 2 3" xfId="21931"/>
    <cellStyle name="Normal 5 8 2 2 2 4" xfId="27715"/>
    <cellStyle name="Normal 5 8 2 2 3" xfId="5871"/>
    <cellStyle name="Normal 5 8 2 2 3 2" xfId="6899"/>
    <cellStyle name="Normal 5 8 2 2 3 2 2" xfId="21934"/>
    <cellStyle name="Normal 5 8 2 2 3 2 3" xfId="27718"/>
    <cellStyle name="Normal 5 8 2 2 3 3" xfId="21933"/>
    <cellStyle name="Normal 5 8 2 2 3 4" xfId="27717"/>
    <cellStyle name="Normal 5 8 2 2 4" xfId="4988"/>
    <cellStyle name="Normal 5 8 2 2 4 2" xfId="6900"/>
    <cellStyle name="Normal 5 8 2 2 4 2 2" xfId="27720"/>
    <cellStyle name="Normal 5 8 2 2 4 3" xfId="21935"/>
    <cellStyle name="Normal 5 8 2 2 4 4" xfId="27719"/>
    <cellStyle name="Normal 5 8 2 2 5" xfId="6897"/>
    <cellStyle name="Normal 5 8 2 2 5 2" xfId="27721"/>
    <cellStyle name="Normal 5 8 2 2 6" xfId="21930"/>
    <cellStyle name="Normal 5 8 2 2 7" xfId="25056"/>
    <cellStyle name="Normal 5 8 2 2 8" xfId="27714"/>
    <cellStyle name="Normal 5 8 2 3" xfId="5560"/>
    <cellStyle name="Normal 5 8 2 3 2" xfId="6901"/>
    <cellStyle name="Normal 5 8 2 3 2 2" xfId="21937"/>
    <cellStyle name="Normal 5 8 2 3 2 3" xfId="27723"/>
    <cellStyle name="Normal 5 8 2 3 3" xfId="21936"/>
    <cellStyle name="Normal 5 8 2 3 4" xfId="27722"/>
    <cellStyle name="Normal 5 8 2 4" xfId="5870"/>
    <cellStyle name="Normal 5 8 2 4 2" xfId="6902"/>
    <cellStyle name="Normal 5 8 2 4 2 2" xfId="21939"/>
    <cellStyle name="Normal 5 8 2 4 2 3" xfId="27725"/>
    <cellStyle name="Normal 5 8 2 4 3" xfId="21938"/>
    <cellStyle name="Normal 5 8 2 4 4" xfId="27724"/>
    <cellStyle name="Normal 5 8 2 5" xfId="4987"/>
    <cellStyle name="Normal 5 8 2 5 2" xfId="6903"/>
    <cellStyle name="Normal 5 8 2 5 2 2" xfId="27727"/>
    <cellStyle name="Normal 5 8 2 5 3" xfId="21940"/>
    <cellStyle name="Normal 5 8 2 5 4" xfId="27726"/>
    <cellStyle name="Normal 5 8 2 6" xfId="6896"/>
    <cellStyle name="Normal 5 8 2 6 2" xfId="27728"/>
    <cellStyle name="Normal 5 8 2 7" xfId="21929"/>
    <cellStyle name="Normal 5 8 2 8" xfId="24936"/>
    <cellStyle name="Normal 5 8 2 9" xfId="27713"/>
    <cellStyle name="Normal 5 8 3" xfId="3952"/>
    <cellStyle name="Normal 5 8 3 2" xfId="5562"/>
    <cellStyle name="Normal 5 8 3 2 2" xfId="6904"/>
    <cellStyle name="Normal 5 8 3 2 2 2" xfId="21943"/>
    <cellStyle name="Normal 5 8 3 2 2 3" xfId="27730"/>
    <cellStyle name="Normal 5 8 3 2 3" xfId="21942"/>
    <cellStyle name="Normal 5 8 3 2 4" xfId="27729"/>
    <cellStyle name="Normal 5 8 3 3" xfId="5872"/>
    <cellStyle name="Normal 5 8 3 3 2" xfId="6905"/>
    <cellStyle name="Normal 5 8 3 3 2 2" xfId="21945"/>
    <cellStyle name="Normal 5 8 3 3 2 3" xfId="27732"/>
    <cellStyle name="Normal 5 8 3 3 3" xfId="21944"/>
    <cellStyle name="Normal 5 8 3 3 4" xfId="27731"/>
    <cellStyle name="Normal 5 8 3 4" xfId="4989"/>
    <cellStyle name="Normal 5 8 3 4 2" xfId="6906"/>
    <cellStyle name="Normal 5 8 3 4 2 2" xfId="27734"/>
    <cellStyle name="Normal 5 8 3 4 3" xfId="21946"/>
    <cellStyle name="Normal 5 8 3 4 4" xfId="27733"/>
    <cellStyle name="Normal 5 8 3 5" xfId="21941"/>
    <cellStyle name="Normal 5 8 4" xfId="5559"/>
    <cellStyle name="Normal 5 8 4 2" xfId="6907"/>
    <cellStyle name="Normal 5 8 4 2 2" xfId="21948"/>
    <cellStyle name="Normal 5 8 4 2 3" xfId="27736"/>
    <cellStyle name="Normal 5 8 4 3" xfId="21947"/>
    <cellStyle name="Normal 5 8 4 4" xfId="27735"/>
    <cellStyle name="Normal 5 8 5" xfId="5869"/>
    <cellStyle name="Normal 5 8 5 2" xfId="6908"/>
    <cellStyle name="Normal 5 8 5 2 2" xfId="21950"/>
    <cellStyle name="Normal 5 8 5 2 3" xfId="27738"/>
    <cellStyle name="Normal 5 8 5 3" xfId="21949"/>
    <cellStyle name="Normal 5 8 5 4" xfId="27737"/>
    <cellStyle name="Normal 5 8 6" xfId="4986"/>
    <cellStyle name="Normal 5 8 6 2" xfId="6909"/>
    <cellStyle name="Normal 5 8 6 2 2" xfId="27740"/>
    <cellStyle name="Normal 5 8 6 3" xfId="21951"/>
    <cellStyle name="Normal 5 8 6 4" xfId="27739"/>
    <cellStyle name="Normal 5 8 7" xfId="21928"/>
    <cellStyle name="Normal 5 9" xfId="1092"/>
    <cellStyle name="Normal 5 9 2" xfId="3962"/>
    <cellStyle name="Normal 5 9 2 2" xfId="21954"/>
    <cellStyle name="Normal 5 9 2 3" xfId="21953"/>
    <cellStyle name="Normal 5 9 3" xfId="4990"/>
    <cellStyle name="Normal 5 9 3 2" xfId="5563"/>
    <cellStyle name="Normal 5 9 3 2 2" xfId="6911"/>
    <cellStyle name="Normal 5 9 3 2 2 2" xfId="27743"/>
    <cellStyle name="Normal 5 9 3 2 3" xfId="21956"/>
    <cellStyle name="Normal 5 9 3 2 4" xfId="27742"/>
    <cellStyle name="Normal 5 9 3 3" xfId="5873"/>
    <cellStyle name="Normal 5 9 3 3 2" xfId="6912"/>
    <cellStyle name="Normal 5 9 3 3 2 2" xfId="27745"/>
    <cellStyle name="Normal 5 9 3 3 3" xfId="27744"/>
    <cellStyle name="Normal 5 9 3 4" xfId="6910"/>
    <cellStyle name="Normal 5 9 3 4 2" xfId="27746"/>
    <cellStyle name="Normal 5 9 3 5" xfId="21955"/>
    <cellStyle name="Normal 5 9 3 6" xfId="27741"/>
    <cellStyle name="Normal 5 9 4" xfId="21957"/>
    <cellStyle name="Normal 5 9 5" xfId="21952"/>
    <cellStyle name="Normal 6" xfId="30"/>
    <cellStyle name="Normal 6 10" xfId="1119"/>
    <cellStyle name="Normal 6 10 2" xfId="3989"/>
    <cellStyle name="Normal 6 10 2 2" xfId="21960"/>
    <cellStyle name="Normal 6 10 2 3" xfId="21959"/>
    <cellStyle name="Normal 6 10 3" xfId="21961"/>
    <cellStyle name="Normal 6 10 3 2" xfId="21962"/>
    <cellStyle name="Normal 6 10 4" xfId="21963"/>
    <cellStyle name="Normal 6 10 5" xfId="21958"/>
    <cellStyle name="Normal 6 11" xfId="1129"/>
    <cellStyle name="Normal 6 11 2" xfId="3999"/>
    <cellStyle name="Normal 6 11 2 2" xfId="21966"/>
    <cellStyle name="Normal 6 11 2 3" xfId="21965"/>
    <cellStyle name="Normal 6 11 3" xfId="21967"/>
    <cellStyle name="Normal 6 11 3 2" xfId="21968"/>
    <cellStyle name="Normal 6 11 4" xfId="21969"/>
    <cellStyle name="Normal 6 11 5" xfId="21964"/>
    <cellStyle name="Normal 6 12" xfId="1139"/>
    <cellStyle name="Normal 6 12 2" xfId="4009"/>
    <cellStyle name="Normal 6 12 2 2" xfId="21972"/>
    <cellStyle name="Normal 6 12 2 3" xfId="21971"/>
    <cellStyle name="Normal 6 12 3" xfId="21973"/>
    <cellStyle name="Normal 6 12 3 2" xfId="21974"/>
    <cellStyle name="Normal 6 12 4" xfId="21975"/>
    <cellStyle name="Normal 6 12 5" xfId="21970"/>
    <cellStyle name="Normal 6 13" xfId="1149"/>
    <cellStyle name="Normal 6 13 2" xfId="4019"/>
    <cellStyle name="Normal 6 13 2 2" xfId="21978"/>
    <cellStyle name="Normal 6 13 2 3" xfId="21977"/>
    <cellStyle name="Normal 6 13 3" xfId="21979"/>
    <cellStyle name="Normal 6 13 3 2" xfId="21980"/>
    <cellStyle name="Normal 6 13 4" xfId="21981"/>
    <cellStyle name="Normal 6 13 5" xfId="21976"/>
    <cellStyle name="Normal 6 14" xfId="1157"/>
    <cellStyle name="Normal 6 14 2" xfId="4027"/>
    <cellStyle name="Normal 6 14 2 2" xfId="21983"/>
    <cellStyle name="Normal 6 14 3" xfId="21982"/>
    <cellStyle name="Normal 6 15" xfId="1169"/>
    <cellStyle name="Normal 6 15 2" xfId="4039"/>
    <cellStyle name="Normal 6 15 2 2" xfId="21985"/>
    <cellStyle name="Normal 6 15 3" xfId="21984"/>
    <cellStyle name="Normal 6 16" xfId="1179"/>
    <cellStyle name="Normal 6 16 2" xfId="4049"/>
    <cellStyle name="Normal 6 16 2 2" xfId="21987"/>
    <cellStyle name="Normal 6 16 3" xfId="21986"/>
    <cellStyle name="Normal 6 17" xfId="1189"/>
    <cellStyle name="Normal 6 17 2" xfId="4059"/>
    <cellStyle name="Normal 6 17 3" xfId="28686"/>
    <cellStyle name="Normal 6 18" xfId="1199"/>
    <cellStyle name="Normal 6 18 2" xfId="4069"/>
    <cellStyle name="Normal 6 19" xfId="1209"/>
    <cellStyle name="Normal 6 19 2" xfId="4079"/>
    <cellStyle name="Normal 6 2" xfId="63"/>
    <cellStyle name="Normal 6 2 10" xfId="21988"/>
    <cellStyle name="Normal 6 2 10 2" xfId="21989"/>
    <cellStyle name="Normal 6 2 10 2 2" xfId="21990"/>
    <cellStyle name="Normal 6 2 10 3" xfId="21991"/>
    <cellStyle name="Normal 6 2 10 3 2" xfId="21992"/>
    <cellStyle name="Normal 6 2 10 4" xfId="21993"/>
    <cellStyle name="Normal 6 2 11" xfId="21994"/>
    <cellStyle name="Normal 6 2 11 2" xfId="21995"/>
    <cellStyle name="Normal 6 2 11 2 2" xfId="21996"/>
    <cellStyle name="Normal 6 2 11 3" xfId="21997"/>
    <cellStyle name="Normal 6 2 11 3 2" xfId="21998"/>
    <cellStyle name="Normal 6 2 11 4" xfId="21999"/>
    <cellStyle name="Normal 6 2 12" xfId="22000"/>
    <cellStyle name="Normal 6 2 12 2" xfId="22001"/>
    <cellStyle name="Normal 6 2 12 2 2" xfId="22002"/>
    <cellStyle name="Normal 6 2 12 3" xfId="22003"/>
    <cellStyle name="Normal 6 2 12 3 2" xfId="22004"/>
    <cellStyle name="Normal 6 2 12 4" xfId="22005"/>
    <cellStyle name="Normal 6 2 13" xfId="22006"/>
    <cellStyle name="Normal 6 2 13 2" xfId="22007"/>
    <cellStyle name="Normal 6 2 14" xfId="22008"/>
    <cellStyle name="Normal 6 2 14 2" xfId="22009"/>
    <cellStyle name="Normal 6 2 15" xfId="22010"/>
    <cellStyle name="Normal 6 2 15 2" xfId="22011"/>
    <cellStyle name="Normal 6 2 16" xfId="22012"/>
    <cellStyle name="Normal 6 2 16 2" xfId="22013"/>
    <cellStyle name="Normal 6 2 2" xfId="3904"/>
    <cellStyle name="Normal 6 2 2 2" xfId="22015"/>
    <cellStyle name="Normal 6 2 2 2 2" xfId="22016"/>
    <cellStyle name="Normal 6 2 2 3" xfId="22017"/>
    <cellStyle name="Normal 6 2 2 3 2" xfId="22018"/>
    <cellStyle name="Normal 6 2 2 4" xfId="22019"/>
    <cellStyle name="Normal 6 2 2 4 2" xfId="22020"/>
    <cellStyle name="Normal 6 2 2 5" xfId="22021"/>
    <cellStyle name="Normal 6 2 2 6" xfId="22014"/>
    <cellStyle name="Normal 6 2 3" xfId="4991"/>
    <cellStyle name="Normal 6 2 3 2" xfId="22022"/>
    <cellStyle name="Normal 6 2 3 2 2" xfId="22023"/>
    <cellStyle name="Normal 6 2 3 3" xfId="22024"/>
    <cellStyle name="Normal 6 2 3 3 2" xfId="22025"/>
    <cellStyle name="Normal 6 2 3 4" xfId="22026"/>
    <cellStyle name="Normal 6 2 3 4 2" xfId="22027"/>
    <cellStyle name="Normal 6 2 4" xfId="22028"/>
    <cellStyle name="Normal 6 2 4 2" xfId="22029"/>
    <cellStyle name="Normal 6 2 4 2 2" xfId="22030"/>
    <cellStyle name="Normal 6 2 4 3" xfId="22031"/>
    <cellStyle name="Normal 6 2 4 3 2" xfId="22032"/>
    <cellStyle name="Normal 6 2 4 4" xfId="22033"/>
    <cellStyle name="Normal 6 2 5" xfId="22034"/>
    <cellStyle name="Normal 6 2 5 2" xfId="22035"/>
    <cellStyle name="Normal 6 2 5 2 2" xfId="22036"/>
    <cellStyle name="Normal 6 2 5 3" xfId="22037"/>
    <cellStyle name="Normal 6 2 5 3 2" xfId="22038"/>
    <cellStyle name="Normal 6 2 5 4" xfId="22039"/>
    <cellStyle name="Normal 6 2 6" xfId="22040"/>
    <cellStyle name="Normal 6 2 6 2" xfId="22041"/>
    <cellStyle name="Normal 6 2 6 2 2" xfId="22042"/>
    <cellStyle name="Normal 6 2 6 3" xfId="22043"/>
    <cellStyle name="Normal 6 2 6 3 2" xfId="22044"/>
    <cellStyle name="Normal 6 2 6 4" xfId="22045"/>
    <cellStyle name="Normal 6 2 7" xfId="22046"/>
    <cellStyle name="Normal 6 2 7 2" xfId="22047"/>
    <cellStyle name="Normal 6 2 7 2 2" xfId="22048"/>
    <cellStyle name="Normal 6 2 7 3" xfId="22049"/>
    <cellStyle name="Normal 6 2 7 3 2" xfId="22050"/>
    <cellStyle name="Normal 6 2 7 4" xfId="22051"/>
    <cellStyle name="Normal 6 2 8" xfId="22052"/>
    <cellStyle name="Normal 6 2 8 2" xfId="22053"/>
    <cellStyle name="Normal 6 2 8 2 2" xfId="22054"/>
    <cellStyle name="Normal 6 2 8 3" xfId="22055"/>
    <cellStyle name="Normal 6 2 8 3 2" xfId="22056"/>
    <cellStyle name="Normal 6 2 8 4" xfId="22057"/>
    <cellStyle name="Normal 6 2 9" xfId="22058"/>
    <cellStyle name="Normal 6 2 9 2" xfId="22059"/>
    <cellStyle name="Normal 6 2 9 2 2" xfId="22060"/>
    <cellStyle name="Normal 6 2 9 3" xfId="22061"/>
    <cellStyle name="Normal 6 2 9 3 2" xfId="22062"/>
    <cellStyle name="Normal 6 2 9 4" xfId="22063"/>
    <cellStyle name="Normal 6 20" xfId="1219"/>
    <cellStyle name="Normal 6 20 2" xfId="4089"/>
    <cellStyle name="Normal 6 21" xfId="1229"/>
    <cellStyle name="Normal 6 21 2" xfId="4099"/>
    <cellStyle name="Normal 6 22" xfId="1239"/>
    <cellStyle name="Normal 6 22 2" xfId="4109"/>
    <cellStyle name="Normal 6 23" xfId="1249"/>
    <cellStyle name="Normal 6 23 2" xfId="4119"/>
    <cellStyle name="Normal 6 24" xfId="1259"/>
    <cellStyle name="Normal 6 24 2" xfId="4129"/>
    <cellStyle name="Normal 6 25" xfId="1267"/>
    <cellStyle name="Normal 6 25 2" xfId="4137"/>
    <cellStyle name="Normal 6 3" xfId="1049"/>
    <cellStyle name="Normal 6 3 2" xfId="3919"/>
    <cellStyle name="Normal 6 3 2 2" xfId="22065"/>
    <cellStyle name="Normal 6 3 2 3" xfId="22064"/>
    <cellStyle name="Normal 6 3 3" xfId="4992"/>
    <cellStyle name="Normal 6 3 3 2" xfId="22066"/>
    <cellStyle name="Normal 6 3 4" xfId="22067"/>
    <cellStyle name="Normal 6 3 4 2" xfId="22068"/>
    <cellStyle name="Normal 6 3 5" xfId="22069"/>
    <cellStyle name="Normal 6 3 5 2" xfId="22070"/>
    <cellStyle name="Normal 6 4" xfId="1059"/>
    <cellStyle name="Normal 6 4 2" xfId="3929"/>
    <cellStyle name="Normal 6 4 2 2" xfId="22073"/>
    <cellStyle name="Normal 6 4 2 3" xfId="22072"/>
    <cellStyle name="Normal 6 4 3" xfId="22074"/>
    <cellStyle name="Normal 6 4 3 2" xfId="22075"/>
    <cellStyle name="Normal 6 4 4" xfId="22076"/>
    <cellStyle name="Normal 6 4 5" xfId="22071"/>
    <cellStyle name="Normal 6 4 6" xfId="24545"/>
    <cellStyle name="Normal 6 5" xfId="1069"/>
    <cellStyle name="Normal 6 5 2" xfId="3939"/>
    <cellStyle name="Normal 6 5 2 2" xfId="22079"/>
    <cellStyle name="Normal 6 5 2 3" xfId="22078"/>
    <cellStyle name="Normal 6 5 3" xfId="22080"/>
    <cellStyle name="Normal 6 5 3 2" xfId="22081"/>
    <cellStyle name="Normal 6 5 4" xfId="22082"/>
    <cellStyle name="Normal 6 5 5" xfId="22077"/>
    <cellStyle name="Normal 6 6" xfId="1079"/>
    <cellStyle name="Normal 6 6 2" xfId="3949"/>
    <cellStyle name="Normal 6 6 2 2" xfId="22085"/>
    <cellStyle name="Normal 6 6 2 3" xfId="22084"/>
    <cellStyle name="Normal 6 6 3" xfId="22086"/>
    <cellStyle name="Normal 6 6 3 2" xfId="22087"/>
    <cellStyle name="Normal 6 6 4" xfId="22088"/>
    <cellStyle name="Normal 6 6 5" xfId="22083"/>
    <cellStyle name="Normal 6 7" xfId="1089"/>
    <cellStyle name="Normal 6 7 2" xfId="3959"/>
    <cellStyle name="Normal 6 7 2 2" xfId="22091"/>
    <cellStyle name="Normal 6 7 2 3" xfId="22090"/>
    <cellStyle name="Normal 6 7 3" xfId="22092"/>
    <cellStyle name="Normal 6 7 3 2" xfId="22093"/>
    <cellStyle name="Normal 6 7 4" xfId="22094"/>
    <cellStyle name="Normal 6 7 5" xfId="22089"/>
    <cellStyle name="Normal 6 8" xfId="1099"/>
    <cellStyle name="Normal 6 8 2" xfId="3969"/>
    <cellStyle name="Normal 6 8 2 2" xfId="22097"/>
    <cellStyle name="Normal 6 8 2 3" xfId="22096"/>
    <cellStyle name="Normal 6 8 3" xfId="22098"/>
    <cellStyle name="Normal 6 8 3 2" xfId="22099"/>
    <cellStyle name="Normal 6 8 4" xfId="22100"/>
    <cellStyle name="Normal 6 8 5" xfId="22095"/>
    <cellStyle name="Normal 6 9" xfId="1109"/>
    <cellStyle name="Normal 6 9 2" xfId="3979"/>
    <cellStyle name="Normal 6 9 2 2" xfId="22103"/>
    <cellStyle name="Normal 6 9 2 3" xfId="22102"/>
    <cellStyle name="Normal 6 9 3" xfId="22104"/>
    <cellStyle name="Normal 6 9 3 2" xfId="22105"/>
    <cellStyle name="Normal 6 9 4" xfId="22106"/>
    <cellStyle name="Normal 6 9 5" xfId="22101"/>
    <cellStyle name="Normal 7" xfId="64"/>
    <cellStyle name="Normal 7 10" xfId="1116"/>
    <cellStyle name="Normal 7 10 2" xfId="3986"/>
    <cellStyle name="Normal 7 10 2 2" xfId="5565"/>
    <cellStyle name="Normal 7 10 2 2 2" xfId="6914"/>
    <cellStyle name="Normal 7 10 2 2 2 2" xfId="27749"/>
    <cellStyle name="Normal 7 10 2 2 3" xfId="22109"/>
    <cellStyle name="Normal 7 10 2 2 4" xfId="27748"/>
    <cellStyle name="Normal 7 10 2 3" xfId="22108"/>
    <cellStyle name="Normal 7 10 3" xfId="5875"/>
    <cellStyle name="Normal 7 10 3 2" xfId="6915"/>
    <cellStyle name="Normal 7 10 3 2 2" xfId="22111"/>
    <cellStyle name="Normal 7 10 3 2 3" xfId="27751"/>
    <cellStyle name="Normal 7 10 3 3" xfId="22110"/>
    <cellStyle name="Normal 7 10 3 4" xfId="27750"/>
    <cellStyle name="Normal 7 10 4" xfId="4994"/>
    <cellStyle name="Normal 7 10 4 2" xfId="6916"/>
    <cellStyle name="Normal 7 10 4 2 2" xfId="27753"/>
    <cellStyle name="Normal 7 10 4 3" xfId="22112"/>
    <cellStyle name="Normal 7 10 4 4" xfId="27752"/>
    <cellStyle name="Normal 7 10 5" xfId="22107"/>
    <cellStyle name="Normal 7 11" xfId="1126"/>
    <cellStyle name="Normal 7 11 2" xfId="3996"/>
    <cellStyle name="Normal 7 11 2 2" xfId="22114"/>
    <cellStyle name="Normal 7 11 3" xfId="5564"/>
    <cellStyle name="Normal 7 11 3 2" xfId="6917"/>
    <cellStyle name="Normal 7 11 3 2 2" xfId="27755"/>
    <cellStyle name="Normal 7 11 3 3" xfId="27754"/>
    <cellStyle name="Normal 7 11 4" xfId="22113"/>
    <cellStyle name="Normal 7 12" xfId="1136"/>
    <cellStyle name="Normal 7 12 2" xfId="4006"/>
    <cellStyle name="Normal 7 12 3" xfId="5874"/>
    <cellStyle name="Normal 7 12 3 2" xfId="6918"/>
    <cellStyle name="Normal 7 12 3 2 2" xfId="27757"/>
    <cellStyle name="Normal 7 12 3 3" xfId="27756"/>
    <cellStyle name="Normal 7 12 4" xfId="22115"/>
    <cellStyle name="Normal 7 13" xfId="1146"/>
    <cellStyle name="Normal 7 13 2" xfId="4016"/>
    <cellStyle name="Normal 7 14" xfId="1161"/>
    <cellStyle name="Normal 7 14 2" xfId="4031"/>
    <cellStyle name="Normal 7 15" xfId="1166"/>
    <cellStyle name="Normal 7 15 2" xfId="4036"/>
    <cellStyle name="Normal 7 16" xfId="1176"/>
    <cellStyle name="Normal 7 16 2" xfId="4046"/>
    <cellStyle name="Normal 7 17" xfId="1186"/>
    <cellStyle name="Normal 7 17 2" xfId="4056"/>
    <cellStyle name="Normal 7 18" xfId="1196"/>
    <cellStyle name="Normal 7 18 2" xfId="4066"/>
    <cellStyle name="Normal 7 19" xfId="1206"/>
    <cellStyle name="Normal 7 19 2" xfId="4076"/>
    <cellStyle name="Normal 7 2" xfId="1039"/>
    <cellStyle name="Normal 7 2 10" xfId="24547"/>
    <cellStyle name="Normal 7 2 2" xfId="3718"/>
    <cellStyle name="Normal 7 2 2 10" xfId="24940"/>
    <cellStyle name="Normal 7 2 2 11" xfId="27758"/>
    <cellStyle name="Normal 7 2 2 2" xfId="4208"/>
    <cellStyle name="Normal 7 2 2 2 2" xfId="4998"/>
    <cellStyle name="Normal 7 2 2 2 2 2" xfId="5569"/>
    <cellStyle name="Normal 7 2 2 2 2 2 2" xfId="6922"/>
    <cellStyle name="Normal 7 2 2 2 2 2 2 2" xfId="22121"/>
    <cellStyle name="Normal 7 2 2 2 2 2 2 3" xfId="27762"/>
    <cellStyle name="Normal 7 2 2 2 2 2 3" xfId="22120"/>
    <cellStyle name="Normal 7 2 2 2 2 2 4" xfId="27761"/>
    <cellStyle name="Normal 7 2 2 2 2 3" xfId="5879"/>
    <cellStyle name="Normal 7 2 2 2 2 3 2" xfId="6923"/>
    <cellStyle name="Normal 7 2 2 2 2 3 2 2" xfId="22123"/>
    <cellStyle name="Normal 7 2 2 2 2 3 2 3" xfId="27764"/>
    <cellStyle name="Normal 7 2 2 2 2 3 3" xfId="22122"/>
    <cellStyle name="Normal 7 2 2 2 2 3 4" xfId="27763"/>
    <cellStyle name="Normal 7 2 2 2 2 4" xfId="6921"/>
    <cellStyle name="Normal 7 2 2 2 2 4 2" xfId="22124"/>
    <cellStyle name="Normal 7 2 2 2 2 4 3" xfId="27765"/>
    <cellStyle name="Normal 7 2 2 2 2 5" xfId="22119"/>
    <cellStyle name="Normal 7 2 2 2 2 6" xfId="27760"/>
    <cellStyle name="Normal 7 2 2 2 3" xfId="5568"/>
    <cellStyle name="Normal 7 2 2 2 3 2" xfId="6924"/>
    <cellStyle name="Normal 7 2 2 2 3 2 2" xfId="22126"/>
    <cellStyle name="Normal 7 2 2 2 3 2 3" xfId="27767"/>
    <cellStyle name="Normal 7 2 2 2 3 3" xfId="22125"/>
    <cellStyle name="Normal 7 2 2 2 3 4" xfId="27766"/>
    <cellStyle name="Normal 7 2 2 2 4" xfId="5878"/>
    <cellStyle name="Normal 7 2 2 2 4 2" xfId="6925"/>
    <cellStyle name="Normal 7 2 2 2 4 2 2" xfId="22128"/>
    <cellStyle name="Normal 7 2 2 2 4 2 3" xfId="27769"/>
    <cellStyle name="Normal 7 2 2 2 4 3" xfId="22127"/>
    <cellStyle name="Normal 7 2 2 2 4 4" xfId="27768"/>
    <cellStyle name="Normal 7 2 2 2 5" xfId="4997"/>
    <cellStyle name="Normal 7 2 2 2 5 2" xfId="6926"/>
    <cellStyle name="Normal 7 2 2 2 5 2 2" xfId="27771"/>
    <cellStyle name="Normal 7 2 2 2 5 3" xfId="22129"/>
    <cellStyle name="Normal 7 2 2 2 5 4" xfId="27770"/>
    <cellStyle name="Normal 7 2 2 2 6" xfId="6920"/>
    <cellStyle name="Normal 7 2 2 2 6 2" xfId="27772"/>
    <cellStyle name="Normal 7 2 2 2 7" xfId="22118"/>
    <cellStyle name="Normal 7 2 2 2 8" xfId="25060"/>
    <cellStyle name="Normal 7 2 2 2 9" xfId="27759"/>
    <cellStyle name="Normal 7 2 2 3" xfId="4999"/>
    <cellStyle name="Normal 7 2 2 3 2" xfId="5570"/>
    <cellStyle name="Normal 7 2 2 3 2 2" xfId="6928"/>
    <cellStyle name="Normal 7 2 2 3 2 2 2" xfId="22132"/>
    <cellStyle name="Normal 7 2 2 3 2 2 3" xfId="27775"/>
    <cellStyle name="Normal 7 2 2 3 2 3" xfId="22131"/>
    <cellStyle name="Normal 7 2 2 3 2 4" xfId="27774"/>
    <cellStyle name="Normal 7 2 2 3 3" xfId="5880"/>
    <cellStyle name="Normal 7 2 2 3 3 2" xfId="6929"/>
    <cellStyle name="Normal 7 2 2 3 3 2 2" xfId="22134"/>
    <cellStyle name="Normal 7 2 2 3 3 2 3" xfId="27777"/>
    <cellStyle name="Normal 7 2 2 3 3 3" xfId="22133"/>
    <cellStyle name="Normal 7 2 2 3 3 4" xfId="27776"/>
    <cellStyle name="Normal 7 2 2 3 4" xfId="6927"/>
    <cellStyle name="Normal 7 2 2 3 4 2" xfId="22135"/>
    <cellStyle name="Normal 7 2 2 3 4 3" xfId="27778"/>
    <cellStyle name="Normal 7 2 2 3 5" xfId="22130"/>
    <cellStyle name="Normal 7 2 2 3 6" xfId="27773"/>
    <cellStyle name="Normal 7 2 2 4" xfId="5567"/>
    <cellStyle name="Normal 7 2 2 4 2" xfId="6930"/>
    <cellStyle name="Normal 7 2 2 4 2 2" xfId="22137"/>
    <cellStyle name="Normal 7 2 2 4 2 3" xfId="27780"/>
    <cellStyle name="Normal 7 2 2 4 3" xfId="22136"/>
    <cellStyle name="Normal 7 2 2 4 4" xfId="27779"/>
    <cellStyle name="Normal 7 2 2 5" xfId="5877"/>
    <cellStyle name="Normal 7 2 2 5 2" xfId="6931"/>
    <cellStyle name="Normal 7 2 2 5 2 2" xfId="22139"/>
    <cellStyle name="Normal 7 2 2 5 2 3" xfId="27782"/>
    <cellStyle name="Normal 7 2 2 5 3" xfId="22138"/>
    <cellStyle name="Normal 7 2 2 5 4" xfId="27781"/>
    <cellStyle name="Normal 7 2 2 6" xfId="4996"/>
    <cellStyle name="Normal 7 2 2 6 2" xfId="6932"/>
    <cellStyle name="Normal 7 2 2 6 2 2" xfId="27784"/>
    <cellStyle name="Normal 7 2 2 6 3" xfId="22140"/>
    <cellStyle name="Normal 7 2 2 6 4" xfId="27783"/>
    <cellStyle name="Normal 7 2 2 7" xfId="6919"/>
    <cellStyle name="Normal 7 2 2 7 2" xfId="27785"/>
    <cellStyle name="Normal 7 2 2 8" xfId="22117"/>
    <cellStyle name="Normal 7 2 2 9" xfId="24805"/>
    <cellStyle name="Normal 7 2 2 9 2" xfId="27786"/>
    <cellStyle name="Normal 7 2 3" xfId="1443"/>
    <cellStyle name="Normal 7 2 3 10" xfId="27787"/>
    <cellStyle name="Normal 7 2 3 2" xfId="4185"/>
    <cellStyle name="Normal 7 2 3 2 2" xfId="5572"/>
    <cellStyle name="Normal 7 2 3 2 2 2" xfId="6935"/>
    <cellStyle name="Normal 7 2 3 2 2 2 2" xfId="22144"/>
    <cellStyle name="Normal 7 2 3 2 2 2 3" xfId="27790"/>
    <cellStyle name="Normal 7 2 3 2 2 3" xfId="22143"/>
    <cellStyle name="Normal 7 2 3 2 2 4" xfId="27789"/>
    <cellStyle name="Normal 7 2 3 2 3" xfId="5882"/>
    <cellStyle name="Normal 7 2 3 2 3 2" xfId="6936"/>
    <cellStyle name="Normal 7 2 3 2 3 2 2" xfId="22146"/>
    <cellStyle name="Normal 7 2 3 2 3 2 3" xfId="27792"/>
    <cellStyle name="Normal 7 2 3 2 3 3" xfId="22145"/>
    <cellStyle name="Normal 7 2 3 2 3 4" xfId="27791"/>
    <cellStyle name="Normal 7 2 3 2 4" xfId="5001"/>
    <cellStyle name="Normal 7 2 3 2 4 2" xfId="6937"/>
    <cellStyle name="Normal 7 2 3 2 4 2 2" xfId="27794"/>
    <cellStyle name="Normal 7 2 3 2 4 3" xfId="22147"/>
    <cellStyle name="Normal 7 2 3 2 4 4" xfId="27793"/>
    <cellStyle name="Normal 7 2 3 2 5" xfId="6934"/>
    <cellStyle name="Normal 7 2 3 2 5 2" xfId="27795"/>
    <cellStyle name="Normal 7 2 3 2 6" xfId="22142"/>
    <cellStyle name="Normal 7 2 3 2 7" xfId="25037"/>
    <cellStyle name="Normal 7 2 3 2 8" xfId="27788"/>
    <cellStyle name="Normal 7 2 3 3" xfId="5571"/>
    <cellStyle name="Normal 7 2 3 3 2" xfId="6938"/>
    <cellStyle name="Normal 7 2 3 3 2 2" xfId="22149"/>
    <cellStyle name="Normal 7 2 3 3 2 3" xfId="27797"/>
    <cellStyle name="Normal 7 2 3 3 3" xfId="22148"/>
    <cellStyle name="Normal 7 2 3 3 4" xfId="27796"/>
    <cellStyle name="Normal 7 2 3 4" xfId="5881"/>
    <cellStyle name="Normal 7 2 3 4 2" xfId="6939"/>
    <cellStyle name="Normal 7 2 3 4 2 2" xfId="22151"/>
    <cellStyle name="Normal 7 2 3 4 2 3" xfId="27799"/>
    <cellStyle name="Normal 7 2 3 4 3" xfId="22150"/>
    <cellStyle name="Normal 7 2 3 4 4" xfId="27798"/>
    <cellStyle name="Normal 7 2 3 5" xfId="5000"/>
    <cellStyle name="Normal 7 2 3 5 2" xfId="6940"/>
    <cellStyle name="Normal 7 2 3 5 2 2" xfId="27801"/>
    <cellStyle name="Normal 7 2 3 5 3" xfId="22152"/>
    <cellStyle name="Normal 7 2 3 5 4" xfId="27800"/>
    <cellStyle name="Normal 7 2 3 6" xfId="6933"/>
    <cellStyle name="Normal 7 2 3 6 2" xfId="27802"/>
    <cellStyle name="Normal 7 2 3 7" xfId="22141"/>
    <cellStyle name="Normal 7 2 3 8" xfId="24806"/>
    <cellStyle name="Normal 7 2 3 8 2" xfId="27803"/>
    <cellStyle name="Normal 7 2 3 9" xfId="24917"/>
    <cellStyle name="Normal 7 2 4" xfId="3906"/>
    <cellStyle name="Normal 7 2 4 2" xfId="5573"/>
    <cellStyle name="Normal 7 2 4 2 2" xfId="6941"/>
    <cellStyle name="Normal 7 2 4 2 2 2" xfId="22156"/>
    <cellStyle name="Normal 7 2 4 2 2 3" xfId="22155"/>
    <cellStyle name="Normal 7 2 4 2 2 4" xfId="27805"/>
    <cellStyle name="Normal 7 2 4 2 3" xfId="22157"/>
    <cellStyle name="Normal 7 2 4 2 3 2" xfId="22158"/>
    <cellStyle name="Normal 7 2 4 2 4" xfId="22159"/>
    <cellStyle name="Normal 7 2 4 2 5" xfId="22154"/>
    <cellStyle name="Normal 7 2 4 2 6" xfId="27804"/>
    <cellStyle name="Normal 7 2 4 3" xfId="5883"/>
    <cellStyle name="Normal 7 2 4 3 2" xfId="6942"/>
    <cellStyle name="Normal 7 2 4 3 2 2" xfId="22161"/>
    <cellStyle name="Normal 7 2 4 3 2 3" xfId="27807"/>
    <cellStyle name="Normal 7 2 4 3 3" xfId="22160"/>
    <cellStyle name="Normal 7 2 4 3 4" xfId="27806"/>
    <cellStyle name="Normal 7 2 4 4" xfId="5002"/>
    <cellStyle name="Normal 7 2 4 4 2" xfId="6943"/>
    <cellStyle name="Normal 7 2 4 4 2 2" xfId="22163"/>
    <cellStyle name="Normal 7 2 4 4 2 3" xfId="27809"/>
    <cellStyle name="Normal 7 2 4 4 3" xfId="22162"/>
    <cellStyle name="Normal 7 2 4 4 4" xfId="27808"/>
    <cellStyle name="Normal 7 2 4 5" xfId="22164"/>
    <cellStyle name="Normal 7 2 4 6" xfId="22153"/>
    <cellStyle name="Normal 7 2 4 7" xfId="24807"/>
    <cellStyle name="Normal 7 2 4 7 2" xfId="27810"/>
    <cellStyle name="Normal 7 2 5" xfId="5566"/>
    <cellStyle name="Normal 7 2 5 2" xfId="6944"/>
    <cellStyle name="Normal 7 2 5 2 2" xfId="22167"/>
    <cellStyle name="Normal 7 2 5 2 3" xfId="22166"/>
    <cellStyle name="Normal 7 2 5 2 4" xfId="27812"/>
    <cellStyle name="Normal 7 2 5 3" xfId="22168"/>
    <cellStyle name="Normal 7 2 5 3 2" xfId="22169"/>
    <cellStyle name="Normal 7 2 5 4" xfId="22170"/>
    <cellStyle name="Normal 7 2 5 5" xfId="22165"/>
    <cellStyle name="Normal 7 2 5 6" xfId="24808"/>
    <cellStyle name="Normal 7 2 5 7" xfId="27811"/>
    <cellStyle name="Normal 7 2 6" xfId="5876"/>
    <cellStyle name="Normal 7 2 6 2" xfId="6945"/>
    <cellStyle name="Normal 7 2 6 2 2" xfId="22172"/>
    <cellStyle name="Normal 7 2 6 2 3" xfId="27814"/>
    <cellStyle name="Normal 7 2 6 3" xfId="22171"/>
    <cellStyle name="Normal 7 2 6 4" xfId="24809"/>
    <cellStyle name="Normal 7 2 6 4 2" xfId="27815"/>
    <cellStyle name="Normal 7 2 6 5" xfId="27813"/>
    <cellStyle name="Normal 7 2 7" xfId="4995"/>
    <cellStyle name="Normal 7 2 7 2" xfId="6946"/>
    <cellStyle name="Normal 7 2 7 2 2" xfId="22174"/>
    <cellStyle name="Normal 7 2 7 2 3" xfId="27817"/>
    <cellStyle name="Normal 7 2 7 3" xfId="22173"/>
    <cellStyle name="Normal 7 2 7 4" xfId="27816"/>
    <cellStyle name="Normal 7 2 8" xfId="22175"/>
    <cellStyle name="Normal 7 2 9" xfId="22116"/>
    <cellStyle name="Normal 7 20" xfId="1216"/>
    <cellStyle name="Normal 7 20 2" xfId="4086"/>
    <cellStyle name="Normal 7 21" xfId="1226"/>
    <cellStyle name="Normal 7 21 2" xfId="4096"/>
    <cellStyle name="Normal 7 22" xfId="1236"/>
    <cellStyle name="Normal 7 22 2" xfId="4106"/>
    <cellStyle name="Normal 7 23" xfId="1246"/>
    <cellStyle name="Normal 7 23 2" xfId="4116"/>
    <cellStyle name="Normal 7 24" xfId="1256"/>
    <cellStyle name="Normal 7 24 2" xfId="4126"/>
    <cellStyle name="Normal 7 25" xfId="1265"/>
    <cellStyle name="Normal 7 25 2" xfId="4135"/>
    <cellStyle name="Normal 7 26" xfId="906"/>
    <cellStyle name="Normal 7 27" xfId="4993"/>
    <cellStyle name="Normal 7 27 2" xfId="6947"/>
    <cellStyle name="Normal 7 27 2 2" xfId="27819"/>
    <cellStyle name="Normal 7 27 3" xfId="27818"/>
    <cellStyle name="Normal 7 28" xfId="6913"/>
    <cellStyle name="Normal 7 28 2" xfId="27820"/>
    <cellStyle name="Normal 7 29" xfId="24546"/>
    <cellStyle name="Normal 7 3" xfId="1051"/>
    <cellStyle name="Normal 7 3 2" xfId="3762"/>
    <cellStyle name="Normal 7 3 2 10" xfId="27821"/>
    <cellStyle name="Normal 7 3 2 2" xfId="4211"/>
    <cellStyle name="Normal 7 3 2 2 2" xfId="5006"/>
    <cellStyle name="Normal 7 3 2 2 2 2" xfId="5577"/>
    <cellStyle name="Normal 7 3 2 2 2 2 2" xfId="6951"/>
    <cellStyle name="Normal 7 3 2 2 2 2 2 2" xfId="22181"/>
    <cellStyle name="Normal 7 3 2 2 2 2 2 3" xfId="27825"/>
    <cellStyle name="Normal 7 3 2 2 2 2 3" xfId="22180"/>
    <cellStyle name="Normal 7 3 2 2 2 2 4" xfId="27824"/>
    <cellStyle name="Normal 7 3 2 2 2 3" xfId="5887"/>
    <cellStyle name="Normal 7 3 2 2 2 3 2" xfId="6952"/>
    <cellStyle name="Normal 7 3 2 2 2 3 2 2" xfId="22183"/>
    <cellStyle name="Normal 7 3 2 2 2 3 2 3" xfId="27827"/>
    <cellStyle name="Normal 7 3 2 2 2 3 3" xfId="22182"/>
    <cellStyle name="Normal 7 3 2 2 2 3 4" xfId="27826"/>
    <cellStyle name="Normal 7 3 2 2 2 4" xfId="6950"/>
    <cellStyle name="Normal 7 3 2 2 2 4 2" xfId="22184"/>
    <cellStyle name="Normal 7 3 2 2 2 4 3" xfId="27828"/>
    <cellStyle name="Normal 7 3 2 2 2 5" xfId="22179"/>
    <cellStyle name="Normal 7 3 2 2 2 6" xfId="27823"/>
    <cellStyle name="Normal 7 3 2 2 3" xfId="5576"/>
    <cellStyle name="Normal 7 3 2 2 3 2" xfId="6953"/>
    <cellStyle name="Normal 7 3 2 2 3 2 2" xfId="22186"/>
    <cellStyle name="Normal 7 3 2 2 3 2 3" xfId="27830"/>
    <cellStyle name="Normal 7 3 2 2 3 3" xfId="22185"/>
    <cellStyle name="Normal 7 3 2 2 3 4" xfId="27829"/>
    <cellStyle name="Normal 7 3 2 2 4" xfId="5886"/>
    <cellStyle name="Normal 7 3 2 2 4 2" xfId="6954"/>
    <cellStyle name="Normal 7 3 2 2 4 2 2" xfId="22188"/>
    <cellStyle name="Normal 7 3 2 2 4 2 3" xfId="27832"/>
    <cellStyle name="Normal 7 3 2 2 4 3" xfId="22187"/>
    <cellStyle name="Normal 7 3 2 2 4 4" xfId="27831"/>
    <cellStyle name="Normal 7 3 2 2 5" xfId="5005"/>
    <cellStyle name="Normal 7 3 2 2 5 2" xfId="6955"/>
    <cellStyle name="Normal 7 3 2 2 5 2 2" xfId="27834"/>
    <cellStyle name="Normal 7 3 2 2 5 3" xfId="22189"/>
    <cellStyle name="Normal 7 3 2 2 5 4" xfId="27833"/>
    <cellStyle name="Normal 7 3 2 2 6" xfId="6949"/>
    <cellStyle name="Normal 7 3 2 2 6 2" xfId="27835"/>
    <cellStyle name="Normal 7 3 2 2 7" xfId="22178"/>
    <cellStyle name="Normal 7 3 2 2 8" xfId="25063"/>
    <cellStyle name="Normal 7 3 2 2 9" xfId="27822"/>
    <cellStyle name="Normal 7 3 2 3" xfId="5007"/>
    <cellStyle name="Normal 7 3 2 3 2" xfId="5578"/>
    <cellStyle name="Normal 7 3 2 3 2 2" xfId="6957"/>
    <cellStyle name="Normal 7 3 2 3 2 2 2" xfId="22192"/>
    <cellStyle name="Normal 7 3 2 3 2 2 3" xfId="27838"/>
    <cellStyle name="Normal 7 3 2 3 2 3" xfId="22191"/>
    <cellStyle name="Normal 7 3 2 3 2 4" xfId="27837"/>
    <cellStyle name="Normal 7 3 2 3 3" xfId="5888"/>
    <cellStyle name="Normal 7 3 2 3 3 2" xfId="6958"/>
    <cellStyle name="Normal 7 3 2 3 3 2 2" xfId="22194"/>
    <cellStyle name="Normal 7 3 2 3 3 2 3" xfId="27840"/>
    <cellStyle name="Normal 7 3 2 3 3 3" xfId="22193"/>
    <cellStyle name="Normal 7 3 2 3 3 4" xfId="27839"/>
    <cellStyle name="Normal 7 3 2 3 4" xfId="6956"/>
    <cellStyle name="Normal 7 3 2 3 4 2" xfId="22195"/>
    <cellStyle name="Normal 7 3 2 3 4 3" xfId="27841"/>
    <cellStyle name="Normal 7 3 2 3 5" xfId="22190"/>
    <cellStyle name="Normal 7 3 2 3 6" xfId="27836"/>
    <cellStyle name="Normal 7 3 2 4" xfId="5575"/>
    <cellStyle name="Normal 7 3 2 4 2" xfId="6959"/>
    <cellStyle name="Normal 7 3 2 4 2 2" xfId="22197"/>
    <cellStyle name="Normal 7 3 2 4 2 3" xfId="27843"/>
    <cellStyle name="Normal 7 3 2 4 3" xfId="22196"/>
    <cellStyle name="Normal 7 3 2 4 4" xfId="27842"/>
    <cellStyle name="Normal 7 3 2 5" xfId="5885"/>
    <cellStyle name="Normal 7 3 2 5 2" xfId="6960"/>
    <cellStyle name="Normal 7 3 2 5 2 2" xfId="22199"/>
    <cellStyle name="Normal 7 3 2 5 2 3" xfId="27845"/>
    <cellStyle name="Normal 7 3 2 5 3" xfId="22198"/>
    <cellStyle name="Normal 7 3 2 5 4" xfId="27844"/>
    <cellStyle name="Normal 7 3 2 6" xfId="5004"/>
    <cellStyle name="Normal 7 3 2 6 2" xfId="6961"/>
    <cellStyle name="Normal 7 3 2 6 2 2" xfId="27847"/>
    <cellStyle name="Normal 7 3 2 6 3" xfId="22200"/>
    <cellStyle name="Normal 7 3 2 6 4" xfId="27846"/>
    <cellStyle name="Normal 7 3 2 7" xfId="6948"/>
    <cellStyle name="Normal 7 3 2 7 2" xfId="27848"/>
    <cellStyle name="Normal 7 3 2 8" xfId="22177"/>
    <cellStyle name="Normal 7 3 2 9" xfId="24943"/>
    <cellStyle name="Normal 7 3 3" xfId="1536"/>
    <cellStyle name="Normal 7 3 3 10" xfId="27849"/>
    <cellStyle name="Normal 7 3 3 2" xfId="4189"/>
    <cellStyle name="Normal 7 3 3 2 2" xfId="5580"/>
    <cellStyle name="Normal 7 3 3 2 2 2" xfId="6964"/>
    <cellStyle name="Normal 7 3 3 2 2 2 2" xfId="22204"/>
    <cellStyle name="Normal 7 3 3 2 2 2 3" xfId="27852"/>
    <cellStyle name="Normal 7 3 3 2 2 3" xfId="22203"/>
    <cellStyle name="Normal 7 3 3 2 2 4" xfId="27851"/>
    <cellStyle name="Normal 7 3 3 2 3" xfId="5890"/>
    <cellStyle name="Normal 7 3 3 2 3 2" xfId="6965"/>
    <cellStyle name="Normal 7 3 3 2 3 2 2" xfId="22206"/>
    <cellStyle name="Normal 7 3 3 2 3 2 3" xfId="27854"/>
    <cellStyle name="Normal 7 3 3 2 3 3" xfId="22205"/>
    <cellStyle name="Normal 7 3 3 2 3 4" xfId="27853"/>
    <cellStyle name="Normal 7 3 3 2 4" xfId="5009"/>
    <cellStyle name="Normal 7 3 3 2 4 2" xfId="6966"/>
    <cellStyle name="Normal 7 3 3 2 4 2 2" xfId="27856"/>
    <cellStyle name="Normal 7 3 3 2 4 3" xfId="22207"/>
    <cellStyle name="Normal 7 3 3 2 4 4" xfId="27855"/>
    <cellStyle name="Normal 7 3 3 2 5" xfId="6963"/>
    <cellStyle name="Normal 7 3 3 2 5 2" xfId="27857"/>
    <cellStyle name="Normal 7 3 3 2 6" xfId="22202"/>
    <cellStyle name="Normal 7 3 3 2 7" xfId="25041"/>
    <cellStyle name="Normal 7 3 3 2 8" xfId="27850"/>
    <cellStyle name="Normal 7 3 3 3" xfId="5579"/>
    <cellStyle name="Normal 7 3 3 3 2" xfId="6967"/>
    <cellStyle name="Normal 7 3 3 3 2 2" xfId="22209"/>
    <cellStyle name="Normal 7 3 3 3 2 3" xfId="27859"/>
    <cellStyle name="Normal 7 3 3 3 3" xfId="22208"/>
    <cellStyle name="Normal 7 3 3 3 4" xfId="27858"/>
    <cellStyle name="Normal 7 3 3 4" xfId="5889"/>
    <cellStyle name="Normal 7 3 3 4 2" xfId="6968"/>
    <cellStyle name="Normal 7 3 3 4 2 2" xfId="22211"/>
    <cellStyle name="Normal 7 3 3 4 2 3" xfId="27861"/>
    <cellStyle name="Normal 7 3 3 4 3" xfId="22210"/>
    <cellStyle name="Normal 7 3 3 4 4" xfId="27860"/>
    <cellStyle name="Normal 7 3 3 5" xfId="5008"/>
    <cellStyle name="Normal 7 3 3 5 2" xfId="6969"/>
    <cellStyle name="Normal 7 3 3 5 2 2" xfId="27863"/>
    <cellStyle name="Normal 7 3 3 5 3" xfId="22212"/>
    <cellStyle name="Normal 7 3 3 5 4" xfId="27862"/>
    <cellStyle name="Normal 7 3 3 6" xfId="6962"/>
    <cellStyle name="Normal 7 3 3 6 2" xfId="27864"/>
    <cellStyle name="Normal 7 3 3 7" xfId="22201"/>
    <cellStyle name="Normal 7 3 3 8" xfId="24810"/>
    <cellStyle name="Normal 7 3 3 8 2" xfId="27865"/>
    <cellStyle name="Normal 7 3 3 9" xfId="24921"/>
    <cellStyle name="Normal 7 3 4" xfId="3921"/>
    <cellStyle name="Normal 7 3 4 2" xfId="5581"/>
    <cellStyle name="Normal 7 3 4 2 2" xfId="6970"/>
    <cellStyle name="Normal 7 3 4 2 2 2" xfId="22216"/>
    <cellStyle name="Normal 7 3 4 2 2 3" xfId="22215"/>
    <cellStyle name="Normal 7 3 4 2 2 4" xfId="27867"/>
    <cellStyle name="Normal 7 3 4 2 3" xfId="22217"/>
    <cellStyle name="Normal 7 3 4 2 3 2" xfId="22218"/>
    <cellStyle name="Normal 7 3 4 2 4" xfId="22219"/>
    <cellStyle name="Normal 7 3 4 2 5" xfId="22214"/>
    <cellStyle name="Normal 7 3 4 2 6" xfId="27866"/>
    <cellStyle name="Normal 7 3 4 3" xfId="5891"/>
    <cellStyle name="Normal 7 3 4 3 2" xfId="6971"/>
    <cellStyle name="Normal 7 3 4 3 2 2" xfId="22221"/>
    <cellStyle name="Normal 7 3 4 3 2 3" xfId="27869"/>
    <cellStyle name="Normal 7 3 4 3 3" xfId="22220"/>
    <cellStyle name="Normal 7 3 4 3 4" xfId="27868"/>
    <cellStyle name="Normal 7 3 4 4" xfId="5010"/>
    <cellStyle name="Normal 7 3 4 4 2" xfId="6972"/>
    <cellStyle name="Normal 7 3 4 4 2 2" xfId="22223"/>
    <cellStyle name="Normal 7 3 4 4 2 3" xfId="27871"/>
    <cellStyle name="Normal 7 3 4 4 3" xfId="22222"/>
    <cellStyle name="Normal 7 3 4 4 4" xfId="27870"/>
    <cellStyle name="Normal 7 3 4 5" xfId="22224"/>
    <cellStyle name="Normal 7 3 4 6" xfId="22213"/>
    <cellStyle name="Normal 7 3 5" xfId="5574"/>
    <cellStyle name="Normal 7 3 5 2" xfId="6973"/>
    <cellStyle name="Normal 7 3 5 2 2" xfId="22227"/>
    <cellStyle name="Normal 7 3 5 2 3" xfId="22226"/>
    <cellStyle name="Normal 7 3 5 2 4" xfId="27873"/>
    <cellStyle name="Normal 7 3 5 3" xfId="22228"/>
    <cellStyle name="Normal 7 3 5 3 2" xfId="22229"/>
    <cellStyle name="Normal 7 3 5 4" xfId="22230"/>
    <cellStyle name="Normal 7 3 5 5" xfId="22225"/>
    <cellStyle name="Normal 7 3 5 6" xfId="27872"/>
    <cellStyle name="Normal 7 3 6" xfId="5884"/>
    <cellStyle name="Normal 7 3 6 2" xfId="6974"/>
    <cellStyle name="Normal 7 3 6 2 2" xfId="22232"/>
    <cellStyle name="Normal 7 3 6 2 3" xfId="27875"/>
    <cellStyle name="Normal 7 3 6 3" xfId="22231"/>
    <cellStyle name="Normal 7 3 6 4" xfId="27874"/>
    <cellStyle name="Normal 7 3 7" xfId="5003"/>
    <cellStyle name="Normal 7 3 7 2" xfId="6975"/>
    <cellStyle name="Normal 7 3 7 2 2" xfId="22234"/>
    <cellStyle name="Normal 7 3 7 2 3" xfId="27877"/>
    <cellStyle name="Normal 7 3 7 3" xfId="22233"/>
    <cellStyle name="Normal 7 3 7 4" xfId="27876"/>
    <cellStyle name="Normal 7 3 8" xfId="22235"/>
    <cellStyle name="Normal 7 3 9" xfId="22176"/>
    <cellStyle name="Normal 7 30" xfId="27747"/>
    <cellStyle name="Normal 7 4" xfId="1056"/>
    <cellStyle name="Normal 7 4 2" xfId="3766"/>
    <cellStyle name="Normal 7 4 2 10" xfId="27878"/>
    <cellStyle name="Normal 7 4 2 2" xfId="4214"/>
    <cellStyle name="Normal 7 4 2 2 2" xfId="5014"/>
    <cellStyle name="Normal 7 4 2 2 2 2" xfId="5585"/>
    <cellStyle name="Normal 7 4 2 2 2 2 2" xfId="6979"/>
    <cellStyle name="Normal 7 4 2 2 2 2 2 2" xfId="22241"/>
    <cellStyle name="Normal 7 4 2 2 2 2 2 3" xfId="27882"/>
    <cellStyle name="Normal 7 4 2 2 2 2 3" xfId="22240"/>
    <cellStyle name="Normal 7 4 2 2 2 2 4" xfId="27881"/>
    <cellStyle name="Normal 7 4 2 2 2 3" xfId="5895"/>
    <cellStyle name="Normal 7 4 2 2 2 3 2" xfId="6980"/>
    <cellStyle name="Normal 7 4 2 2 2 3 2 2" xfId="22243"/>
    <cellStyle name="Normal 7 4 2 2 2 3 2 3" xfId="27884"/>
    <cellStyle name="Normal 7 4 2 2 2 3 3" xfId="22242"/>
    <cellStyle name="Normal 7 4 2 2 2 3 4" xfId="27883"/>
    <cellStyle name="Normal 7 4 2 2 2 4" xfId="6978"/>
    <cellStyle name="Normal 7 4 2 2 2 4 2" xfId="22244"/>
    <cellStyle name="Normal 7 4 2 2 2 4 3" xfId="27885"/>
    <cellStyle name="Normal 7 4 2 2 2 5" xfId="22239"/>
    <cellStyle name="Normal 7 4 2 2 2 6" xfId="27880"/>
    <cellStyle name="Normal 7 4 2 2 3" xfId="5584"/>
    <cellStyle name="Normal 7 4 2 2 3 2" xfId="6981"/>
    <cellStyle name="Normal 7 4 2 2 3 2 2" xfId="22246"/>
    <cellStyle name="Normal 7 4 2 2 3 2 3" xfId="27887"/>
    <cellStyle name="Normal 7 4 2 2 3 3" xfId="22245"/>
    <cellStyle name="Normal 7 4 2 2 3 4" xfId="27886"/>
    <cellStyle name="Normal 7 4 2 2 4" xfId="5894"/>
    <cellStyle name="Normal 7 4 2 2 4 2" xfId="6982"/>
    <cellStyle name="Normal 7 4 2 2 4 2 2" xfId="22248"/>
    <cellStyle name="Normal 7 4 2 2 4 2 3" xfId="27889"/>
    <cellStyle name="Normal 7 4 2 2 4 3" xfId="22247"/>
    <cellStyle name="Normal 7 4 2 2 4 4" xfId="27888"/>
    <cellStyle name="Normal 7 4 2 2 5" xfId="5013"/>
    <cellStyle name="Normal 7 4 2 2 5 2" xfId="6983"/>
    <cellStyle name="Normal 7 4 2 2 5 2 2" xfId="27891"/>
    <cellStyle name="Normal 7 4 2 2 5 3" xfId="22249"/>
    <cellStyle name="Normal 7 4 2 2 5 4" xfId="27890"/>
    <cellStyle name="Normal 7 4 2 2 6" xfId="6977"/>
    <cellStyle name="Normal 7 4 2 2 6 2" xfId="27892"/>
    <cellStyle name="Normal 7 4 2 2 7" xfId="22238"/>
    <cellStyle name="Normal 7 4 2 2 8" xfId="25066"/>
    <cellStyle name="Normal 7 4 2 2 9" xfId="27879"/>
    <cellStyle name="Normal 7 4 2 3" xfId="5015"/>
    <cellStyle name="Normal 7 4 2 3 2" xfId="5586"/>
    <cellStyle name="Normal 7 4 2 3 2 2" xfId="6985"/>
    <cellStyle name="Normal 7 4 2 3 2 2 2" xfId="22252"/>
    <cellStyle name="Normal 7 4 2 3 2 2 3" xfId="27895"/>
    <cellStyle name="Normal 7 4 2 3 2 3" xfId="22251"/>
    <cellStyle name="Normal 7 4 2 3 2 4" xfId="27894"/>
    <cellStyle name="Normal 7 4 2 3 3" xfId="5896"/>
    <cellStyle name="Normal 7 4 2 3 3 2" xfId="6986"/>
    <cellStyle name="Normal 7 4 2 3 3 2 2" xfId="22254"/>
    <cellStyle name="Normal 7 4 2 3 3 2 3" xfId="27897"/>
    <cellStyle name="Normal 7 4 2 3 3 3" xfId="22253"/>
    <cellStyle name="Normal 7 4 2 3 3 4" xfId="27896"/>
    <cellStyle name="Normal 7 4 2 3 4" xfId="6984"/>
    <cellStyle name="Normal 7 4 2 3 4 2" xfId="22255"/>
    <cellStyle name="Normal 7 4 2 3 4 3" xfId="27898"/>
    <cellStyle name="Normal 7 4 2 3 5" xfId="22250"/>
    <cellStyle name="Normal 7 4 2 3 6" xfId="27893"/>
    <cellStyle name="Normal 7 4 2 4" xfId="5583"/>
    <cellStyle name="Normal 7 4 2 4 2" xfId="6987"/>
    <cellStyle name="Normal 7 4 2 4 2 2" xfId="22257"/>
    <cellStyle name="Normal 7 4 2 4 2 3" xfId="27900"/>
    <cellStyle name="Normal 7 4 2 4 3" xfId="22256"/>
    <cellStyle name="Normal 7 4 2 4 4" xfId="27899"/>
    <cellStyle name="Normal 7 4 2 5" xfId="5893"/>
    <cellStyle name="Normal 7 4 2 5 2" xfId="6988"/>
    <cellStyle name="Normal 7 4 2 5 2 2" xfId="22259"/>
    <cellStyle name="Normal 7 4 2 5 2 3" xfId="27902"/>
    <cellStyle name="Normal 7 4 2 5 3" xfId="22258"/>
    <cellStyle name="Normal 7 4 2 5 4" xfId="27901"/>
    <cellStyle name="Normal 7 4 2 6" xfId="5012"/>
    <cellStyle name="Normal 7 4 2 6 2" xfId="6989"/>
    <cellStyle name="Normal 7 4 2 6 2 2" xfId="27904"/>
    <cellStyle name="Normal 7 4 2 6 3" xfId="22260"/>
    <cellStyle name="Normal 7 4 2 6 4" xfId="27903"/>
    <cellStyle name="Normal 7 4 2 7" xfId="6976"/>
    <cellStyle name="Normal 7 4 2 7 2" xfId="27905"/>
    <cellStyle name="Normal 7 4 2 8" xfId="22237"/>
    <cellStyle name="Normal 7 4 2 9" xfId="24946"/>
    <cellStyle name="Normal 7 4 3" xfId="1572"/>
    <cellStyle name="Normal 7 4 3 2" xfId="4193"/>
    <cellStyle name="Normal 7 4 3 2 2" xfId="5588"/>
    <cellStyle name="Normal 7 4 3 2 2 2" xfId="6992"/>
    <cellStyle name="Normal 7 4 3 2 2 2 2" xfId="22264"/>
    <cellStyle name="Normal 7 4 3 2 2 2 3" xfId="27909"/>
    <cellStyle name="Normal 7 4 3 2 2 3" xfId="22263"/>
    <cellStyle name="Normal 7 4 3 2 2 4" xfId="27908"/>
    <cellStyle name="Normal 7 4 3 2 3" xfId="5898"/>
    <cellStyle name="Normal 7 4 3 2 3 2" xfId="6993"/>
    <cellStyle name="Normal 7 4 3 2 3 2 2" xfId="22266"/>
    <cellStyle name="Normal 7 4 3 2 3 2 3" xfId="27911"/>
    <cellStyle name="Normal 7 4 3 2 3 3" xfId="22265"/>
    <cellStyle name="Normal 7 4 3 2 3 4" xfId="27910"/>
    <cellStyle name="Normal 7 4 3 2 4" xfId="5017"/>
    <cellStyle name="Normal 7 4 3 2 4 2" xfId="6994"/>
    <cellStyle name="Normal 7 4 3 2 4 2 2" xfId="27913"/>
    <cellStyle name="Normal 7 4 3 2 4 3" xfId="22267"/>
    <cellStyle name="Normal 7 4 3 2 4 4" xfId="27912"/>
    <cellStyle name="Normal 7 4 3 2 5" xfId="6991"/>
    <cellStyle name="Normal 7 4 3 2 5 2" xfId="27914"/>
    <cellStyle name="Normal 7 4 3 2 6" xfId="22262"/>
    <cellStyle name="Normal 7 4 3 2 7" xfId="25045"/>
    <cellStyle name="Normal 7 4 3 2 8" xfId="27907"/>
    <cellStyle name="Normal 7 4 3 3" xfId="5587"/>
    <cellStyle name="Normal 7 4 3 3 2" xfId="6995"/>
    <cellStyle name="Normal 7 4 3 3 2 2" xfId="22269"/>
    <cellStyle name="Normal 7 4 3 3 2 3" xfId="27916"/>
    <cellStyle name="Normal 7 4 3 3 3" xfId="22268"/>
    <cellStyle name="Normal 7 4 3 3 4" xfId="27915"/>
    <cellStyle name="Normal 7 4 3 4" xfId="5897"/>
    <cellStyle name="Normal 7 4 3 4 2" xfId="6996"/>
    <cellStyle name="Normal 7 4 3 4 2 2" xfId="22271"/>
    <cellStyle name="Normal 7 4 3 4 2 3" xfId="27918"/>
    <cellStyle name="Normal 7 4 3 4 3" xfId="22270"/>
    <cellStyle name="Normal 7 4 3 4 4" xfId="27917"/>
    <cellStyle name="Normal 7 4 3 5" xfId="5016"/>
    <cellStyle name="Normal 7 4 3 5 2" xfId="6997"/>
    <cellStyle name="Normal 7 4 3 5 2 2" xfId="27920"/>
    <cellStyle name="Normal 7 4 3 5 3" xfId="22272"/>
    <cellStyle name="Normal 7 4 3 5 4" xfId="27919"/>
    <cellStyle name="Normal 7 4 3 6" xfId="6990"/>
    <cellStyle name="Normal 7 4 3 6 2" xfId="27921"/>
    <cellStyle name="Normal 7 4 3 7" xfId="22261"/>
    <cellStyle name="Normal 7 4 3 8" xfId="24925"/>
    <cellStyle name="Normal 7 4 3 9" xfId="27906"/>
    <cellStyle name="Normal 7 4 4" xfId="3926"/>
    <cellStyle name="Normal 7 4 4 2" xfId="5589"/>
    <cellStyle name="Normal 7 4 4 2 2" xfId="6998"/>
    <cellStyle name="Normal 7 4 4 2 2 2" xfId="22275"/>
    <cellStyle name="Normal 7 4 4 2 2 3" xfId="27923"/>
    <cellStyle name="Normal 7 4 4 2 3" xfId="22274"/>
    <cellStyle name="Normal 7 4 4 2 4" xfId="27922"/>
    <cellStyle name="Normal 7 4 4 3" xfId="5899"/>
    <cellStyle name="Normal 7 4 4 3 2" xfId="6999"/>
    <cellStyle name="Normal 7 4 4 3 2 2" xfId="22277"/>
    <cellStyle name="Normal 7 4 4 3 2 3" xfId="27925"/>
    <cellStyle name="Normal 7 4 4 3 3" xfId="22276"/>
    <cellStyle name="Normal 7 4 4 3 4" xfId="27924"/>
    <cellStyle name="Normal 7 4 4 4" xfId="5018"/>
    <cellStyle name="Normal 7 4 4 4 2" xfId="7000"/>
    <cellStyle name="Normal 7 4 4 4 2 2" xfId="27927"/>
    <cellStyle name="Normal 7 4 4 4 3" xfId="22278"/>
    <cellStyle name="Normal 7 4 4 4 4" xfId="27926"/>
    <cellStyle name="Normal 7 4 4 5" xfId="22273"/>
    <cellStyle name="Normal 7 4 5" xfId="5582"/>
    <cellStyle name="Normal 7 4 5 2" xfId="7001"/>
    <cellStyle name="Normal 7 4 5 2 2" xfId="22280"/>
    <cellStyle name="Normal 7 4 5 2 3" xfId="27929"/>
    <cellStyle name="Normal 7 4 5 3" xfId="22279"/>
    <cellStyle name="Normal 7 4 5 4" xfId="27928"/>
    <cellStyle name="Normal 7 4 6" xfId="5892"/>
    <cellStyle name="Normal 7 4 6 2" xfId="7002"/>
    <cellStyle name="Normal 7 4 6 2 2" xfId="22282"/>
    <cellStyle name="Normal 7 4 6 2 3" xfId="27931"/>
    <cellStyle name="Normal 7 4 6 3" xfId="22281"/>
    <cellStyle name="Normal 7 4 6 4" xfId="27930"/>
    <cellStyle name="Normal 7 4 7" xfId="5011"/>
    <cellStyle name="Normal 7 4 7 2" xfId="7003"/>
    <cellStyle name="Normal 7 4 7 2 2" xfId="27933"/>
    <cellStyle name="Normal 7 4 7 3" xfId="22283"/>
    <cellStyle name="Normal 7 4 7 4" xfId="27932"/>
    <cellStyle name="Normal 7 4 8" xfId="22236"/>
    <cellStyle name="Normal 7 4 9" xfId="24811"/>
    <cellStyle name="Normal 7 4 9 2" xfId="27934"/>
    <cellStyle name="Normal 7 5" xfId="1066"/>
    <cellStyle name="Normal 7 5 2" xfId="3810"/>
    <cellStyle name="Normal 7 5 2 10" xfId="27935"/>
    <cellStyle name="Normal 7 5 2 2" xfId="4217"/>
    <cellStyle name="Normal 7 5 2 2 2" xfId="5022"/>
    <cellStyle name="Normal 7 5 2 2 2 2" xfId="5593"/>
    <cellStyle name="Normal 7 5 2 2 2 2 2" xfId="7007"/>
    <cellStyle name="Normal 7 5 2 2 2 2 2 2" xfId="22289"/>
    <cellStyle name="Normal 7 5 2 2 2 2 2 3" xfId="27939"/>
    <cellStyle name="Normal 7 5 2 2 2 2 3" xfId="22288"/>
    <cellStyle name="Normal 7 5 2 2 2 2 4" xfId="27938"/>
    <cellStyle name="Normal 7 5 2 2 2 3" xfId="5903"/>
    <cellStyle name="Normal 7 5 2 2 2 3 2" xfId="7008"/>
    <cellStyle name="Normal 7 5 2 2 2 3 2 2" xfId="22291"/>
    <cellStyle name="Normal 7 5 2 2 2 3 2 3" xfId="27941"/>
    <cellStyle name="Normal 7 5 2 2 2 3 3" xfId="22290"/>
    <cellStyle name="Normal 7 5 2 2 2 3 4" xfId="27940"/>
    <cellStyle name="Normal 7 5 2 2 2 4" xfId="7006"/>
    <cellStyle name="Normal 7 5 2 2 2 4 2" xfId="22292"/>
    <cellStyle name="Normal 7 5 2 2 2 4 3" xfId="27942"/>
    <cellStyle name="Normal 7 5 2 2 2 5" xfId="22287"/>
    <cellStyle name="Normal 7 5 2 2 2 6" xfId="27937"/>
    <cellStyle name="Normal 7 5 2 2 3" xfId="5592"/>
    <cellStyle name="Normal 7 5 2 2 3 2" xfId="7009"/>
    <cellStyle name="Normal 7 5 2 2 3 2 2" xfId="22294"/>
    <cellStyle name="Normal 7 5 2 2 3 2 3" xfId="27944"/>
    <cellStyle name="Normal 7 5 2 2 3 3" xfId="22293"/>
    <cellStyle name="Normal 7 5 2 2 3 4" xfId="27943"/>
    <cellStyle name="Normal 7 5 2 2 4" xfId="5902"/>
    <cellStyle name="Normal 7 5 2 2 4 2" xfId="7010"/>
    <cellStyle name="Normal 7 5 2 2 4 2 2" xfId="22296"/>
    <cellStyle name="Normal 7 5 2 2 4 2 3" xfId="27946"/>
    <cellStyle name="Normal 7 5 2 2 4 3" xfId="22295"/>
    <cellStyle name="Normal 7 5 2 2 4 4" xfId="27945"/>
    <cellStyle name="Normal 7 5 2 2 5" xfId="5021"/>
    <cellStyle name="Normal 7 5 2 2 5 2" xfId="7011"/>
    <cellStyle name="Normal 7 5 2 2 5 2 2" xfId="27948"/>
    <cellStyle name="Normal 7 5 2 2 5 3" xfId="22297"/>
    <cellStyle name="Normal 7 5 2 2 5 4" xfId="27947"/>
    <cellStyle name="Normal 7 5 2 2 6" xfId="7005"/>
    <cellStyle name="Normal 7 5 2 2 6 2" xfId="27949"/>
    <cellStyle name="Normal 7 5 2 2 7" xfId="22286"/>
    <cellStyle name="Normal 7 5 2 2 8" xfId="25069"/>
    <cellStyle name="Normal 7 5 2 2 9" xfId="27936"/>
    <cellStyle name="Normal 7 5 2 3" xfId="5023"/>
    <cellStyle name="Normal 7 5 2 3 2" xfId="5594"/>
    <cellStyle name="Normal 7 5 2 3 2 2" xfId="7013"/>
    <cellStyle name="Normal 7 5 2 3 2 2 2" xfId="22300"/>
    <cellStyle name="Normal 7 5 2 3 2 2 3" xfId="27952"/>
    <cellStyle name="Normal 7 5 2 3 2 3" xfId="22299"/>
    <cellStyle name="Normal 7 5 2 3 2 4" xfId="27951"/>
    <cellStyle name="Normal 7 5 2 3 3" xfId="5904"/>
    <cellStyle name="Normal 7 5 2 3 3 2" xfId="7014"/>
    <cellStyle name="Normal 7 5 2 3 3 2 2" xfId="22302"/>
    <cellStyle name="Normal 7 5 2 3 3 2 3" xfId="27954"/>
    <cellStyle name="Normal 7 5 2 3 3 3" xfId="22301"/>
    <cellStyle name="Normal 7 5 2 3 3 4" xfId="27953"/>
    <cellStyle name="Normal 7 5 2 3 4" xfId="7012"/>
    <cellStyle name="Normal 7 5 2 3 4 2" xfId="22303"/>
    <cellStyle name="Normal 7 5 2 3 4 3" xfId="27955"/>
    <cellStyle name="Normal 7 5 2 3 5" xfId="22298"/>
    <cellStyle name="Normal 7 5 2 3 6" xfId="27950"/>
    <cellStyle name="Normal 7 5 2 4" xfId="5591"/>
    <cellStyle name="Normal 7 5 2 4 2" xfId="7015"/>
    <cellStyle name="Normal 7 5 2 4 2 2" xfId="22305"/>
    <cellStyle name="Normal 7 5 2 4 2 3" xfId="27957"/>
    <cellStyle name="Normal 7 5 2 4 3" xfId="22304"/>
    <cellStyle name="Normal 7 5 2 4 4" xfId="27956"/>
    <cellStyle name="Normal 7 5 2 5" xfId="5901"/>
    <cellStyle name="Normal 7 5 2 5 2" xfId="7016"/>
    <cellStyle name="Normal 7 5 2 5 2 2" xfId="22307"/>
    <cellStyle name="Normal 7 5 2 5 2 3" xfId="27959"/>
    <cellStyle name="Normal 7 5 2 5 3" xfId="22306"/>
    <cellStyle name="Normal 7 5 2 5 4" xfId="27958"/>
    <cellStyle name="Normal 7 5 2 6" xfId="5020"/>
    <cellStyle name="Normal 7 5 2 6 2" xfId="7017"/>
    <cellStyle name="Normal 7 5 2 6 2 2" xfId="27961"/>
    <cellStyle name="Normal 7 5 2 6 3" xfId="22308"/>
    <cellStyle name="Normal 7 5 2 6 4" xfId="27960"/>
    <cellStyle name="Normal 7 5 2 7" xfId="7004"/>
    <cellStyle name="Normal 7 5 2 7 2" xfId="27962"/>
    <cellStyle name="Normal 7 5 2 8" xfId="22285"/>
    <cellStyle name="Normal 7 5 2 9" xfId="24949"/>
    <cellStyle name="Normal 7 5 3" xfId="1573"/>
    <cellStyle name="Normal 7 5 3 2" xfId="4194"/>
    <cellStyle name="Normal 7 5 3 2 2" xfId="5596"/>
    <cellStyle name="Normal 7 5 3 2 2 2" xfId="7020"/>
    <cellStyle name="Normal 7 5 3 2 2 2 2" xfId="22312"/>
    <cellStyle name="Normal 7 5 3 2 2 2 3" xfId="27966"/>
    <cellStyle name="Normal 7 5 3 2 2 3" xfId="22311"/>
    <cellStyle name="Normal 7 5 3 2 2 4" xfId="27965"/>
    <cellStyle name="Normal 7 5 3 2 3" xfId="5906"/>
    <cellStyle name="Normal 7 5 3 2 3 2" xfId="7021"/>
    <cellStyle name="Normal 7 5 3 2 3 2 2" xfId="22314"/>
    <cellStyle name="Normal 7 5 3 2 3 2 3" xfId="27968"/>
    <cellStyle name="Normal 7 5 3 2 3 3" xfId="22313"/>
    <cellStyle name="Normal 7 5 3 2 3 4" xfId="27967"/>
    <cellStyle name="Normal 7 5 3 2 4" xfId="5025"/>
    <cellStyle name="Normal 7 5 3 2 4 2" xfId="7022"/>
    <cellStyle name="Normal 7 5 3 2 4 2 2" xfId="27970"/>
    <cellStyle name="Normal 7 5 3 2 4 3" xfId="22315"/>
    <cellStyle name="Normal 7 5 3 2 4 4" xfId="27969"/>
    <cellStyle name="Normal 7 5 3 2 5" xfId="7019"/>
    <cellStyle name="Normal 7 5 3 2 5 2" xfId="27971"/>
    <cellStyle name="Normal 7 5 3 2 6" xfId="22310"/>
    <cellStyle name="Normal 7 5 3 2 7" xfId="25046"/>
    <cellStyle name="Normal 7 5 3 2 8" xfId="27964"/>
    <cellStyle name="Normal 7 5 3 3" xfId="5595"/>
    <cellStyle name="Normal 7 5 3 3 2" xfId="7023"/>
    <cellStyle name="Normal 7 5 3 3 2 2" xfId="22317"/>
    <cellStyle name="Normal 7 5 3 3 2 3" xfId="27973"/>
    <cellStyle name="Normal 7 5 3 3 3" xfId="22316"/>
    <cellStyle name="Normal 7 5 3 3 4" xfId="27972"/>
    <cellStyle name="Normal 7 5 3 4" xfId="5905"/>
    <cellStyle name="Normal 7 5 3 4 2" xfId="7024"/>
    <cellStyle name="Normal 7 5 3 4 2 2" xfId="22319"/>
    <cellStyle name="Normal 7 5 3 4 2 3" xfId="27975"/>
    <cellStyle name="Normal 7 5 3 4 3" xfId="22318"/>
    <cellStyle name="Normal 7 5 3 4 4" xfId="27974"/>
    <cellStyle name="Normal 7 5 3 5" xfId="5024"/>
    <cellStyle name="Normal 7 5 3 5 2" xfId="7025"/>
    <cellStyle name="Normal 7 5 3 5 2 2" xfId="27977"/>
    <cellStyle name="Normal 7 5 3 5 3" xfId="22320"/>
    <cellStyle name="Normal 7 5 3 5 4" xfId="27976"/>
    <cellStyle name="Normal 7 5 3 6" xfId="7018"/>
    <cellStyle name="Normal 7 5 3 6 2" xfId="27978"/>
    <cellStyle name="Normal 7 5 3 7" xfId="22309"/>
    <cellStyle name="Normal 7 5 3 8" xfId="24926"/>
    <cellStyle name="Normal 7 5 3 9" xfId="27963"/>
    <cellStyle name="Normal 7 5 4" xfId="3936"/>
    <cellStyle name="Normal 7 5 4 2" xfId="5597"/>
    <cellStyle name="Normal 7 5 4 2 2" xfId="7026"/>
    <cellStyle name="Normal 7 5 4 2 2 2" xfId="22323"/>
    <cellStyle name="Normal 7 5 4 2 2 3" xfId="27980"/>
    <cellStyle name="Normal 7 5 4 2 3" xfId="22322"/>
    <cellStyle name="Normal 7 5 4 2 4" xfId="27979"/>
    <cellStyle name="Normal 7 5 4 3" xfId="5907"/>
    <cellStyle name="Normal 7 5 4 3 2" xfId="7027"/>
    <cellStyle name="Normal 7 5 4 3 2 2" xfId="22325"/>
    <cellStyle name="Normal 7 5 4 3 2 3" xfId="27982"/>
    <cellStyle name="Normal 7 5 4 3 3" xfId="22324"/>
    <cellStyle name="Normal 7 5 4 3 4" xfId="27981"/>
    <cellStyle name="Normal 7 5 4 4" xfId="5026"/>
    <cellStyle name="Normal 7 5 4 4 2" xfId="7028"/>
    <cellStyle name="Normal 7 5 4 4 2 2" xfId="27984"/>
    <cellStyle name="Normal 7 5 4 4 3" xfId="22326"/>
    <cellStyle name="Normal 7 5 4 4 4" xfId="27983"/>
    <cellStyle name="Normal 7 5 4 5" xfId="22321"/>
    <cellStyle name="Normal 7 5 5" xfId="5590"/>
    <cellStyle name="Normal 7 5 5 2" xfId="7029"/>
    <cellStyle name="Normal 7 5 5 2 2" xfId="22328"/>
    <cellStyle name="Normal 7 5 5 2 3" xfId="27986"/>
    <cellStyle name="Normal 7 5 5 3" xfId="22327"/>
    <cellStyle name="Normal 7 5 5 4" xfId="27985"/>
    <cellStyle name="Normal 7 5 6" xfId="5900"/>
    <cellStyle name="Normal 7 5 6 2" xfId="7030"/>
    <cellStyle name="Normal 7 5 6 2 2" xfId="22330"/>
    <cellStyle name="Normal 7 5 6 2 3" xfId="27988"/>
    <cellStyle name="Normal 7 5 6 3" xfId="22329"/>
    <cellStyle name="Normal 7 5 6 4" xfId="27987"/>
    <cellStyle name="Normal 7 5 7" xfId="5019"/>
    <cellStyle name="Normal 7 5 7 2" xfId="7031"/>
    <cellStyle name="Normal 7 5 7 2 2" xfId="27990"/>
    <cellStyle name="Normal 7 5 7 3" xfId="22331"/>
    <cellStyle name="Normal 7 5 7 4" xfId="27989"/>
    <cellStyle name="Normal 7 5 8" xfId="22284"/>
    <cellStyle name="Normal 7 5 9" xfId="24812"/>
    <cellStyle name="Normal 7 5 9 2" xfId="27991"/>
    <cellStyle name="Normal 7 6" xfId="1076"/>
    <cellStyle name="Normal 7 6 2" xfId="3815"/>
    <cellStyle name="Normal 7 6 2 10" xfId="27992"/>
    <cellStyle name="Normal 7 6 2 2" xfId="4220"/>
    <cellStyle name="Normal 7 6 2 2 2" xfId="5030"/>
    <cellStyle name="Normal 7 6 2 2 2 2" xfId="5601"/>
    <cellStyle name="Normal 7 6 2 2 2 2 2" xfId="7035"/>
    <cellStyle name="Normal 7 6 2 2 2 2 2 2" xfId="22337"/>
    <cellStyle name="Normal 7 6 2 2 2 2 2 3" xfId="27996"/>
    <cellStyle name="Normal 7 6 2 2 2 2 3" xfId="22336"/>
    <cellStyle name="Normal 7 6 2 2 2 2 4" xfId="27995"/>
    <cellStyle name="Normal 7 6 2 2 2 3" xfId="5911"/>
    <cellStyle name="Normal 7 6 2 2 2 3 2" xfId="7036"/>
    <cellStyle name="Normal 7 6 2 2 2 3 2 2" xfId="22339"/>
    <cellStyle name="Normal 7 6 2 2 2 3 2 3" xfId="27998"/>
    <cellStyle name="Normal 7 6 2 2 2 3 3" xfId="22338"/>
    <cellStyle name="Normal 7 6 2 2 2 3 4" xfId="27997"/>
    <cellStyle name="Normal 7 6 2 2 2 4" xfId="7034"/>
    <cellStyle name="Normal 7 6 2 2 2 4 2" xfId="22340"/>
    <cellStyle name="Normal 7 6 2 2 2 4 3" xfId="27999"/>
    <cellStyle name="Normal 7 6 2 2 2 5" xfId="22335"/>
    <cellStyle name="Normal 7 6 2 2 2 6" xfId="27994"/>
    <cellStyle name="Normal 7 6 2 2 3" xfId="5600"/>
    <cellStyle name="Normal 7 6 2 2 3 2" xfId="7037"/>
    <cellStyle name="Normal 7 6 2 2 3 2 2" xfId="22342"/>
    <cellStyle name="Normal 7 6 2 2 3 2 3" xfId="28001"/>
    <cellStyle name="Normal 7 6 2 2 3 3" xfId="22341"/>
    <cellStyle name="Normal 7 6 2 2 3 4" xfId="28000"/>
    <cellStyle name="Normal 7 6 2 2 4" xfId="5910"/>
    <cellStyle name="Normal 7 6 2 2 4 2" xfId="7038"/>
    <cellStyle name="Normal 7 6 2 2 4 2 2" xfId="22344"/>
    <cellStyle name="Normal 7 6 2 2 4 2 3" xfId="28003"/>
    <cellStyle name="Normal 7 6 2 2 4 3" xfId="22343"/>
    <cellStyle name="Normal 7 6 2 2 4 4" xfId="28002"/>
    <cellStyle name="Normal 7 6 2 2 5" xfId="5029"/>
    <cellStyle name="Normal 7 6 2 2 5 2" xfId="7039"/>
    <cellStyle name="Normal 7 6 2 2 5 2 2" xfId="28005"/>
    <cellStyle name="Normal 7 6 2 2 5 3" xfId="22345"/>
    <cellStyle name="Normal 7 6 2 2 5 4" xfId="28004"/>
    <cellStyle name="Normal 7 6 2 2 6" xfId="7033"/>
    <cellStyle name="Normal 7 6 2 2 6 2" xfId="28006"/>
    <cellStyle name="Normal 7 6 2 2 7" xfId="22334"/>
    <cellStyle name="Normal 7 6 2 2 8" xfId="25072"/>
    <cellStyle name="Normal 7 6 2 2 9" xfId="27993"/>
    <cellStyle name="Normal 7 6 2 3" xfId="5031"/>
    <cellStyle name="Normal 7 6 2 3 2" xfId="5602"/>
    <cellStyle name="Normal 7 6 2 3 2 2" xfId="7041"/>
    <cellStyle name="Normal 7 6 2 3 2 2 2" xfId="22348"/>
    <cellStyle name="Normal 7 6 2 3 2 2 3" xfId="28009"/>
    <cellStyle name="Normal 7 6 2 3 2 3" xfId="22347"/>
    <cellStyle name="Normal 7 6 2 3 2 4" xfId="28008"/>
    <cellStyle name="Normal 7 6 2 3 3" xfId="5912"/>
    <cellStyle name="Normal 7 6 2 3 3 2" xfId="7042"/>
    <cellStyle name="Normal 7 6 2 3 3 2 2" xfId="22350"/>
    <cellStyle name="Normal 7 6 2 3 3 2 3" xfId="28011"/>
    <cellStyle name="Normal 7 6 2 3 3 3" xfId="22349"/>
    <cellStyle name="Normal 7 6 2 3 3 4" xfId="28010"/>
    <cellStyle name="Normal 7 6 2 3 4" xfId="7040"/>
    <cellStyle name="Normal 7 6 2 3 4 2" xfId="22351"/>
    <cellStyle name="Normal 7 6 2 3 4 3" xfId="28012"/>
    <cellStyle name="Normal 7 6 2 3 5" xfId="22346"/>
    <cellStyle name="Normal 7 6 2 3 6" xfId="28007"/>
    <cellStyle name="Normal 7 6 2 4" xfId="5599"/>
    <cellStyle name="Normal 7 6 2 4 2" xfId="7043"/>
    <cellStyle name="Normal 7 6 2 4 2 2" xfId="22353"/>
    <cellStyle name="Normal 7 6 2 4 2 3" xfId="28014"/>
    <cellStyle name="Normal 7 6 2 4 3" xfId="22352"/>
    <cellStyle name="Normal 7 6 2 4 4" xfId="28013"/>
    <cellStyle name="Normal 7 6 2 5" xfId="5909"/>
    <cellStyle name="Normal 7 6 2 5 2" xfId="7044"/>
    <cellStyle name="Normal 7 6 2 5 2 2" xfId="22355"/>
    <cellStyle name="Normal 7 6 2 5 2 3" xfId="28016"/>
    <cellStyle name="Normal 7 6 2 5 3" xfId="22354"/>
    <cellStyle name="Normal 7 6 2 5 4" xfId="28015"/>
    <cellStyle name="Normal 7 6 2 6" xfId="5028"/>
    <cellStyle name="Normal 7 6 2 6 2" xfId="7045"/>
    <cellStyle name="Normal 7 6 2 6 2 2" xfId="28018"/>
    <cellStyle name="Normal 7 6 2 6 3" xfId="22356"/>
    <cellStyle name="Normal 7 6 2 6 4" xfId="28017"/>
    <cellStyle name="Normal 7 6 2 7" xfId="7032"/>
    <cellStyle name="Normal 7 6 2 7 2" xfId="28019"/>
    <cellStyle name="Normal 7 6 2 8" xfId="22333"/>
    <cellStyle name="Normal 7 6 2 9" xfId="24952"/>
    <cellStyle name="Normal 7 6 3" xfId="3537"/>
    <cellStyle name="Normal 7 6 3 2" xfId="4199"/>
    <cellStyle name="Normal 7 6 3 2 2" xfId="5604"/>
    <cellStyle name="Normal 7 6 3 2 2 2" xfId="7048"/>
    <cellStyle name="Normal 7 6 3 2 2 2 2" xfId="22360"/>
    <cellStyle name="Normal 7 6 3 2 2 2 3" xfId="28023"/>
    <cellStyle name="Normal 7 6 3 2 2 3" xfId="22359"/>
    <cellStyle name="Normal 7 6 3 2 2 4" xfId="28022"/>
    <cellStyle name="Normal 7 6 3 2 3" xfId="5914"/>
    <cellStyle name="Normal 7 6 3 2 3 2" xfId="7049"/>
    <cellStyle name="Normal 7 6 3 2 3 2 2" xfId="22362"/>
    <cellStyle name="Normal 7 6 3 2 3 2 3" xfId="28025"/>
    <cellStyle name="Normal 7 6 3 2 3 3" xfId="22361"/>
    <cellStyle name="Normal 7 6 3 2 3 4" xfId="28024"/>
    <cellStyle name="Normal 7 6 3 2 4" xfId="5033"/>
    <cellStyle name="Normal 7 6 3 2 4 2" xfId="7050"/>
    <cellStyle name="Normal 7 6 3 2 4 2 2" xfId="28027"/>
    <cellStyle name="Normal 7 6 3 2 4 3" xfId="22363"/>
    <cellStyle name="Normal 7 6 3 2 4 4" xfId="28026"/>
    <cellStyle name="Normal 7 6 3 2 5" xfId="7047"/>
    <cellStyle name="Normal 7 6 3 2 5 2" xfId="28028"/>
    <cellStyle name="Normal 7 6 3 2 6" xfId="22358"/>
    <cellStyle name="Normal 7 6 3 2 7" xfId="25051"/>
    <cellStyle name="Normal 7 6 3 2 8" xfId="28021"/>
    <cellStyle name="Normal 7 6 3 3" xfId="5603"/>
    <cellStyle name="Normal 7 6 3 3 2" xfId="7051"/>
    <cellStyle name="Normal 7 6 3 3 2 2" xfId="22365"/>
    <cellStyle name="Normal 7 6 3 3 2 3" xfId="28030"/>
    <cellStyle name="Normal 7 6 3 3 3" xfId="22364"/>
    <cellStyle name="Normal 7 6 3 3 4" xfId="28029"/>
    <cellStyle name="Normal 7 6 3 4" xfId="5913"/>
    <cellStyle name="Normal 7 6 3 4 2" xfId="7052"/>
    <cellStyle name="Normal 7 6 3 4 2 2" xfId="22367"/>
    <cellStyle name="Normal 7 6 3 4 2 3" xfId="28032"/>
    <cellStyle name="Normal 7 6 3 4 3" xfId="22366"/>
    <cellStyle name="Normal 7 6 3 4 4" xfId="28031"/>
    <cellStyle name="Normal 7 6 3 5" xfId="5032"/>
    <cellStyle name="Normal 7 6 3 5 2" xfId="7053"/>
    <cellStyle name="Normal 7 6 3 5 2 2" xfId="28034"/>
    <cellStyle name="Normal 7 6 3 5 3" xfId="22368"/>
    <cellStyle name="Normal 7 6 3 5 4" xfId="28033"/>
    <cellStyle name="Normal 7 6 3 6" xfId="7046"/>
    <cellStyle name="Normal 7 6 3 6 2" xfId="28035"/>
    <cellStyle name="Normal 7 6 3 7" xfId="22357"/>
    <cellStyle name="Normal 7 6 3 8" xfId="24931"/>
    <cellStyle name="Normal 7 6 3 9" xfId="28020"/>
    <cellStyle name="Normal 7 6 4" xfId="3946"/>
    <cellStyle name="Normal 7 6 4 2" xfId="5605"/>
    <cellStyle name="Normal 7 6 4 2 2" xfId="7054"/>
    <cellStyle name="Normal 7 6 4 2 2 2" xfId="22371"/>
    <cellStyle name="Normal 7 6 4 2 2 3" xfId="28037"/>
    <cellStyle name="Normal 7 6 4 2 3" xfId="22370"/>
    <cellStyle name="Normal 7 6 4 2 4" xfId="28036"/>
    <cellStyle name="Normal 7 6 4 3" xfId="5915"/>
    <cellStyle name="Normal 7 6 4 3 2" xfId="7055"/>
    <cellStyle name="Normal 7 6 4 3 2 2" xfId="22373"/>
    <cellStyle name="Normal 7 6 4 3 2 3" xfId="28039"/>
    <cellStyle name="Normal 7 6 4 3 3" xfId="22372"/>
    <cellStyle name="Normal 7 6 4 3 4" xfId="28038"/>
    <cellStyle name="Normal 7 6 4 4" xfId="5034"/>
    <cellStyle name="Normal 7 6 4 4 2" xfId="7056"/>
    <cellStyle name="Normal 7 6 4 4 2 2" xfId="28041"/>
    <cellStyle name="Normal 7 6 4 4 3" xfId="22374"/>
    <cellStyle name="Normal 7 6 4 4 4" xfId="28040"/>
    <cellStyle name="Normal 7 6 4 5" xfId="22369"/>
    <cellStyle name="Normal 7 6 5" xfId="5598"/>
    <cellStyle name="Normal 7 6 5 2" xfId="7057"/>
    <cellStyle name="Normal 7 6 5 2 2" xfId="22376"/>
    <cellStyle name="Normal 7 6 5 2 3" xfId="28043"/>
    <cellStyle name="Normal 7 6 5 3" xfId="22375"/>
    <cellStyle name="Normal 7 6 5 4" xfId="28042"/>
    <cellStyle name="Normal 7 6 6" xfId="5908"/>
    <cellStyle name="Normal 7 6 6 2" xfId="7058"/>
    <cellStyle name="Normal 7 6 6 2 2" xfId="22378"/>
    <cellStyle name="Normal 7 6 6 2 3" xfId="28045"/>
    <cellStyle name="Normal 7 6 6 3" xfId="22377"/>
    <cellStyle name="Normal 7 6 6 4" xfId="28044"/>
    <cellStyle name="Normal 7 6 7" xfId="5027"/>
    <cellStyle name="Normal 7 6 7 2" xfId="7059"/>
    <cellStyle name="Normal 7 6 7 2 2" xfId="28047"/>
    <cellStyle name="Normal 7 6 7 3" xfId="22379"/>
    <cellStyle name="Normal 7 6 7 4" xfId="28046"/>
    <cellStyle name="Normal 7 6 8" xfId="22332"/>
    <cellStyle name="Normal 7 6 9" xfId="24813"/>
    <cellStyle name="Normal 7 7" xfId="1086"/>
    <cellStyle name="Normal 7 7 2" xfId="3674"/>
    <cellStyle name="Normal 7 7 2 2" xfId="4205"/>
    <cellStyle name="Normal 7 7 2 2 2" xfId="5608"/>
    <cellStyle name="Normal 7 7 2 2 2 2" xfId="7062"/>
    <cellStyle name="Normal 7 7 2 2 2 2 2" xfId="22384"/>
    <cellStyle name="Normal 7 7 2 2 2 2 3" xfId="28051"/>
    <cellStyle name="Normal 7 7 2 2 2 3" xfId="22383"/>
    <cellStyle name="Normal 7 7 2 2 2 4" xfId="28050"/>
    <cellStyle name="Normal 7 7 2 2 3" xfId="5918"/>
    <cellStyle name="Normal 7 7 2 2 3 2" xfId="7063"/>
    <cellStyle name="Normal 7 7 2 2 3 2 2" xfId="22386"/>
    <cellStyle name="Normal 7 7 2 2 3 2 3" xfId="28053"/>
    <cellStyle name="Normal 7 7 2 2 3 3" xfId="22385"/>
    <cellStyle name="Normal 7 7 2 2 3 4" xfId="28052"/>
    <cellStyle name="Normal 7 7 2 2 4" xfId="5037"/>
    <cellStyle name="Normal 7 7 2 2 4 2" xfId="7064"/>
    <cellStyle name="Normal 7 7 2 2 4 2 2" xfId="28055"/>
    <cellStyle name="Normal 7 7 2 2 4 3" xfId="22387"/>
    <cellStyle name="Normal 7 7 2 2 4 4" xfId="28054"/>
    <cellStyle name="Normal 7 7 2 2 5" xfId="7061"/>
    <cellStyle name="Normal 7 7 2 2 5 2" xfId="28056"/>
    <cellStyle name="Normal 7 7 2 2 6" xfId="22382"/>
    <cellStyle name="Normal 7 7 2 2 7" xfId="25057"/>
    <cellStyle name="Normal 7 7 2 2 8" xfId="28049"/>
    <cellStyle name="Normal 7 7 2 3" xfId="5607"/>
    <cellStyle name="Normal 7 7 2 3 2" xfId="7065"/>
    <cellStyle name="Normal 7 7 2 3 2 2" xfId="22389"/>
    <cellStyle name="Normal 7 7 2 3 2 3" xfId="28058"/>
    <cellStyle name="Normal 7 7 2 3 3" xfId="22388"/>
    <cellStyle name="Normal 7 7 2 3 4" xfId="28057"/>
    <cellStyle name="Normal 7 7 2 4" xfId="5917"/>
    <cellStyle name="Normal 7 7 2 4 2" xfId="7066"/>
    <cellStyle name="Normal 7 7 2 4 2 2" xfId="22391"/>
    <cellStyle name="Normal 7 7 2 4 2 3" xfId="28060"/>
    <cellStyle name="Normal 7 7 2 4 3" xfId="22390"/>
    <cellStyle name="Normal 7 7 2 4 4" xfId="28059"/>
    <cellStyle name="Normal 7 7 2 5" xfId="5036"/>
    <cellStyle name="Normal 7 7 2 5 2" xfId="7067"/>
    <cellStyle name="Normal 7 7 2 5 2 2" xfId="28062"/>
    <cellStyle name="Normal 7 7 2 5 3" xfId="22392"/>
    <cellStyle name="Normal 7 7 2 5 4" xfId="28061"/>
    <cellStyle name="Normal 7 7 2 6" xfId="7060"/>
    <cellStyle name="Normal 7 7 2 6 2" xfId="28063"/>
    <cellStyle name="Normal 7 7 2 7" xfId="22381"/>
    <cellStyle name="Normal 7 7 2 8" xfId="24937"/>
    <cellStyle name="Normal 7 7 2 9" xfId="28048"/>
    <cellStyle name="Normal 7 7 3" xfId="3956"/>
    <cellStyle name="Normal 7 7 3 2" xfId="5609"/>
    <cellStyle name="Normal 7 7 3 2 2" xfId="7068"/>
    <cellStyle name="Normal 7 7 3 2 2 2" xfId="22395"/>
    <cellStyle name="Normal 7 7 3 2 2 3" xfId="28065"/>
    <cellStyle name="Normal 7 7 3 2 3" xfId="22394"/>
    <cellStyle name="Normal 7 7 3 2 4" xfId="28064"/>
    <cellStyle name="Normal 7 7 3 3" xfId="5919"/>
    <cellStyle name="Normal 7 7 3 3 2" xfId="7069"/>
    <cellStyle name="Normal 7 7 3 3 2 2" xfId="22397"/>
    <cellStyle name="Normal 7 7 3 3 2 3" xfId="28067"/>
    <cellStyle name="Normal 7 7 3 3 3" xfId="22396"/>
    <cellStyle name="Normal 7 7 3 3 4" xfId="28066"/>
    <cellStyle name="Normal 7 7 3 4" xfId="5038"/>
    <cellStyle name="Normal 7 7 3 4 2" xfId="7070"/>
    <cellStyle name="Normal 7 7 3 4 2 2" xfId="28069"/>
    <cellStyle name="Normal 7 7 3 4 3" xfId="22398"/>
    <cellStyle name="Normal 7 7 3 4 4" xfId="28068"/>
    <cellStyle name="Normal 7 7 3 5" xfId="22393"/>
    <cellStyle name="Normal 7 7 4" xfId="5606"/>
    <cellStyle name="Normal 7 7 4 2" xfId="7071"/>
    <cellStyle name="Normal 7 7 4 2 2" xfId="22400"/>
    <cellStyle name="Normal 7 7 4 2 3" xfId="28071"/>
    <cellStyle name="Normal 7 7 4 3" xfId="22399"/>
    <cellStyle name="Normal 7 7 4 4" xfId="28070"/>
    <cellStyle name="Normal 7 7 5" xfId="5916"/>
    <cellStyle name="Normal 7 7 5 2" xfId="7072"/>
    <cellStyle name="Normal 7 7 5 2 2" xfId="22402"/>
    <cellStyle name="Normal 7 7 5 2 3" xfId="28073"/>
    <cellStyle name="Normal 7 7 5 3" xfId="22401"/>
    <cellStyle name="Normal 7 7 5 4" xfId="28072"/>
    <cellStyle name="Normal 7 7 6" xfId="5035"/>
    <cellStyle name="Normal 7 7 6 2" xfId="7073"/>
    <cellStyle name="Normal 7 7 6 2 2" xfId="28075"/>
    <cellStyle name="Normal 7 7 6 3" xfId="22403"/>
    <cellStyle name="Normal 7 7 6 4" xfId="28074"/>
    <cellStyle name="Normal 7 7 7" xfId="22380"/>
    <cellStyle name="Normal 7 7 8" xfId="24814"/>
    <cellStyle name="Normal 7 7 8 2" xfId="28076"/>
    <cellStyle name="Normal 7 8" xfId="1096"/>
    <cellStyle name="Normal 7 8 2" xfId="3966"/>
    <cellStyle name="Normal 7 8 2 2" xfId="5611"/>
    <cellStyle name="Normal 7 8 2 2 2" xfId="7074"/>
    <cellStyle name="Normal 7 8 2 2 2 2" xfId="22407"/>
    <cellStyle name="Normal 7 8 2 2 2 3" xfId="28078"/>
    <cellStyle name="Normal 7 8 2 2 3" xfId="22406"/>
    <cellStyle name="Normal 7 8 2 2 4" xfId="28077"/>
    <cellStyle name="Normal 7 8 2 3" xfId="5921"/>
    <cellStyle name="Normal 7 8 2 3 2" xfId="7075"/>
    <cellStyle name="Normal 7 8 2 3 2 2" xfId="22409"/>
    <cellStyle name="Normal 7 8 2 3 2 3" xfId="28080"/>
    <cellStyle name="Normal 7 8 2 3 3" xfId="22408"/>
    <cellStyle name="Normal 7 8 2 3 4" xfId="28079"/>
    <cellStyle name="Normal 7 8 2 4" xfId="5040"/>
    <cellStyle name="Normal 7 8 2 4 2" xfId="7076"/>
    <cellStyle name="Normal 7 8 2 4 2 2" xfId="28082"/>
    <cellStyle name="Normal 7 8 2 4 3" xfId="22410"/>
    <cellStyle name="Normal 7 8 2 4 4" xfId="28081"/>
    <cellStyle name="Normal 7 8 2 5" xfId="22405"/>
    <cellStyle name="Normal 7 8 3" xfId="5041"/>
    <cellStyle name="Normal 7 8 3 2" xfId="5612"/>
    <cellStyle name="Normal 7 8 3 2 2" xfId="7078"/>
    <cellStyle name="Normal 7 8 3 2 2 2" xfId="28085"/>
    <cellStyle name="Normal 7 8 3 2 3" xfId="22412"/>
    <cellStyle name="Normal 7 8 3 2 4" xfId="28084"/>
    <cellStyle name="Normal 7 8 3 3" xfId="5922"/>
    <cellStyle name="Normal 7 8 3 3 2" xfId="7079"/>
    <cellStyle name="Normal 7 8 3 3 2 2" xfId="28087"/>
    <cellStyle name="Normal 7 8 3 3 3" xfId="28086"/>
    <cellStyle name="Normal 7 8 3 4" xfId="7077"/>
    <cellStyle name="Normal 7 8 3 4 2" xfId="28088"/>
    <cellStyle name="Normal 7 8 3 5" xfId="22411"/>
    <cellStyle name="Normal 7 8 3 6" xfId="28083"/>
    <cellStyle name="Normal 7 8 4" xfId="5610"/>
    <cellStyle name="Normal 7 8 4 2" xfId="7080"/>
    <cellStyle name="Normal 7 8 4 2 2" xfId="22414"/>
    <cellStyle name="Normal 7 8 4 2 3" xfId="28090"/>
    <cellStyle name="Normal 7 8 4 3" xfId="22413"/>
    <cellStyle name="Normal 7 8 4 4" xfId="28089"/>
    <cellStyle name="Normal 7 8 5" xfId="5920"/>
    <cellStyle name="Normal 7 8 5 2" xfId="7081"/>
    <cellStyle name="Normal 7 8 5 2 2" xfId="28092"/>
    <cellStyle name="Normal 7 8 5 3" xfId="22415"/>
    <cellStyle name="Normal 7 8 5 4" xfId="28091"/>
    <cellStyle name="Normal 7 8 6" xfId="5039"/>
    <cellStyle name="Normal 7 8 6 2" xfId="7082"/>
    <cellStyle name="Normal 7 8 6 2 2" xfId="28094"/>
    <cellStyle name="Normal 7 8 6 3" xfId="28093"/>
    <cellStyle name="Normal 7 8 7" xfId="22404"/>
    <cellStyle name="Normal 7 9" xfId="1106"/>
    <cellStyle name="Normal 7 9 2" xfId="3976"/>
    <cellStyle name="Normal 7 9 2 2" xfId="5613"/>
    <cellStyle name="Normal 7 9 2 2 2" xfId="7083"/>
    <cellStyle name="Normal 7 9 2 2 2 2" xfId="22419"/>
    <cellStyle name="Normal 7 9 2 2 2 3" xfId="28096"/>
    <cellStyle name="Normal 7 9 2 2 3" xfId="22418"/>
    <cellStyle name="Normal 7 9 2 2 4" xfId="28095"/>
    <cellStyle name="Normal 7 9 2 3" xfId="22420"/>
    <cellStyle name="Normal 7 9 2 3 2" xfId="22421"/>
    <cellStyle name="Normal 7 9 2 4" xfId="22422"/>
    <cellStyle name="Normal 7 9 2 5" xfId="22417"/>
    <cellStyle name="Normal 7 9 3" xfId="5923"/>
    <cellStyle name="Normal 7 9 3 2" xfId="7084"/>
    <cellStyle name="Normal 7 9 3 2 2" xfId="22424"/>
    <cellStyle name="Normal 7 9 3 2 3" xfId="28098"/>
    <cellStyle name="Normal 7 9 3 3" xfId="22423"/>
    <cellStyle name="Normal 7 9 3 4" xfId="28097"/>
    <cellStyle name="Normal 7 9 4" xfId="5042"/>
    <cellStyle name="Normal 7 9 4 2" xfId="7085"/>
    <cellStyle name="Normal 7 9 4 2 2" xfId="22426"/>
    <cellStyle name="Normal 7 9 4 2 3" xfId="28100"/>
    <cellStyle name="Normal 7 9 4 3" xfId="22425"/>
    <cellStyle name="Normal 7 9 4 4" xfId="28099"/>
    <cellStyle name="Normal 7 9 5" xfId="22427"/>
    <cellStyle name="Normal 7 9 6" xfId="22416"/>
    <cellStyle name="Normal 8" xfId="907"/>
    <cellStyle name="Normal 8 10" xfId="1123"/>
    <cellStyle name="Normal 8 10 2" xfId="3993"/>
    <cellStyle name="Normal 8 11" xfId="1133"/>
    <cellStyle name="Normal 8 11 2" xfId="4003"/>
    <cellStyle name="Normal 8 12" xfId="1143"/>
    <cellStyle name="Normal 8 12 2" xfId="4013"/>
    <cellStyle name="Normal 8 13" xfId="1153"/>
    <cellStyle name="Normal 8 13 2" xfId="4023"/>
    <cellStyle name="Normal 8 14" xfId="1163"/>
    <cellStyle name="Normal 8 14 2" xfId="4033"/>
    <cellStyle name="Normal 8 15" xfId="1173"/>
    <cellStyle name="Normal 8 15 2" xfId="4043"/>
    <cellStyle name="Normal 8 16" xfId="1183"/>
    <cellStyle name="Normal 8 16 2" xfId="4053"/>
    <cellStyle name="Normal 8 17" xfId="1193"/>
    <cellStyle name="Normal 8 17 2" xfId="4063"/>
    <cellStyle name="Normal 8 18" xfId="1203"/>
    <cellStyle name="Normal 8 18 2" xfId="4073"/>
    <cellStyle name="Normal 8 19" xfId="1213"/>
    <cellStyle name="Normal 8 19 2" xfId="4083"/>
    <cellStyle name="Normal 8 2" xfId="1041"/>
    <cellStyle name="Normal 8 2 2" xfId="1447"/>
    <cellStyle name="Normal 8 2 2 2" xfId="24815"/>
    <cellStyle name="Normal 8 2 2 2 2" xfId="28101"/>
    <cellStyle name="Normal 8 2 3" xfId="3908"/>
    <cellStyle name="Normal 8 2 3 2" xfId="24816"/>
    <cellStyle name="Normal 8 2 3 2 2" xfId="28102"/>
    <cellStyle name="Normal 8 2 4" xfId="24817"/>
    <cellStyle name="Normal 8 2 4 2" xfId="28103"/>
    <cellStyle name="Normal 8 2 5" xfId="24818"/>
    <cellStyle name="Normal 8 2 6" xfId="24819"/>
    <cellStyle name="Normal 8 2 6 2" xfId="28104"/>
    <cellStyle name="Normal 8 2 7" xfId="24549"/>
    <cellStyle name="Normal 8 20" xfId="1223"/>
    <cellStyle name="Normal 8 20 2" xfId="4093"/>
    <cellStyle name="Normal 8 21" xfId="1233"/>
    <cellStyle name="Normal 8 21 2" xfId="4103"/>
    <cellStyle name="Normal 8 22" xfId="1243"/>
    <cellStyle name="Normal 8 22 2" xfId="4113"/>
    <cellStyle name="Normal 8 23" xfId="1253"/>
    <cellStyle name="Normal 8 23 2" xfId="4123"/>
    <cellStyle name="Normal 8 24" xfId="1262"/>
    <cellStyle name="Normal 8 24 2" xfId="4132"/>
    <cellStyle name="Normal 8 25" xfId="1269"/>
    <cellStyle name="Normal 8 25 2" xfId="4139"/>
    <cellStyle name="Normal 8 26" xfId="24548"/>
    <cellStyle name="Normal 8 3" xfId="1053"/>
    <cellStyle name="Normal 8 3 2" xfId="1574"/>
    <cellStyle name="Normal 8 3 3" xfId="3923"/>
    <cellStyle name="Normal 8 3 4" xfId="24820"/>
    <cellStyle name="Normal 8 3 4 2" xfId="28105"/>
    <cellStyle name="Normal 8 4" xfId="1063"/>
    <cellStyle name="Normal 8 4 2" xfId="3538"/>
    <cellStyle name="Normal 8 4 3" xfId="3933"/>
    <cellStyle name="Normal 8 4 4" xfId="24821"/>
    <cellStyle name="Normal 8 4 4 2" xfId="28106"/>
    <cellStyle name="Normal 8 5" xfId="1073"/>
    <cellStyle name="Normal 8 5 2" xfId="3943"/>
    <cellStyle name="Normal 8 5 2 2" xfId="22429"/>
    <cellStyle name="Normal 8 5 2 3" xfId="22428"/>
    <cellStyle name="Normal 8 5 3" xfId="5043"/>
    <cellStyle name="Normal 8 5 4" xfId="24822"/>
    <cellStyle name="Normal 8 5 4 2" xfId="28107"/>
    <cellStyle name="Normal 8 6" xfId="1083"/>
    <cellStyle name="Normal 8 6 2" xfId="3953"/>
    <cellStyle name="Normal 8 6 2 2" xfId="22432"/>
    <cellStyle name="Normal 8 6 2 2 2" xfId="22433"/>
    <cellStyle name="Normal 8 6 2 3" xfId="22434"/>
    <cellStyle name="Normal 8 6 2 3 2" xfId="22435"/>
    <cellStyle name="Normal 8 6 2 4" xfId="22436"/>
    <cellStyle name="Normal 8 6 2 5" xfId="22431"/>
    <cellStyle name="Normal 8 6 3" xfId="22437"/>
    <cellStyle name="Normal 8 6 3 2" xfId="22438"/>
    <cellStyle name="Normal 8 6 4" xfId="22439"/>
    <cellStyle name="Normal 8 6 4 2" xfId="22440"/>
    <cellStyle name="Normal 8 6 5" xfId="22441"/>
    <cellStyle name="Normal 8 6 6" xfId="22430"/>
    <cellStyle name="Normal 8 6 7" xfId="24823"/>
    <cellStyle name="Normal 8 7" xfId="1093"/>
    <cellStyle name="Normal 8 7 2" xfId="3963"/>
    <cellStyle name="Normal 8 7 3" xfId="24824"/>
    <cellStyle name="Normal 8 7 3 2" xfId="28108"/>
    <cellStyle name="Normal 8 8" xfId="1103"/>
    <cellStyle name="Normal 8 8 2" xfId="3973"/>
    <cellStyle name="Normal 8 9" xfId="1113"/>
    <cellStyle name="Normal 8 9 2" xfId="3983"/>
    <cellStyle name="Normal 9" xfId="908"/>
    <cellStyle name="Normal 9 10" xfId="1125"/>
    <cellStyle name="Normal 9 10 2" xfId="3995"/>
    <cellStyle name="Normal 9 11" xfId="1135"/>
    <cellStyle name="Normal 9 11 2" xfId="4005"/>
    <cellStyle name="Normal 9 12" xfId="1145"/>
    <cellStyle name="Normal 9 12 2" xfId="4015"/>
    <cellStyle name="Normal 9 13" xfId="1154"/>
    <cellStyle name="Normal 9 13 2" xfId="4024"/>
    <cellStyle name="Normal 9 14" xfId="1165"/>
    <cellStyle name="Normal 9 14 2" xfId="4035"/>
    <cellStyle name="Normal 9 15" xfId="1175"/>
    <cellStyle name="Normal 9 15 2" xfId="4045"/>
    <cellStyle name="Normal 9 16" xfId="1185"/>
    <cellStyle name="Normal 9 16 2" xfId="4055"/>
    <cellStyle name="Normal 9 17" xfId="1195"/>
    <cellStyle name="Normal 9 17 2" xfId="4065"/>
    <cellStyle name="Normal 9 18" xfId="1205"/>
    <cellStyle name="Normal 9 18 2" xfId="4075"/>
    <cellStyle name="Normal 9 19" xfId="1215"/>
    <cellStyle name="Normal 9 19 2" xfId="4085"/>
    <cellStyle name="Normal 9 2" xfId="1042"/>
    <cellStyle name="Normal 9 2 2" xfId="1492"/>
    <cellStyle name="Normal 9 2 2 2" xfId="22442"/>
    <cellStyle name="Normal 9 2 3" xfId="3910"/>
    <cellStyle name="Normal 9 2 4" xfId="24825"/>
    <cellStyle name="Normal 9 2 4 2" xfId="28109"/>
    <cellStyle name="Normal 9 20" xfId="1225"/>
    <cellStyle name="Normal 9 20 2" xfId="4095"/>
    <cellStyle name="Normal 9 21" xfId="1235"/>
    <cellStyle name="Normal 9 21 2" xfId="4105"/>
    <cellStyle name="Normal 9 22" xfId="1245"/>
    <cellStyle name="Normal 9 22 2" xfId="4115"/>
    <cellStyle name="Normal 9 23" xfId="1255"/>
    <cellStyle name="Normal 9 23 2" xfId="4125"/>
    <cellStyle name="Normal 9 24" xfId="1264"/>
    <cellStyle name="Normal 9 24 2" xfId="4134"/>
    <cellStyle name="Normal 9 25" xfId="1270"/>
    <cellStyle name="Normal 9 25 2" xfId="4140"/>
    <cellStyle name="Normal 9 26" xfId="24550"/>
    <cellStyle name="Normal 9 26 2" xfId="28110"/>
    <cellStyle name="Normal 9 3" xfId="1055"/>
    <cellStyle name="Normal 9 3 2" xfId="1617"/>
    <cellStyle name="Normal 9 3 2 2" xfId="22443"/>
    <cellStyle name="Normal 9 3 3" xfId="3925"/>
    <cellStyle name="Normal 9 3 4" xfId="24826"/>
    <cellStyle name="Normal 9 3 4 2" xfId="28111"/>
    <cellStyle name="Normal 9 4" xfId="1065"/>
    <cellStyle name="Normal 9 4 2" xfId="3581"/>
    <cellStyle name="Normal 9 4 2 2" xfId="22444"/>
    <cellStyle name="Normal 9 4 3" xfId="3935"/>
    <cellStyle name="Normal 9 4 4" xfId="24827"/>
    <cellStyle name="Normal 9 4 4 2" xfId="28112"/>
    <cellStyle name="Normal 9 5" xfId="1075"/>
    <cellStyle name="Normal 9 5 2" xfId="3945"/>
    <cellStyle name="Normal 9 5 2 2" xfId="22446"/>
    <cellStyle name="Normal 9 5 2 3" xfId="22445"/>
    <cellStyle name="Normal 9 5 3" xfId="5044"/>
    <cellStyle name="Normal 9 6" xfId="1085"/>
    <cellStyle name="Normal 9 6 2" xfId="3955"/>
    <cellStyle name="Normal 9 6 2 2" xfId="22448"/>
    <cellStyle name="Normal 9 6 3" xfId="22447"/>
    <cellStyle name="Normal 9 7" xfId="1095"/>
    <cellStyle name="Normal 9 7 2" xfId="3965"/>
    <cellStyle name="Normal 9 8" xfId="1105"/>
    <cellStyle name="Normal 9 8 2" xfId="3975"/>
    <cellStyle name="Normal 9 9" xfId="1115"/>
    <cellStyle name="Normal 9 9 2" xfId="3985"/>
    <cellStyle name="Normal_ELTD1200" xfId="13"/>
    <cellStyle name="Normal_GSUs" xfId="14"/>
    <cellStyle name="Normal_Schedule 10" xfId="15"/>
    <cellStyle name="Normal_Schedule 7" xfId="16"/>
    <cellStyle name="Note 10" xfId="784"/>
    <cellStyle name="Note 10 2" xfId="22450"/>
    <cellStyle name="Note 10 2 2" xfId="22451"/>
    <cellStyle name="Note 10 2 2 2" xfId="22452"/>
    <cellStyle name="Note 10 2 2 2 2" xfId="22453"/>
    <cellStyle name="Note 10 2 2 3" xfId="22454"/>
    <cellStyle name="Note 10 2 2 3 2" xfId="22455"/>
    <cellStyle name="Note 10 2 2 4" xfId="22456"/>
    <cellStyle name="Note 10 2 3" xfId="22457"/>
    <cellStyle name="Note 10 2 3 2" xfId="22458"/>
    <cellStyle name="Note 10 2 4" xfId="22459"/>
    <cellStyle name="Note 10 2 4 2" xfId="22460"/>
    <cellStyle name="Note 10 2 5" xfId="22461"/>
    <cellStyle name="Note 10 3" xfId="22462"/>
    <cellStyle name="Note 10 4" xfId="22449"/>
    <cellStyle name="Note 11" xfId="785"/>
    <cellStyle name="Note 11 2" xfId="22464"/>
    <cellStyle name="Note 11 2 2" xfId="22465"/>
    <cellStyle name="Note 11 3" xfId="22466"/>
    <cellStyle name="Note 11 4" xfId="22463"/>
    <cellStyle name="Note 12" xfId="909"/>
    <cellStyle name="Note 12 2" xfId="22468"/>
    <cellStyle name="Note 12 2 2" xfId="22469"/>
    <cellStyle name="Note 12 2 2 2" xfId="22470"/>
    <cellStyle name="Note 12 2 3" xfId="22471"/>
    <cellStyle name="Note 12 2 3 2" xfId="22472"/>
    <cellStyle name="Note 12 2 4" xfId="22473"/>
    <cellStyle name="Note 12 3" xfId="22474"/>
    <cellStyle name="Note 12 3 2" xfId="22475"/>
    <cellStyle name="Note 12 4" xfId="22476"/>
    <cellStyle name="Note 12 4 2" xfId="22477"/>
    <cellStyle name="Note 12 5" xfId="22478"/>
    <cellStyle name="Note 12 6" xfId="22467"/>
    <cellStyle name="Note 13" xfId="910"/>
    <cellStyle name="Note 13 2" xfId="3857"/>
    <cellStyle name="Note 13 2 2" xfId="7087"/>
    <cellStyle name="Note 13 2 2 2" xfId="22482"/>
    <cellStyle name="Note 13 2 2 3" xfId="22481"/>
    <cellStyle name="Note 13 2 2 4" xfId="28115"/>
    <cellStyle name="Note 13 2 3" xfId="22483"/>
    <cellStyle name="Note 13 2 3 2" xfId="22484"/>
    <cellStyle name="Note 13 2 4" xfId="22485"/>
    <cellStyle name="Note 13 2 5" xfId="22480"/>
    <cellStyle name="Note 13 2 6" xfId="24993"/>
    <cellStyle name="Note 13 2 7" xfId="28114"/>
    <cellStyle name="Note 13 3" xfId="7086"/>
    <cellStyle name="Note 13 3 2" xfId="22487"/>
    <cellStyle name="Note 13 3 3" xfId="22486"/>
    <cellStyle name="Note 13 3 4" xfId="28116"/>
    <cellStyle name="Note 13 4" xfId="22488"/>
    <cellStyle name="Note 13 4 2" xfId="22489"/>
    <cellStyle name="Note 13 5" xfId="22490"/>
    <cellStyle name="Note 13 6" xfId="22479"/>
    <cellStyle name="Note 13 7" xfId="24872"/>
    <cellStyle name="Note 13 8" xfId="28113"/>
    <cellStyle name="Note 14" xfId="994"/>
    <cellStyle name="Note 2" xfId="105"/>
    <cellStyle name="Note 2 10" xfId="3530"/>
    <cellStyle name="Note 2 10 2" xfId="22493"/>
    <cellStyle name="Note 2 10 2 2" xfId="22494"/>
    <cellStyle name="Note 2 10 3" xfId="22495"/>
    <cellStyle name="Note 2 10 3 2" xfId="22496"/>
    <cellStyle name="Note 2 10 4" xfId="22497"/>
    <cellStyle name="Note 2 10 4 2" xfId="22498"/>
    <cellStyle name="Note 2 10 5" xfId="22499"/>
    <cellStyle name="Note 2 10 6" xfId="22492"/>
    <cellStyle name="Note 2 11" xfId="22500"/>
    <cellStyle name="Note 2 11 2" xfId="22501"/>
    <cellStyle name="Note 2 11 2 2" xfId="22502"/>
    <cellStyle name="Note 2 11 3" xfId="22503"/>
    <cellStyle name="Note 2 11 3 2" xfId="22504"/>
    <cellStyle name="Note 2 11 4" xfId="22505"/>
    <cellStyle name="Note 2 12" xfId="22506"/>
    <cellStyle name="Note 2 12 2" xfId="22507"/>
    <cellStyle name="Note 2 12 2 2" xfId="22508"/>
    <cellStyle name="Note 2 12 3" xfId="22509"/>
    <cellStyle name="Note 2 12 3 2" xfId="22510"/>
    <cellStyle name="Note 2 12 4" xfId="22511"/>
    <cellStyle name="Note 2 13" xfId="22512"/>
    <cellStyle name="Note 2 13 2" xfId="22513"/>
    <cellStyle name="Note 2 13 2 2" xfId="22514"/>
    <cellStyle name="Note 2 13 3" xfId="22515"/>
    <cellStyle name="Note 2 13 3 2" xfId="22516"/>
    <cellStyle name="Note 2 13 4" xfId="22517"/>
    <cellStyle name="Note 2 14" xfId="22518"/>
    <cellStyle name="Note 2 14 2" xfId="22519"/>
    <cellStyle name="Note 2 14 2 2" xfId="22520"/>
    <cellStyle name="Note 2 14 3" xfId="22521"/>
    <cellStyle name="Note 2 14 3 2" xfId="22522"/>
    <cellStyle name="Note 2 14 4" xfId="22523"/>
    <cellStyle name="Note 2 15" xfId="22524"/>
    <cellStyle name="Note 2 15 2" xfId="22525"/>
    <cellStyle name="Note 2 16" xfId="22526"/>
    <cellStyle name="Note 2 16 2" xfId="22527"/>
    <cellStyle name="Note 2 17" xfId="22528"/>
    <cellStyle name="Note 2 17 2" xfId="22529"/>
    <cellStyle name="Note 2 17 2 2" xfId="22530"/>
    <cellStyle name="Note 2 17 2 2 2" xfId="22531"/>
    <cellStyle name="Note 2 17 2 3" xfId="22532"/>
    <cellStyle name="Note 2 17 2 3 2" xfId="22533"/>
    <cellStyle name="Note 2 17 2 4" xfId="22534"/>
    <cellStyle name="Note 2 17 3" xfId="22535"/>
    <cellStyle name="Note 2 17 3 2" xfId="22536"/>
    <cellStyle name="Note 2 17 4" xfId="22537"/>
    <cellStyle name="Note 2 17 4 2" xfId="22538"/>
    <cellStyle name="Note 2 17 5" xfId="22539"/>
    <cellStyle name="Note 2 18" xfId="22540"/>
    <cellStyle name="Note 2 18 2" xfId="22541"/>
    <cellStyle name="Note 2 19" xfId="22542"/>
    <cellStyle name="Note 2 19 2" xfId="22543"/>
    <cellStyle name="Note 2 19 2 2" xfId="22544"/>
    <cellStyle name="Note 2 19 2 2 2" xfId="22545"/>
    <cellStyle name="Note 2 19 2 3" xfId="22546"/>
    <cellStyle name="Note 2 19 2 3 2" xfId="22547"/>
    <cellStyle name="Note 2 19 2 4" xfId="22548"/>
    <cellStyle name="Note 2 19 3" xfId="22549"/>
    <cellStyle name="Note 2 19 3 2" xfId="22550"/>
    <cellStyle name="Note 2 19 4" xfId="22551"/>
    <cellStyle name="Note 2 19 4 2" xfId="22552"/>
    <cellStyle name="Note 2 19 5" xfId="22553"/>
    <cellStyle name="Note 2 2" xfId="167"/>
    <cellStyle name="Note 2 2 10" xfId="22555"/>
    <cellStyle name="Note 2 2 10 2" xfId="22556"/>
    <cellStyle name="Note 2 2 10 2 2" xfId="22557"/>
    <cellStyle name="Note 2 2 10 3" xfId="22558"/>
    <cellStyle name="Note 2 2 10 3 2" xfId="22559"/>
    <cellStyle name="Note 2 2 10 4" xfId="22560"/>
    <cellStyle name="Note 2 2 11" xfId="22561"/>
    <cellStyle name="Note 2 2 11 2" xfId="22562"/>
    <cellStyle name="Note 2 2 11 2 2" xfId="22563"/>
    <cellStyle name="Note 2 2 11 3" xfId="22564"/>
    <cellStyle name="Note 2 2 11 3 2" xfId="22565"/>
    <cellStyle name="Note 2 2 11 4" xfId="22566"/>
    <cellStyle name="Note 2 2 12" xfId="22567"/>
    <cellStyle name="Note 2 2 12 2" xfId="22568"/>
    <cellStyle name="Note 2 2 12 2 2" xfId="22569"/>
    <cellStyle name="Note 2 2 12 3" xfId="22570"/>
    <cellStyle name="Note 2 2 12 3 2" xfId="22571"/>
    <cellStyle name="Note 2 2 12 4" xfId="22572"/>
    <cellStyle name="Note 2 2 13" xfId="22573"/>
    <cellStyle name="Note 2 2 13 2" xfId="22574"/>
    <cellStyle name="Note 2 2 14" xfId="22575"/>
    <cellStyle name="Note 2 2 14 2" xfId="22576"/>
    <cellStyle name="Note 2 2 15" xfId="22577"/>
    <cellStyle name="Note 2 2 15 2" xfId="22578"/>
    <cellStyle name="Note 2 2 16" xfId="22579"/>
    <cellStyle name="Note 2 2 17" xfId="22554"/>
    <cellStyle name="Note 2 2 18" xfId="24551"/>
    <cellStyle name="Note 2 2 2" xfId="5046"/>
    <cellStyle name="Note 2 2 2 2" xfId="22581"/>
    <cellStyle name="Note 2 2 2 2 2" xfId="22582"/>
    <cellStyle name="Note 2 2 2 3" xfId="22583"/>
    <cellStyle name="Note 2 2 2 3 2" xfId="22584"/>
    <cellStyle name="Note 2 2 2 4" xfId="22585"/>
    <cellStyle name="Note 2 2 2 5" xfId="22580"/>
    <cellStyle name="Note 2 2 2 6" xfId="24552"/>
    <cellStyle name="Note 2 2 3" xfId="5045"/>
    <cellStyle name="Note 2 2 3 2" xfId="22587"/>
    <cellStyle name="Note 2 2 3 2 2" xfId="22588"/>
    <cellStyle name="Note 2 2 3 3" xfId="22589"/>
    <cellStyle name="Note 2 2 3 3 2" xfId="22590"/>
    <cellStyle name="Note 2 2 3 4" xfId="22591"/>
    <cellStyle name="Note 2 2 3 5" xfId="22586"/>
    <cellStyle name="Note 2 2 4" xfId="22592"/>
    <cellStyle name="Note 2 2 4 2" xfId="22593"/>
    <cellStyle name="Note 2 2 4 2 2" xfId="22594"/>
    <cellStyle name="Note 2 2 4 3" xfId="22595"/>
    <cellStyle name="Note 2 2 4 3 2" xfId="22596"/>
    <cellStyle name="Note 2 2 4 4" xfId="22597"/>
    <cellStyle name="Note 2 2 5" xfId="22598"/>
    <cellStyle name="Note 2 2 5 2" xfId="22599"/>
    <cellStyle name="Note 2 2 5 2 2" xfId="22600"/>
    <cellStyle name="Note 2 2 5 3" xfId="22601"/>
    <cellStyle name="Note 2 2 5 3 2" xfId="22602"/>
    <cellStyle name="Note 2 2 5 4" xfId="22603"/>
    <cellStyle name="Note 2 2 6" xfId="22604"/>
    <cellStyle name="Note 2 2 6 2" xfId="22605"/>
    <cellStyle name="Note 2 2 6 2 2" xfId="22606"/>
    <cellStyle name="Note 2 2 6 3" xfId="22607"/>
    <cellStyle name="Note 2 2 6 3 2" xfId="22608"/>
    <cellStyle name="Note 2 2 6 4" xfId="22609"/>
    <cellStyle name="Note 2 2 7" xfId="22610"/>
    <cellStyle name="Note 2 2 7 2" xfId="22611"/>
    <cellStyle name="Note 2 2 7 2 2" xfId="22612"/>
    <cellStyle name="Note 2 2 7 3" xfId="22613"/>
    <cellStyle name="Note 2 2 7 3 2" xfId="22614"/>
    <cellStyle name="Note 2 2 7 4" xfId="22615"/>
    <cellStyle name="Note 2 2 8" xfId="22616"/>
    <cellStyle name="Note 2 2 8 2" xfId="22617"/>
    <cellStyle name="Note 2 2 8 2 2" xfId="22618"/>
    <cellStyle name="Note 2 2 8 3" xfId="22619"/>
    <cellStyle name="Note 2 2 8 3 2" xfId="22620"/>
    <cellStyle name="Note 2 2 8 4" xfId="22621"/>
    <cellStyle name="Note 2 2 9" xfId="22622"/>
    <cellStyle name="Note 2 2 9 2" xfId="22623"/>
    <cellStyle name="Note 2 2 9 2 2" xfId="22624"/>
    <cellStyle name="Note 2 2 9 3" xfId="22625"/>
    <cellStyle name="Note 2 2 9 3 2" xfId="22626"/>
    <cellStyle name="Note 2 2 9 4" xfId="22627"/>
    <cellStyle name="Note 2 20" xfId="22628"/>
    <cellStyle name="Note 2 21" xfId="22491"/>
    <cellStyle name="Note 2 3" xfId="331"/>
    <cellStyle name="Note 2 3 2" xfId="1878"/>
    <cellStyle name="Note 2 3 2 2" xfId="5048"/>
    <cellStyle name="Note 2 3 2 2 2" xfId="22632"/>
    <cellStyle name="Note 2 3 2 2 3" xfId="22631"/>
    <cellStyle name="Note 2 3 2 3" xfId="5047"/>
    <cellStyle name="Note 2 3 2 3 2" xfId="22634"/>
    <cellStyle name="Note 2 3 2 3 3" xfId="22633"/>
    <cellStyle name="Note 2 3 2 4" xfId="22635"/>
    <cellStyle name="Note 2 3 2 4 2" xfId="22636"/>
    <cellStyle name="Note 2 3 2 5" xfId="22637"/>
    <cellStyle name="Note 2 3 2 6" xfId="22630"/>
    <cellStyle name="Note 2 3 2 7" xfId="24553"/>
    <cellStyle name="Note 2 3 3" xfId="2253"/>
    <cellStyle name="Note 2 3 3 2" xfId="5050"/>
    <cellStyle name="Note 2 3 3 2 2" xfId="22640"/>
    <cellStyle name="Note 2 3 3 2 3" xfId="22639"/>
    <cellStyle name="Note 2 3 3 3" xfId="5049"/>
    <cellStyle name="Note 2 3 3 3 2" xfId="22641"/>
    <cellStyle name="Note 2 3 3 4" xfId="22638"/>
    <cellStyle name="Note 2 3 4" xfId="2626"/>
    <cellStyle name="Note 2 3 4 2" xfId="5052"/>
    <cellStyle name="Note 2 3 4 2 2" xfId="22644"/>
    <cellStyle name="Note 2 3 4 2 3" xfId="22643"/>
    <cellStyle name="Note 2 3 4 3" xfId="5051"/>
    <cellStyle name="Note 2 3 4 3 2" xfId="22645"/>
    <cellStyle name="Note 2 3 4 4" xfId="22642"/>
    <cellStyle name="Note 2 3 5" xfId="2999"/>
    <cellStyle name="Note 2 3 5 2" xfId="5054"/>
    <cellStyle name="Note 2 3 5 2 2" xfId="22648"/>
    <cellStyle name="Note 2 3 5 2 3" xfId="22647"/>
    <cellStyle name="Note 2 3 5 3" xfId="5053"/>
    <cellStyle name="Note 2 3 5 3 2" xfId="22649"/>
    <cellStyle name="Note 2 3 5 4" xfId="22646"/>
    <cellStyle name="Note 2 3 6" xfId="3370"/>
    <cellStyle name="Note 2 3 6 2" xfId="5056"/>
    <cellStyle name="Note 2 3 6 2 2" xfId="22652"/>
    <cellStyle name="Note 2 3 6 2 3" xfId="22651"/>
    <cellStyle name="Note 2 3 6 3" xfId="5055"/>
    <cellStyle name="Note 2 3 6 3 2" xfId="22653"/>
    <cellStyle name="Note 2 3 6 4" xfId="22650"/>
    <cellStyle name="Note 2 3 7" xfId="1432"/>
    <cellStyle name="Note 2 3 7 2" xfId="22654"/>
    <cellStyle name="Note 2 3 8" xfId="22629"/>
    <cellStyle name="Note 2 4" xfId="1545"/>
    <cellStyle name="Note 2 4 2" xfId="1925"/>
    <cellStyle name="Note 2 4 2 2" xfId="5058"/>
    <cellStyle name="Note 2 4 2 2 2" xfId="22658"/>
    <cellStyle name="Note 2 4 2 2 3" xfId="22657"/>
    <cellStyle name="Note 2 4 2 3" xfId="5057"/>
    <cellStyle name="Note 2 4 2 3 2" xfId="22660"/>
    <cellStyle name="Note 2 4 2 3 3" xfId="22659"/>
    <cellStyle name="Note 2 4 2 4" xfId="22661"/>
    <cellStyle name="Note 2 4 2 4 2" xfId="22662"/>
    <cellStyle name="Note 2 4 2 5" xfId="22663"/>
    <cellStyle name="Note 2 4 2 6" xfId="22656"/>
    <cellStyle name="Note 2 4 3" xfId="2300"/>
    <cellStyle name="Note 2 4 3 2" xfId="5060"/>
    <cellStyle name="Note 2 4 3 2 2" xfId="22666"/>
    <cellStyle name="Note 2 4 3 2 3" xfId="22665"/>
    <cellStyle name="Note 2 4 3 3" xfId="5059"/>
    <cellStyle name="Note 2 4 3 3 2" xfId="22667"/>
    <cellStyle name="Note 2 4 3 4" xfId="22664"/>
    <cellStyle name="Note 2 4 4" xfId="2673"/>
    <cellStyle name="Note 2 4 4 2" xfId="5062"/>
    <cellStyle name="Note 2 4 4 2 2" xfId="22670"/>
    <cellStyle name="Note 2 4 4 2 3" xfId="22669"/>
    <cellStyle name="Note 2 4 4 3" xfId="5061"/>
    <cellStyle name="Note 2 4 4 3 2" xfId="22671"/>
    <cellStyle name="Note 2 4 4 4" xfId="22668"/>
    <cellStyle name="Note 2 4 5" xfId="3046"/>
    <cellStyle name="Note 2 4 5 2" xfId="5064"/>
    <cellStyle name="Note 2 4 5 2 2" xfId="22674"/>
    <cellStyle name="Note 2 4 5 2 3" xfId="22673"/>
    <cellStyle name="Note 2 4 5 3" xfId="5063"/>
    <cellStyle name="Note 2 4 5 3 2" xfId="22675"/>
    <cellStyle name="Note 2 4 5 4" xfId="22672"/>
    <cellStyle name="Note 2 4 6" xfId="3417"/>
    <cellStyle name="Note 2 4 6 2" xfId="5066"/>
    <cellStyle name="Note 2 4 6 2 2" xfId="22678"/>
    <cellStyle name="Note 2 4 6 2 3" xfId="22677"/>
    <cellStyle name="Note 2 4 6 3" xfId="5065"/>
    <cellStyle name="Note 2 4 6 3 2" xfId="22679"/>
    <cellStyle name="Note 2 4 6 4" xfId="22676"/>
    <cellStyle name="Note 2 4 7" xfId="22680"/>
    <cellStyle name="Note 2 4 8" xfId="22655"/>
    <cellStyle name="Note 2 5" xfId="1703"/>
    <cellStyle name="Note 2 5 2" xfId="22682"/>
    <cellStyle name="Note 2 5 2 2" xfId="22683"/>
    <cellStyle name="Note 2 5 3" xfId="22684"/>
    <cellStyle name="Note 2 5 3 2" xfId="22685"/>
    <cellStyle name="Note 2 5 4" xfId="22686"/>
    <cellStyle name="Note 2 5 4 2" xfId="22687"/>
    <cellStyle name="Note 2 5 5" xfId="22688"/>
    <cellStyle name="Note 2 5 6" xfId="22681"/>
    <cellStyle name="Note 2 6" xfId="2038"/>
    <cellStyle name="Note 2 6 2" xfId="22690"/>
    <cellStyle name="Note 2 6 2 2" xfId="22691"/>
    <cellStyle name="Note 2 6 3" xfId="22692"/>
    <cellStyle name="Note 2 6 3 2" xfId="22693"/>
    <cellStyle name="Note 2 6 4" xfId="22694"/>
    <cellStyle name="Note 2 6 4 2" xfId="22695"/>
    <cellStyle name="Note 2 6 5" xfId="22696"/>
    <cellStyle name="Note 2 6 6" xfId="22689"/>
    <cellStyle name="Note 2 7" xfId="2412"/>
    <cellStyle name="Note 2 7 2" xfId="22698"/>
    <cellStyle name="Note 2 7 2 2" xfId="22699"/>
    <cellStyle name="Note 2 7 3" xfId="22700"/>
    <cellStyle name="Note 2 7 3 2" xfId="22701"/>
    <cellStyle name="Note 2 7 4" xfId="22702"/>
    <cellStyle name="Note 2 7 4 2" xfId="22703"/>
    <cellStyle name="Note 2 7 5" xfId="22704"/>
    <cellStyle name="Note 2 7 6" xfId="22697"/>
    <cellStyle name="Note 2 8" xfId="2785"/>
    <cellStyle name="Note 2 8 2" xfId="22706"/>
    <cellStyle name="Note 2 8 2 2" xfId="22707"/>
    <cellStyle name="Note 2 8 3" xfId="22708"/>
    <cellStyle name="Note 2 8 3 2" xfId="22709"/>
    <cellStyle name="Note 2 8 4" xfId="22710"/>
    <cellStyle name="Note 2 8 4 2" xfId="22711"/>
    <cellStyle name="Note 2 8 5" xfId="22712"/>
    <cellStyle name="Note 2 8 6" xfId="22705"/>
    <cellStyle name="Note 2 9" xfId="3159"/>
    <cellStyle name="Note 2 9 2" xfId="22714"/>
    <cellStyle name="Note 2 9 2 2" xfId="22715"/>
    <cellStyle name="Note 2 9 3" xfId="22716"/>
    <cellStyle name="Note 2 9 3 2" xfId="22717"/>
    <cellStyle name="Note 2 9 4" xfId="22718"/>
    <cellStyle name="Note 2 9 4 2" xfId="22719"/>
    <cellStyle name="Note 2 9 5" xfId="22720"/>
    <cellStyle name="Note 2 9 6" xfId="22713"/>
    <cellStyle name="Note 3" xfId="208"/>
    <cellStyle name="Note 3 10" xfId="3711"/>
    <cellStyle name="Note 3 10 2" xfId="22723"/>
    <cellStyle name="Note 3 10 2 2" xfId="22724"/>
    <cellStyle name="Note 3 10 3" xfId="22725"/>
    <cellStyle name="Note 3 10 3 2" xfId="22726"/>
    <cellStyle name="Note 3 10 4" xfId="22727"/>
    <cellStyle name="Note 3 10 4 2" xfId="22728"/>
    <cellStyle name="Note 3 10 5" xfId="22729"/>
    <cellStyle name="Note 3 10 6" xfId="22722"/>
    <cellStyle name="Note 3 11" xfId="5068"/>
    <cellStyle name="Note 3 11 2" xfId="22731"/>
    <cellStyle name="Note 3 11 2 2" xfId="22732"/>
    <cellStyle name="Note 3 11 3" xfId="22733"/>
    <cellStyle name="Note 3 11 3 2" xfId="22734"/>
    <cellStyle name="Note 3 11 4" xfId="22735"/>
    <cellStyle name="Note 3 11 5" xfId="22730"/>
    <cellStyle name="Note 3 12" xfId="5067"/>
    <cellStyle name="Note 3 12 2" xfId="22737"/>
    <cellStyle name="Note 3 12 2 2" xfId="22738"/>
    <cellStyle name="Note 3 12 3" xfId="22739"/>
    <cellStyle name="Note 3 12 3 2" xfId="22740"/>
    <cellStyle name="Note 3 12 4" xfId="22741"/>
    <cellStyle name="Note 3 12 5" xfId="22736"/>
    <cellStyle name="Note 3 13" xfId="22742"/>
    <cellStyle name="Note 3 13 2" xfId="22743"/>
    <cellStyle name="Note 3 13 2 2" xfId="22744"/>
    <cellStyle name="Note 3 13 3" xfId="22745"/>
    <cellStyle name="Note 3 13 3 2" xfId="22746"/>
    <cellStyle name="Note 3 13 4" xfId="22747"/>
    <cellStyle name="Note 3 14" xfId="22748"/>
    <cellStyle name="Note 3 14 2" xfId="22749"/>
    <cellStyle name="Note 3 14 2 2" xfId="22750"/>
    <cellStyle name="Note 3 14 3" xfId="22751"/>
    <cellStyle name="Note 3 14 3 2" xfId="22752"/>
    <cellStyle name="Note 3 14 4" xfId="22753"/>
    <cellStyle name="Note 3 15" xfId="22754"/>
    <cellStyle name="Note 3 15 2" xfId="22755"/>
    <cellStyle name="Note 3 16" xfId="22756"/>
    <cellStyle name="Note 3 16 2" xfId="22757"/>
    <cellStyle name="Note 3 17" xfId="22758"/>
    <cellStyle name="Note 3 17 2" xfId="22759"/>
    <cellStyle name="Note 3 18" xfId="22760"/>
    <cellStyle name="Note 3 19" xfId="22721"/>
    <cellStyle name="Note 3 2" xfId="1484"/>
    <cellStyle name="Note 3 2 10" xfId="22762"/>
    <cellStyle name="Note 3 2 10 2" xfId="22763"/>
    <cellStyle name="Note 3 2 10 2 2" xfId="22764"/>
    <cellStyle name="Note 3 2 10 3" xfId="22765"/>
    <cellStyle name="Note 3 2 10 3 2" xfId="22766"/>
    <cellStyle name="Note 3 2 10 4" xfId="22767"/>
    <cellStyle name="Note 3 2 11" xfId="22768"/>
    <cellStyle name="Note 3 2 11 2" xfId="22769"/>
    <cellStyle name="Note 3 2 11 2 2" xfId="22770"/>
    <cellStyle name="Note 3 2 11 3" xfId="22771"/>
    <cellStyle name="Note 3 2 11 3 2" xfId="22772"/>
    <cellStyle name="Note 3 2 11 4" xfId="22773"/>
    <cellStyle name="Note 3 2 12" xfId="22774"/>
    <cellStyle name="Note 3 2 12 2" xfId="22775"/>
    <cellStyle name="Note 3 2 12 2 2" xfId="22776"/>
    <cellStyle name="Note 3 2 12 3" xfId="22777"/>
    <cellStyle name="Note 3 2 12 3 2" xfId="22778"/>
    <cellStyle name="Note 3 2 12 4" xfId="22779"/>
    <cellStyle name="Note 3 2 13" xfId="22780"/>
    <cellStyle name="Note 3 2 13 2" xfId="22781"/>
    <cellStyle name="Note 3 2 14" xfId="22782"/>
    <cellStyle name="Note 3 2 14 2" xfId="22783"/>
    <cellStyle name="Note 3 2 15" xfId="22784"/>
    <cellStyle name="Note 3 2 16" xfId="22761"/>
    <cellStyle name="Note 3 2 2" xfId="1819"/>
    <cellStyle name="Note 3 2 2 2" xfId="5070"/>
    <cellStyle name="Note 3 2 2 2 2" xfId="22787"/>
    <cellStyle name="Note 3 2 2 2 3" xfId="22786"/>
    <cellStyle name="Note 3 2 2 3" xfId="5069"/>
    <cellStyle name="Note 3 2 2 3 2" xfId="22789"/>
    <cellStyle name="Note 3 2 2 3 3" xfId="22788"/>
    <cellStyle name="Note 3 2 2 4" xfId="22790"/>
    <cellStyle name="Note 3 2 2 4 2" xfId="22791"/>
    <cellStyle name="Note 3 2 2 5" xfId="22792"/>
    <cellStyle name="Note 3 2 2 6" xfId="22785"/>
    <cellStyle name="Note 3 2 2 7" xfId="24554"/>
    <cellStyle name="Note 3 2 3" xfId="2194"/>
    <cellStyle name="Note 3 2 3 2" xfId="5072"/>
    <cellStyle name="Note 3 2 3 2 2" xfId="22795"/>
    <cellStyle name="Note 3 2 3 2 3" xfId="22794"/>
    <cellStyle name="Note 3 2 3 3" xfId="5071"/>
    <cellStyle name="Note 3 2 3 3 2" xfId="22797"/>
    <cellStyle name="Note 3 2 3 3 3" xfId="22796"/>
    <cellStyle name="Note 3 2 3 4" xfId="22798"/>
    <cellStyle name="Note 3 2 3 4 2" xfId="22799"/>
    <cellStyle name="Note 3 2 3 5" xfId="22800"/>
    <cellStyle name="Note 3 2 3 6" xfId="22793"/>
    <cellStyle name="Note 3 2 4" xfId="2568"/>
    <cellStyle name="Note 3 2 4 2" xfId="5074"/>
    <cellStyle name="Note 3 2 4 2 2" xfId="22803"/>
    <cellStyle name="Note 3 2 4 2 3" xfId="22802"/>
    <cellStyle name="Note 3 2 4 3" xfId="5073"/>
    <cellStyle name="Note 3 2 4 3 2" xfId="22805"/>
    <cellStyle name="Note 3 2 4 3 3" xfId="22804"/>
    <cellStyle name="Note 3 2 4 4" xfId="22806"/>
    <cellStyle name="Note 3 2 4 4 2" xfId="22807"/>
    <cellStyle name="Note 3 2 4 5" xfId="22808"/>
    <cellStyle name="Note 3 2 4 6" xfId="22801"/>
    <cellStyle name="Note 3 2 5" xfId="2940"/>
    <cellStyle name="Note 3 2 5 2" xfId="5076"/>
    <cellStyle name="Note 3 2 5 2 2" xfId="22811"/>
    <cellStyle name="Note 3 2 5 2 3" xfId="22810"/>
    <cellStyle name="Note 3 2 5 3" xfId="5075"/>
    <cellStyle name="Note 3 2 5 3 2" xfId="22813"/>
    <cellStyle name="Note 3 2 5 3 3" xfId="22812"/>
    <cellStyle name="Note 3 2 5 4" xfId="22814"/>
    <cellStyle name="Note 3 2 5 4 2" xfId="22815"/>
    <cellStyle name="Note 3 2 5 5" xfId="22816"/>
    <cellStyle name="Note 3 2 5 6" xfId="22809"/>
    <cellStyle name="Note 3 2 6" xfId="3312"/>
    <cellStyle name="Note 3 2 6 2" xfId="5078"/>
    <cellStyle name="Note 3 2 6 2 2" xfId="22819"/>
    <cellStyle name="Note 3 2 6 2 3" xfId="22818"/>
    <cellStyle name="Note 3 2 6 3" xfId="5077"/>
    <cellStyle name="Note 3 2 6 3 2" xfId="22821"/>
    <cellStyle name="Note 3 2 6 3 3" xfId="22820"/>
    <cellStyle name="Note 3 2 6 4" xfId="22822"/>
    <cellStyle name="Note 3 2 6 4 2" xfId="22823"/>
    <cellStyle name="Note 3 2 6 5" xfId="22824"/>
    <cellStyle name="Note 3 2 6 6" xfId="22817"/>
    <cellStyle name="Note 3 2 7" xfId="22825"/>
    <cellStyle name="Note 3 2 7 2" xfId="22826"/>
    <cellStyle name="Note 3 2 7 2 2" xfId="22827"/>
    <cellStyle name="Note 3 2 7 3" xfId="22828"/>
    <cellStyle name="Note 3 2 7 3 2" xfId="22829"/>
    <cellStyle name="Note 3 2 7 4" xfId="22830"/>
    <cellStyle name="Note 3 2 8" xfId="22831"/>
    <cellStyle name="Note 3 2 8 2" xfId="22832"/>
    <cellStyle name="Note 3 2 8 2 2" xfId="22833"/>
    <cellStyle name="Note 3 2 8 3" xfId="22834"/>
    <cellStyle name="Note 3 2 8 3 2" xfId="22835"/>
    <cellStyle name="Note 3 2 8 4" xfId="22836"/>
    <cellStyle name="Note 3 2 9" xfId="22837"/>
    <cellStyle name="Note 3 2 9 2" xfId="22838"/>
    <cellStyle name="Note 3 2 9 2 2" xfId="22839"/>
    <cellStyle name="Note 3 2 9 3" xfId="22840"/>
    <cellStyle name="Note 3 2 9 3 2" xfId="22841"/>
    <cellStyle name="Note 3 2 9 4" xfId="22842"/>
    <cellStyle name="Note 3 3" xfId="1611"/>
    <cellStyle name="Note 3 3 2" xfId="1896"/>
    <cellStyle name="Note 3 3 2 2" xfId="5080"/>
    <cellStyle name="Note 3 3 2 2 2" xfId="22846"/>
    <cellStyle name="Note 3 3 2 2 3" xfId="22845"/>
    <cellStyle name="Note 3 3 2 3" xfId="5079"/>
    <cellStyle name="Note 3 3 2 3 2" xfId="22848"/>
    <cellStyle name="Note 3 3 2 3 3" xfId="22847"/>
    <cellStyle name="Note 3 3 2 4" xfId="22849"/>
    <cellStyle name="Note 3 3 2 4 2" xfId="22850"/>
    <cellStyle name="Note 3 3 2 5" xfId="22851"/>
    <cellStyle name="Note 3 3 2 6" xfId="22844"/>
    <cellStyle name="Note 3 3 3" xfId="2271"/>
    <cellStyle name="Note 3 3 3 2" xfId="5082"/>
    <cellStyle name="Note 3 3 3 2 2" xfId="22854"/>
    <cellStyle name="Note 3 3 3 2 3" xfId="22853"/>
    <cellStyle name="Note 3 3 3 3" xfId="5081"/>
    <cellStyle name="Note 3 3 3 3 2" xfId="22855"/>
    <cellStyle name="Note 3 3 3 4" xfId="22852"/>
    <cellStyle name="Note 3 3 4" xfId="2644"/>
    <cellStyle name="Note 3 3 4 2" xfId="5084"/>
    <cellStyle name="Note 3 3 4 2 2" xfId="22858"/>
    <cellStyle name="Note 3 3 4 2 3" xfId="22857"/>
    <cellStyle name="Note 3 3 4 3" xfId="5083"/>
    <cellStyle name="Note 3 3 4 3 2" xfId="22859"/>
    <cellStyle name="Note 3 3 4 4" xfId="22856"/>
    <cellStyle name="Note 3 3 5" xfId="3017"/>
    <cellStyle name="Note 3 3 5 2" xfId="5086"/>
    <cellStyle name="Note 3 3 5 2 2" xfId="22862"/>
    <cellStyle name="Note 3 3 5 2 3" xfId="22861"/>
    <cellStyle name="Note 3 3 5 3" xfId="5085"/>
    <cellStyle name="Note 3 3 5 3 2" xfId="22863"/>
    <cellStyle name="Note 3 3 5 4" xfId="22860"/>
    <cellStyle name="Note 3 3 6" xfId="3388"/>
    <cellStyle name="Note 3 3 6 2" xfId="5088"/>
    <cellStyle name="Note 3 3 6 2 2" xfId="22866"/>
    <cellStyle name="Note 3 3 6 2 3" xfId="22865"/>
    <cellStyle name="Note 3 3 6 3" xfId="5087"/>
    <cellStyle name="Note 3 3 6 3 2" xfId="22867"/>
    <cellStyle name="Note 3 3 6 4" xfId="22864"/>
    <cellStyle name="Note 3 3 7" xfId="22868"/>
    <cellStyle name="Note 3 3 8" xfId="22843"/>
    <cellStyle name="Note 3 4" xfId="1753"/>
    <cellStyle name="Note 3 4 2" xfId="1940"/>
    <cellStyle name="Note 3 4 2 2" xfId="5090"/>
    <cellStyle name="Note 3 4 2 2 2" xfId="22872"/>
    <cellStyle name="Note 3 4 2 2 3" xfId="22871"/>
    <cellStyle name="Note 3 4 2 3" xfId="5089"/>
    <cellStyle name="Note 3 4 2 3 2" xfId="22874"/>
    <cellStyle name="Note 3 4 2 3 3" xfId="22873"/>
    <cellStyle name="Note 3 4 2 4" xfId="22875"/>
    <cellStyle name="Note 3 4 2 4 2" xfId="22876"/>
    <cellStyle name="Note 3 4 2 5" xfId="22877"/>
    <cellStyle name="Note 3 4 2 6" xfId="22870"/>
    <cellStyle name="Note 3 4 3" xfId="2315"/>
    <cellStyle name="Note 3 4 3 2" xfId="5092"/>
    <cellStyle name="Note 3 4 3 2 2" xfId="22880"/>
    <cellStyle name="Note 3 4 3 2 3" xfId="22879"/>
    <cellStyle name="Note 3 4 3 3" xfId="5091"/>
    <cellStyle name="Note 3 4 3 3 2" xfId="22881"/>
    <cellStyle name="Note 3 4 3 4" xfId="22878"/>
    <cellStyle name="Note 3 4 4" xfId="2688"/>
    <cellStyle name="Note 3 4 4 2" xfId="5094"/>
    <cellStyle name="Note 3 4 4 2 2" xfId="22884"/>
    <cellStyle name="Note 3 4 4 2 3" xfId="22883"/>
    <cellStyle name="Note 3 4 4 3" xfId="5093"/>
    <cellStyle name="Note 3 4 4 3 2" xfId="22885"/>
    <cellStyle name="Note 3 4 4 4" xfId="22882"/>
    <cellStyle name="Note 3 4 5" xfId="3061"/>
    <cellStyle name="Note 3 4 5 2" xfId="5096"/>
    <cellStyle name="Note 3 4 5 2 2" xfId="22888"/>
    <cellStyle name="Note 3 4 5 2 3" xfId="22887"/>
    <cellStyle name="Note 3 4 5 3" xfId="5095"/>
    <cellStyle name="Note 3 4 5 3 2" xfId="22889"/>
    <cellStyle name="Note 3 4 5 4" xfId="22886"/>
    <cellStyle name="Note 3 4 6" xfId="3432"/>
    <cellStyle name="Note 3 4 6 2" xfId="5098"/>
    <cellStyle name="Note 3 4 6 2 2" xfId="22892"/>
    <cellStyle name="Note 3 4 6 2 3" xfId="22891"/>
    <cellStyle name="Note 3 4 6 3" xfId="5097"/>
    <cellStyle name="Note 3 4 6 3 2" xfId="22893"/>
    <cellStyle name="Note 3 4 6 4" xfId="22890"/>
    <cellStyle name="Note 3 4 7" xfId="22894"/>
    <cellStyle name="Note 3 4 8" xfId="22869"/>
    <cellStyle name="Note 3 5" xfId="2088"/>
    <cellStyle name="Note 3 5 2" xfId="22896"/>
    <cellStyle name="Note 3 5 2 2" xfId="22897"/>
    <cellStyle name="Note 3 5 3" xfId="22898"/>
    <cellStyle name="Note 3 5 3 2" xfId="22899"/>
    <cellStyle name="Note 3 5 4" xfId="22900"/>
    <cellStyle name="Note 3 5 4 2" xfId="22901"/>
    <cellStyle name="Note 3 5 5" xfId="22902"/>
    <cellStyle name="Note 3 5 6" xfId="22895"/>
    <cellStyle name="Note 3 6" xfId="2462"/>
    <cellStyle name="Note 3 6 2" xfId="22904"/>
    <cellStyle name="Note 3 6 2 2" xfId="22905"/>
    <cellStyle name="Note 3 6 3" xfId="22906"/>
    <cellStyle name="Note 3 6 3 2" xfId="22907"/>
    <cellStyle name="Note 3 6 4" xfId="22908"/>
    <cellStyle name="Note 3 6 4 2" xfId="22909"/>
    <cellStyle name="Note 3 6 5" xfId="22910"/>
    <cellStyle name="Note 3 6 6" xfId="22903"/>
    <cellStyle name="Note 3 7" xfId="2834"/>
    <cellStyle name="Note 3 7 2" xfId="22912"/>
    <cellStyle name="Note 3 7 2 2" xfId="22913"/>
    <cellStyle name="Note 3 7 3" xfId="22914"/>
    <cellStyle name="Note 3 7 3 2" xfId="22915"/>
    <cellStyle name="Note 3 7 4" xfId="22916"/>
    <cellStyle name="Note 3 7 4 2" xfId="22917"/>
    <cellStyle name="Note 3 7 5" xfId="22918"/>
    <cellStyle name="Note 3 7 6" xfId="22911"/>
    <cellStyle name="Note 3 8" xfId="3205"/>
    <cellStyle name="Note 3 8 2" xfId="22920"/>
    <cellStyle name="Note 3 8 2 2" xfId="22921"/>
    <cellStyle name="Note 3 8 3" xfId="22922"/>
    <cellStyle name="Note 3 8 3 2" xfId="22923"/>
    <cellStyle name="Note 3 8 4" xfId="22924"/>
    <cellStyle name="Note 3 8 4 2" xfId="22925"/>
    <cellStyle name="Note 3 8 5" xfId="22926"/>
    <cellStyle name="Note 3 8 6" xfId="22919"/>
    <cellStyle name="Note 3 9" xfId="3575"/>
    <cellStyle name="Note 3 9 2" xfId="22928"/>
    <cellStyle name="Note 3 9 2 2" xfId="22929"/>
    <cellStyle name="Note 3 9 3" xfId="22930"/>
    <cellStyle name="Note 3 9 3 2" xfId="22931"/>
    <cellStyle name="Note 3 9 4" xfId="22932"/>
    <cellStyle name="Note 3 9 4 2" xfId="22933"/>
    <cellStyle name="Note 3 9 5" xfId="22934"/>
    <cellStyle name="Note 3 9 6" xfId="22927"/>
    <cellStyle name="Note 4" xfId="271"/>
    <cellStyle name="Note 4 10" xfId="3755"/>
    <cellStyle name="Note 4 10 2" xfId="22937"/>
    <cellStyle name="Note 4 10 2 2" xfId="22938"/>
    <cellStyle name="Note 4 10 3" xfId="22939"/>
    <cellStyle name="Note 4 10 3 2" xfId="22940"/>
    <cellStyle name="Note 4 10 4" xfId="22941"/>
    <cellStyle name="Note 4 10 4 2" xfId="22942"/>
    <cellStyle name="Note 4 10 5" xfId="22943"/>
    <cellStyle name="Note 4 10 6" xfId="22936"/>
    <cellStyle name="Note 4 11" xfId="1290"/>
    <cellStyle name="Note 4 11 10" xfId="22944"/>
    <cellStyle name="Note 4 11 11" xfId="24875"/>
    <cellStyle name="Note 4 11 12" xfId="28117"/>
    <cellStyle name="Note 4 11 2" xfId="4143"/>
    <cellStyle name="Note 4 11 2 2" xfId="5102"/>
    <cellStyle name="Note 4 11 2 2 2" xfId="22947"/>
    <cellStyle name="Note 4 11 2 2 3" xfId="22946"/>
    <cellStyle name="Note 4 11 2 3" xfId="5101"/>
    <cellStyle name="Note 4 11 2 3 2" xfId="22948"/>
    <cellStyle name="Note 4 11 2 4" xfId="7089"/>
    <cellStyle name="Note 4 11 2 4 2" xfId="28119"/>
    <cellStyle name="Note 4 11 2 5" xfId="22945"/>
    <cellStyle name="Note 4 11 2 6" xfId="24995"/>
    <cellStyle name="Note 4 11 2 7" xfId="28118"/>
    <cellStyle name="Note 4 11 3" xfId="5103"/>
    <cellStyle name="Note 4 11 3 2" xfId="22950"/>
    <cellStyle name="Note 4 11 3 3" xfId="22949"/>
    <cellStyle name="Note 4 11 4" xfId="5100"/>
    <cellStyle name="Note 4 11 4 2" xfId="22952"/>
    <cellStyle name="Note 4 11 4 3" xfId="22951"/>
    <cellStyle name="Note 4 11 5" xfId="7088"/>
    <cellStyle name="Note 4 11 5 2" xfId="22954"/>
    <cellStyle name="Note 4 11 5 2 2" xfId="22955"/>
    <cellStyle name="Note 4 11 5 3" xfId="22956"/>
    <cellStyle name="Note 4 11 5 3 2" xfId="22957"/>
    <cellStyle name="Note 4 11 5 4" xfId="22958"/>
    <cellStyle name="Note 4 11 5 5" xfId="22953"/>
    <cellStyle name="Note 4 11 5 6" xfId="28120"/>
    <cellStyle name="Note 4 11 6" xfId="22959"/>
    <cellStyle name="Note 4 11 6 2" xfId="22960"/>
    <cellStyle name="Note 4 11 7" xfId="22961"/>
    <cellStyle name="Note 4 11 7 2" xfId="22962"/>
    <cellStyle name="Note 4 11 8" xfId="22963"/>
    <cellStyle name="Note 4 11 8 2" xfId="22964"/>
    <cellStyle name="Note 4 11 9" xfId="22965"/>
    <cellStyle name="Note 4 12" xfId="5104"/>
    <cellStyle name="Note 4 12 2" xfId="5105"/>
    <cellStyle name="Note 4 12 2 2" xfId="22968"/>
    <cellStyle name="Note 4 12 2 3" xfId="22967"/>
    <cellStyle name="Note 4 12 3" xfId="22969"/>
    <cellStyle name="Note 4 12 3 2" xfId="22970"/>
    <cellStyle name="Note 4 12 4" xfId="22971"/>
    <cellStyle name="Note 4 12 4 2" xfId="22972"/>
    <cellStyle name="Note 4 12 5" xfId="22973"/>
    <cellStyle name="Note 4 12 6" xfId="22966"/>
    <cellStyle name="Note 4 13" xfId="5106"/>
    <cellStyle name="Note 4 13 2" xfId="22975"/>
    <cellStyle name="Note 4 13 2 2" xfId="22976"/>
    <cellStyle name="Note 4 13 3" xfId="22977"/>
    <cellStyle name="Note 4 13 3 2" xfId="22978"/>
    <cellStyle name="Note 4 13 4" xfId="22979"/>
    <cellStyle name="Note 4 13 5" xfId="22974"/>
    <cellStyle name="Note 4 14" xfId="5099"/>
    <cellStyle name="Note 4 14 2" xfId="22981"/>
    <cellStyle name="Note 4 14 2 2" xfId="22982"/>
    <cellStyle name="Note 4 14 3" xfId="22983"/>
    <cellStyle name="Note 4 14 3 2" xfId="22984"/>
    <cellStyle name="Note 4 14 4" xfId="22985"/>
    <cellStyle name="Note 4 14 5" xfId="22980"/>
    <cellStyle name="Note 4 15" xfId="22986"/>
    <cellStyle name="Note 4 15 2" xfId="22987"/>
    <cellStyle name="Note 4 16" xfId="22988"/>
    <cellStyle name="Note 4 16 2" xfId="22989"/>
    <cellStyle name="Note 4 17" xfId="22990"/>
    <cellStyle name="Note 4 17 2" xfId="22991"/>
    <cellStyle name="Note 4 18" xfId="22992"/>
    <cellStyle name="Note 4 18 2" xfId="22993"/>
    <cellStyle name="Note 4 18 2 2" xfId="22994"/>
    <cellStyle name="Note 4 18 3" xfId="22995"/>
    <cellStyle name="Note 4 18 3 2" xfId="22996"/>
    <cellStyle name="Note 4 18 4" xfId="22997"/>
    <cellStyle name="Note 4 19" xfId="22998"/>
    <cellStyle name="Note 4 19 2" xfId="22999"/>
    <cellStyle name="Note 4 2" xfId="1529"/>
    <cellStyle name="Note 4 2 10" xfId="23001"/>
    <cellStyle name="Note 4 2 10 2" xfId="23002"/>
    <cellStyle name="Note 4 2 10 2 2" xfId="23003"/>
    <cellStyle name="Note 4 2 10 3" xfId="23004"/>
    <cellStyle name="Note 4 2 10 3 2" xfId="23005"/>
    <cellStyle name="Note 4 2 10 4" xfId="23006"/>
    <cellStyle name="Note 4 2 11" xfId="23007"/>
    <cellStyle name="Note 4 2 11 2" xfId="23008"/>
    <cellStyle name="Note 4 2 11 2 2" xfId="23009"/>
    <cellStyle name="Note 4 2 11 3" xfId="23010"/>
    <cellStyle name="Note 4 2 11 3 2" xfId="23011"/>
    <cellStyle name="Note 4 2 11 4" xfId="23012"/>
    <cellStyle name="Note 4 2 12" xfId="23013"/>
    <cellStyle name="Note 4 2 12 2" xfId="23014"/>
    <cellStyle name="Note 4 2 12 2 2" xfId="23015"/>
    <cellStyle name="Note 4 2 12 3" xfId="23016"/>
    <cellStyle name="Note 4 2 12 3 2" xfId="23017"/>
    <cellStyle name="Note 4 2 12 4" xfId="23018"/>
    <cellStyle name="Note 4 2 13" xfId="23019"/>
    <cellStyle name="Note 4 2 13 2" xfId="23020"/>
    <cellStyle name="Note 4 2 14" xfId="23021"/>
    <cellStyle name="Note 4 2 14 2" xfId="23022"/>
    <cellStyle name="Note 4 2 15" xfId="23023"/>
    <cellStyle name="Note 4 2 15 2" xfId="23024"/>
    <cellStyle name="Note 4 2 16" xfId="23025"/>
    <cellStyle name="Note 4 2 17" xfId="23000"/>
    <cellStyle name="Note 4 2 2" xfId="23026"/>
    <cellStyle name="Note 4 2 2 2" xfId="23027"/>
    <cellStyle name="Note 4 2 2 2 2" xfId="23028"/>
    <cellStyle name="Note 4 2 2 3" xfId="23029"/>
    <cellStyle name="Note 4 2 2 3 2" xfId="23030"/>
    <cellStyle name="Note 4 2 2 4" xfId="23031"/>
    <cellStyle name="Note 4 2 3" xfId="23032"/>
    <cellStyle name="Note 4 2 3 2" xfId="23033"/>
    <cellStyle name="Note 4 2 3 2 2" xfId="23034"/>
    <cellStyle name="Note 4 2 3 3" xfId="23035"/>
    <cellStyle name="Note 4 2 3 3 2" xfId="23036"/>
    <cellStyle name="Note 4 2 3 4" xfId="23037"/>
    <cellStyle name="Note 4 2 4" xfId="23038"/>
    <cellStyle name="Note 4 2 4 2" xfId="23039"/>
    <cellStyle name="Note 4 2 4 2 2" xfId="23040"/>
    <cellStyle name="Note 4 2 4 3" xfId="23041"/>
    <cellStyle name="Note 4 2 4 3 2" xfId="23042"/>
    <cellStyle name="Note 4 2 4 4" xfId="23043"/>
    <cellStyle name="Note 4 2 5" xfId="23044"/>
    <cellStyle name="Note 4 2 5 2" xfId="23045"/>
    <cellStyle name="Note 4 2 5 2 2" xfId="23046"/>
    <cellStyle name="Note 4 2 5 3" xfId="23047"/>
    <cellStyle name="Note 4 2 5 3 2" xfId="23048"/>
    <cellStyle name="Note 4 2 5 4" xfId="23049"/>
    <cellStyle name="Note 4 2 6" xfId="23050"/>
    <cellStyle name="Note 4 2 6 2" xfId="23051"/>
    <cellStyle name="Note 4 2 6 2 2" xfId="23052"/>
    <cellStyle name="Note 4 2 6 3" xfId="23053"/>
    <cellStyle name="Note 4 2 6 3 2" xfId="23054"/>
    <cellStyle name="Note 4 2 6 4" xfId="23055"/>
    <cellStyle name="Note 4 2 7" xfId="23056"/>
    <cellStyle name="Note 4 2 7 2" xfId="23057"/>
    <cellStyle name="Note 4 2 7 2 2" xfId="23058"/>
    <cellStyle name="Note 4 2 7 3" xfId="23059"/>
    <cellStyle name="Note 4 2 7 3 2" xfId="23060"/>
    <cellStyle name="Note 4 2 7 4" xfId="23061"/>
    <cellStyle name="Note 4 2 8" xfId="23062"/>
    <cellStyle name="Note 4 2 8 2" xfId="23063"/>
    <cellStyle name="Note 4 2 8 2 2" xfId="23064"/>
    <cellStyle name="Note 4 2 8 3" xfId="23065"/>
    <cellStyle name="Note 4 2 8 3 2" xfId="23066"/>
    <cellStyle name="Note 4 2 8 4" xfId="23067"/>
    <cellStyle name="Note 4 2 9" xfId="23068"/>
    <cellStyle name="Note 4 2 9 2" xfId="23069"/>
    <cellStyle name="Note 4 2 9 2 2" xfId="23070"/>
    <cellStyle name="Note 4 2 9 3" xfId="23071"/>
    <cellStyle name="Note 4 2 9 3 2" xfId="23072"/>
    <cellStyle name="Note 4 2 9 4" xfId="23073"/>
    <cellStyle name="Note 4 20" xfId="23074"/>
    <cellStyle name="Note 4 20 2" xfId="23075"/>
    <cellStyle name="Note 4 21" xfId="23076"/>
    <cellStyle name="Note 4 21 2" xfId="23077"/>
    <cellStyle name="Note 4 22" xfId="23078"/>
    <cellStyle name="Note 4 23" xfId="22935"/>
    <cellStyle name="Note 4 3" xfId="1654"/>
    <cellStyle name="Note 4 3 2" xfId="23080"/>
    <cellStyle name="Note 4 3 2 2" xfId="23081"/>
    <cellStyle name="Note 4 3 2 2 2" xfId="23082"/>
    <cellStyle name="Note 4 3 2 3" xfId="23083"/>
    <cellStyle name="Note 4 3 2 3 2" xfId="23084"/>
    <cellStyle name="Note 4 3 2 4" xfId="23085"/>
    <cellStyle name="Note 4 3 3" xfId="23086"/>
    <cellStyle name="Note 4 3 3 2" xfId="23087"/>
    <cellStyle name="Note 4 3 4" xfId="23088"/>
    <cellStyle name="Note 4 3 4 2" xfId="23089"/>
    <cellStyle name="Note 4 3 5" xfId="23090"/>
    <cellStyle name="Note 4 3 5 2" xfId="23091"/>
    <cellStyle name="Note 4 3 6" xfId="23092"/>
    <cellStyle name="Note 4 3 7" xfId="23079"/>
    <cellStyle name="Note 4 4" xfId="1768"/>
    <cellStyle name="Note 4 4 2" xfId="23094"/>
    <cellStyle name="Note 4 4 2 2" xfId="23095"/>
    <cellStyle name="Note 4 4 2 2 2" xfId="23096"/>
    <cellStyle name="Note 4 4 2 3" xfId="23097"/>
    <cellStyle name="Note 4 4 2 3 2" xfId="23098"/>
    <cellStyle name="Note 4 4 2 4" xfId="23099"/>
    <cellStyle name="Note 4 4 3" xfId="23100"/>
    <cellStyle name="Note 4 4 3 2" xfId="23101"/>
    <cellStyle name="Note 4 4 4" xfId="23102"/>
    <cellStyle name="Note 4 4 4 2" xfId="23103"/>
    <cellStyle name="Note 4 4 5" xfId="23104"/>
    <cellStyle name="Note 4 4 5 2" xfId="23105"/>
    <cellStyle name="Note 4 4 6" xfId="23106"/>
    <cellStyle name="Note 4 4 7" xfId="23093"/>
    <cellStyle name="Note 4 5" xfId="2103"/>
    <cellStyle name="Note 4 5 2" xfId="23108"/>
    <cellStyle name="Note 4 5 2 2" xfId="23109"/>
    <cellStyle name="Note 4 5 3" xfId="23110"/>
    <cellStyle name="Note 4 5 3 2" xfId="23111"/>
    <cellStyle name="Note 4 5 4" xfId="23112"/>
    <cellStyle name="Note 4 5 4 2" xfId="23113"/>
    <cellStyle name="Note 4 5 5" xfId="23114"/>
    <cellStyle name="Note 4 5 6" xfId="23107"/>
    <cellStyle name="Note 4 6" xfId="2477"/>
    <cellStyle name="Note 4 6 2" xfId="23116"/>
    <cellStyle name="Note 4 6 2 2" xfId="23117"/>
    <cellStyle name="Note 4 6 3" xfId="23118"/>
    <cellStyle name="Note 4 6 3 2" xfId="23119"/>
    <cellStyle name="Note 4 6 4" xfId="23120"/>
    <cellStyle name="Note 4 6 4 2" xfId="23121"/>
    <cellStyle name="Note 4 6 5" xfId="23122"/>
    <cellStyle name="Note 4 6 6" xfId="23115"/>
    <cellStyle name="Note 4 7" xfId="2849"/>
    <cellStyle name="Note 4 7 2" xfId="23124"/>
    <cellStyle name="Note 4 7 2 2" xfId="23125"/>
    <cellStyle name="Note 4 7 3" xfId="23126"/>
    <cellStyle name="Note 4 7 3 2" xfId="23127"/>
    <cellStyle name="Note 4 7 4" xfId="23128"/>
    <cellStyle name="Note 4 7 4 2" xfId="23129"/>
    <cellStyle name="Note 4 7 5" xfId="23130"/>
    <cellStyle name="Note 4 7 6" xfId="23123"/>
    <cellStyle name="Note 4 8" xfId="3220"/>
    <cellStyle name="Note 4 8 2" xfId="23132"/>
    <cellStyle name="Note 4 8 2 2" xfId="23133"/>
    <cellStyle name="Note 4 8 3" xfId="23134"/>
    <cellStyle name="Note 4 8 3 2" xfId="23135"/>
    <cellStyle name="Note 4 8 4" xfId="23136"/>
    <cellStyle name="Note 4 8 4 2" xfId="23137"/>
    <cellStyle name="Note 4 8 5" xfId="23138"/>
    <cellStyle name="Note 4 8 6" xfId="23131"/>
    <cellStyle name="Note 4 9" xfId="3618"/>
    <cellStyle name="Note 4 9 2" xfId="23140"/>
    <cellStyle name="Note 4 9 2 2" xfId="23141"/>
    <cellStyle name="Note 4 9 3" xfId="23142"/>
    <cellStyle name="Note 4 9 3 2" xfId="23143"/>
    <cellStyle name="Note 4 9 4" xfId="23144"/>
    <cellStyle name="Note 4 9 4 2" xfId="23145"/>
    <cellStyle name="Note 4 9 5" xfId="23146"/>
    <cellStyle name="Note 4 9 6" xfId="23139"/>
    <cellStyle name="Note 5" xfId="503"/>
    <cellStyle name="Note 5 10" xfId="23148"/>
    <cellStyle name="Note 5 10 2" xfId="23149"/>
    <cellStyle name="Note 5 10 2 2" xfId="23150"/>
    <cellStyle name="Note 5 10 3" xfId="23151"/>
    <cellStyle name="Note 5 10 3 2" xfId="23152"/>
    <cellStyle name="Note 5 10 4" xfId="23153"/>
    <cellStyle name="Note 5 11" xfId="23154"/>
    <cellStyle name="Note 5 11 2" xfId="23155"/>
    <cellStyle name="Note 5 11 2 2" xfId="23156"/>
    <cellStyle name="Note 5 11 3" xfId="23157"/>
    <cellStyle name="Note 5 11 3 2" xfId="23158"/>
    <cellStyle name="Note 5 11 4" xfId="23159"/>
    <cellStyle name="Note 5 12" xfId="23160"/>
    <cellStyle name="Note 5 12 2" xfId="23161"/>
    <cellStyle name="Note 5 12 2 2" xfId="23162"/>
    <cellStyle name="Note 5 12 3" xfId="23163"/>
    <cellStyle name="Note 5 12 3 2" xfId="23164"/>
    <cellStyle name="Note 5 12 4" xfId="23165"/>
    <cellStyle name="Note 5 13" xfId="23166"/>
    <cellStyle name="Note 5 13 2" xfId="23167"/>
    <cellStyle name="Note 5 13 2 2" xfId="23168"/>
    <cellStyle name="Note 5 13 3" xfId="23169"/>
    <cellStyle name="Note 5 13 3 2" xfId="23170"/>
    <cellStyle name="Note 5 13 4" xfId="23171"/>
    <cellStyle name="Note 5 14" xfId="23172"/>
    <cellStyle name="Note 5 14 2" xfId="23173"/>
    <cellStyle name="Note 5 14 2 2" xfId="23174"/>
    <cellStyle name="Note 5 14 3" xfId="23175"/>
    <cellStyle name="Note 5 14 3 2" xfId="23176"/>
    <cellStyle name="Note 5 14 4" xfId="23177"/>
    <cellStyle name="Note 5 15" xfId="23178"/>
    <cellStyle name="Note 5 15 2" xfId="23179"/>
    <cellStyle name="Note 5 16" xfId="23180"/>
    <cellStyle name="Note 5 16 2" xfId="23181"/>
    <cellStyle name="Note 5 17" xfId="23182"/>
    <cellStyle name="Note 5 17 2" xfId="23183"/>
    <cellStyle name="Note 5 18" xfId="23184"/>
    <cellStyle name="Note 5 19" xfId="23147"/>
    <cellStyle name="Note 5 2" xfId="23185"/>
    <cellStyle name="Note 5 2 10" xfId="23186"/>
    <cellStyle name="Note 5 2 10 2" xfId="23187"/>
    <cellStyle name="Note 5 2 10 2 2" xfId="23188"/>
    <cellStyle name="Note 5 2 10 3" xfId="23189"/>
    <cellStyle name="Note 5 2 10 3 2" xfId="23190"/>
    <cellStyle name="Note 5 2 10 4" xfId="23191"/>
    <cellStyle name="Note 5 2 11" xfId="23192"/>
    <cellStyle name="Note 5 2 11 2" xfId="23193"/>
    <cellStyle name="Note 5 2 11 2 2" xfId="23194"/>
    <cellStyle name="Note 5 2 11 3" xfId="23195"/>
    <cellStyle name="Note 5 2 11 3 2" xfId="23196"/>
    <cellStyle name="Note 5 2 11 4" xfId="23197"/>
    <cellStyle name="Note 5 2 12" xfId="23198"/>
    <cellStyle name="Note 5 2 12 2" xfId="23199"/>
    <cellStyle name="Note 5 2 12 2 2" xfId="23200"/>
    <cellStyle name="Note 5 2 12 3" xfId="23201"/>
    <cellStyle name="Note 5 2 12 3 2" xfId="23202"/>
    <cellStyle name="Note 5 2 12 4" xfId="23203"/>
    <cellStyle name="Note 5 2 13" xfId="23204"/>
    <cellStyle name="Note 5 2 13 2" xfId="23205"/>
    <cellStyle name="Note 5 2 14" xfId="23206"/>
    <cellStyle name="Note 5 2 14 2" xfId="23207"/>
    <cellStyle name="Note 5 2 15" xfId="23208"/>
    <cellStyle name="Note 5 2 2" xfId="23209"/>
    <cellStyle name="Note 5 2 2 2" xfId="23210"/>
    <cellStyle name="Note 5 2 2 2 2" xfId="23211"/>
    <cellStyle name="Note 5 2 2 3" xfId="23212"/>
    <cellStyle name="Note 5 2 2 3 2" xfId="23213"/>
    <cellStyle name="Note 5 2 2 4" xfId="23214"/>
    <cellStyle name="Note 5 2 3" xfId="23215"/>
    <cellStyle name="Note 5 2 3 2" xfId="23216"/>
    <cellStyle name="Note 5 2 3 2 2" xfId="23217"/>
    <cellStyle name="Note 5 2 3 3" xfId="23218"/>
    <cellStyle name="Note 5 2 3 3 2" xfId="23219"/>
    <cellStyle name="Note 5 2 3 4" xfId="23220"/>
    <cellStyle name="Note 5 2 4" xfId="23221"/>
    <cellStyle name="Note 5 2 4 2" xfId="23222"/>
    <cellStyle name="Note 5 2 4 2 2" xfId="23223"/>
    <cellStyle name="Note 5 2 4 3" xfId="23224"/>
    <cellStyle name="Note 5 2 4 3 2" xfId="23225"/>
    <cellStyle name="Note 5 2 4 4" xfId="23226"/>
    <cellStyle name="Note 5 2 5" xfId="23227"/>
    <cellStyle name="Note 5 2 5 2" xfId="23228"/>
    <cellStyle name="Note 5 2 5 2 2" xfId="23229"/>
    <cellStyle name="Note 5 2 5 3" xfId="23230"/>
    <cellStyle name="Note 5 2 5 3 2" xfId="23231"/>
    <cellStyle name="Note 5 2 5 4" xfId="23232"/>
    <cellStyle name="Note 5 2 6" xfId="23233"/>
    <cellStyle name="Note 5 2 6 2" xfId="23234"/>
    <cellStyle name="Note 5 2 6 2 2" xfId="23235"/>
    <cellStyle name="Note 5 2 6 3" xfId="23236"/>
    <cellStyle name="Note 5 2 6 3 2" xfId="23237"/>
    <cellStyle name="Note 5 2 6 4" xfId="23238"/>
    <cellStyle name="Note 5 2 7" xfId="23239"/>
    <cellStyle name="Note 5 2 7 2" xfId="23240"/>
    <cellStyle name="Note 5 2 7 2 2" xfId="23241"/>
    <cellStyle name="Note 5 2 7 3" xfId="23242"/>
    <cellStyle name="Note 5 2 7 3 2" xfId="23243"/>
    <cellStyle name="Note 5 2 7 4" xfId="23244"/>
    <cellStyle name="Note 5 2 8" xfId="23245"/>
    <cellStyle name="Note 5 2 8 2" xfId="23246"/>
    <cellStyle name="Note 5 2 8 2 2" xfId="23247"/>
    <cellStyle name="Note 5 2 8 3" xfId="23248"/>
    <cellStyle name="Note 5 2 8 3 2" xfId="23249"/>
    <cellStyle name="Note 5 2 8 4" xfId="23250"/>
    <cellStyle name="Note 5 2 9" xfId="23251"/>
    <cellStyle name="Note 5 2 9 2" xfId="23252"/>
    <cellStyle name="Note 5 2 9 2 2" xfId="23253"/>
    <cellStyle name="Note 5 2 9 3" xfId="23254"/>
    <cellStyle name="Note 5 2 9 3 2" xfId="23255"/>
    <cellStyle name="Note 5 2 9 4" xfId="23256"/>
    <cellStyle name="Note 5 3" xfId="23257"/>
    <cellStyle name="Note 5 3 2" xfId="23258"/>
    <cellStyle name="Note 5 3 2 2" xfId="23259"/>
    <cellStyle name="Note 5 3 2 2 2" xfId="23260"/>
    <cellStyle name="Note 5 3 2 3" xfId="23261"/>
    <cellStyle name="Note 5 3 2 3 2" xfId="23262"/>
    <cellStyle name="Note 5 3 2 4" xfId="23263"/>
    <cellStyle name="Note 5 3 3" xfId="23264"/>
    <cellStyle name="Note 5 3 3 2" xfId="23265"/>
    <cellStyle name="Note 5 3 4" xfId="23266"/>
    <cellStyle name="Note 5 3 4 2" xfId="23267"/>
    <cellStyle name="Note 5 3 5" xfId="23268"/>
    <cellStyle name="Note 5 4" xfId="23269"/>
    <cellStyle name="Note 5 4 2" xfId="23270"/>
    <cellStyle name="Note 5 4 2 2" xfId="23271"/>
    <cellStyle name="Note 5 4 2 2 2" xfId="23272"/>
    <cellStyle name="Note 5 4 2 3" xfId="23273"/>
    <cellStyle name="Note 5 4 2 3 2" xfId="23274"/>
    <cellStyle name="Note 5 4 2 4" xfId="23275"/>
    <cellStyle name="Note 5 4 3" xfId="23276"/>
    <cellStyle name="Note 5 4 3 2" xfId="23277"/>
    <cellStyle name="Note 5 4 4" xfId="23278"/>
    <cellStyle name="Note 5 4 4 2" xfId="23279"/>
    <cellStyle name="Note 5 4 5" xfId="23280"/>
    <cellStyle name="Note 5 5" xfId="23281"/>
    <cellStyle name="Note 5 5 2" xfId="23282"/>
    <cellStyle name="Note 5 5 2 2" xfId="23283"/>
    <cellStyle name="Note 5 5 3" xfId="23284"/>
    <cellStyle name="Note 5 5 3 2" xfId="23285"/>
    <cellStyle name="Note 5 5 4" xfId="23286"/>
    <cellStyle name="Note 5 6" xfId="23287"/>
    <cellStyle name="Note 5 6 2" xfId="23288"/>
    <cellStyle name="Note 5 6 2 2" xfId="23289"/>
    <cellStyle name="Note 5 6 3" xfId="23290"/>
    <cellStyle name="Note 5 6 3 2" xfId="23291"/>
    <cellStyle name="Note 5 6 4" xfId="23292"/>
    <cellStyle name="Note 5 7" xfId="23293"/>
    <cellStyle name="Note 5 7 2" xfId="23294"/>
    <cellStyle name="Note 5 7 2 2" xfId="23295"/>
    <cellStyle name="Note 5 7 3" xfId="23296"/>
    <cellStyle name="Note 5 7 3 2" xfId="23297"/>
    <cellStyle name="Note 5 7 4" xfId="23298"/>
    <cellStyle name="Note 5 8" xfId="23299"/>
    <cellStyle name="Note 5 8 2" xfId="23300"/>
    <cellStyle name="Note 5 8 2 2" xfId="23301"/>
    <cellStyle name="Note 5 8 3" xfId="23302"/>
    <cellStyle name="Note 5 8 3 2" xfId="23303"/>
    <cellStyle name="Note 5 8 4" xfId="23304"/>
    <cellStyle name="Note 5 9" xfId="23305"/>
    <cellStyle name="Note 5 9 2" xfId="23306"/>
    <cellStyle name="Note 5 9 2 2" xfId="23307"/>
    <cellStyle name="Note 5 9 3" xfId="23308"/>
    <cellStyle name="Note 5 9 3 2" xfId="23309"/>
    <cellStyle name="Note 5 9 4" xfId="23310"/>
    <cellStyle name="Note 6" xfId="504"/>
    <cellStyle name="Note 6 10" xfId="5108"/>
    <cellStyle name="Note 6 10 2" xfId="23313"/>
    <cellStyle name="Note 6 10 2 2" xfId="23314"/>
    <cellStyle name="Note 6 10 3" xfId="23315"/>
    <cellStyle name="Note 6 10 3 2" xfId="23316"/>
    <cellStyle name="Note 6 10 4" xfId="23317"/>
    <cellStyle name="Note 6 10 5" xfId="23312"/>
    <cellStyle name="Note 6 11" xfId="5107"/>
    <cellStyle name="Note 6 11 2" xfId="23319"/>
    <cellStyle name="Note 6 11 2 2" xfId="23320"/>
    <cellStyle name="Note 6 11 3" xfId="23321"/>
    <cellStyle name="Note 6 11 3 2" xfId="23322"/>
    <cellStyle name="Note 6 11 4" xfId="23323"/>
    <cellStyle name="Note 6 11 5" xfId="23318"/>
    <cellStyle name="Note 6 12" xfId="7090"/>
    <cellStyle name="Note 6 12 2" xfId="23325"/>
    <cellStyle name="Note 6 12 2 2" xfId="23326"/>
    <cellStyle name="Note 6 12 3" xfId="23327"/>
    <cellStyle name="Note 6 12 3 2" xfId="23328"/>
    <cellStyle name="Note 6 12 4" xfId="23329"/>
    <cellStyle name="Note 6 12 5" xfId="23324"/>
    <cellStyle name="Note 6 12 6" xfId="28122"/>
    <cellStyle name="Note 6 13" xfId="23330"/>
    <cellStyle name="Note 6 13 2" xfId="23331"/>
    <cellStyle name="Note 6 13 2 2" xfId="23332"/>
    <cellStyle name="Note 6 13 3" xfId="23333"/>
    <cellStyle name="Note 6 13 3 2" xfId="23334"/>
    <cellStyle name="Note 6 13 4" xfId="23335"/>
    <cellStyle name="Note 6 14" xfId="23336"/>
    <cellStyle name="Note 6 14 2" xfId="23337"/>
    <cellStyle name="Note 6 15" xfId="23338"/>
    <cellStyle name="Note 6 15 2" xfId="23339"/>
    <cellStyle name="Note 6 16" xfId="23340"/>
    <cellStyle name="Note 6 16 2" xfId="23341"/>
    <cellStyle name="Note 6 17" xfId="23342"/>
    <cellStyle name="Note 6 17 2" xfId="23343"/>
    <cellStyle name="Note 6 17 2 2" xfId="23344"/>
    <cellStyle name="Note 6 17 3" xfId="23345"/>
    <cellStyle name="Note 6 17 3 2" xfId="23346"/>
    <cellStyle name="Note 6 17 4" xfId="23347"/>
    <cellStyle name="Note 6 18" xfId="23348"/>
    <cellStyle name="Note 6 18 2" xfId="23349"/>
    <cellStyle name="Note 6 19" xfId="23350"/>
    <cellStyle name="Note 6 19 2" xfId="23351"/>
    <cellStyle name="Note 6 2" xfId="2005"/>
    <cellStyle name="Note 6 2 10" xfId="23353"/>
    <cellStyle name="Note 6 2 10 2" xfId="23354"/>
    <cellStyle name="Note 6 2 10 2 2" xfId="23355"/>
    <cellStyle name="Note 6 2 10 3" xfId="23356"/>
    <cellStyle name="Note 6 2 10 3 2" xfId="23357"/>
    <cellStyle name="Note 6 2 10 4" xfId="23358"/>
    <cellStyle name="Note 6 2 11" xfId="23359"/>
    <cellStyle name="Note 6 2 11 2" xfId="23360"/>
    <cellStyle name="Note 6 2 11 2 2" xfId="23361"/>
    <cellStyle name="Note 6 2 11 3" xfId="23362"/>
    <cellStyle name="Note 6 2 11 3 2" xfId="23363"/>
    <cellStyle name="Note 6 2 11 4" xfId="23364"/>
    <cellStyle name="Note 6 2 12" xfId="23365"/>
    <cellStyle name="Note 6 2 12 2" xfId="23366"/>
    <cellStyle name="Note 6 2 12 2 2" xfId="23367"/>
    <cellStyle name="Note 6 2 12 3" xfId="23368"/>
    <cellStyle name="Note 6 2 12 3 2" xfId="23369"/>
    <cellStyle name="Note 6 2 12 4" xfId="23370"/>
    <cellStyle name="Note 6 2 13" xfId="23371"/>
    <cellStyle name="Note 6 2 13 2" xfId="23372"/>
    <cellStyle name="Note 6 2 14" xfId="23373"/>
    <cellStyle name="Note 6 2 14 2" xfId="23374"/>
    <cellStyle name="Note 6 2 15" xfId="23375"/>
    <cellStyle name="Note 6 2 15 2" xfId="23376"/>
    <cellStyle name="Note 6 2 16" xfId="23377"/>
    <cellStyle name="Note 6 2 17" xfId="23352"/>
    <cellStyle name="Note 6 2 2" xfId="23378"/>
    <cellStyle name="Note 6 2 2 2" xfId="23379"/>
    <cellStyle name="Note 6 2 2 2 2" xfId="23380"/>
    <cellStyle name="Note 6 2 2 3" xfId="23381"/>
    <cellStyle name="Note 6 2 2 3 2" xfId="23382"/>
    <cellStyle name="Note 6 2 2 4" xfId="23383"/>
    <cellStyle name="Note 6 2 3" xfId="23384"/>
    <cellStyle name="Note 6 2 3 2" xfId="23385"/>
    <cellStyle name="Note 6 2 3 2 2" xfId="23386"/>
    <cellStyle name="Note 6 2 3 3" xfId="23387"/>
    <cellStyle name="Note 6 2 3 3 2" xfId="23388"/>
    <cellStyle name="Note 6 2 3 4" xfId="23389"/>
    <cellStyle name="Note 6 2 4" xfId="23390"/>
    <cellStyle name="Note 6 2 4 2" xfId="23391"/>
    <cellStyle name="Note 6 2 4 2 2" xfId="23392"/>
    <cellStyle name="Note 6 2 4 3" xfId="23393"/>
    <cellStyle name="Note 6 2 4 3 2" xfId="23394"/>
    <cellStyle name="Note 6 2 4 4" xfId="23395"/>
    <cellStyle name="Note 6 2 5" xfId="23396"/>
    <cellStyle name="Note 6 2 5 2" xfId="23397"/>
    <cellStyle name="Note 6 2 5 2 2" xfId="23398"/>
    <cellStyle name="Note 6 2 5 3" xfId="23399"/>
    <cellStyle name="Note 6 2 5 3 2" xfId="23400"/>
    <cellStyle name="Note 6 2 5 4" xfId="23401"/>
    <cellStyle name="Note 6 2 6" xfId="23402"/>
    <cellStyle name="Note 6 2 6 2" xfId="23403"/>
    <cellStyle name="Note 6 2 6 2 2" xfId="23404"/>
    <cellStyle name="Note 6 2 6 3" xfId="23405"/>
    <cellStyle name="Note 6 2 6 3 2" xfId="23406"/>
    <cellStyle name="Note 6 2 6 4" xfId="23407"/>
    <cellStyle name="Note 6 2 7" xfId="23408"/>
    <cellStyle name="Note 6 2 7 2" xfId="23409"/>
    <cellStyle name="Note 6 2 7 2 2" xfId="23410"/>
    <cellStyle name="Note 6 2 7 3" xfId="23411"/>
    <cellStyle name="Note 6 2 7 3 2" xfId="23412"/>
    <cellStyle name="Note 6 2 7 4" xfId="23413"/>
    <cellStyle name="Note 6 2 8" xfId="23414"/>
    <cellStyle name="Note 6 2 8 2" xfId="23415"/>
    <cellStyle name="Note 6 2 8 2 2" xfId="23416"/>
    <cellStyle name="Note 6 2 8 3" xfId="23417"/>
    <cellStyle name="Note 6 2 8 3 2" xfId="23418"/>
    <cellStyle name="Note 6 2 8 4" xfId="23419"/>
    <cellStyle name="Note 6 2 9" xfId="23420"/>
    <cellStyle name="Note 6 2 9 2" xfId="23421"/>
    <cellStyle name="Note 6 2 9 2 2" xfId="23422"/>
    <cellStyle name="Note 6 2 9 3" xfId="23423"/>
    <cellStyle name="Note 6 2 9 3 2" xfId="23424"/>
    <cellStyle name="Note 6 2 9 4" xfId="23425"/>
    <cellStyle name="Note 6 20" xfId="23426"/>
    <cellStyle name="Note 6 20 2" xfId="23427"/>
    <cellStyle name="Note 6 21" xfId="23428"/>
    <cellStyle name="Note 6 22" xfId="23311"/>
    <cellStyle name="Note 6 23" xfId="24844"/>
    <cellStyle name="Note 6 24" xfId="28121"/>
    <cellStyle name="Note 6 3" xfId="2380"/>
    <cellStyle name="Note 6 3 2" xfId="23430"/>
    <cellStyle name="Note 6 3 2 2" xfId="23431"/>
    <cellStyle name="Note 6 3 3" xfId="23432"/>
    <cellStyle name="Note 6 3 3 2" xfId="23433"/>
    <cellStyle name="Note 6 3 4" xfId="23434"/>
    <cellStyle name="Note 6 3 4 2" xfId="23435"/>
    <cellStyle name="Note 6 3 5" xfId="23436"/>
    <cellStyle name="Note 6 3 6" xfId="23429"/>
    <cellStyle name="Note 6 4" xfId="2753"/>
    <cellStyle name="Note 6 4 2" xfId="23438"/>
    <cellStyle name="Note 6 4 2 2" xfId="23439"/>
    <cellStyle name="Note 6 4 3" xfId="23440"/>
    <cellStyle name="Note 6 4 3 2" xfId="23441"/>
    <cellStyle name="Note 6 4 4" xfId="23442"/>
    <cellStyle name="Note 6 4 4 2" xfId="23443"/>
    <cellStyle name="Note 6 4 5" xfId="23444"/>
    <cellStyle name="Note 6 4 6" xfId="23437"/>
    <cellStyle name="Note 6 5" xfId="3126"/>
    <cellStyle name="Note 6 5 2" xfId="23446"/>
    <cellStyle name="Note 6 5 2 2" xfId="23447"/>
    <cellStyle name="Note 6 5 3" xfId="23448"/>
    <cellStyle name="Note 6 5 3 2" xfId="23449"/>
    <cellStyle name="Note 6 5 4" xfId="23450"/>
    <cellStyle name="Note 6 5 4 2" xfId="23451"/>
    <cellStyle name="Note 6 5 5" xfId="23452"/>
    <cellStyle name="Note 6 5 6" xfId="23445"/>
    <cellStyle name="Note 6 6" xfId="3497"/>
    <cellStyle name="Note 6 6 2" xfId="23454"/>
    <cellStyle name="Note 6 6 2 2" xfId="23455"/>
    <cellStyle name="Note 6 6 3" xfId="23456"/>
    <cellStyle name="Note 6 6 3 2" xfId="23457"/>
    <cellStyle name="Note 6 6 4" xfId="23458"/>
    <cellStyle name="Note 6 6 4 2" xfId="23459"/>
    <cellStyle name="Note 6 6 5" xfId="23460"/>
    <cellStyle name="Note 6 6 6" xfId="23453"/>
    <cellStyle name="Note 6 7" xfId="3803"/>
    <cellStyle name="Note 6 7 2" xfId="23462"/>
    <cellStyle name="Note 6 7 2 2" xfId="23463"/>
    <cellStyle name="Note 6 7 3" xfId="23464"/>
    <cellStyle name="Note 6 7 3 2" xfId="23465"/>
    <cellStyle name="Note 6 7 4" xfId="23466"/>
    <cellStyle name="Note 6 7 4 2" xfId="23467"/>
    <cellStyle name="Note 6 7 5" xfId="23468"/>
    <cellStyle name="Note 6 7 6" xfId="23461"/>
    <cellStyle name="Note 6 8" xfId="1360"/>
    <cellStyle name="Note 6 8 10" xfId="23469"/>
    <cellStyle name="Note 6 8 11" xfId="24892"/>
    <cellStyle name="Note 6 8 12" xfId="28123"/>
    <cellStyle name="Note 6 8 2" xfId="4160"/>
    <cellStyle name="Note 6 8 2 2" xfId="5111"/>
    <cellStyle name="Note 6 8 2 2 2" xfId="23472"/>
    <cellStyle name="Note 6 8 2 2 3" xfId="23471"/>
    <cellStyle name="Note 6 8 2 3" xfId="5110"/>
    <cellStyle name="Note 6 8 2 3 2" xfId="23473"/>
    <cellStyle name="Note 6 8 2 4" xfId="7092"/>
    <cellStyle name="Note 6 8 2 4 2" xfId="28125"/>
    <cellStyle name="Note 6 8 2 5" xfId="23470"/>
    <cellStyle name="Note 6 8 2 6" xfId="25012"/>
    <cellStyle name="Note 6 8 2 7" xfId="28124"/>
    <cellStyle name="Note 6 8 3" xfId="5112"/>
    <cellStyle name="Note 6 8 3 2" xfId="23475"/>
    <cellStyle name="Note 6 8 3 3" xfId="23474"/>
    <cellStyle name="Note 6 8 4" xfId="5109"/>
    <cellStyle name="Note 6 8 4 2" xfId="23477"/>
    <cellStyle name="Note 6 8 4 3" xfId="23476"/>
    <cellStyle name="Note 6 8 5" xfId="7091"/>
    <cellStyle name="Note 6 8 5 2" xfId="23479"/>
    <cellStyle name="Note 6 8 5 2 2" xfId="23480"/>
    <cellStyle name="Note 6 8 5 3" xfId="23481"/>
    <cellStyle name="Note 6 8 5 3 2" xfId="23482"/>
    <cellStyle name="Note 6 8 5 4" xfId="23483"/>
    <cellStyle name="Note 6 8 5 5" xfId="23478"/>
    <cellStyle name="Note 6 8 5 6" xfId="28126"/>
    <cellStyle name="Note 6 8 6" xfId="23484"/>
    <cellStyle name="Note 6 8 6 2" xfId="23485"/>
    <cellStyle name="Note 6 8 7" xfId="23486"/>
    <cellStyle name="Note 6 8 7 2" xfId="23487"/>
    <cellStyle name="Note 6 8 8" xfId="23488"/>
    <cellStyle name="Note 6 8 8 2" xfId="23489"/>
    <cellStyle name="Note 6 8 9" xfId="23490"/>
    <cellStyle name="Note 6 9" xfId="3830"/>
    <cellStyle name="Note 6 9 2" xfId="5114"/>
    <cellStyle name="Note 6 9 2 2" xfId="23493"/>
    <cellStyle name="Note 6 9 2 3" xfId="23492"/>
    <cellStyle name="Note 6 9 3" xfId="5113"/>
    <cellStyle name="Note 6 9 3 2" xfId="23495"/>
    <cellStyle name="Note 6 9 3 3" xfId="23494"/>
    <cellStyle name="Note 6 9 4" xfId="7093"/>
    <cellStyle name="Note 6 9 4 2" xfId="23497"/>
    <cellStyle name="Note 6 9 4 3" xfId="23496"/>
    <cellStyle name="Note 6 9 4 4" xfId="28128"/>
    <cellStyle name="Note 6 9 5" xfId="23498"/>
    <cellStyle name="Note 6 9 6" xfId="23491"/>
    <cellStyle name="Note 6 9 7" xfId="24966"/>
    <cellStyle name="Note 6 9 8" xfId="28127"/>
    <cellStyle name="Note 7" xfId="505"/>
    <cellStyle name="Note 7 10" xfId="23500"/>
    <cellStyle name="Note 7 10 2" xfId="23501"/>
    <cellStyle name="Note 7 10 2 2" xfId="23502"/>
    <cellStyle name="Note 7 10 3" xfId="23503"/>
    <cellStyle name="Note 7 10 3 2" xfId="23504"/>
    <cellStyle name="Note 7 10 4" xfId="23505"/>
    <cellStyle name="Note 7 11" xfId="23506"/>
    <cellStyle name="Note 7 11 2" xfId="23507"/>
    <cellStyle name="Note 7 11 2 2" xfId="23508"/>
    <cellStyle name="Note 7 11 3" xfId="23509"/>
    <cellStyle name="Note 7 11 3 2" xfId="23510"/>
    <cellStyle name="Note 7 11 4" xfId="23511"/>
    <cellStyle name="Note 7 12" xfId="23512"/>
    <cellStyle name="Note 7 12 2" xfId="23513"/>
    <cellStyle name="Note 7 12 2 2" xfId="23514"/>
    <cellStyle name="Note 7 12 3" xfId="23515"/>
    <cellStyle name="Note 7 12 3 2" xfId="23516"/>
    <cellStyle name="Note 7 12 4" xfId="23517"/>
    <cellStyle name="Note 7 13" xfId="23518"/>
    <cellStyle name="Note 7 13 2" xfId="23519"/>
    <cellStyle name="Note 7 13 2 2" xfId="23520"/>
    <cellStyle name="Note 7 13 3" xfId="23521"/>
    <cellStyle name="Note 7 13 3 2" xfId="23522"/>
    <cellStyle name="Note 7 13 4" xfId="23523"/>
    <cellStyle name="Note 7 14" xfId="23524"/>
    <cellStyle name="Note 7 14 2" xfId="23525"/>
    <cellStyle name="Note 7 15" xfId="23526"/>
    <cellStyle name="Note 7 15 2" xfId="23527"/>
    <cellStyle name="Note 7 16" xfId="23528"/>
    <cellStyle name="Note 7 16 2" xfId="23529"/>
    <cellStyle name="Note 7 17" xfId="23530"/>
    <cellStyle name="Note 7 18" xfId="23499"/>
    <cellStyle name="Note 7 2" xfId="23531"/>
    <cellStyle name="Note 7 2 10" xfId="23532"/>
    <cellStyle name="Note 7 2 10 2" xfId="23533"/>
    <cellStyle name="Note 7 2 10 2 2" xfId="23534"/>
    <cellStyle name="Note 7 2 10 3" xfId="23535"/>
    <cellStyle name="Note 7 2 10 3 2" xfId="23536"/>
    <cellStyle name="Note 7 2 10 4" xfId="23537"/>
    <cellStyle name="Note 7 2 11" xfId="23538"/>
    <cellStyle name="Note 7 2 11 2" xfId="23539"/>
    <cellStyle name="Note 7 2 11 2 2" xfId="23540"/>
    <cellStyle name="Note 7 2 11 3" xfId="23541"/>
    <cellStyle name="Note 7 2 11 3 2" xfId="23542"/>
    <cellStyle name="Note 7 2 11 4" xfId="23543"/>
    <cellStyle name="Note 7 2 12" xfId="23544"/>
    <cellStyle name="Note 7 2 12 2" xfId="23545"/>
    <cellStyle name="Note 7 2 12 2 2" xfId="23546"/>
    <cellStyle name="Note 7 2 12 3" xfId="23547"/>
    <cellStyle name="Note 7 2 12 3 2" xfId="23548"/>
    <cellStyle name="Note 7 2 12 4" xfId="23549"/>
    <cellStyle name="Note 7 2 13" xfId="23550"/>
    <cellStyle name="Note 7 2 13 2" xfId="23551"/>
    <cellStyle name="Note 7 2 14" xfId="23552"/>
    <cellStyle name="Note 7 2 14 2" xfId="23553"/>
    <cellStyle name="Note 7 2 15" xfId="23554"/>
    <cellStyle name="Note 7 2 2" xfId="23555"/>
    <cellStyle name="Note 7 2 2 2" xfId="23556"/>
    <cellStyle name="Note 7 2 2 2 2" xfId="23557"/>
    <cellStyle name="Note 7 2 2 3" xfId="23558"/>
    <cellStyle name="Note 7 2 2 3 2" xfId="23559"/>
    <cellStyle name="Note 7 2 2 4" xfId="23560"/>
    <cellStyle name="Note 7 2 3" xfId="23561"/>
    <cellStyle name="Note 7 2 3 2" xfId="23562"/>
    <cellStyle name="Note 7 2 3 2 2" xfId="23563"/>
    <cellStyle name="Note 7 2 3 3" xfId="23564"/>
    <cellStyle name="Note 7 2 3 3 2" xfId="23565"/>
    <cellStyle name="Note 7 2 3 4" xfId="23566"/>
    <cellStyle name="Note 7 2 4" xfId="23567"/>
    <cellStyle name="Note 7 2 4 2" xfId="23568"/>
    <cellStyle name="Note 7 2 4 2 2" xfId="23569"/>
    <cellStyle name="Note 7 2 4 3" xfId="23570"/>
    <cellStyle name="Note 7 2 4 3 2" xfId="23571"/>
    <cellStyle name="Note 7 2 4 4" xfId="23572"/>
    <cellStyle name="Note 7 2 5" xfId="23573"/>
    <cellStyle name="Note 7 2 5 2" xfId="23574"/>
    <cellStyle name="Note 7 2 5 2 2" xfId="23575"/>
    <cellStyle name="Note 7 2 5 3" xfId="23576"/>
    <cellStyle name="Note 7 2 5 3 2" xfId="23577"/>
    <cellStyle name="Note 7 2 5 4" xfId="23578"/>
    <cellStyle name="Note 7 2 6" xfId="23579"/>
    <cellStyle name="Note 7 2 6 2" xfId="23580"/>
    <cellStyle name="Note 7 2 6 2 2" xfId="23581"/>
    <cellStyle name="Note 7 2 6 3" xfId="23582"/>
    <cellStyle name="Note 7 2 6 3 2" xfId="23583"/>
    <cellStyle name="Note 7 2 6 4" xfId="23584"/>
    <cellStyle name="Note 7 2 7" xfId="23585"/>
    <cellStyle name="Note 7 2 7 2" xfId="23586"/>
    <cellStyle name="Note 7 2 7 2 2" xfId="23587"/>
    <cellStyle name="Note 7 2 7 3" xfId="23588"/>
    <cellStyle name="Note 7 2 7 3 2" xfId="23589"/>
    <cellStyle name="Note 7 2 7 4" xfId="23590"/>
    <cellStyle name="Note 7 2 8" xfId="23591"/>
    <cellStyle name="Note 7 2 8 2" xfId="23592"/>
    <cellStyle name="Note 7 2 8 2 2" xfId="23593"/>
    <cellStyle name="Note 7 2 8 3" xfId="23594"/>
    <cellStyle name="Note 7 2 8 3 2" xfId="23595"/>
    <cellStyle name="Note 7 2 8 4" xfId="23596"/>
    <cellStyle name="Note 7 2 9" xfId="23597"/>
    <cellStyle name="Note 7 2 9 2" xfId="23598"/>
    <cellStyle name="Note 7 2 9 2 2" xfId="23599"/>
    <cellStyle name="Note 7 2 9 3" xfId="23600"/>
    <cellStyle name="Note 7 2 9 3 2" xfId="23601"/>
    <cellStyle name="Note 7 2 9 4" xfId="23602"/>
    <cellStyle name="Note 7 3" xfId="23603"/>
    <cellStyle name="Note 7 3 2" xfId="23604"/>
    <cellStyle name="Note 7 3 2 2" xfId="23605"/>
    <cellStyle name="Note 7 3 3" xfId="23606"/>
    <cellStyle name="Note 7 3 3 2" xfId="23607"/>
    <cellStyle name="Note 7 3 4" xfId="23608"/>
    <cellStyle name="Note 7 4" xfId="23609"/>
    <cellStyle name="Note 7 4 2" xfId="23610"/>
    <cellStyle name="Note 7 4 2 2" xfId="23611"/>
    <cellStyle name="Note 7 4 3" xfId="23612"/>
    <cellStyle name="Note 7 4 3 2" xfId="23613"/>
    <cellStyle name="Note 7 4 4" xfId="23614"/>
    <cellStyle name="Note 7 5" xfId="23615"/>
    <cellStyle name="Note 7 5 2" xfId="23616"/>
    <cellStyle name="Note 7 5 2 2" xfId="23617"/>
    <cellStyle name="Note 7 5 3" xfId="23618"/>
    <cellStyle name="Note 7 5 3 2" xfId="23619"/>
    <cellStyle name="Note 7 5 4" xfId="23620"/>
    <cellStyle name="Note 7 6" xfId="23621"/>
    <cellStyle name="Note 7 6 2" xfId="23622"/>
    <cellStyle name="Note 7 6 2 2" xfId="23623"/>
    <cellStyle name="Note 7 6 3" xfId="23624"/>
    <cellStyle name="Note 7 6 3 2" xfId="23625"/>
    <cellStyle name="Note 7 6 4" xfId="23626"/>
    <cellStyle name="Note 7 7" xfId="23627"/>
    <cellStyle name="Note 7 7 2" xfId="23628"/>
    <cellStyle name="Note 7 7 2 2" xfId="23629"/>
    <cellStyle name="Note 7 7 3" xfId="23630"/>
    <cellStyle name="Note 7 7 3 2" xfId="23631"/>
    <cellStyle name="Note 7 7 4" xfId="23632"/>
    <cellStyle name="Note 7 8" xfId="23633"/>
    <cellStyle name="Note 7 8 2" xfId="23634"/>
    <cellStyle name="Note 7 8 2 2" xfId="23635"/>
    <cellStyle name="Note 7 8 3" xfId="23636"/>
    <cellStyle name="Note 7 8 3 2" xfId="23637"/>
    <cellStyle name="Note 7 8 4" xfId="23638"/>
    <cellStyle name="Note 7 9" xfId="23639"/>
    <cellStyle name="Note 7 9 2" xfId="23640"/>
    <cellStyle name="Note 7 9 2 2" xfId="23641"/>
    <cellStyle name="Note 7 9 3" xfId="23642"/>
    <cellStyle name="Note 7 9 3 2" xfId="23643"/>
    <cellStyle name="Note 7 9 4" xfId="23644"/>
    <cellStyle name="Note 8" xfId="628"/>
    <cellStyle name="Note 8 10" xfId="23646"/>
    <cellStyle name="Note 8 10 2" xfId="23647"/>
    <cellStyle name="Note 8 10 2 2" xfId="23648"/>
    <cellStyle name="Note 8 10 3" xfId="23649"/>
    <cellStyle name="Note 8 10 3 2" xfId="23650"/>
    <cellStyle name="Note 8 10 4" xfId="23651"/>
    <cellStyle name="Note 8 11" xfId="23652"/>
    <cellStyle name="Note 8 11 2" xfId="23653"/>
    <cellStyle name="Note 8 11 2 2" xfId="23654"/>
    <cellStyle name="Note 8 11 3" xfId="23655"/>
    <cellStyle name="Note 8 11 3 2" xfId="23656"/>
    <cellStyle name="Note 8 11 4" xfId="23657"/>
    <cellStyle name="Note 8 12" xfId="23658"/>
    <cellStyle name="Note 8 12 2" xfId="23659"/>
    <cellStyle name="Note 8 12 2 2" xfId="23660"/>
    <cellStyle name="Note 8 12 3" xfId="23661"/>
    <cellStyle name="Note 8 12 3 2" xfId="23662"/>
    <cellStyle name="Note 8 12 4" xfId="23663"/>
    <cellStyle name="Note 8 13" xfId="23664"/>
    <cellStyle name="Note 8 13 2" xfId="23665"/>
    <cellStyle name="Note 8 13 2 2" xfId="23666"/>
    <cellStyle name="Note 8 13 3" xfId="23667"/>
    <cellStyle name="Note 8 13 3 2" xfId="23668"/>
    <cellStyle name="Note 8 13 4" xfId="23669"/>
    <cellStyle name="Note 8 14" xfId="23670"/>
    <cellStyle name="Note 8 14 2" xfId="23671"/>
    <cellStyle name="Note 8 15" xfId="23672"/>
    <cellStyle name="Note 8 15 2" xfId="23673"/>
    <cellStyle name="Note 8 16" xfId="23674"/>
    <cellStyle name="Note 8 16 2" xfId="23675"/>
    <cellStyle name="Note 8 17" xfId="23676"/>
    <cellStyle name="Note 8 17 2" xfId="23677"/>
    <cellStyle name="Note 8 17 2 2" xfId="23678"/>
    <cellStyle name="Note 8 17 3" xfId="23679"/>
    <cellStyle name="Note 8 17 3 2" xfId="23680"/>
    <cellStyle name="Note 8 17 4" xfId="23681"/>
    <cellStyle name="Note 8 18" xfId="23682"/>
    <cellStyle name="Note 8 18 2" xfId="23683"/>
    <cellStyle name="Note 8 19" xfId="23684"/>
    <cellStyle name="Note 8 19 2" xfId="23685"/>
    <cellStyle name="Note 8 2" xfId="1371"/>
    <cellStyle name="Note 8 2 10" xfId="23687"/>
    <cellStyle name="Note 8 2 10 2" xfId="23688"/>
    <cellStyle name="Note 8 2 10 2 2" xfId="23689"/>
    <cellStyle name="Note 8 2 10 3" xfId="23690"/>
    <cellStyle name="Note 8 2 10 3 2" xfId="23691"/>
    <cellStyle name="Note 8 2 10 4" xfId="23692"/>
    <cellStyle name="Note 8 2 11" xfId="23693"/>
    <cellStyle name="Note 8 2 11 2" xfId="23694"/>
    <cellStyle name="Note 8 2 11 2 2" xfId="23695"/>
    <cellStyle name="Note 8 2 11 3" xfId="23696"/>
    <cellStyle name="Note 8 2 11 3 2" xfId="23697"/>
    <cellStyle name="Note 8 2 11 4" xfId="23698"/>
    <cellStyle name="Note 8 2 12" xfId="23699"/>
    <cellStyle name="Note 8 2 12 2" xfId="23700"/>
    <cellStyle name="Note 8 2 12 2 2" xfId="23701"/>
    <cellStyle name="Note 8 2 12 3" xfId="23702"/>
    <cellStyle name="Note 8 2 12 3 2" xfId="23703"/>
    <cellStyle name="Note 8 2 12 4" xfId="23704"/>
    <cellStyle name="Note 8 2 13" xfId="23705"/>
    <cellStyle name="Note 8 2 13 2" xfId="23706"/>
    <cellStyle name="Note 8 2 14" xfId="23707"/>
    <cellStyle name="Note 8 2 14 2" xfId="23708"/>
    <cellStyle name="Note 8 2 15" xfId="23709"/>
    <cellStyle name="Note 8 2 15 2" xfId="23710"/>
    <cellStyle name="Note 8 2 16" xfId="23711"/>
    <cellStyle name="Note 8 2 16 2" xfId="23712"/>
    <cellStyle name="Note 8 2 16 2 2" xfId="23713"/>
    <cellStyle name="Note 8 2 16 3" xfId="23714"/>
    <cellStyle name="Note 8 2 16 3 2" xfId="23715"/>
    <cellStyle name="Note 8 2 16 4" xfId="23716"/>
    <cellStyle name="Note 8 2 17" xfId="23717"/>
    <cellStyle name="Note 8 2 17 2" xfId="23718"/>
    <cellStyle name="Note 8 2 18" xfId="23719"/>
    <cellStyle name="Note 8 2 18 2" xfId="23720"/>
    <cellStyle name="Note 8 2 19" xfId="23721"/>
    <cellStyle name="Note 8 2 19 2" xfId="23722"/>
    <cellStyle name="Note 8 2 2" xfId="4171"/>
    <cellStyle name="Note 8 2 2 2" xfId="5118"/>
    <cellStyle name="Note 8 2 2 2 2" xfId="23725"/>
    <cellStyle name="Note 8 2 2 2 3" xfId="23724"/>
    <cellStyle name="Note 8 2 2 3" xfId="5117"/>
    <cellStyle name="Note 8 2 2 3 2" xfId="23727"/>
    <cellStyle name="Note 8 2 2 3 3" xfId="23726"/>
    <cellStyle name="Note 8 2 2 4" xfId="7096"/>
    <cellStyle name="Note 8 2 2 4 2" xfId="23729"/>
    <cellStyle name="Note 8 2 2 4 3" xfId="23728"/>
    <cellStyle name="Note 8 2 2 4 4" xfId="28132"/>
    <cellStyle name="Note 8 2 2 5" xfId="23730"/>
    <cellStyle name="Note 8 2 2 6" xfId="23723"/>
    <cellStyle name="Note 8 2 2 7" xfId="25023"/>
    <cellStyle name="Note 8 2 2 8" xfId="28131"/>
    <cellStyle name="Note 8 2 20" xfId="23731"/>
    <cellStyle name="Note 8 2 21" xfId="23686"/>
    <cellStyle name="Note 8 2 22" xfId="24903"/>
    <cellStyle name="Note 8 2 23" xfId="28130"/>
    <cellStyle name="Note 8 2 3" xfId="5119"/>
    <cellStyle name="Note 8 2 3 2" xfId="23733"/>
    <cellStyle name="Note 8 2 3 2 2" xfId="23734"/>
    <cellStyle name="Note 8 2 3 3" xfId="23735"/>
    <cellStyle name="Note 8 2 3 3 2" xfId="23736"/>
    <cellStyle name="Note 8 2 3 4" xfId="23737"/>
    <cellStyle name="Note 8 2 3 5" xfId="23732"/>
    <cellStyle name="Note 8 2 4" xfId="5116"/>
    <cellStyle name="Note 8 2 4 2" xfId="23739"/>
    <cellStyle name="Note 8 2 4 2 2" xfId="23740"/>
    <cellStyle name="Note 8 2 4 3" xfId="23741"/>
    <cellStyle name="Note 8 2 4 3 2" xfId="23742"/>
    <cellStyle name="Note 8 2 4 4" xfId="23743"/>
    <cellStyle name="Note 8 2 4 5" xfId="23738"/>
    <cellStyle name="Note 8 2 5" xfId="7095"/>
    <cellStyle name="Note 8 2 5 2" xfId="23745"/>
    <cellStyle name="Note 8 2 5 2 2" xfId="23746"/>
    <cellStyle name="Note 8 2 5 3" xfId="23747"/>
    <cellStyle name="Note 8 2 5 3 2" xfId="23748"/>
    <cellStyle name="Note 8 2 5 4" xfId="23749"/>
    <cellStyle name="Note 8 2 5 5" xfId="23744"/>
    <cellStyle name="Note 8 2 5 6" xfId="28133"/>
    <cellStyle name="Note 8 2 6" xfId="23750"/>
    <cellStyle name="Note 8 2 6 2" xfId="23751"/>
    <cellStyle name="Note 8 2 6 2 2" xfId="23752"/>
    <cellStyle name="Note 8 2 6 3" xfId="23753"/>
    <cellStyle name="Note 8 2 6 3 2" xfId="23754"/>
    <cellStyle name="Note 8 2 6 4" xfId="23755"/>
    <cellStyle name="Note 8 2 7" xfId="23756"/>
    <cellStyle name="Note 8 2 7 2" xfId="23757"/>
    <cellStyle name="Note 8 2 7 2 2" xfId="23758"/>
    <cellStyle name="Note 8 2 7 3" xfId="23759"/>
    <cellStyle name="Note 8 2 7 3 2" xfId="23760"/>
    <cellStyle name="Note 8 2 7 4" xfId="23761"/>
    <cellStyle name="Note 8 2 8" xfId="23762"/>
    <cellStyle name="Note 8 2 8 2" xfId="23763"/>
    <cellStyle name="Note 8 2 8 2 2" xfId="23764"/>
    <cellStyle name="Note 8 2 8 3" xfId="23765"/>
    <cellStyle name="Note 8 2 8 3 2" xfId="23766"/>
    <cellStyle name="Note 8 2 8 4" xfId="23767"/>
    <cellStyle name="Note 8 2 9" xfId="23768"/>
    <cellStyle name="Note 8 2 9 2" xfId="23769"/>
    <cellStyle name="Note 8 2 9 2 2" xfId="23770"/>
    <cellStyle name="Note 8 2 9 3" xfId="23771"/>
    <cellStyle name="Note 8 2 9 3 2" xfId="23772"/>
    <cellStyle name="Note 8 2 9 4" xfId="23773"/>
    <cellStyle name="Note 8 20" xfId="23774"/>
    <cellStyle name="Note 8 20 2" xfId="23775"/>
    <cellStyle name="Note 8 21" xfId="23776"/>
    <cellStyle name="Note 8 22" xfId="23645"/>
    <cellStyle name="Note 8 23" xfId="24858"/>
    <cellStyle name="Note 8 24" xfId="28129"/>
    <cellStyle name="Note 8 3" xfId="3844"/>
    <cellStyle name="Note 8 3 2" xfId="5121"/>
    <cellStyle name="Note 8 3 2 2" xfId="23779"/>
    <cellStyle name="Note 8 3 2 3" xfId="23778"/>
    <cellStyle name="Note 8 3 3" xfId="5120"/>
    <cellStyle name="Note 8 3 3 2" xfId="23781"/>
    <cellStyle name="Note 8 3 3 3" xfId="23780"/>
    <cellStyle name="Note 8 3 4" xfId="7097"/>
    <cellStyle name="Note 8 3 4 2" xfId="23783"/>
    <cellStyle name="Note 8 3 4 3" xfId="23782"/>
    <cellStyle name="Note 8 3 4 4" xfId="28135"/>
    <cellStyle name="Note 8 3 5" xfId="23784"/>
    <cellStyle name="Note 8 3 6" xfId="23777"/>
    <cellStyle name="Note 8 3 7" xfId="24980"/>
    <cellStyle name="Note 8 3 8" xfId="28134"/>
    <cellStyle name="Note 8 4" xfId="5122"/>
    <cellStyle name="Note 8 4 2" xfId="23786"/>
    <cellStyle name="Note 8 4 2 2" xfId="23787"/>
    <cellStyle name="Note 8 4 3" xfId="23788"/>
    <cellStyle name="Note 8 4 3 2" xfId="23789"/>
    <cellStyle name="Note 8 4 4" xfId="23790"/>
    <cellStyle name="Note 8 4 5" xfId="23785"/>
    <cellStyle name="Note 8 5" xfId="5115"/>
    <cellStyle name="Note 8 5 2" xfId="23792"/>
    <cellStyle name="Note 8 5 2 2" xfId="23793"/>
    <cellStyle name="Note 8 5 3" xfId="23794"/>
    <cellStyle name="Note 8 5 3 2" xfId="23795"/>
    <cellStyle name="Note 8 5 4" xfId="23796"/>
    <cellStyle name="Note 8 5 5" xfId="23791"/>
    <cellStyle name="Note 8 6" xfId="7094"/>
    <cellStyle name="Note 8 6 2" xfId="23798"/>
    <cellStyle name="Note 8 6 2 2" xfId="23799"/>
    <cellStyle name="Note 8 6 3" xfId="23800"/>
    <cellStyle name="Note 8 6 3 2" xfId="23801"/>
    <cellStyle name="Note 8 6 4" xfId="23802"/>
    <cellStyle name="Note 8 6 5" xfId="23797"/>
    <cellStyle name="Note 8 6 6" xfId="28136"/>
    <cellStyle name="Note 8 7" xfId="23803"/>
    <cellStyle name="Note 8 7 2" xfId="23804"/>
    <cellStyle name="Note 8 7 2 2" xfId="23805"/>
    <cellStyle name="Note 8 7 3" xfId="23806"/>
    <cellStyle name="Note 8 7 3 2" xfId="23807"/>
    <cellStyle name="Note 8 7 4" xfId="23808"/>
    <cellStyle name="Note 8 8" xfId="23809"/>
    <cellStyle name="Note 8 8 2" xfId="23810"/>
    <cellStyle name="Note 8 8 2 2" xfId="23811"/>
    <cellStyle name="Note 8 8 3" xfId="23812"/>
    <cellStyle name="Note 8 8 3 2" xfId="23813"/>
    <cellStyle name="Note 8 8 4" xfId="23814"/>
    <cellStyle name="Note 8 9" xfId="23815"/>
    <cellStyle name="Note 8 9 2" xfId="23816"/>
    <cellStyle name="Note 8 9 2 2" xfId="23817"/>
    <cellStyle name="Note 8 9 3" xfId="23818"/>
    <cellStyle name="Note 8 9 3 2" xfId="23819"/>
    <cellStyle name="Note 8 9 4" xfId="23820"/>
    <cellStyle name="Note 9" xfId="629"/>
    <cellStyle name="Note 9 2" xfId="23822"/>
    <cellStyle name="Note 9 2 2" xfId="23823"/>
    <cellStyle name="Note 9 2 2 2" xfId="23824"/>
    <cellStyle name="Note 9 2 2 2 2" xfId="23825"/>
    <cellStyle name="Note 9 2 2 3" xfId="23826"/>
    <cellStyle name="Note 9 2 2 3 2" xfId="23827"/>
    <cellStyle name="Note 9 2 2 4" xfId="23828"/>
    <cellStyle name="Note 9 2 3" xfId="23829"/>
    <cellStyle name="Note 9 2 3 2" xfId="23830"/>
    <cellStyle name="Note 9 2 4" xfId="23831"/>
    <cellStyle name="Note 9 2 4 2" xfId="23832"/>
    <cellStyle name="Note 9 2 5" xfId="23833"/>
    <cellStyle name="Note 9 3" xfId="23834"/>
    <cellStyle name="Note 9 4" xfId="23821"/>
    <cellStyle name="Output 10" xfId="786"/>
    <cellStyle name="Output 10 2" xfId="23837"/>
    <cellStyle name="Output 10 3" xfId="23836"/>
    <cellStyle name="Output 11" xfId="787"/>
    <cellStyle name="Output 11 2" xfId="23839"/>
    <cellStyle name="Output 11 3" xfId="23838"/>
    <cellStyle name="Output 12" xfId="911"/>
    <cellStyle name="Output 12 2" xfId="23840"/>
    <cellStyle name="Output 13" xfId="912"/>
    <cellStyle name="Output 13 2" xfId="23835"/>
    <cellStyle name="Output 14" xfId="995"/>
    <cellStyle name="Output 2" xfId="106"/>
    <cellStyle name="Output 2 10" xfId="1704"/>
    <cellStyle name="Output 2 10 2" xfId="23843"/>
    <cellStyle name="Output 2 10 3" xfId="23842"/>
    <cellStyle name="Output 2 11" xfId="2039"/>
    <cellStyle name="Output 2 11 2" xfId="23845"/>
    <cellStyle name="Output 2 11 3" xfId="23844"/>
    <cellStyle name="Output 2 12" xfId="2413"/>
    <cellStyle name="Output 2 12 2" xfId="23847"/>
    <cellStyle name="Output 2 12 3" xfId="23846"/>
    <cellStyle name="Output 2 13" xfId="2786"/>
    <cellStyle name="Output 2 13 2" xfId="23849"/>
    <cellStyle name="Output 2 13 3" xfId="23848"/>
    <cellStyle name="Output 2 14" xfId="3160"/>
    <cellStyle name="Output 2 14 2" xfId="23851"/>
    <cellStyle name="Output 2 14 3" xfId="23850"/>
    <cellStyle name="Output 2 15" xfId="3531"/>
    <cellStyle name="Output 2 15 2" xfId="23853"/>
    <cellStyle name="Output 2 15 3" xfId="23852"/>
    <cellStyle name="Output 2 16" xfId="3668"/>
    <cellStyle name="Output 2 16 2" xfId="23855"/>
    <cellStyle name="Output 2 16 3" xfId="23854"/>
    <cellStyle name="Output 2 17" xfId="23856"/>
    <cellStyle name="Output 2 17 2" xfId="23857"/>
    <cellStyle name="Output 2 18" xfId="23858"/>
    <cellStyle name="Output 2 19" xfId="23841"/>
    <cellStyle name="Output 2 2" xfId="150"/>
    <cellStyle name="Output 2 2 2" xfId="162"/>
    <cellStyle name="Output 2 2 2 2" xfId="23861"/>
    <cellStyle name="Output 2 2 2 3" xfId="23860"/>
    <cellStyle name="Output 2 2 3" xfId="326"/>
    <cellStyle name="Output 2 2 3 2" xfId="23863"/>
    <cellStyle name="Output 2 2 3 3" xfId="23862"/>
    <cellStyle name="Output 2 2 4" xfId="2149"/>
    <cellStyle name="Output 2 2 4 2" xfId="23865"/>
    <cellStyle name="Output 2 2 4 3" xfId="23864"/>
    <cellStyle name="Output 2 2 5" xfId="2523"/>
    <cellStyle name="Output 2 2 5 2" xfId="23867"/>
    <cellStyle name="Output 2 2 5 3" xfId="23866"/>
    <cellStyle name="Output 2 2 6" xfId="2895"/>
    <cellStyle name="Output 2 2 6 2" xfId="23869"/>
    <cellStyle name="Output 2 2 6 3" xfId="23868"/>
    <cellStyle name="Output 2 2 7" xfId="3266"/>
    <cellStyle name="Output 2 2 7 2" xfId="23871"/>
    <cellStyle name="Output 2 2 7 3" xfId="23870"/>
    <cellStyle name="Output 2 2 8" xfId="23872"/>
    <cellStyle name="Output 2 2 9" xfId="23859"/>
    <cellStyle name="Output 2 20" xfId="24502"/>
    <cellStyle name="Output 2 3" xfId="314"/>
    <cellStyle name="Output 2 3 2" xfId="1325"/>
    <cellStyle name="Output 2 3 2 2" xfId="23874"/>
    <cellStyle name="Output 2 3 3" xfId="23873"/>
    <cellStyle name="Output 2 4" xfId="506"/>
    <cellStyle name="Output 2 4 2" xfId="23876"/>
    <cellStyle name="Output 2 4 3" xfId="23875"/>
    <cellStyle name="Output 2 5" xfId="630"/>
    <cellStyle name="Output 2 5 2" xfId="23878"/>
    <cellStyle name="Output 2 5 3" xfId="23877"/>
    <cellStyle name="Output 2 6" xfId="788"/>
    <cellStyle name="Output 2 6 2" xfId="23880"/>
    <cellStyle name="Output 2 6 3" xfId="23879"/>
    <cellStyle name="Output 2 7" xfId="789"/>
    <cellStyle name="Output 2 7 2" xfId="23882"/>
    <cellStyle name="Output 2 7 3" xfId="23881"/>
    <cellStyle name="Output 2 8" xfId="913"/>
    <cellStyle name="Output 2 8 2" xfId="1433"/>
    <cellStyle name="Output 2 8 2 2" xfId="23884"/>
    <cellStyle name="Output 2 8 3" xfId="23883"/>
    <cellStyle name="Output 2 9" xfId="996"/>
    <cellStyle name="Output 2 9 2" xfId="1544"/>
    <cellStyle name="Output 2 9 2 2" xfId="23886"/>
    <cellStyle name="Output 2 9 3" xfId="23885"/>
    <cellStyle name="Output 3" xfId="203"/>
    <cellStyle name="Output 3 10" xfId="3712"/>
    <cellStyle name="Output 3 10 2" xfId="23889"/>
    <cellStyle name="Output 3 10 3" xfId="23888"/>
    <cellStyle name="Output 3 11" xfId="23890"/>
    <cellStyle name="Output 3 11 2" xfId="23891"/>
    <cellStyle name="Output 3 12" xfId="23892"/>
    <cellStyle name="Output 3 13" xfId="23887"/>
    <cellStyle name="Output 3 2" xfId="1485"/>
    <cellStyle name="Output 3 2 2" xfId="1814"/>
    <cellStyle name="Output 3 2 2 2" xfId="23895"/>
    <cellStyle name="Output 3 2 2 3" xfId="23894"/>
    <cellStyle name="Output 3 2 3" xfId="2189"/>
    <cellStyle name="Output 3 2 3 2" xfId="23897"/>
    <cellStyle name="Output 3 2 3 3" xfId="23896"/>
    <cellStyle name="Output 3 2 4" xfId="2563"/>
    <cellStyle name="Output 3 2 4 2" xfId="23899"/>
    <cellStyle name="Output 3 2 4 3" xfId="23898"/>
    <cellStyle name="Output 3 2 5" xfId="2935"/>
    <cellStyle name="Output 3 2 5 2" xfId="23901"/>
    <cellStyle name="Output 3 2 5 3" xfId="23900"/>
    <cellStyle name="Output 3 2 6" xfId="3307"/>
    <cellStyle name="Output 3 2 6 2" xfId="23903"/>
    <cellStyle name="Output 3 2 6 3" xfId="23902"/>
    <cellStyle name="Output 3 2 7" xfId="23904"/>
    <cellStyle name="Output 3 2 8" xfId="23893"/>
    <cellStyle name="Output 3 3" xfId="1612"/>
    <cellStyle name="Output 3 3 2" xfId="1891"/>
    <cellStyle name="Output 3 3 2 2" xfId="23907"/>
    <cellStyle name="Output 3 3 2 3" xfId="23906"/>
    <cellStyle name="Output 3 3 3" xfId="2266"/>
    <cellStyle name="Output 3 3 3 2" xfId="23909"/>
    <cellStyle name="Output 3 3 3 3" xfId="23908"/>
    <cellStyle name="Output 3 3 4" xfId="2639"/>
    <cellStyle name="Output 3 3 4 2" xfId="23911"/>
    <cellStyle name="Output 3 3 4 3" xfId="23910"/>
    <cellStyle name="Output 3 3 5" xfId="3012"/>
    <cellStyle name="Output 3 3 5 2" xfId="23913"/>
    <cellStyle name="Output 3 3 5 3" xfId="23912"/>
    <cellStyle name="Output 3 3 6" xfId="3383"/>
    <cellStyle name="Output 3 3 6 2" xfId="23915"/>
    <cellStyle name="Output 3 3 6 3" xfId="23914"/>
    <cellStyle name="Output 3 3 7" xfId="23916"/>
    <cellStyle name="Output 3 3 8" xfId="23905"/>
    <cellStyle name="Output 3 4" xfId="1754"/>
    <cellStyle name="Output 3 4 2" xfId="1935"/>
    <cellStyle name="Output 3 4 2 2" xfId="23919"/>
    <cellStyle name="Output 3 4 2 3" xfId="23918"/>
    <cellStyle name="Output 3 4 3" xfId="2310"/>
    <cellStyle name="Output 3 4 3 2" xfId="23921"/>
    <cellStyle name="Output 3 4 3 3" xfId="23920"/>
    <cellStyle name="Output 3 4 4" xfId="2683"/>
    <cellStyle name="Output 3 4 4 2" xfId="23923"/>
    <cellStyle name="Output 3 4 4 3" xfId="23922"/>
    <cellStyle name="Output 3 4 5" xfId="3056"/>
    <cellStyle name="Output 3 4 5 2" xfId="23925"/>
    <cellStyle name="Output 3 4 5 3" xfId="23924"/>
    <cellStyle name="Output 3 4 6" xfId="3427"/>
    <cellStyle name="Output 3 4 6 2" xfId="23927"/>
    <cellStyle name="Output 3 4 6 3" xfId="23926"/>
    <cellStyle name="Output 3 4 7" xfId="23928"/>
    <cellStyle name="Output 3 4 8" xfId="23917"/>
    <cellStyle name="Output 3 5" xfId="2089"/>
    <cellStyle name="Output 3 5 2" xfId="23930"/>
    <cellStyle name="Output 3 5 3" xfId="23929"/>
    <cellStyle name="Output 3 6" xfId="2463"/>
    <cellStyle name="Output 3 6 2" xfId="23932"/>
    <cellStyle name="Output 3 6 3" xfId="23931"/>
    <cellStyle name="Output 3 7" xfId="2835"/>
    <cellStyle name="Output 3 7 2" xfId="23934"/>
    <cellStyle name="Output 3 7 3" xfId="23933"/>
    <cellStyle name="Output 3 8" xfId="3206"/>
    <cellStyle name="Output 3 8 2" xfId="23936"/>
    <cellStyle name="Output 3 8 3" xfId="23935"/>
    <cellStyle name="Output 3 9" xfId="3576"/>
    <cellStyle name="Output 3 9 2" xfId="23938"/>
    <cellStyle name="Output 3 9 3" xfId="23937"/>
    <cellStyle name="Output 4" xfId="272"/>
    <cellStyle name="Output 4 10" xfId="3756"/>
    <cellStyle name="Output 4 10 2" xfId="23941"/>
    <cellStyle name="Output 4 10 3" xfId="23940"/>
    <cellStyle name="Output 4 11" xfId="1285"/>
    <cellStyle name="Output 4 11 2" xfId="23943"/>
    <cellStyle name="Output 4 11 3" xfId="23942"/>
    <cellStyle name="Output 4 12" xfId="23944"/>
    <cellStyle name="Output 4 13" xfId="23939"/>
    <cellStyle name="Output 4 2" xfId="1530"/>
    <cellStyle name="Output 4 2 2" xfId="23946"/>
    <cellStyle name="Output 4 2 3" xfId="23945"/>
    <cellStyle name="Output 4 3" xfId="1655"/>
    <cellStyle name="Output 4 3 2" xfId="23948"/>
    <cellStyle name="Output 4 3 3" xfId="23947"/>
    <cellStyle name="Output 4 4" xfId="1767"/>
    <cellStyle name="Output 4 4 2" xfId="23950"/>
    <cellStyle name="Output 4 4 3" xfId="23949"/>
    <cellStyle name="Output 4 5" xfId="2102"/>
    <cellStyle name="Output 4 5 2" xfId="23952"/>
    <cellStyle name="Output 4 5 3" xfId="23951"/>
    <cellStyle name="Output 4 6" xfId="2476"/>
    <cellStyle name="Output 4 6 2" xfId="23954"/>
    <cellStyle name="Output 4 6 3" xfId="23953"/>
    <cellStyle name="Output 4 7" xfId="2848"/>
    <cellStyle name="Output 4 7 2" xfId="23956"/>
    <cellStyle name="Output 4 7 3" xfId="23955"/>
    <cellStyle name="Output 4 8" xfId="3219"/>
    <cellStyle name="Output 4 8 2" xfId="23958"/>
    <cellStyle name="Output 4 8 3" xfId="23957"/>
    <cellStyle name="Output 4 9" xfId="3619"/>
    <cellStyle name="Output 4 9 2" xfId="23960"/>
    <cellStyle name="Output 4 9 3" xfId="23959"/>
    <cellStyle name="Output 5" xfId="507"/>
    <cellStyle name="Output 5 2" xfId="1849"/>
    <cellStyle name="Output 5 2 2" xfId="23963"/>
    <cellStyle name="Output 5 2 3" xfId="23962"/>
    <cellStyle name="Output 5 3" xfId="2224"/>
    <cellStyle name="Output 5 3 2" xfId="23965"/>
    <cellStyle name="Output 5 3 3" xfId="23964"/>
    <cellStyle name="Output 5 4" xfId="2598"/>
    <cellStyle name="Output 5 4 2" xfId="23967"/>
    <cellStyle name="Output 5 4 3" xfId="23966"/>
    <cellStyle name="Output 5 5" xfId="2970"/>
    <cellStyle name="Output 5 5 2" xfId="23969"/>
    <cellStyle name="Output 5 5 3" xfId="23968"/>
    <cellStyle name="Output 5 6" xfId="3342"/>
    <cellStyle name="Output 5 6 2" xfId="23971"/>
    <cellStyle name="Output 5 6 3" xfId="23970"/>
    <cellStyle name="Output 5 7" xfId="23972"/>
    <cellStyle name="Output 5 7 2" xfId="23973"/>
    <cellStyle name="Output 5 8" xfId="23974"/>
    <cellStyle name="Output 5 9" xfId="23961"/>
    <cellStyle name="Output 6" xfId="508"/>
    <cellStyle name="Output 6 10" xfId="23975"/>
    <cellStyle name="Output 6 2" xfId="2006"/>
    <cellStyle name="Output 6 2 2" xfId="23977"/>
    <cellStyle name="Output 6 2 3" xfId="23976"/>
    <cellStyle name="Output 6 3" xfId="2381"/>
    <cellStyle name="Output 6 3 2" xfId="23979"/>
    <cellStyle name="Output 6 3 3" xfId="23978"/>
    <cellStyle name="Output 6 4" xfId="2754"/>
    <cellStyle name="Output 6 4 2" xfId="23981"/>
    <cellStyle name="Output 6 4 3" xfId="23980"/>
    <cellStyle name="Output 6 5" xfId="3127"/>
    <cellStyle name="Output 6 5 2" xfId="23983"/>
    <cellStyle name="Output 6 5 3" xfId="23982"/>
    <cellStyle name="Output 6 6" xfId="3498"/>
    <cellStyle name="Output 6 6 2" xfId="23985"/>
    <cellStyle name="Output 6 6 3" xfId="23984"/>
    <cellStyle name="Output 6 7" xfId="3804"/>
    <cellStyle name="Output 6 7 2" xfId="23987"/>
    <cellStyle name="Output 6 7 3" xfId="23986"/>
    <cellStyle name="Output 6 8" xfId="23988"/>
    <cellStyle name="Output 6 8 2" xfId="23989"/>
    <cellStyle name="Output 6 9" xfId="23990"/>
    <cellStyle name="Output 7" xfId="509"/>
    <cellStyle name="Output 7 2" xfId="23992"/>
    <cellStyle name="Output 7 3" xfId="23991"/>
    <cellStyle name="Output 8" xfId="631"/>
    <cellStyle name="Output 8 2" xfId="23994"/>
    <cellStyle name="Output 8 3" xfId="23993"/>
    <cellStyle name="Output 9" xfId="632"/>
    <cellStyle name="Output 9 2" xfId="23996"/>
    <cellStyle name="Output 9 3" xfId="23995"/>
    <cellStyle name="Percent" xfId="17" builtinId="5"/>
    <cellStyle name="Percent 2" xfId="5123"/>
    <cellStyle name="Percent 2 2" xfId="7104"/>
    <cellStyle name="Percent 2 2 2" xfId="23999"/>
    <cellStyle name="Percent 2 2 2 2" xfId="24559"/>
    <cellStyle name="Percent 2 2 2 3" xfId="24558"/>
    <cellStyle name="Percent 2 2 3" xfId="23998"/>
    <cellStyle name="Percent 2 2 3 2" xfId="24560"/>
    <cellStyle name="Percent 2 2 4" xfId="24561"/>
    <cellStyle name="Percent 2 2 5" xfId="24557"/>
    <cellStyle name="Percent 2 3" xfId="24000"/>
    <cellStyle name="Percent 2 3 2" xfId="24563"/>
    <cellStyle name="Percent 2 3 3" xfId="24562"/>
    <cellStyle name="Percent 2 4" xfId="23997"/>
    <cellStyle name="Percent 2 4 2" xfId="24564"/>
    <cellStyle name="Percent 2 4 3" xfId="28691"/>
    <cellStyle name="Percent 2 5" xfId="24565"/>
    <cellStyle name="Percent 2 6" xfId="24556"/>
    <cellStyle name="Percent 3" xfId="7102"/>
    <cellStyle name="Percent 3 2" xfId="24567"/>
    <cellStyle name="Percent 3 3" xfId="24566"/>
    <cellStyle name="Percent 4" xfId="24568"/>
    <cellStyle name="PSChar" xfId="18"/>
    <cellStyle name="PSChar 2" xfId="19"/>
    <cellStyle name="PSChar 2 2" xfId="24003"/>
    <cellStyle name="PSChar 2 2 2" xfId="24004"/>
    <cellStyle name="PSChar 2 3" xfId="24005"/>
    <cellStyle name="PSChar 2 4" xfId="24002"/>
    <cellStyle name="PSChar 3" xfId="24006"/>
    <cellStyle name="PSChar 3 2" xfId="24007"/>
    <cellStyle name="PSChar 3 2 2" xfId="24008"/>
    <cellStyle name="PSChar 3 3" xfId="24009"/>
    <cellStyle name="PSChar 4" xfId="24010"/>
    <cellStyle name="PSChar 4 2" xfId="24011"/>
    <cellStyle name="PSChar 5" xfId="24012"/>
    <cellStyle name="PSChar 5 2" xfId="24013"/>
    <cellStyle name="PSChar 6" xfId="24014"/>
    <cellStyle name="PSChar 7" xfId="24463"/>
    <cellStyle name="PSChar 8" xfId="24001"/>
    <cellStyle name="PSDate" xfId="20"/>
    <cellStyle name="PSDate 2" xfId="21"/>
    <cellStyle name="PSDate 2 2" xfId="24017"/>
    <cellStyle name="PSDate 2 2 2" xfId="24018"/>
    <cellStyle name="PSDate 2 3" xfId="24019"/>
    <cellStyle name="PSDate 2 4" xfId="24016"/>
    <cellStyle name="PSDate 3" xfId="24020"/>
    <cellStyle name="PSDate 3 2" xfId="24021"/>
    <cellStyle name="PSDate 3 2 2" xfId="24022"/>
    <cellStyle name="PSDate 3 3" xfId="24023"/>
    <cellStyle name="PSDate 4" xfId="24024"/>
    <cellStyle name="PSDate 4 2" xfId="24025"/>
    <cellStyle name="PSDate 5" xfId="24026"/>
    <cellStyle name="PSDate 5 2" xfId="24027"/>
    <cellStyle name="PSDate 6" xfId="24028"/>
    <cellStyle name="PSDate 7" xfId="24462"/>
    <cellStyle name="PSDate 8" xfId="24015"/>
    <cellStyle name="PSDec" xfId="22"/>
    <cellStyle name="PSDec 2" xfId="23"/>
    <cellStyle name="PSDec 2 2" xfId="24031"/>
    <cellStyle name="PSDec 2 2 2" xfId="24032"/>
    <cellStyle name="PSDec 2 3" xfId="24033"/>
    <cellStyle name="PSDec 2 4" xfId="24030"/>
    <cellStyle name="PSDec 3" xfId="24034"/>
    <cellStyle name="PSDec 3 2" xfId="24035"/>
    <cellStyle name="PSDec 3 2 2" xfId="24036"/>
    <cellStyle name="PSDec 3 3" xfId="24037"/>
    <cellStyle name="PSDec 4" xfId="24038"/>
    <cellStyle name="PSDec 4 2" xfId="24039"/>
    <cellStyle name="PSDec 5" xfId="24040"/>
    <cellStyle name="PSDec 5 2" xfId="24041"/>
    <cellStyle name="PSDec 6" xfId="24042"/>
    <cellStyle name="PSDec 7" xfId="24461"/>
    <cellStyle name="PSDec 8" xfId="24029"/>
    <cellStyle name="PSHeading" xfId="24"/>
    <cellStyle name="PSHeading 2" xfId="25"/>
    <cellStyle name="PSHeading 2 2" xfId="24045"/>
    <cellStyle name="PSHeading 2 2 2" xfId="24046"/>
    <cellStyle name="PSHeading 2 3" xfId="24047"/>
    <cellStyle name="PSHeading 2 4" xfId="24044"/>
    <cellStyle name="PSHeading 3" xfId="24048"/>
    <cellStyle name="PSHeading 3 2" xfId="24049"/>
    <cellStyle name="PSHeading 3 2 2" xfId="24050"/>
    <cellStyle name="PSHeading 3 3" xfId="24051"/>
    <cellStyle name="PSHeading 4" xfId="24052"/>
    <cellStyle name="PSHeading 4 2" xfId="24053"/>
    <cellStyle name="PSHeading 5" xfId="24054"/>
    <cellStyle name="PSHeading 5 2" xfId="24055"/>
    <cellStyle name="PSHeading 6" xfId="24056"/>
    <cellStyle name="PSHeading 7" xfId="24460"/>
    <cellStyle name="PSHeading 8" xfId="24043"/>
    <cellStyle name="PSInt" xfId="26"/>
    <cellStyle name="PSInt 2" xfId="27"/>
    <cellStyle name="PSInt 2 2" xfId="24059"/>
    <cellStyle name="PSInt 2 2 2" xfId="24060"/>
    <cellStyle name="PSInt 2 3" xfId="24061"/>
    <cellStyle name="PSInt 2 4" xfId="24058"/>
    <cellStyle name="PSInt 3" xfId="24062"/>
    <cellStyle name="PSInt 3 2" xfId="24063"/>
    <cellStyle name="PSInt 3 2 2" xfId="24064"/>
    <cellStyle name="PSInt 3 3" xfId="24065"/>
    <cellStyle name="PSInt 4" xfId="24066"/>
    <cellStyle name="PSInt 4 2" xfId="24067"/>
    <cellStyle name="PSInt 5" xfId="24068"/>
    <cellStyle name="PSInt 5 2" xfId="24069"/>
    <cellStyle name="PSInt 6" xfId="24070"/>
    <cellStyle name="PSInt 7" xfId="24459"/>
    <cellStyle name="PSInt 8" xfId="24057"/>
    <cellStyle name="PSSpacer" xfId="28"/>
    <cellStyle name="PSSpacer 2" xfId="29"/>
    <cellStyle name="PSSpacer 2 2" xfId="24073"/>
    <cellStyle name="PSSpacer 2 2 2" xfId="24074"/>
    <cellStyle name="PSSpacer 2 3" xfId="24075"/>
    <cellStyle name="PSSpacer 2 4" xfId="24072"/>
    <cellStyle name="PSSpacer 3" xfId="24076"/>
    <cellStyle name="PSSpacer 3 2" xfId="24077"/>
    <cellStyle name="PSSpacer 3 2 2" xfId="24078"/>
    <cellStyle name="PSSpacer 3 3" xfId="24079"/>
    <cellStyle name="PSSpacer 4" xfId="24080"/>
    <cellStyle name="PSSpacer 4 2" xfId="24081"/>
    <cellStyle name="PSSpacer 5" xfId="24082"/>
    <cellStyle name="PSSpacer 5 2" xfId="24083"/>
    <cellStyle name="PSSpacer 6" xfId="24084"/>
    <cellStyle name="PSSpacer 7" xfId="24458"/>
    <cellStyle name="PSSpacer 8" xfId="24071"/>
    <cellStyle name="Title 2" xfId="107"/>
    <cellStyle name="Title 2 10" xfId="3532"/>
    <cellStyle name="Title 2 10 2" xfId="24088"/>
    <cellStyle name="Title 2 10 3" xfId="24087"/>
    <cellStyle name="Title 2 11" xfId="24089"/>
    <cellStyle name="Title 2 12" xfId="24086"/>
    <cellStyle name="Title 2 2" xfId="153"/>
    <cellStyle name="Title 2 2 2" xfId="24091"/>
    <cellStyle name="Title 2 2 3" xfId="24090"/>
    <cellStyle name="Title 2 3" xfId="317"/>
    <cellStyle name="Title 2 3 2" xfId="1868"/>
    <cellStyle name="Title 2 3 2 2" xfId="24094"/>
    <cellStyle name="Title 2 3 2 3" xfId="24093"/>
    <cellStyle name="Title 2 3 3" xfId="2243"/>
    <cellStyle name="Title 2 3 3 2" xfId="24096"/>
    <cellStyle name="Title 2 3 3 3" xfId="24095"/>
    <cellStyle name="Title 2 3 4" xfId="2617"/>
    <cellStyle name="Title 2 3 4 2" xfId="24098"/>
    <cellStyle name="Title 2 3 4 3" xfId="24097"/>
    <cellStyle name="Title 2 3 5" xfId="2989"/>
    <cellStyle name="Title 2 3 5 2" xfId="24100"/>
    <cellStyle name="Title 2 3 5 3" xfId="24099"/>
    <cellStyle name="Title 2 3 6" xfId="3361"/>
    <cellStyle name="Title 2 3 6 2" xfId="24102"/>
    <cellStyle name="Title 2 3 6 3" xfId="24101"/>
    <cellStyle name="Title 2 3 7" xfId="1434"/>
    <cellStyle name="Title 2 3 7 2" xfId="24103"/>
    <cellStyle name="Title 2 3 8" xfId="24092"/>
    <cellStyle name="Title 2 4" xfId="1541"/>
    <cellStyle name="Title 2 4 2" xfId="1924"/>
    <cellStyle name="Title 2 4 2 2" xfId="24106"/>
    <cellStyle name="Title 2 4 2 3" xfId="24105"/>
    <cellStyle name="Title 2 4 3" xfId="2299"/>
    <cellStyle name="Title 2 4 3 2" xfId="24108"/>
    <cellStyle name="Title 2 4 3 3" xfId="24107"/>
    <cellStyle name="Title 2 4 4" xfId="2672"/>
    <cellStyle name="Title 2 4 4 2" xfId="24110"/>
    <cellStyle name="Title 2 4 4 3" xfId="24109"/>
    <cellStyle name="Title 2 4 5" xfId="3045"/>
    <cellStyle name="Title 2 4 5 2" xfId="24112"/>
    <cellStyle name="Title 2 4 5 3" xfId="24111"/>
    <cellStyle name="Title 2 4 6" xfId="3416"/>
    <cellStyle name="Title 2 4 6 2" xfId="24114"/>
    <cellStyle name="Title 2 4 6 3" xfId="24113"/>
    <cellStyle name="Title 2 4 7" xfId="24115"/>
    <cellStyle name="Title 2 4 8" xfId="24104"/>
    <cellStyle name="Title 2 5" xfId="1709"/>
    <cellStyle name="Title 2 5 2" xfId="24117"/>
    <cellStyle name="Title 2 5 3" xfId="24116"/>
    <cellStyle name="Title 2 6" xfId="2044"/>
    <cellStyle name="Title 2 6 2" xfId="24119"/>
    <cellStyle name="Title 2 6 3" xfId="24118"/>
    <cellStyle name="Title 2 7" xfId="2418"/>
    <cellStyle name="Title 2 7 2" xfId="24121"/>
    <cellStyle name="Title 2 7 3" xfId="24120"/>
    <cellStyle name="Title 2 8" xfId="2790"/>
    <cellStyle name="Title 2 8 2" xfId="24123"/>
    <cellStyle name="Title 2 8 3" xfId="24122"/>
    <cellStyle name="Title 2 9" xfId="3161"/>
    <cellStyle name="Title 2 9 2" xfId="24125"/>
    <cellStyle name="Title 2 9 3" xfId="24124"/>
    <cellStyle name="Title 3" xfId="194"/>
    <cellStyle name="Title 3 10" xfId="3713"/>
    <cellStyle name="Title 3 10 2" xfId="24128"/>
    <cellStyle name="Title 3 10 3" xfId="24127"/>
    <cellStyle name="Title 3 11" xfId="24129"/>
    <cellStyle name="Title 3 12" xfId="24126"/>
    <cellStyle name="Title 3 2" xfId="1486"/>
    <cellStyle name="Title 3 2 2" xfId="1805"/>
    <cellStyle name="Title 3 2 2 2" xfId="24132"/>
    <cellStyle name="Title 3 2 2 3" xfId="24131"/>
    <cellStyle name="Title 3 2 3" xfId="2180"/>
    <cellStyle name="Title 3 2 3 2" xfId="24134"/>
    <cellStyle name="Title 3 2 3 3" xfId="24133"/>
    <cellStyle name="Title 3 2 4" xfId="2554"/>
    <cellStyle name="Title 3 2 4 2" xfId="24136"/>
    <cellStyle name="Title 3 2 4 3" xfId="24135"/>
    <cellStyle name="Title 3 2 5" xfId="2926"/>
    <cellStyle name="Title 3 2 5 2" xfId="24138"/>
    <cellStyle name="Title 3 2 5 3" xfId="24137"/>
    <cellStyle name="Title 3 2 6" xfId="3298"/>
    <cellStyle name="Title 3 2 6 2" xfId="24140"/>
    <cellStyle name="Title 3 2 6 3" xfId="24139"/>
    <cellStyle name="Title 3 2 7" xfId="24141"/>
    <cellStyle name="Title 3 2 8" xfId="24130"/>
    <cellStyle name="Title 3 3" xfId="1613"/>
    <cellStyle name="Title 3 3 2" xfId="1882"/>
    <cellStyle name="Title 3 3 2 2" xfId="24144"/>
    <cellStyle name="Title 3 3 2 3" xfId="24143"/>
    <cellStyle name="Title 3 3 3" xfId="2257"/>
    <cellStyle name="Title 3 3 3 2" xfId="24146"/>
    <cellStyle name="Title 3 3 3 3" xfId="24145"/>
    <cellStyle name="Title 3 3 4" xfId="2630"/>
    <cellStyle name="Title 3 3 4 2" xfId="24148"/>
    <cellStyle name="Title 3 3 4 3" xfId="24147"/>
    <cellStyle name="Title 3 3 5" xfId="3003"/>
    <cellStyle name="Title 3 3 5 2" xfId="24150"/>
    <cellStyle name="Title 3 3 5 3" xfId="24149"/>
    <cellStyle name="Title 3 3 6" xfId="3374"/>
    <cellStyle name="Title 3 3 6 2" xfId="24152"/>
    <cellStyle name="Title 3 3 6 3" xfId="24151"/>
    <cellStyle name="Title 3 3 7" xfId="24153"/>
    <cellStyle name="Title 3 3 8" xfId="24142"/>
    <cellStyle name="Title 3 4" xfId="1756"/>
    <cellStyle name="Title 3 4 2" xfId="1926"/>
    <cellStyle name="Title 3 4 2 2" xfId="24156"/>
    <cellStyle name="Title 3 4 2 3" xfId="24155"/>
    <cellStyle name="Title 3 4 3" xfId="2301"/>
    <cellStyle name="Title 3 4 3 2" xfId="24158"/>
    <cellStyle name="Title 3 4 3 3" xfId="24157"/>
    <cellStyle name="Title 3 4 4" xfId="2674"/>
    <cellStyle name="Title 3 4 4 2" xfId="24160"/>
    <cellStyle name="Title 3 4 4 3" xfId="24159"/>
    <cellStyle name="Title 3 4 5" xfId="3047"/>
    <cellStyle name="Title 3 4 5 2" xfId="24162"/>
    <cellStyle name="Title 3 4 5 3" xfId="24161"/>
    <cellStyle name="Title 3 4 6" xfId="3418"/>
    <cellStyle name="Title 3 4 6 2" xfId="24164"/>
    <cellStyle name="Title 3 4 6 3" xfId="24163"/>
    <cellStyle name="Title 3 4 7" xfId="24165"/>
    <cellStyle name="Title 3 4 8" xfId="24154"/>
    <cellStyle name="Title 3 5" xfId="2091"/>
    <cellStyle name="Title 3 5 2" xfId="24167"/>
    <cellStyle name="Title 3 5 3" xfId="24166"/>
    <cellStyle name="Title 3 6" xfId="2465"/>
    <cellStyle name="Title 3 6 2" xfId="24169"/>
    <cellStyle name="Title 3 6 3" xfId="24168"/>
    <cellStyle name="Title 3 7" xfId="2837"/>
    <cellStyle name="Title 3 7 2" xfId="24171"/>
    <cellStyle name="Title 3 7 3" xfId="24170"/>
    <cellStyle name="Title 3 8" xfId="3208"/>
    <cellStyle name="Title 3 8 2" xfId="24173"/>
    <cellStyle name="Title 3 8 3" xfId="24172"/>
    <cellStyle name="Title 3 9" xfId="3577"/>
    <cellStyle name="Title 3 9 2" xfId="24175"/>
    <cellStyle name="Title 3 9 3" xfId="24174"/>
    <cellStyle name="Title 4" xfId="273"/>
    <cellStyle name="Title 4 10" xfId="3757"/>
    <cellStyle name="Title 4 10 2" xfId="24178"/>
    <cellStyle name="Title 4 10 3" xfId="24177"/>
    <cellStyle name="Title 4 11" xfId="1276"/>
    <cellStyle name="Title 4 11 2" xfId="24179"/>
    <cellStyle name="Title 4 12" xfId="24176"/>
    <cellStyle name="Title 4 2" xfId="1531"/>
    <cellStyle name="Title 4 2 2" xfId="24181"/>
    <cellStyle name="Title 4 2 3" xfId="24180"/>
    <cellStyle name="Title 4 3" xfId="1656"/>
    <cellStyle name="Title 4 3 2" xfId="24183"/>
    <cellStyle name="Title 4 3 3" xfId="24182"/>
    <cellStyle name="Title 4 4" xfId="1765"/>
    <cellStyle name="Title 4 4 2" xfId="24185"/>
    <cellStyle name="Title 4 4 3" xfId="24184"/>
    <cellStyle name="Title 4 5" xfId="2100"/>
    <cellStyle name="Title 4 5 2" xfId="24187"/>
    <cellStyle name="Title 4 5 3" xfId="24186"/>
    <cellStyle name="Title 4 6" xfId="2474"/>
    <cellStyle name="Title 4 6 2" xfId="24189"/>
    <cellStyle name="Title 4 6 3" xfId="24188"/>
    <cellStyle name="Title 4 7" xfId="2846"/>
    <cellStyle name="Title 4 7 2" xfId="24191"/>
    <cellStyle name="Title 4 7 3" xfId="24190"/>
    <cellStyle name="Title 4 8" xfId="3217"/>
    <cellStyle name="Title 4 8 2" xfId="24193"/>
    <cellStyle name="Title 4 8 3" xfId="24192"/>
    <cellStyle name="Title 4 9" xfId="3620"/>
    <cellStyle name="Title 4 9 2" xfId="24195"/>
    <cellStyle name="Title 4 9 3" xfId="24194"/>
    <cellStyle name="Title 5" xfId="510"/>
    <cellStyle name="Title 5 10" xfId="3763"/>
    <cellStyle name="Title 5 10 2" xfId="24198"/>
    <cellStyle name="Title 5 10 3" xfId="24197"/>
    <cellStyle name="Title 5 11" xfId="24199"/>
    <cellStyle name="Title 5 12" xfId="24196"/>
    <cellStyle name="Title 5 2" xfId="1569"/>
    <cellStyle name="Title 5 2 2" xfId="24201"/>
    <cellStyle name="Title 5 2 3" xfId="24200"/>
    <cellStyle name="Title 5 3" xfId="1661"/>
    <cellStyle name="Title 5 3 2" xfId="24203"/>
    <cellStyle name="Title 5 3 3" xfId="24202"/>
    <cellStyle name="Title 5 4" xfId="1848"/>
    <cellStyle name="Title 5 4 2" xfId="24205"/>
    <cellStyle name="Title 5 4 3" xfId="24204"/>
    <cellStyle name="Title 5 5" xfId="2223"/>
    <cellStyle name="Title 5 5 2" xfId="24207"/>
    <cellStyle name="Title 5 5 3" xfId="24206"/>
    <cellStyle name="Title 5 6" xfId="2597"/>
    <cellStyle name="Title 5 6 2" xfId="24209"/>
    <cellStyle name="Title 5 6 3" xfId="24208"/>
    <cellStyle name="Title 5 7" xfId="2969"/>
    <cellStyle name="Title 5 7 2" xfId="24211"/>
    <cellStyle name="Title 5 7 3" xfId="24210"/>
    <cellStyle name="Title 5 8" xfId="3341"/>
    <cellStyle name="Title 5 8 2" xfId="24213"/>
    <cellStyle name="Title 5 8 3" xfId="24212"/>
    <cellStyle name="Title 5 9" xfId="3624"/>
    <cellStyle name="Title 5 9 2" xfId="24215"/>
    <cellStyle name="Title 5 9 3" xfId="24214"/>
    <cellStyle name="Title 6" xfId="633"/>
    <cellStyle name="Title 6 2" xfId="2007"/>
    <cellStyle name="Title 6 2 2" xfId="24218"/>
    <cellStyle name="Title 6 2 3" xfId="24217"/>
    <cellStyle name="Title 6 3" xfId="2382"/>
    <cellStyle name="Title 6 3 2" xfId="24220"/>
    <cellStyle name="Title 6 3 3" xfId="24219"/>
    <cellStyle name="Title 6 4" xfId="2755"/>
    <cellStyle name="Title 6 4 2" xfId="24222"/>
    <cellStyle name="Title 6 4 3" xfId="24221"/>
    <cellStyle name="Title 6 5" xfId="3128"/>
    <cellStyle name="Title 6 5 2" xfId="24224"/>
    <cellStyle name="Title 6 5 3" xfId="24223"/>
    <cellStyle name="Title 6 6" xfId="3499"/>
    <cellStyle name="Title 6 6 2" xfId="24226"/>
    <cellStyle name="Title 6 6 3" xfId="24225"/>
    <cellStyle name="Title 6 7" xfId="3805"/>
    <cellStyle name="Title 6 7 2" xfId="24228"/>
    <cellStyle name="Title 6 7 3" xfId="24227"/>
    <cellStyle name="Title 6 8" xfId="24229"/>
    <cellStyle name="Title 6 9" xfId="24216"/>
    <cellStyle name="Title 7" xfId="914"/>
    <cellStyle name="Title 7 2" xfId="3812"/>
    <cellStyle name="Title 7 2 2" xfId="24231"/>
    <cellStyle name="Title 7 3" xfId="24230"/>
    <cellStyle name="Title 8" xfId="24232"/>
    <cellStyle name="Title 9" xfId="24085"/>
    <cellStyle name="Total 10" xfId="790"/>
    <cellStyle name="Total 10 2" xfId="24235"/>
    <cellStyle name="Total 10 3" xfId="24234"/>
    <cellStyle name="Total 11" xfId="791"/>
    <cellStyle name="Total 11 2" xfId="24237"/>
    <cellStyle name="Total 11 3" xfId="24236"/>
    <cellStyle name="Total 12" xfId="915"/>
    <cellStyle name="Total 12 2" xfId="24238"/>
    <cellStyle name="Total 13" xfId="916"/>
    <cellStyle name="Total 13 2" xfId="24233"/>
    <cellStyle name="Total 14" xfId="997"/>
    <cellStyle name="Total 2" xfId="108"/>
    <cellStyle name="Total 2 10" xfId="1710"/>
    <cellStyle name="Total 2 10 2" xfId="24241"/>
    <cellStyle name="Total 2 10 3" xfId="24240"/>
    <cellStyle name="Total 2 11" xfId="2045"/>
    <cellStyle name="Total 2 11 2" xfId="24243"/>
    <cellStyle name="Total 2 11 3" xfId="24242"/>
    <cellStyle name="Total 2 12" xfId="2419"/>
    <cellStyle name="Total 2 12 2" xfId="24245"/>
    <cellStyle name="Total 2 12 3" xfId="24244"/>
    <cellStyle name="Total 2 13" xfId="2791"/>
    <cellStyle name="Total 2 13 2" xfId="24247"/>
    <cellStyle name="Total 2 13 3" xfId="24246"/>
    <cellStyle name="Total 2 14" xfId="3162"/>
    <cellStyle name="Total 2 14 2" xfId="24249"/>
    <cellStyle name="Total 2 14 3" xfId="24248"/>
    <cellStyle name="Total 2 15" xfId="3533"/>
    <cellStyle name="Total 2 15 2" xfId="24251"/>
    <cellStyle name="Total 2 15 3" xfId="24250"/>
    <cellStyle name="Total 2 16" xfId="3669"/>
    <cellStyle name="Total 2 16 2" xfId="24253"/>
    <cellStyle name="Total 2 16 3" xfId="24252"/>
    <cellStyle name="Total 2 17" xfId="24254"/>
    <cellStyle name="Total 2 17 2" xfId="24255"/>
    <cellStyle name="Total 2 18" xfId="24256"/>
    <cellStyle name="Total 2 19" xfId="24239"/>
    <cellStyle name="Total 2 2" xfId="151"/>
    <cellStyle name="Total 2 2 2" xfId="169"/>
    <cellStyle name="Total 2 2 2 2" xfId="24259"/>
    <cellStyle name="Total 2 2 2 3" xfId="24258"/>
    <cellStyle name="Total 2 2 3" xfId="333"/>
    <cellStyle name="Total 2 2 3 2" xfId="24261"/>
    <cellStyle name="Total 2 2 3 3" xfId="24260"/>
    <cellStyle name="Total 2 2 4" xfId="2155"/>
    <cellStyle name="Total 2 2 4 2" xfId="24263"/>
    <cellStyle name="Total 2 2 4 3" xfId="24262"/>
    <cellStyle name="Total 2 2 5" xfId="2529"/>
    <cellStyle name="Total 2 2 5 2" xfId="24265"/>
    <cellStyle name="Total 2 2 5 3" xfId="24264"/>
    <cellStyle name="Total 2 2 6" xfId="2901"/>
    <cellStyle name="Total 2 2 6 2" xfId="24267"/>
    <cellStyle name="Total 2 2 6 3" xfId="24266"/>
    <cellStyle name="Total 2 2 7" xfId="3273"/>
    <cellStyle name="Total 2 2 7 2" xfId="24269"/>
    <cellStyle name="Total 2 2 7 3" xfId="24268"/>
    <cellStyle name="Total 2 2 8" xfId="24270"/>
    <cellStyle name="Total 2 2 9" xfId="24257"/>
    <cellStyle name="Total 2 20" xfId="24503"/>
    <cellStyle name="Total 2 3" xfId="315"/>
    <cellStyle name="Total 2 3 2" xfId="1331"/>
    <cellStyle name="Total 2 3 2 2" xfId="24272"/>
    <cellStyle name="Total 2 3 3" xfId="24271"/>
    <cellStyle name="Total 2 4" xfId="511"/>
    <cellStyle name="Total 2 4 2" xfId="24274"/>
    <cellStyle name="Total 2 4 3" xfId="24273"/>
    <cellStyle name="Total 2 5" xfId="634"/>
    <cellStyle name="Total 2 5 2" xfId="24276"/>
    <cellStyle name="Total 2 5 3" xfId="24275"/>
    <cellStyle name="Total 2 6" xfId="792"/>
    <cellStyle name="Total 2 6 2" xfId="24278"/>
    <cellStyle name="Total 2 6 3" xfId="24277"/>
    <cellStyle name="Total 2 7" xfId="793"/>
    <cellStyle name="Total 2 7 2" xfId="24280"/>
    <cellStyle name="Total 2 7 3" xfId="24279"/>
    <cellStyle name="Total 2 8" xfId="917"/>
    <cellStyle name="Total 2 8 2" xfId="1435"/>
    <cellStyle name="Total 2 8 2 2" xfId="24282"/>
    <cellStyle name="Total 2 8 3" xfId="24281"/>
    <cellStyle name="Total 2 9" xfId="998"/>
    <cellStyle name="Total 2 9 2" xfId="1540"/>
    <cellStyle name="Total 2 9 2 2" xfId="24284"/>
    <cellStyle name="Total 2 9 3" xfId="24283"/>
    <cellStyle name="Total 3" xfId="210"/>
    <cellStyle name="Total 3 10" xfId="3714"/>
    <cellStyle name="Total 3 10 2" xfId="24287"/>
    <cellStyle name="Total 3 10 3" xfId="24286"/>
    <cellStyle name="Total 3 11" xfId="24288"/>
    <cellStyle name="Total 3 11 2" xfId="24289"/>
    <cellStyle name="Total 3 12" xfId="24290"/>
    <cellStyle name="Total 3 13" xfId="24285"/>
    <cellStyle name="Total 3 2" xfId="1487"/>
    <cellStyle name="Total 3 2 2" xfId="1821"/>
    <cellStyle name="Total 3 2 2 2" xfId="24293"/>
    <cellStyle name="Total 3 2 2 3" xfId="24292"/>
    <cellStyle name="Total 3 2 3" xfId="2196"/>
    <cellStyle name="Total 3 2 3 2" xfId="24295"/>
    <cellStyle name="Total 3 2 3 3" xfId="24294"/>
    <cellStyle name="Total 3 2 4" xfId="2570"/>
    <cellStyle name="Total 3 2 4 2" xfId="24297"/>
    <cellStyle name="Total 3 2 4 3" xfId="24296"/>
    <cellStyle name="Total 3 2 5" xfId="2942"/>
    <cellStyle name="Total 3 2 5 2" xfId="24299"/>
    <cellStyle name="Total 3 2 5 3" xfId="24298"/>
    <cellStyle name="Total 3 2 6" xfId="3314"/>
    <cellStyle name="Total 3 2 6 2" xfId="24301"/>
    <cellStyle name="Total 3 2 6 3" xfId="24300"/>
    <cellStyle name="Total 3 2 7" xfId="24302"/>
    <cellStyle name="Total 3 2 8" xfId="24291"/>
    <cellStyle name="Total 3 3" xfId="1614"/>
    <cellStyle name="Total 3 3 2" xfId="1898"/>
    <cellStyle name="Total 3 3 2 2" xfId="24305"/>
    <cellStyle name="Total 3 3 2 3" xfId="24304"/>
    <cellStyle name="Total 3 3 3" xfId="2273"/>
    <cellStyle name="Total 3 3 3 2" xfId="24307"/>
    <cellStyle name="Total 3 3 3 3" xfId="24306"/>
    <cellStyle name="Total 3 3 4" xfId="2646"/>
    <cellStyle name="Total 3 3 4 2" xfId="24309"/>
    <cellStyle name="Total 3 3 4 3" xfId="24308"/>
    <cellStyle name="Total 3 3 5" xfId="3019"/>
    <cellStyle name="Total 3 3 5 2" xfId="24311"/>
    <cellStyle name="Total 3 3 5 3" xfId="24310"/>
    <cellStyle name="Total 3 3 6" xfId="3390"/>
    <cellStyle name="Total 3 3 6 2" xfId="24313"/>
    <cellStyle name="Total 3 3 6 3" xfId="24312"/>
    <cellStyle name="Total 3 3 7" xfId="24314"/>
    <cellStyle name="Total 3 3 8" xfId="24303"/>
    <cellStyle name="Total 3 4" xfId="1757"/>
    <cellStyle name="Total 3 4 2" xfId="1942"/>
    <cellStyle name="Total 3 4 2 2" xfId="24317"/>
    <cellStyle name="Total 3 4 2 3" xfId="24316"/>
    <cellStyle name="Total 3 4 3" xfId="2317"/>
    <cellStyle name="Total 3 4 3 2" xfId="24319"/>
    <cellStyle name="Total 3 4 3 3" xfId="24318"/>
    <cellStyle name="Total 3 4 4" xfId="2690"/>
    <cellStyle name="Total 3 4 4 2" xfId="24321"/>
    <cellStyle name="Total 3 4 4 3" xfId="24320"/>
    <cellStyle name="Total 3 4 5" xfId="3063"/>
    <cellStyle name="Total 3 4 5 2" xfId="24323"/>
    <cellStyle name="Total 3 4 5 3" xfId="24322"/>
    <cellStyle name="Total 3 4 6" xfId="3434"/>
    <cellStyle name="Total 3 4 6 2" xfId="24325"/>
    <cellStyle name="Total 3 4 6 3" xfId="24324"/>
    <cellStyle name="Total 3 4 7" xfId="24326"/>
    <cellStyle name="Total 3 4 8" xfId="24315"/>
    <cellStyle name="Total 3 5" xfId="2092"/>
    <cellStyle name="Total 3 5 2" xfId="24328"/>
    <cellStyle name="Total 3 5 3" xfId="24327"/>
    <cellStyle name="Total 3 6" xfId="2466"/>
    <cellStyle name="Total 3 6 2" xfId="24330"/>
    <cellStyle name="Total 3 6 3" xfId="24329"/>
    <cellStyle name="Total 3 7" xfId="2838"/>
    <cellStyle name="Total 3 7 2" xfId="24332"/>
    <cellStyle name="Total 3 7 3" xfId="24331"/>
    <cellStyle name="Total 3 8" xfId="3209"/>
    <cellStyle name="Total 3 8 2" xfId="24334"/>
    <cellStyle name="Total 3 8 3" xfId="24333"/>
    <cellStyle name="Total 3 9" xfId="3578"/>
    <cellStyle name="Total 3 9 2" xfId="24336"/>
    <cellStyle name="Total 3 9 3" xfId="24335"/>
    <cellStyle name="Total 4" xfId="274"/>
    <cellStyle name="Total 4 10" xfId="3758"/>
    <cellStyle name="Total 4 10 2" xfId="24338"/>
    <cellStyle name="Total 4 10 3" xfId="24337"/>
    <cellStyle name="Total 4 11" xfId="1292"/>
    <cellStyle name="Total 4 11 2" xfId="24340"/>
    <cellStyle name="Total 4 11 3" xfId="24339"/>
    <cellStyle name="Total 4 12" xfId="24341"/>
    <cellStyle name="Total 4 2" xfId="1532"/>
    <cellStyle name="Total 4 2 2" xfId="24343"/>
    <cellStyle name="Total 4 2 3" xfId="24342"/>
    <cellStyle name="Total 4 3" xfId="1657"/>
    <cellStyle name="Total 4 3 2" xfId="24345"/>
    <cellStyle name="Total 4 3 3" xfId="24344"/>
    <cellStyle name="Total 4 4" xfId="1764"/>
    <cellStyle name="Total 4 4 2" xfId="24347"/>
    <cellStyle name="Total 4 4 3" xfId="24346"/>
    <cellStyle name="Total 4 5" xfId="2099"/>
    <cellStyle name="Total 4 5 2" xfId="24349"/>
    <cellStyle name="Total 4 5 3" xfId="24348"/>
    <cellStyle name="Total 4 6" xfId="2473"/>
    <cellStyle name="Total 4 6 2" xfId="24351"/>
    <cellStyle name="Total 4 6 3" xfId="24350"/>
    <cellStyle name="Total 4 7" xfId="2845"/>
    <cellStyle name="Total 4 7 2" xfId="24353"/>
    <cellStyle name="Total 4 7 3" xfId="24352"/>
    <cellStyle name="Total 4 8" xfId="3216"/>
    <cellStyle name="Total 4 8 2" xfId="24355"/>
    <cellStyle name="Total 4 8 3" xfId="24354"/>
    <cellStyle name="Total 4 9" xfId="3621"/>
    <cellStyle name="Total 4 9 2" xfId="5216"/>
    <cellStyle name="Total 4 9 2 2" xfId="24356"/>
    <cellStyle name="Total 4 9 3" xfId="5124"/>
    <cellStyle name="Total 5" xfId="512"/>
    <cellStyle name="Total 5 2" xfId="1881"/>
    <cellStyle name="Total 5 2 2" xfId="5218"/>
    <cellStyle name="Total 5 2 2 2" xfId="24357"/>
    <cellStyle name="Total 5 2 3" xfId="5126"/>
    <cellStyle name="Total 5 3" xfId="2256"/>
    <cellStyle name="Total 5 3 2" xfId="5219"/>
    <cellStyle name="Total 5 3 2 2" xfId="24358"/>
    <cellStyle name="Total 5 3 3" xfId="5127"/>
    <cellStyle name="Total 5 4" xfId="2629"/>
    <cellStyle name="Total 5 4 2" xfId="5220"/>
    <cellStyle name="Total 5 4 2 2" xfId="24359"/>
    <cellStyle name="Total 5 4 3" xfId="5128"/>
    <cellStyle name="Total 5 5" xfId="3002"/>
    <cellStyle name="Total 5 5 2" xfId="5221"/>
    <cellStyle name="Total 5 5 2 2" xfId="24360"/>
    <cellStyle name="Total 5 5 3" xfId="5129"/>
    <cellStyle name="Total 5 6" xfId="3373"/>
    <cellStyle name="Total 5 6 2" xfId="5222"/>
    <cellStyle name="Total 5 6 2 2" xfId="24361"/>
    <cellStyle name="Total 5 6 3" xfId="5130"/>
    <cellStyle name="Total 5 7" xfId="5217"/>
    <cellStyle name="Total 5 7 2" xfId="24363"/>
    <cellStyle name="Total 5 7 3" xfId="24362"/>
    <cellStyle name="Total 5 8" xfId="5125"/>
    <cellStyle name="Total 6" xfId="513"/>
    <cellStyle name="Total 6 2" xfId="2008"/>
    <cellStyle name="Total 6 2 2" xfId="5224"/>
    <cellStyle name="Total 6 2 2 2" xfId="24364"/>
    <cellStyle name="Total 6 2 3" xfId="5132"/>
    <cellStyle name="Total 6 3" xfId="2383"/>
    <cellStyle name="Total 6 3 2" xfId="5225"/>
    <cellStyle name="Total 6 3 2 2" xfId="24365"/>
    <cellStyle name="Total 6 3 3" xfId="5133"/>
    <cellStyle name="Total 6 4" xfId="2756"/>
    <cellStyle name="Total 6 4 2" xfId="5226"/>
    <cellStyle name="Total 6 4 2 2" xfId="24366"/>
    <cellStyle name="Total 6 4 3" xfId="5134"/>
    <cellStyle name="Total 6 5" xfId="3129"/>
    <cellStyle name="Total 6 5 2" xfId="5227"/>
    <cellStyle name="Total 6 5 2 2" xfId="24367"/>
    <cellStyle name="Total 6 5 3" xfId="5135"/>
    <cellStyle name="Total 6 6" xfId="3500"/>
    <cellStyle name="Total 6 6 2" xfId="5228"/>
    <cellStyle name="Total 6 6 2 2" xfId="24368"/>
    <cellStyle name="Total 6 6 3" xfId="5136"/>
    <cellStyle name="Total 6 7" xfId="3806"/>
    <cellStyle name="Total 6 7 2" xfId="5229"/>
    <cellStyle name="Total 6 7 2 2" xfId="24369"/>
    <cellStyle name="Total 6 7 3" xfId="5137"/>
    <cellStyle name="Total 6 8" xfId="5223"/>
    <cellStyle name="Total 6 8 2" xfId="24371"/>
    <cellStyle name="Total 6 8 3" xfId="24370"/>
    <cellStyle name="Total 6 9" xfId="5131"/>
    <cellStyle name="Total 7" xfId="514"/>
    <cellStyle name="Total 7 2" xfId="5230"/>
    <cellStyle name="Total 7 2 2" xfId="24372"/>
    <cellStyle name="Total 7 3" xfId="5138"/>
    <cellStyle name="Total 8" xfId="635"/>
    <cellStyle name="Total 8 2" xfId="5231"/>
    <cellStyle name="Total 8 2 2" xfId="24373"/>
    <cellStyle name="Total 8 3" xfId="5139"/>
    <cellStyle name="Total 9" xfId="636"/>
    <cellStyle name="Total 9 2" xfId="5232"/>
    <cellStyle name="Total 9 2 2" xfId="24374"/>
    <cellStyle name="Total 9 3" xfId="5140"/>
    <cellStyle name="Warning Text 10" xfId="794"/>
    <cellStyle name="Warning Text 10 2" xfId="5233"/>
    <cellStyle name="Warning Text 10 2 2" xfId="24376"/>
    <cellStyle name="Warning Text 10 3" xfId="5141"/>
    <cellStyle name="Warning Text 11" xfId="795"/>
    <cellStyle name="Warning Text 11 2" xfId="5234"/>
    <cellStyle name="Warning Text 11 2 2" xfId="24377"/>
    <cellStyle name="Warning Text 11 3" xfId="5142"/>
    <cellStyle name="Warning Text 12" xfId="918"/>
    <cellStyle name="Warning Text 12 2" xfId="24378"/>
    <cellStyle name="Warning Text 13" xfId="919"/>
    <cellStyle name="Warning Text 13 2" xfId="24375"/>
    <cellStyle name="Warning Text 14" xfId="999"/>
    <cellStyle name="Warning Text 2" xfId="109"/>
    <cellStyle name="Warning Text 2 10" xfId="1711"/>
    <cellStyle name="Warning Text 2 10 2" xfId="5236"/>
    <cellStyle name="Warning Text 2 10 2 2" xfId="24379"/>
    <cellStyle name="Warning Text 2 10 3" xfId="5144"/>
    <cellStyle name="Warning Text 2 11" xfId="2046"/>
    <cellStyle name="Warning Text 2 11 2" xfId="5237"/>
    <cellStyle name="Warning Text 2 11 2 2" xfId="24380"/>
    <cellStyle name="Warning Text 2 11 3" xfId="5145"/>
    <cellStyle name="Warning Text 2 12" xfId="2420"/>
    <cellStyle name="Warning Text 2 12 2" xfId="5238"/>
    <cellStyle name="Warning Text 2 12 2 2" xfId="24381"/>
    <cellStyle name="Warning Text 2 12 3" xfId="5146"/>
    <cellStyle name="Warning Text 2 13" xfId="2792"/>
    <cellStyle name="Warning Text 2 13 2" xfId="5239"/>
    <cellStyle name="Warning Text 2 13 2 2" xfId="24382"/>
    <cellStyle name="Warning Text 2 13 3" xfId="5147"/>
    <cellStyle name="Warning Text 2 14" xfId="3163"/>
    <cellStyle name="Warning Text 2 14 2" xfId="5240"/>
    <cellStyle name="Warning Text 2 14 2 2" xfId="24383"/>
    <cellStyle name="Warning Text 2 14 3" xfId="5148"/>
    <cellStyle name="Warning Text 2 15" xfId="3534"/>
    <cellStyle name="Warning Text 2 15 2" xfId="5241"/>
    <cellStyle name="Warning Text 2 15 2 2" xfId="24384"/>
    <cellStyle name="Warning Text 2 15 3" xfId="5149"/>
    <cellStyle name="Warning Text 2 16" xfId="3670"/>
    <cellStyle name="Warning Text 2 16 2" xfId="5242"/>
    <cellStyle name="Warning Text 2 16 2 2" xfId="24385"/>
    <cellStyle name="Warning Text 2 16 3" xfId="5150"/>
    <cellStyle name="Warning Text 2 17" xfId="5235"/>
    <cellStyle name="Warning Text 2 17 2" xfId="24387"/>
    <cellStyle name="Warning Text 2 17 3" xfId="24386"/>
    <cellStyle name="Warning Text 2 18" xfId="5143"/>
    <cellStyle name="Warning Text 2 19" xfId="24504"/>
    <cellStyle name="Warning Text 2 2" xfId="152"/>
    <cellStyle name="Warning Text 2 2 2" xfId="166"/>
    <cellStyle name="Warning Text 2 2 2 2" xfId="5244"/>
    <cellStyle name="Warning Text 2 2 2 2 2" xfId="24388"/>
    <cellStyle name="Warning Text 2 2 2 3" xfId="5152"/>
    <cellStyle name="Warning Text 2 2 3" xfId="330"/>
    <cellStyle name="Warning Text 2 2 3 2" xfId="5245"/>
    <cellStyle name="Warning Text 2 2 3 2 2" xfId="24389"/>
    <cellStyle name="Warning Text 2 2 3 3" xfId="5153"/>
    <cellStyle name="Warning Text 2 2 4" xfId="2153"/>
    <cellStyle name="Warning Text 2 2 4 2" xfId="5246"/>
    <cellStyle name="Warning Text 2 2 4 2 2" xfId="24390"/>
    <cellStyle name="Warning Text 2 2 4 3" xfId="5154"/>
    <cellStyle name="Warning Text 2 2 5" xfId="2527"/>
    <cellStyle name="Warning Text 2 2 5 2" xfId="5247"/>
    <cellStyle name="Warning Text 2 2 5 2 2" xfId="24391"/>
    <cellStyle name="Warning Text 2 2 5 3" xfId="5155"/>
    <cellStyle name="Warning Text 2 2 6" xfId="2899"/>
    <cellStyle name="Warning Text 2 2 6 2" xfId="5248"/>
    <cellStyle name="Warning Text 2 2 6 2 2" xfId="24392"/>
    <cellStyle name="Warning Text 2 2 6 3" xfId="5156"/>
    <cellStyle name="Warning Text 2 2 7" xfId="3270"/>
    <cellStyle name="Warning Text 2 2 7 2" xfId="5249"/>
    <cellStyle name="Warning Text 2 2 7 2 2" xfId="24393"/>
    <cellStyle name="Warning Text 2 2 7 3" xfId="5157"/>
    <cellStyle name="Warning Text 2 2 8" xfId="5243"/>
    <cellStyle name="Warning Text 2 2 8 2" xfId="24394"/>
    <cellStyle name="Warning Text 2 2 9" xfId="5151"/>
    <cellStyle name="Warning Text 2 3" xfId="316"/>
    <cellStyle name="Warning Text 2 3 2" xfId="1329"/>
    <cellStyle name="Warning Text 2 3 2 2" xfId="24395"/>
    <cellStyle name="Warning Text 2 3 3" xfId="5158"/>
    <cellStyle name="Warning Text 2 4" xfId="515"/>
    <cellStyle name="Warning Text 2 4 2" xfId="5250"/>
    <cellStyle name="Warning Text 2 4 2 2" xfId="24396"/>
    <cellStyle name="Warning Text 2 4 3" xfId="5159"/>
    <cellStyle name="Warning Text 2 5" xfId="637"/>
    <cellStyle name="Warning Text 2 5 2" xfId="5251"/>
    <cellStyle name="Warning Text 2 5 2 2" xfId="24397"/>
    <cellStyle name="Warning Text 2 5 3" xfId="5160"/>
    <cellStyle name="Warning Text 2 6" xfId="796"/>
    <cellStyle name="Warning Text 2 6 2" xfId="5252"/>
    <cellStyle name="Warning Text 2 6 2 2" xfId="24398"/>
    <cellStyle name="Warning Text 2 6 3" xfId="5161"/>
    <cellStyle name="Warning Text 2 7" xfId="797"/>
    <cellStyle name="Warning Text 2 7 2" xfId="5253"/>
    <cellStyle name="Warning Text 2 7 2 2" xfId="24399"/>
    <cellStyle name="Warning Text 2 7 3" xfId="5162"/>
    <cellStyle name="Warning Text 2 8" xfId="920"/>
    <cellStyle name="Warning Text 2 8 2" xfId="1436"/>
    <cellStyle name="Warning Text 2 8 2 2" xfId="24400"/>
    <cellStyle name="Warning Text 2 8 3" xfId="5163"/>
    <cellStyle name="Warning Text 2 9" xfId="1000"/>
    <cellStyle name="Warning Text 2 9 2" xfId="1539"/>
    <cellStyle name="Warning Text 2 9 2 2" xfId="24401"/>
    <cellStyle name="Warning Text 2 9 3" xfId="5164"/>
    <cellStyle name="Warning Text 3" xfId="207"/>
    <cellStyle name="Warning Text 3 10" xfId="3715"/>
    <cellStyle name="Warning Text 3 10 2" xfId="5255"/>
    <cellStyle name="Warning Text 3 10 2 2" xfId="24402"/>
    <cellStyle name="Warning Text 3 10 3" xfId="5166"/>
    <cellStyle name="Warning Text 3 11" xfId="5254"/>
    <cellStyle name="Warning Text 3 11 2" xfId="24404"/>
    <cellStyle name="Warning Text 3 11 3" xfId="24403"/>
    <cellStyle name="Warning Text 3 12" xfId="5165"/>
    <cellStyle name="Warning Text 3 2" xfId="1488"/>
    <cellStyle name="Warning Text 3 2 2" xfId="1818"/>
    <cellStyle name="Warning Text 3 2 2 2" xfId="5257"/>
    <cellStyle name="Warning Text 3 2 2 2 2" xfId="24405"/>
    <cellStyle name="Warning Text 3 2 2 3" xfId="5168"/>
    <cellStyle name="Warning Text 3 2 3" xfId="2193"/>
    <cellStyle name="Warning Text 3 2 3 2" xfId="5258"/>
    <cellStyle name="Warning Text 3 2 3 2 2" xfId="24406"/>
    <cellStyle name="Warning Text 3 2 3 3" xfId="5169"/>
    <cellStyle name="Warning Text 3 2 4" xfId="2567"/>
    <cellStyle name="Warning Text 3 2 4 2" xfId="5259"/>
    <cellStyle name="Warning Text 3 2 4 2 2" xfId="24407"/>
    <cellStyle name="Warning Text 3 2 4 3" xfId="5170"/>
    <cellStyle name="Warning Text 3 2 5" xfId="2939"/>
    <cellStyle name="Warning Text 3 2 5 2" xfId="5260"/>
    <cellStyle name="Warning Text 3 2 5 2 2" xfId="24408"/>
    <cellStyle name="Warning Text 3 2 5 3" xfId="5171"/>
    <cellStyle name="Warning Text 3 2 6" xfId="3311"/>
    <cellStyle name="Warning Text 3 2 6 2" xfId="5261"/>
    <cellStyle name="Warning Text 3 2 6 2 2" xfId="24409"/>
    <cellStyle name="Warning Text 3 2 6 3" xfId="5172"/>
    <cellStyle name="Warning Text 3 2 7" xfId="5256"/>
    <cellStyle name="Warning Text 3 2 7 2" xfId="24410"/>
    <cellStyle name="Warning Text 3 2 8" xfId="5167"/>
    <cellStyle name="Warning Text 3 3" xfId="1615"/>
    <cellStyle name="Warning Text 3 3 2" xfId="1895"/>
    <cellStyle name="Warning Text 3 3 2 2" xfId="5263"/>
    <cellStyle name="Warning Text 3 3 2 2 2" xfId="24411"/>
    <cellStyle name="Warning Text 3 3 2 3" xfId="5174"/>
    <cellStyle name="Warning Text 3 3 3" xfId="2270"/>
    <cellStyle name="Warning Text 3 3 3 2" xfId="5264"/>
    <cellStyle name="Warning Text 3 3 3 2 2" xfId="24412"/>
    <cellStyle name="Warning Text 3 3 3 3" xfId="5175"/>
    <cellStyle name="Warning Text 3 3 4" xfId="2643"/>
    <cellStyle name="Warning Text 3 3 4 2" xfId="5265"/>
    <cellStyle name="Warning Text 3 3 4 2 2" xfId="24413"/>
    <cellStyle name="Warning Text 3 3 4 3" xfId="5176"/>
    <cellStyle name="Warning Text 3 3 5" xfId="3016"/>
    <cellStyle name="Warning Text 3 3 5 2" xfId="5266"/>
    <cellStyle name="Warning Text 3 3 5 2 2" xfId="24414"/>
    <cellStyle name="Warning Text 3 3 5 3" xfId="5177"/>
    <cellStyle name="Warning Text 3 3 6" xfId="3387"/>
    <cellStyle name="Warning Text 3 3 6 2" xfId="5267"/>
    <cellStyle name="Warning Text 3 3 6 2 2" xfId="24415"/>
    <cellStyle name="Warning Text 3 3 6 3" xfId="5178"/>
    <cellStyle name="Warning Text 3 3 7" xfId="5262"/>
    <cellStyle name="Warning Text 3 3 7 2" xfId="24416"/>
    <cellStyle name="Warning Text 3 3 8" xfId="5173"/>
    <cellStyle name="Warning Text 3 4" xfId="1758"/>
    <cellStyle name="Warning Text 3 4 2" xfId="1939"/>
    <cellStyle name="Warning Text 3 4 2 2" xfId="5269"/>
    <cellStyle name="Warning Text 3 4 2 2 2" xfId="24417"/>
    <cellStyle name="Warning Text 3 4 2 3" xfId="5180"/>
    <cellStyle name="Warning Text 3 4 3" xfId="2314"/>
    <cellStyle name="Warning Text 3 4 3 2" xfId="5270"/>
    <cellStyle name="Warning Text 3 4 3 2 2" xfId="24418"/>
    <cellStyle name="Warning Text 3 4 3 3" xfId="5181"/>
    <cellStyle name="Warning Text 3 4 4" xfId="2687"/>
    <cellStyle name="Warning Text 3 4 4 2" xfId="5271"/>
    <cellStyle name="Warning Text 3 4 4 2 2" xfId="24419"/>
    <cellStyle name="Warning Text 3 4 4 3" xfId="5182"/>
    <cellStyle name="Warning Text 3 4 5" xfId="3060"/>
    <cellStyle name="Warning Text 3 4 5 2" xfId="5272"/>
    <cellStyle name="Warning Text 3 4 5 2 2" xfId="24420"/>
    <cellStyle name="Warning Text 3 4 5 3" xfId="5183"/>
    <cellStyle name="Warning Text 3 4 6" xfId="3431"/>
    <cellStyle name="Warning Text 3 4 6 2" xfId="5273"/>
    <cellStyle name="Warning Text 3 4 6 2 2" xfId="24421"/>
    <cellStyle name="Warning Text 3 4 6 3" xfId="5184"/>
    <cellStyle name="Warning Text 3 4 7" xfId="5268"/>
    <cellStyle name="Warning Text 3 4 7 2" xfId="24422"/>
    <cellStyle name="Warning Text 3 4 8" xfId="5179"/>
    <cellStyle name="Warning Text 3 5" xfId="2093"/>
    <cellStyle name="Warning Text 3 5 2" xfId="5274"/>
    <cellStyle name="Warning Text 3 5 2 2" xfId="24423"/>
    <cellStyle name="Warning Text 3 5 3" xfId="5185"/>
    <cellStyle name="Warning Text 3 6" xfId="2467"/>
    <cellStyle name="Warning Text 3 6 2" xfId="5275"/>
    <cellStyle name="Warning Text 3 6 2 2" xfId="24424"/>
    <cellStyle name="Warning Text 3 6 3" xfId="5186"/>
    <cellStyle name="Warning Text 3 7" xfId="2839"/>
    <cellStyle name="Warning Text 3 7 2" xfId="5276"/>
    <cellStyle name="Warning Text 3 7 2 2" xfId="24425"/>
    <cellStyle name="Warning Text 3 7 3" xfId="5187"/>
    <cellStyle name="Warning Text 3 8" xfId="3210"/>
    <cellStyle name="Warning Text 3 8 2" xfId="5277"/>
    <cellStyle name="Warning Text 3 8 2 2" xfId="24426"/>
    <cellStyle name="Warning Text 3 8 3" xfId="5188"/>
    <cellStyle name="Warning Text 3 9" xfId="3579"/>
    <cellStyle name="Warning Text 3 9 2" xfId="5278"/>
    <cellStyle name="Warning Text 3 9 2 2" xfId="24427"/>
    <cellStyle name="Warning Text 3 9 3" xfId="5189"/>
    <cellStyle name="Warning Text 4" xfId="275"/>
    <cellStyle name="Warning Text 4 10" xfId="3759"/>
    <cellStyle name="Warning Text 4 10 2" xfId="5279"/>
    <cellStyle name="Warning Text 4 10 2 2" xfId="24428"/>
    <cellStyle name="Warning Text 4 10 3" xfId="5191"/>
    <cellStyle name="Warning Text 4 11" xfId="1289"/>
    <cellStyle name="Warning Text 4 11 2" xfId="24430"/>
    <cellStyle name="Warning Text 4 11 3" xfId="24429"/>
    <cellStyle name="Warning Text 4 12" xfId="5190"/>
    <cellStyle name="Warning Text 4 2" xfId="1533"/>
    <cellStyle name="Warning Text 4 2 2" xfId="5280"/>
    <cellStyle name="Warning Text 4 2 2 2" xfId="24431"/>
    <cellStyle name="Warning Text 4 2 3" xfId="5192"/>
    <cellStyle name="Warning Text 4 3" xfId="1658"/>
    <cellStyle name="Warning Text 4 3 2" xfId="5281"/>
    <cellStyle name="Warning Text 4 3 2 2" xfId="24432"/>
    <cellStyle name="Warning Text 4 3 3" xfId="5193"/>
    <cellStyle name="Warning Text 4 4" xfId="1763"/>
    <cellStyle name="Warning Text 4 4 2" xfId="5282"/>
    <cellStyle name="Warning Text 4 4 2 2" xfId="24433"/>
    <cellStyle name="Warning Text 4 4 3" xfId="5194"/>
    <cellStyle name="Warning Text 4 5" xfId="2098"/>
    <cellStyle name="Warning Text 4 5 2" xfId="5283"/>
    <cellStyle name="Warning Text 4 5 2 2" xfId="24434"/>
    <cellStyle name="Warning Text 4 5 3" xfId="5195"/>
    <cellStyle name="Warning Text 4 6" xfId="2472"/>
    <cellStyle name="Warning Text 4 6 2" xfId="5284"/>
    <cellStyle name="Warning Text 4 6 2 2" xfId="24435"/>
    <cellStyle name="Warning Text 4 6 3" xfId="5196"/>
    <cellStyle name="Warning Text 4 7" xfId="2844"/>
    <cellStyle name="Warning Text 4 7 2" xfId="5285"/>
    <cellStyle name="Warning Text 4 7 2 2" xfId="24436"/>
    <cellStyle name="Warning Text 4 7 3" xfId="5197"/>
    <cellStyle name="Warning Text 4 8" xfId="3215"/>
    <cellStyle name="Warning Text 4 8 2" xfId="5286"/>
    <cellStyle name="Warning Text 4 8 2 2" xfId="24437"/>
    <cellStyle name="Warning Text 4 8 3" xfId="5198"/>
    <cellStyle name="Warning Text 4 9" xfId="3622"/>
    <cellStyle name="Warning Text 4 9 2" xfId="5287"/>
    <cellStyle name="Warning Text 4 9 2 2" xfId="24438"/>
    <cellStyle name="Warning Text 4 9 3" xfId="5199"/>
    <cellStyle name="Warning Text 5" xfId="516"/>
    <cellStyle name="Warning Text 5 2" xfId="1847"/>
    <cellStyle name="Warning Text 5 2 2" xfId="5289"/>
    <cellStyle name="Warning Text 5 2 2 2" xfId="24439"/>
    <cellStyle name="Warning Text 5 2 3" xfId="5201"/>
    <cellStyle name="Warning Text 5 3" xfId="2222"/>
    <cellStyle name="Warning Text 5 3 2" xfId="5290"/>
    <cellStyle name="Warning Text 5 3 2 2" xfId="24440"/>
    <cellStyle name="Warning Text 5 3 3" xfId="5202"/>
    <cellStyle name="Warning Text 5 4" xfId="2596"/>
    <cellStyle name="Warning Text 5 4 2" xfId="5291"/>
    <cellStyle name="Warning Text 5 4 2 2" xfId="24441"/>
    <cellStyle name="Warning Text 5 4 3" xfId="5203"/>
    <cellStyle name="Warning Text 5 5" xfId="2968"/>
    <cellStyle name="Warning Text 5 5 2" xfId="5292"/>
    <cellStyle name="Warning Text 5 5 2 2" xfId="24442"/>
    <cellStyle name="Warning Text 5 5 3" xfId="5204"/>
    <cellStyle name="Warning Text 5 6" xfId="3340"/>
    <cellStyle name="Warning Text 5 6 2" xfId="5293"/>
    <cellStyle name="Warning Text 5 6 2 2" xfId="24443"/>
    <cellStyle name="Warning Text 5 6 3" xfId="5205"/>
    <cellStyle name="Warning Text 5 7" xfId="5288"/>
    <cellStyle name="Warning Text 5 7 2" xfId="24445"/>
    <cellStyle name="Warning Text 5 7 3" xfId="24444"/>
    <cellStyle name="Warning Text 5 8" xfId="5200"/>
    <cellStyle name="Warning Text 6" xfId="517"/>
    <cellStyle name="Warning Text 6 2" xfId="2009"/>
    <cellStyle name="Warning Text 6 2 2" xfId="5295"/>
    <cellStyle name="Warning Text 6 2 2 2" xfId="24446"/>
    <cellStyle name="Warning Text 6 2 3" xfId="5207"/>
    <cellStyle name="Warning Text 6 3" xfId="2384"/>
    <cellStyle name="Warning Text 6 3 2" xfId="5296"/>
    <cellStyle name="Warning Text 6 3 2 2" xfId="24447"/>
    <cellStyle name="Warning Text 6 3 3" xfId="5208"/>
    <cellStyle name="Warning Text 6 4" xfId="2757"/>
    <cellStyle name="Warning Text 6 4 2" xfId="5297"/>
    <cellStyle name="Warning Text 6 4 2 2" xfId="24448"/>
    <cellStyle name="Warning Text 6 4 3" xfId="5209"/>
    <cellStyle name="Warning Text 6 5" xfId="3130"/>
    <cellStyle name="Warning Text 6 5 2" xfId="5298"/>
    <cellStyle name="Warning Text 6 5 2 2" xfId="24449"/>
    <cellStyle name="Warning Text 6 5 3" xfId="5210"/>
    <cellStyle name="Warning Text 6 6" xfId="3501"/>
    <cellStyle name="Warning Text 6 6 2" xfId="5299"/>
    <cellStyle name="Warning Text 6 6 2 2" xfId="24450"/>
    <cellStyle name="Warning Text 6 6 3" xfId="5211"/>
    <cellStyle name="Warning Text 6 7" xfId="3807"/>
    <cellStyle name="Warning Text 6 7 2" xfId="5300"/>
    <cellStyle name="Warning Text 6 7 2 2" xfId="24451"/>
    <cellStyle name="Warning Text 6 7 3" xfId="5212"/>
    <cellStyle name="Warning Text 6 8" xfId="5294"/>
    <cellStyle name="Warning Text 6 8 2" xfId="24453"/>
    <cellStyle name="Warning Text 6 8 3" xfId="24452"/>
    <cellStyle name="Warning Text 6 9" xfId="5206"/>
    <cellStyle name="Warning Text 7" xfId="518"/>
    <cellStyle name="Warning Text 7 2" xfId="5301"/>
    <cellStyle name="Warning Text 7 2 2" xfId="24454"/>
    <cellStyle name="Warning Text 7 3" xfId="5213"/>
    <cellStyle name="Warning Text 8" xfId="638"/>
    <cellStyle name="Warning Text 8 2" xfId="5302"/>
    <cellStyle name="Warning Text 8 2 2" xfId="24455"/>
    <cellStyle name="Warning Text 8 3" xfId="5214"/>
    <cellStyle name="Warning Text 9" xfId="639"/>
    <cellStyle name="Warning Text 9 2" xfId="5303"/>
    <cellStyle name="Warning Text 9 2 2" xfId="24456"/>
    <cellStyle name="Warning Text 9 3" xfId="5215"/>
  </cellStyles>
  <dxfs count="5">
    <dxf>
      <font>
        <b/>
        <i val="0"/>
        <color rgb="FFFF0000"/>
      </font>
      <fill>
        <patternFill>
          <fgColor rgb="FFFFFF00"/>
          <bgColor rgb="FFFFFF00"/>
        </patternFill>
      </fill>
      <border>
        <left style="thin">
          <color auto="1"/>
        </left>
        <right style="thin">
          <color auto="1"/>
        </right>
        <top style="thin">
          <color auto="1"/>
        </top>
        <bottom style="thin">
          <color auto="1"/>
        </bottom>
        <vertical/>
        <horizontal/>
      </border>
    </dxf>
    <dxf>
      <font>
        <b/>
        <i val="0"/>
        <color rgb="FFFF0000"/>
      </font>
      <fill>
        <patternFill>
          <fgColor rgb="FFFFFF00"/>
          <bgColor rgb="FFFFFF00"/>
        </patternFill>
      </fill>
      <border>
        <left style="thin">
          <color auto="1"/>
        </left>
        <right style="thin">
          <color auto="1"/>
        </right>
        <top style="thin">
          <color auto="1"/>
        </top>
        <bottom style="thin">
          <color auto="1"/>
        </bottom>
        <vertical/>
        <horizontal/>
      </border>
    </dxf>
    <dxf>
      <font>
        <b/>
        <i val="0"/>
        <color rgb="FFFF0000"/>
      </font>
      <fill>
        <patternFill>
          <fgColor rgb="FFFFFF00"/>
          <bgColor rgb="FFFFFF00"/>
        </patternFill>
      </fill>
      <border>
        <left style="thin">
          <color auto="1"/>
        </left>
        <right style="thin">
          <color auto="1"/>
        </right>
        <top style="thin">
          <color auto="1"/>
        </top>
        <bottom style="thin">
          <color auto="1"/>
        </bottom>
        <vertical/>
        <horizontal/>
      </border>
    </dxf>
    <dxf>
      <font>
        <b/>
        <i val="0"/>
        <color rgb="FFFF0000"/>
      </font>
      <fill>
        <patternFill>
          <fgColor rgb="FFFFFF00"/>
          <bgColor rgb="FFFFFF00"/>
        </patternFill>
      </fill>
      <border>
        <left style="thin">
          <color auto="1"/>
        </left>
        <right style="thin">
          <color auto="1"/>
        </right>
        <top style="thin">
          <color auto="1"/>
        </top>
        <bottom style="thin">
          <color auto="1"/>
        </bottom>
        <vertical/>
        <horizontal/>
      </border>
    </dxf>
    <dxf>
      <font>
        <b/>
        <i val="0"/>
        <color rgb="FFFF0000"/>
      </font>
      <fill>
        <patternFill>
          <fgColor rgb="FFFF0000"/>
          <bgColor rgb="FFFFFF00"/>
        </patternFill>
      </fill>
      <border>
        <left style="thin">
          <color auto="1"/>
        </left>
        <right style="thin">
          <color auto="1"/>
        </right>
        <top style="thin">
          <color auto="1"/>
        </top>
        <bottom style="thin">
          <color auto="1"/>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cms6447\Desktop\LOOKUP.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2">
          <cell r="C2">
            <v>29</v>
          </cell>
          <cell r="D2">
            <v>39994</v>
          </cell>
          <cell r="E2" t="str">
            <v>454101</v>
          </cell>
          <cell r="F2" t="str">
            <v>060157</v>
          </cell>
          <cell r="G2" t="str">
            <v>#325 ADD CPI FEE</v>
          </cell>
          <cell r="H2">
            <v>-25</v>
          </cell>
          <cell r="I2" t="str">
            <v>856</v>
          </cell>
          <cell r="J2" t="str">
            <v>JULY Rent REV</v>
          </cell>
        </row>
        <row r="3">
          <cell r="C3">
            <v>111</v>
          </cell>
          <cell r="D3">
            <v>40086</v>
          </cell>
          <cell r="E3" t="str">
            <v>454101</v>
          </cell>
          <cell r="F3" t="str">
            <v>090034</v>
          </cell>
          <cell r="G3" t="str">
            <v>AFP cottage rents</v>
          </cell>
          <cell r="H3">
            <v>-50</v>
          </cell>
          <cell r="I3" t="str">
            <v>632</v>
          </cell>
          <cell r="J3" t="str">
            <v>Misc Cash Acctg ID 0000204567</v>
          </cell>
        </row>
        <row r="4">
          <cell r="C4">
            <v>112</v>
          </cell>
          <cell r="D4">
            <v>40086</v>
          </cell>
          <cell r="E4" t="str">
            <v>454101</v>
          </cell>
          <cell r="F4" t="str">
            <v>090034</v>
          </cell>
          <cell r="G4" t="str">
            <v>AFP Cottage rents income</v>
          </cell>
          <cell r="H4">
            <v>-50</v>
          </cell>
          <cell r="I4" t="str">
            <v>632</v>
          </cell>
          <cell r="J4" t="str">
            <v>Misc Cash Acctg ID 0000203755</v>
          </cell>
        </row>
        <row r="5">
          <cell r="C5">
            <v>113</v>
          </cell>
          <cell r="D5">
            <v>40025</v>
          </cell>
          <cell r="E5" t="str">
            <v>454101</v>
          </cell>
          <cell r="F5" t="str">
            <v>070034</v>
          </cell>
          <cell r="G5" t="str">
            <v>AFP INCOME</v>
          </cell>
          <cell r="H5">
            <v>-50</v>
          </cell>
          <cell r="I5" t="str">
            <v>632</v>
          </cell>
          <cell r="J5" t="str">
            <v>Misc Cash Acctg ID 0000200818</v>
          </cell>
        </row>
        <row r="6">
          <cell r="C6">
            <v>114</v>
          </cell>
          <cell r="D6">
            <v>40117</v>
          </cell>
          <cell r="E6" t="str">
            <v>454101</v>
          </cell>
          <cell r="F6" t="str">
            <v>100034</v>
          </cell>
          <cell r="G6" t="str">
            <v>AFP INCOME</v>
          </cell>
          <cell r="H6">
            <v>-50</v>
          </cell>
          <cell r="I6" t="str">
            <v>632</v>
          </cell>
          <cell r="J6" t="str">
            <v>Misc Cash Acctg ID 0000206225</v>
          </cell>
        </row>
        <row r="7">
          <cell r="C7">
            <v>115</v>
          </cell>
          <cell r="D7">
            <v>40147</v>
          </cell>
          <cell r="E7" t="str">
            <v>454101</v>
          </cell>
          <cell r="F7" t="str">
            <v>110034</v>
          </cell>
          <cell r="G7" t="str">
            <v>AFP INCOME</v>
          </cell>
          <cell r="H7">
            <v>-50</v>
          </cell>
          <cell r="I7" t="str">
            <v>632</v>
          </cell>
          <cell r="J7" t="str">
            <v>Misc Cash Acctg ID 0000207773</v>
          </cell>
        </row>
        <row r="8">
          <cell r="C8">
            <v>116</v>
          </cell>
          <cell r="D8">
            <v>40178</v>
          </cell>
          <cell r="E8" t="str">
            <v>454101</v>
          </cell>
          <cell r="F8" t="str">
            <v>120034</v>
          </cell>
          <cell r="G8" t="str">
            <v>AFP INCOME</v>
          </cell>
          <cell r="H8">
            <v>-50</v>
          </cell>
          <cell r="I8" t="str">
            <v>632</v>
          </cell>
          <cell r="J8" t="str">
            <v>Misc Cash Acctg ID 0000209640</v>
          </cell>
        </row>
        <row r="9">
          <cell r="C9">
            <v>76</v>
          </cell>
          <cell r="D9">
            <v>40056</v>
          </cell>
          <cell r="E9" t="str">
            <v>454101</v>
          </cell>
          <cell r="F9" t="str">
            <v>080157</v>
          </cell>
          <cell r="G9" t="str">
            <v>031 AIRFORCE LEASE</v>
          </cell>
          <cell r="H9">
            <v>-130</v>
          </cell>
          <cell r="I9" t="str">
            <v>856</v>
          </cell>
          <cell r="J9" t="str">
            <v>SEPT RENT REV</v>
          </cell>
        </row>
        <row r="10">
          <cell r="C10">
            <v>117</v>
          </cell>
          <cell r="D10">
            <v>40025</v>
          </cell>
          <cell r="E10" t="str">
            <v>454102</v>
          </cell>
          <cell r="F10" t="str">
            <v>070157</v>
          </cell>
          <cell r="G10" t="str">
            <v>ASSOCIATED FOODS RD PERMI</v>
          </cell>
          <cell r="H10">
            <v>-492.34</v>
          </cell>
          <cell r="I10" t="str">
            <v>856</v>
          </cell>
          <cell r="J10" t="str">
            <v>AUG RENT REV</v>
          </cell>
        </row>
        <row r="11">
          <cell r="C11">
            <v>118</v>
          </cell>
          <cell r="D11">
            <v>40178</v>
          </cell>
          <cell r="E11" t="str">
            <v>454101</v>
          </cell>
          <cell r="F11" t="str">
            <v>120157</v>
          </cell>
          <cell r="G11" t="str">
            <v>ATKINSON 373</v>
          </cell>
          <cell r="H11">
            <v>-345</v>
          </cell>
          <cell r="I11" t="str">
            <v>856</v>
          </cell>
          <cell r="J11" t="str">
            <v>Jan Rent Rev</v>
          </cell>
        </row>
        <row r="12">
          <cell r="C12">
            <v>119</v>
          </cell>
          <cell r="D12">
            <v>39872</v>
          </cell>
          <cell r="E12" t="str">
            <v>454101</v>
          </cell>
          <cell r="F12" t="str">
            <v>020157</v>
          </cell>
          <cell r="G12" t="str">
            <v>ATT HAGERMAN LEASE 408</v>
          </cell>
          <cell r="H12">
            <v>-1971.61</v>
          </cell>
          <cell r="I12" t="str">
            <v>856</v>
          </cell>
          <cell r="J12" t="str">
            <v>March RENT REV</v>
          </cell>
        </row>
        <row r="13">
          <cell r="C13">
            <v>120</v>
          </cell>
          <cell r="D13">
            <v>40117</v>
          </cell>
          <cell r="E13" t="str">
            <v>454101</v>
          </cell>
          <cell r="F13" t="str">
            <v>100157</v>
          </cell>
          <cell r="G13" t="str">
            <v>BAXTER LEASE 248</v>
          </cell>
          <cell r="H13">
            <v>-100</v>
          </cell>
          <cell r="I13" t="str">
            <v>856</v>
          </cell>
          <cell r="J13" t="str">
            <v>NOVEMBER RENT REV</v>
          </cell>
        </row>
        <row r="14">
          <cell r="C14">
            <v>121</v>
          </cell>
          <cell r="D14">
            <v>40147</v>
          </cell>
          <cell r="E14" t="str">
            <v>454101</v>
          </cell>
          <cell r="F14" t="str">
            <v>110157</v>
          </cell>
          <cell r="G14" t="str">
            <v>BOTH METRO RENTALS</v>
          </cell>
          <cell r="H14">
            <v>-859.75</v>
          </cell>
          <cell r="I14" t="str">
            <v>856</v>
          </cell>
          <cell r="J14" t="str">
            <v>DEC RENT REV</v>
          </cell>
        </row>
        <row r="15">
          <cell r="C15">
            <v>122</v>
          </cell>
          <cell r="D15">
            <v>39844</v>
          </cell>
          <cell r="E15" t="str">
            <v>454102</v>
          </cell>
          <cell r="F15" t="str">
            <v>010034</v>
          </cell>
          <cell r="G15" t="str">
            <v>BRNLEE TRLR PRK LOT RENTA</v>
          </cell>
          <cell r="H15">
            <v>-180</v>
          </cell>
          <cell r="I15" t="str">
            <v>614</v>
          </cell>
          <cell r="J15" t="str">
            <v>Misc Cash Acctg ID 0000187854</v>
          </cell>
        </row>
        <row r="16">
          <cell r="C16">
            <v>40</v>
          </cell>
          <cell r="D16">
            <v>39964</v>
          </cell>
          <cell r="E16" t="str">
            <v>454102</v>
          </cell>
          <cell r="F16" t="str">
            <v>050157</v>
          </cell>
          <cell r="G16" t="str">
            <v>#359 BYRL LANDERS</v>
          </cell>
          <cell r="H16">
            <v>-100</v>
          </cell>
          <cell r="I16" t="str">
            <v>856</v>
          </cell>
          <cell r="J16" t="str">
            <v>June RENT REV</v>
          </cell>
        </row>
        <row r="17">
          <cell r="C17">
            <v>98</v>
          </cell>
          <cell r="D17">
            <v>40147</v>
          </cell>
          <cell r="E17" t="str">
            <v>454101</v>
          </cell>
          <cell r="F17" t="str">
            <v>110157</v>
          </cell>
          <cell r="G17" t="str">
            <v>372 CAMBRIDGE STORAGE</v>
          </cell>
          <cell r="H17">
            <v>-575</v>
          </cell>
          <cell r="I17" t="str">
            <v>856</v>
          </cell>
          <cell r="J17" t="str">
            <v>DEC RENT REV</v>
          </cell>
        </row>
        <row r="18">
          <cell r="C18">
            <v>123</v>
          </cell>
          <cell r="D18">
            <v>40086</v>
          </cell>
          <cell r="E18" t="str">
            <v>454101</v>
          </cell>
          <cell r="F18" t="str">
            <v>090018</v>
          </cell>
          <cell r="G18" t="str">
            <v>CASCADE HOUSE RENT REC.</v>
          </cell>
          <cell r="H18">
            <v>-500</v>
          </cell>
          <cell r="I18" t="str">
            <v>638</v>
          </cell>
          <cell r="J18" t="str">
            <v>SEP09 NON-REVERSING ENTRIES</v>
          </cell>
        </row>
        <row r="19">
          <cell r="C19">
            <v>124</v>
          </cell>
          <cell r="D19">
            <v>40117</v>
          </cell>
          <cell r="E19" t="str">
            <v>454101</v>
          </cell>
          <cell r="F19" t="str">
            <v>100018</v>
          </cell>
          <cell r="G19" t="str">
            <v>CASCADE HOUSE RENT REC.</v>
          </cell>
          <cell r="H19">
            <v>-500</v>
          </cell>
          <cell r="I19" t="str">
            <v>638</v>
          </cell>
          <cell r="J19" t="str">
            <v>OCT09 NON-REVERSING ENTRIES</v>
          </cell>
        </row>
        <row r="20">
          <cell r="C20">
            <v>125</v>
          </cell>
          <cell r="D20">
            <v>40147</v>
          </cell>
          <cell r="E20" t="str">
            <v>454101</v>
          </cell>
          <cell r="F20" t="str">
            <v>110018</v>
          </cell>
          <cell r="G20" t="str">
            <v>CASCADE HOUSE RENT REC.</v>
          </cell>
          <cell r="H20">
            <v>-500</v>
          </cell>
          <cell r="I20" t="str">
            <v>638</v>
          </cell>
          <cell r="J20" t="str">
            <v>NOV09 NON-REVERSING ENTRIES</v>
          </cell>
        </row>
        <row r="21">
          <cell r="C21">
            <v>126</v>
          </cell>
          <cell r="D21">
            <v>40178</v>
          </cell>
          <cell r="E21" t="str">
            <v>454101</v>
          </cell>
          <cell r="F21" t="str">
            <v>120018</v>
          </cell>
          <cell r="G21" t="str">
            <v>CASCADE HOUSE RENT REC.</v>
          </cell>
          <cell r="H21">
            <v>-500</v>
          </cell>
          <cell r="I21" t="str">
            <v>638</v>
          </cell>
          <cell r="J21" t="str">
            <v>DEC09 NON-REVERSING ENTRIES</v>
          </cell>
        </row>
        <row r="22">
          <cell r="C22">
            <v>30</v>
          </cell>
          <cell r="D22">
            <v>40025</v>
          </cell>
          <cell r="E22" t="str">
            <v>454101</v>
          </cell>
          <cell r="F22" t="str">
            <v>070157</v>
          </cell>
          <cell r="G22" t="str">
            <v>#325 CHQ PENTHOUSE</v>
          </cell>
          <cell r="H22">
            <v>-2524.46</v>
          </cell>
          <cell r="I22" t="str">
            <v>856</v>
          </cell>
          <cell r="J22" t="str">
            <v>AUG RENT REV</v>
          </cell>
        </row>
        <row r="23">
          <cell r="C23">
            <v>89</v>
          </cell>
          <cell r="D23">
            <v>40086</v>
          </cell>
          <cell r="E23" t="str">
            <v>454101</v>
          </cell>
          <cell r="F23" t="str">
            <v>090157</v>
          </cell>
          <cell r="G23" t="str">
            <v>325 CHQ PENTHOUSE</v>
          </cell>
          <cell r="H23">
            <v>-2524.46</v>
          </cell>
          <cell r="I23" t="str">
            <v>856</v>
          </cell>
          <cell r="J23" t="str">
            <v>OCTOBER RENT REV</v>
          </cell>
        </row>
        <row r="24">
          <cell r="C24">
            <v>101</v>
          </cell>
          <cell r="D24">
            <v>40178</v>
          </cell>
          <cell r="E24" t="str">
            <v>454102</v>
          </cell>
          <cell r="F24" t="str">
            <v>120157</v>
          </cell>
          <cell r="G24" t="str">
            <v>375 COX BROWNLEE CABIN</v>
          </cell>
          <cell r="H24">
            <v>-100</v>
          </cell>
          <cell r="I24" t="str">
            <v>856</v>
          </cell>
          <cell r="J24" t="str">
            <v>Jan Rent Rev</v>
          </cell>
        </row>
        <row r="25">
          <cell r="C25">
            <v>127</v>
          </cell>
          <cell r="D25">
            <v>40056</v>
          </cell>
          <cell r="E25" t="str">
            <v>454101</v>
          </cell>
          <cell r="F25" t="str">
            <v>080157</v>
          </cell>
          <cell r="G25" t="str">
            <v>DAWSON DRILL 372</v>
          </cell>
          <cell r="H25">
            <v>-575</v>
          </cell>
          <cell r="I25" t="str">
            <v>856</v>
          </cell>
          <cell r="J25" t="str">
            <v>SEPT RENT REV</v>
          </cell>
        </row>
        <row r="26">
          <cell r="C26">
            <v>128</v>
          </cell>
          <cell r="D26">
            <v>40117</v>
          </cell>
          <cell r="E26" t="str">
            <v>454101</v>
          </cell>
          <cell r="F26" t="str">
            <v>100157</v>
          </cell>
          <cell r="G26" t="str">
            <v>DAWSON DRILLING</v>
          </cell>
          <cell r="H26">
            <v>-575</v>
          </cell>
          <cell r="I26" t="str">
            <v>856</v>
          </cell>
          <cell r="J26" t="str">
            <v>NOVEMBER RENT REV</v>
          </cell>
        </row>
        <row r="27">
          <cell r="C27">
            <v>49</v>
          </cell>
          <cell r="D27">
            <v>39844</v>
          </cell>
          <cell r="E27" t="str">
            <v>454101</v>
          </cell>
          <cell r="F27" t="str">
            <v>010157</v>
          </cell>
          <cell r="G27" t="str">
            <v>#372 DAWSON DRILLING</v>
          </cell>
          <cell r="H27">
            <v>-575</v>
          </cell>
          <cell r="I27" t="str">
            <v>856</v>
          </cell>
          <cell r="J27" t="str">
            <v>Feb RENT REV</v>
          </cell>
        </row>
        <row r="28">
          <cell r="C28">
            <v>50</v>
          </cell>
          <cell r="D28">
            <v>39872</v>
          </cell>
          <cell r="E28" t="str">
            <v>454101</v>
          </cell>
          <cell r="F28" t="str">
            <v>020157</v>
          </cell>
          <cell r="G28" t="str">
            <v>#372 DAWSON DRILLING</v>
          </cell>
          <cell r="H28">
            <v>-575</v>
          </cell>
          <cell r="I28" t="str">
            <v>856</v>
          </cell>
          <cell r="J28" t="str">
            <v>March RENT REV</v>
          </cell>
        </row>
        <row r="29">
          <cell r="C29">
            <v>51</v>
          </cell>
          <cell r="D29">
            <v>39903</v>
          </cell>
          <cell r="E29" t="str">
            <v>454101</v>
          </cell>
          <cell r="F29" t="str">
            <v>030157</v>
          </cell>
          <cell r="G29" t="str">
            <v>#372 DAWSON DRILLING</v>
          </cell>
          <cell r="H29">
            <v>-575</v>
          </cell>
          <cell r="I29" t="str">
            <v>856</v>
          </cell>
          <cell r="J29" t="str">
            <v>April RENT REV</v>
          </cell>
        </row>
        <row r="30">
          <cell r="C30">
            <v>52</v>
          </cell>
          <cell r="D30">
            <v>39933</v>
          </cell>
          <cell r="E30" t="str">
            <v>454101</v>
          </cell>
          <cell r="F30" t="str">
            <v>040157</v>
          </cell>
          <cell r="G30" t="str">
            <v>#372 DAWSON DRILLING</v>
          </cell>
          <cell r="H30">
            <v>-575</v>
          </cell>
          <cell r="I30" t="str">
            <v>856</v>
          </cell>
          <cell r="J30" t="str">
            <v>MAY RENT REV</v>
          </cell>
        </row>
        <row r="31">
          <cell r="C31">
            <v>53</v>
          </cell>
          <cell r="D31">
            <v>39964</v>
          </cell>
          <cell r="E31" t="str">
            <v>454101</v>
          </cell>
          <cell r="F31" t="str">
            <v>050157</v>
          </cell>
          <cell r="G31" t="str">
            <v>#372 DAWSON DRILLING</v>
          </cell>
          <cell r="H31">
            <v>-575</v>
          </cell>
          <cell r="I31" t="str">
            <v>856</v>
          </cell>
          <cell r="J31" t="str">
            <v>June RENT REV</v>
          </cell>
        </row>
        <row r="32">
          <cell r="C32">
            <v>54</v>
          </cell>
          <cell r="D32">
            <v>39994</v>
          </cell>
          <cell r="E32" t="str">
            <v>454101</v>
          </cell>
          <cell r="F32" t="str">
            <v>060157</v>
          </cell>
          <cell r="G32" t="str">
            <v>#372 DAWSON DRILLING</v>
          </cell>
          <cell r="H32">
            <v>-575</v>
          </cell>
          <cell r="I32" t="str">
            <v>856</v>
          </cell>
          <cell r="J32" t="str">
            <v>JULY Rent REV</v>
          </cell>
        </row>
        <row r="33">
          <cell r="C33">
            <v>55</v>
          </cell>
          <cell r="D33">
            <v>40025</v>
          </cell>
          <cell r="E33" t="str">
            <v>454101</v>
          </cell>
          <cell r="F33" t="str">
            <v>070157</v>
          </cell>
          <cell r="G33" t="str">
            <v>#372 DAWSON DRILLING</v>
          </cell>
          <cell r="H33">
            <v>-575</v>
          </cell>
          <cell r="I33" t="str">
            <v>856</v>
          </cell>
          <cell r="J33" t="str">
            <v>AUG RENT REV</v>
          </cell>
        </row>
        <row r="34">
          <cell r="C34">
            <v>99</v>
          </cell>
          <cell r="D34">
            <v>40086</v>
          </cell>
          <cell r="E34" t="str">
            <v>454101</v>
          </cell>
          <cell r="F34" t="str">
            <v>090157</v>
          </cell>
          <cell r="G34" t="str">
            <v>372 DAWSON DRILLING</v>
          </cell>
          <cell r="H34">
            <v>-575</v>
          </cell>
          <cell r="I34" t="str">
            <v>856</v>
          </cell>
          <cell r="J34" t="str">
            <v>OCTOBER RENT REV</v>
          </cell>
        </row>
        <row r="35">
          <cell r="C35">
            <v>100</v>
          </cell>
          <cell r="D35">
            <v>40178</v>
          </cell>
          <cell r="E35" t="str">
            <v>454101</v>
          </cell>
          <cell r="F35" t="str">
            <v>120157</v>
          </cell>
          <cell r="G35" t="str">
            <v>372 DAWSON DRILLING</v>
          </cell>
          <cell r="H35">
            <v>-575</v>
          </cell>
          <cell r="I35" t="str">
            <v>856</v>
          </cell>
          <cell r="J35" t="str">
            <v>Jan Rent Rev</v>
          </cell>
        </row>
        <row r="36">
          <cell r="C36">
            <v>56</v>
          </cell>
          <cell r="D36">
            <v>39872</v>
          </cell>
          <cell r="E36" t="str">
            <v>454101</v>
          </cell>
          <cell r="F36" t="str">
            <v>020157</v>
          </cell>
          <cell r="G36" t="str">
            <v>#387 DEAD HORSE RANCH</v>
          </cell>
          <cell r="H36">
            <v>-50</v>
          </cell>
          <cell r="I36" t="str">
            <v>856</v>
          </cell>
          <cell r="J36" t="str">
            <v>March RENT REV</v>
          </cell>
        </row>
        <row r="37">
          <cell r="C37">
            <v>109</v>
          </cell>
          <cell r="D37">
            <v>40178</v>
          </cell>
          <cell r="E37" t="str">
            <v>454101</v>
          </cell>
          <cell r="F37" t="str">
            <v>120157</v>
          </cell>
          <cell r="G37" t="str">
            <v>41 DIAMOND LIVESTOCK</v>
          </cell>
          <cell r="H37">
            <v>-125</v>
          </cell>
          <cell r="I37" t="str">
            <v>856</v>
          </cell>
          <cell r="J37" t="str">
            <v>Jan Rent Rev</v>
          </cell>
        </row>
        <row r="38">
          <cell r="C38">
            <v>72</v>
          </cell>
          <cell r="D38">
            <v>39872</v>
          </cell>
          <cell r="E38" t="str">
            <v>454101</v>
          </cell>
          <cell r="F38" t="str">
            <v>020157</v>
          </cell>
          <cell r="G38" t="str">
            <v>#41 DIAMOND LIVESTOCK</v>
          </cell>
          <cell r="H38">
            <v>-125</v>
          </cell>
          <cell r="I38" t="str">
            <v>856</v>
          </cell>
          <cell r="J38" t="str">
            <v>March RENT REV</v>
          </cell>
        </row>
        <row r="39">
          <cell r="C39">
            <v>130</v>
          </cell>
          <cell r="D39">
            <v>40056</v>
          </cell>
          <cell r="E39" t="str">
            <v>454101</v>
          </cell>
          <cell r="F39" t="str">
            <v>080157</v>
          </cell>
          <cell r="G39" t="str">
            <v>DIVOTZ 319</v>
          </cell>
          <cell r="H39">
            <v>-500</v>
          </cell>
          <cell r="I39" t="str">
            <v>856</v>
          </cell>
          <cell r="J39" t="str">
            <v>SEPT RENT REV</v>
          </cell>
        </row>
        <row r="40">
          <cell r="C40">
            <v>131</v>
          </cell>
          <cell r="D40">
            <v>40178</v>
          </cell>
          <cell r="E40" t="str">
            <v>454101</v>
          </cell>
          <cell r="F40" t="str">
            <v>120157</v>
          </cell>
          <cell r="G40" t="str">
            <v>DIVOTZ 319</v>
          </cell>
          <cell r="H40">
            <v>-450</v>
          </cell>
          <cell r="I40" t="str">
            <v>856</v>
          </cell>
          <cell r="J40" t="str">
            <v>Jan Rent Rev</v>
          </cell>
        </row>
        <row r="41">
          <cell r="C41">
            <v>20</v>
          </cell>
          <cell r="D41">
            <v>39844</v>
          </cell>
          <cell r="E41" t="str">
            <v>454101</v>
          </cell>
          <cell r="F41" t="str">
            <v>010157</v>
          </cell>
          <cell r="G41" t="str">
            <v>#319 DIVOTZ</v>
          </cell>
          <cell r="H41">
            <v>-500</v>
          </cell>
          <cell r="I41" t="str">
            <v>856</v>
          </cell>
          <cell r="J41" t="str">
            <v>Feb RENT REV</v>
          </cell>
        </row>
        <row r="42">
          <cell r="C42">
            <v>21</v>
          </cell>
          <cell r="D42">
            <v>39872</v>
          </cell>
          <cell r="E42" t="str">
            <v>454101</v>
          </cell>
          <cell r="F42" t="str">
            <v>020157</v>
          </cell>
          <cell r="G42" t="str">
            <v>#319 DIVOTZ</v>
          </cell>
          <cell r="H42">
            <v>-500</v>
          </cell>
          <cell r="I42" t="str">
            <v>856</v>
          </cell>
          <cell r="J42" t="str">
            <v>March RENT REV</v>
          </cell>
        </row>
        <row r="43">
          <cell r="C43">
            <v>22</v>
          </cell>
          <cell r="D43">
            <v>39903</v>
          </cell>
          <cell r="E43" t="str">
            <v>454101</v>
          </cell>
          <cell r="F43" t="str">
            <v>030157</v>
          </cell>
          <cell r="G43" t="str">
            <v>#319 DIVOTZ</v>
          </cell>
          <cell r="H43">
            <v>-500</v>
          </cell>
          <cell r="I43" t="str">
            <v>856</v>
          </cell>
          <cell r="J43" t="str">
            <v>April RENT REV</v>
          </cell>
        </row>
        <row r="44">
          <cell r="C44">
            <v>23</v>
          </cell>
          <cell r="D44">
            <v>39964</v>
          </cell>
          <cell r="E44" t="str">
            <v>454101</v>
          </cell>
          <cell r="F44" t="str">
            <v>050157</v>
          </cell>
          <cell r="G44" t="str">
            <v>#319 DIVOTZ</v>
          </cell>
          <cell r="H44">
            <v>-500</v>
          </cell>
          <cell r="I44" t="str">
            <v>856</v>
          </cell>
          <cell r="J44" t="str">
            <v>June RENT REV</v>
          </cell>
        </row>
        <row r="45">
          <cell r="C45">
            <v>24</v>
          </cell>
          <cell r="D45">
            <v>39994</v>
          </cell>
          <cell r="E45" t="str">
            <v>454101</v>
          </cell>
          <cell r="F45" t="str">
            <v>060157</v>
          </cell>
          <cell r="G45" t="str">
            <v>#319 DIVOTZ</v>
          </cell>
          <cell r="H45">
            <v>-500</v>
          </cell>
          <cell r="I45" t="str">
            <v>856</v>
          </cell>
          <cell r="J45" t="str">
            <v>JULY Rent REV</v>
          </cell>
        </row>
        <row r="46">
          <cell r="C46">
            <v>25</v>
          </cell>
          <cell r="D46">
            <v>40025</v>
          </cell>
          <cell r="E46" t="str">
            <v>454101</v>
          </cell>
          <cell r="F46" t="str">
            <v>070157</v>
          </cell>
          <cell r="G46" t="str">
            <v>#319 DIVOTZ</v>
          </cell>
          <cell r="H46">
            <v>-500</v>
          </cell>
          <cell r="I46" t="str">
            <v>856</v>
          </cell>
          <cell r="J46" t="str">
            <v>AUG RENT REV</v>
          </cell>
        </row>
        <row r="47">
          <cell r="C47">
            <v>26</v>
          </cell>
          <cell r="D47">
            <v>40086</v>
          </cell>
          <cell r="E47" t="str">
            <v>454101</v>
          </cell>
          <cell r="F47" t="str">
            <v>090157</v>
          </cell>
          <cell r="G47" t="str">
            <v>#319 DIVOTZ</v>
          </cell>
          <cell r="H47">
            <v>-500</v>
          </cell>
          <cell r="I47" t="str">
            <v>856</v>
          </cell>
          <cell r="J47" t="str">
            <v>OCTOBER RENT REV</v>
          </cell>
        </row>
        <row r="48">
          <cell r="C48">
            <v>85</v>
          </cell>
          <cell r="D48">
            <v>40178</v>
          </cell>
          <cell r="E48" t="str">
            <v>454101</v>
          </cell>
          <cell r="F48" t="str">
            <v>120157</v>
          </cell>
          <cell r="G48" t="str">
            <v>319 DIVOTZ DISCOUNT GOLF</v>
          </cell>
          <cell r="H48">
            <v>-500</v>
          </cell>
          <cell r="I48" t="str">
            <v>856</v>
          </cell>
          <cell r="J48" t="str">
            <v>Jan Rent Rev</v>
          </cell>
        </row>
        <row r="49">
          <cell r="C49">
            <v>27</v>
          </cell>
          <cell r="D49">
            <v>39933</v>
          </cell>
          <cell r="E49" t="str">
            <v>454101</v>
          </cell>
          <cell r="F49" t="str">
            <v>040157</v>
          </cell>
          <cell r="G49" t="str">
            <v>#319 DIVOTZ LEASE</v>
          </cell>
          <cell r="H49">
            <v>-500</v>
          </cell>
          <cell r="I49" t="str">
            <v>856</v>
          </cell>
          <cell r="J49" t="str">
            <v>MAY RENT REV</v>
          </cell>
        </row>
        <row r="50">
          <cell r="C50">
            <v>28</v>
          </cell>
          <cell r="D50">
            <v>39933</v>
          </cell>
          <cell r="E50" t="str">
            <v>454102</v>
          </cell>
          <cell r="F50" t="str">
            <v>040157</v>
          </cell>
          <cell r="G50" t="str">
            <v>#319 DIVOTZ LEASE</v>
          </cell>
          <cell r="H50">
            <v>-50</v>
          </cell>
          <cell r="I50" t="str">
            <v>856</v>
          </cell>
          <cell r="J50" t="str">
            <v>MAY RENT REV</v>
          </cell>
        </row>
        <row r="51">
          <cell r="C51">
            <v>86</v>
          </cell>
          <cell r="D51">
            <v>40117</v>
          </cell>
          <cell r="E51" t="str">
            <v>454101</v>
          </cell>
          <cell r="F51" t="str">
            <v>100157</v>
          </cell>
          <cell r="G51" t="str">
            <v>319 DIVOTZ LEASE</v>
          </cell>
          <cell r="H51">
            <v>-500</v>
          </cell>
          <cell r="I51" t="str">
            <v>856</v>
          </cell>
          <cell r="J51" t="str">
            <v>NOVEMBER RENT REV</v>
          </cell>
        </row>
        <row r="52">
          <cell r="C52">
            <v>134</v>
          </cell>
          <cell r="D52">
            <v>40025</v>
          </cell>
          <cell r="E52" t="str">
            <v>454101</v>
          </cell>
          <cell r="F52" t="str">
            <v>070157</v>
          </cell>
          <cell r="G52" t="str">
            <v>DIVOTZ QUATERLY FEE</v>
          </cell>
          <cell r="H52">
            <v>-10245.25</v>
          </cell>
          <cell r="I52" t="str">
            <v>856</v>
          </cell>
          <cell r="J52" t="str">
            <v>AUG RENT REV</v>
          </cell>
        </row>
        <row r="53">
          <cell r="C53">
            <v>132</v>
          </cell>
          <cell r="D53">
            <v>40117</v>
          </cell>
          <cell r="E53" t="str">
            <v>454101</v>
          </cell>
          <cell r="F53" t="str">
            <v>100157</v>
          </cell>
          <cell r="G53" t="str">
            <v>DIVOTZ 3RD QUARTER</v>
          </cell>
          <cell r="H53">
            <v>-8137.43</v>
          </cell>
          <cell r="I53" t="str">
            <v>856</v>
          </cell>
          <cell r="J53" t="str">
            <v>NOVEMBER RENT REV</v>
          </cell>
        </row>
        <row r="54">
          <cell r="C54">
            <v>129</v>
          </cell>
          <cell r="D54">
            <v>39933</v>
          </cell>
          <cell r="E54" t="str">
            <v>454101</v>
          </cell>
          <cell r="F54" t="str">
            <v>040157</v>
          </cell>
          <cell r="G54" t="str">
            <v>DIVOTZ 1RST QUARTER PAYME</v>
          </cell>
          <cell r="H54">
            <v>-4270.8599999999997</v>
          </cell>
          <cell r="I54" t="str">
            <v>856</v>
          </cell>
          <cell r="J54" t="str">
            <v>MAY RENT REV</v>
          </cell>
        </row>
        <row r="55">
          <cell r="C55">
            <v>133</v>
          </cell>
          <cell r="D55">
            <v>39844</v>
          </cell>
          <cell r="E55" t="str">
            <v>454101</v>
          </cell>
          <cell r="F55" t="str">
            <v>010157</v>
          </cell>
          <cell r="G55" t="str">
            <v>DIVOTZ 4TH QTR PAYMENT</v>
          </cell>
          <cell r="H55">
            <v>-3695.38</v>
          </cell>
          <cell r="I55" t="str">
            <v>856</v>
          </cell>
          <cell r="J55" t="str">
            <v>Feb RENT REV</v>
          </cell>
        </row>
        <row r="56">
          <cell r="C56">
            <v>135</v>
          </cell>
          <cell r="D56">
            <v>40086</v>
          </cell>
          <cell r="E56" t="str">
            <v>454101</v>
          </cell>
          <cell r="F56" t="str">
            <v>090157</v>
          </cell>
          <cell r="G56" t="str">
            <v>DWIGHT HILL 259</v>
          </cell>
          <cell r="H56">
            <v>-500</v>
          </cell>
          <cell r="I56" t="str">
            <v>856</v>
          </cell>
          <cell r="J56" t="str">
            <v>OCTOBER RENT REV</v>
          </cell>
        </row>
        <row r="57">
          <cell r="C57">
            <v>136</v>
          </cell>
          <cell r="D57">
            <v>40025</v>
          </cell>
          <cell r="E57" t="str">
            <v>454101</v>
          </cell>
          <cell r="F57" t="str">
            <v>070157</v>
          </cell>
          <cell r="G57" t="str">
            <v>FA10129831 HAGERMAN #408</v>
          </cell>
          <cell r="H57">
            <v>-7300</v>
          </cell>
          <cell r="I57" t="str">
            <v>856</v>
          </cell>
          <cell r="J57" t="str">
            <v>AUG RENT REV</v>
          </cell>
        </row>
        <row r="58">
          <cell r="C58">
            <v>137</v>
          </cell>
          <cell r="D58">
            <v>39872</v>
          </cell>
          <cell r="E58" t="str">
            <v>454101</v>
          </cell>
          <cell r="F58" t="str">
            <v>020157</v>
          </cell>
          <cell r="G58" t="str">
            <v>FEB REV CORRECTION #291</v>
          </cell>
          <cell r="H58">
            <v>-1890</v>
          </cell>
          <cell r="I58" t="str">
            <v>856</v>
          </cell>
          <cell r="J58" t="str">
            <v>March RENT REV</v>
          </cell>
        </row>
        <row r="59">
          <cell r="C59">
            <v>6</v>
          </cell>
          <cell r="D59">
            <v>39994</v>
          </cell>
          <cell r="E59" t="str">
            <v>454102</v>
          </cell>
          <cell r="F59" t="str">
            <v>060157</v>
          </cell>
          <cell r="G59" t="str">
            <v>#151 FORSEA AND SONS</v>
          </cell>
          <cell r="H59">
            <v>-350</v>
          </cell>
          <cell r="I59" t="str">
            <v>856</v>
          </cell>
          <cell r="J59" t="str">
            <v>JULY Rent REV</v>
          </cell>
        </row>
        <row r="60">
          <cell r="C60">
            <v>79</v>
          </cell>
          <cell r="D60">
            <v>40086</v>
          </cell>
          <cell r="E60" t="str">
            <v>454101</v>
          </cell>
          <cell r="F60" t="str">
            <v>090157</v>
          </cell>
          <cell r="G60" t="str">
            <v>247 GINGERICH</v>
          </cell>
          <cell r="H60">
            <v>-1140</v>
          </cell>
          <cell r="I60" t="str">
            <v>856</v>
          </cell>
          <cell r="J60" t="str">
            <v>OCTOBER RENT REV</v>
          </cell>
        </row>
        <row r="61">
          <cell r="C61">
            <v>138</v>
          </cell>
          <cell r="D61">
            <v>40147</v>
          </cell>
          <cell r="E61" t="str">
            <v>454101</v>
          </cell>
          <cell r="F61" t="str">
            <v>110157</v>
          </cell>
          <cell r="G61" t="str">
            <v>GROVE SUB 291</v>
          </cell>
          <cell r="H61">
            <v>-1890</v>
          </cell>
          <cell r="I61" t="str">
            <v>856</v>
          </cell>
          <cell r="J61" t="str">
            <v>DEC RENT REV</v>
          </cell>
        </row>
        <row r="62">
          <cell r="C62">
            <v>81</v>
          </cell>
          <cell r="D62">
            <v>40178</v>
          </cell>
          <cell r="E62" t="str">
            <v>454101</v>
          </cell>
          <cell r="F62" t="str">
            <v>120157</v>
          </cell>
          <cell r="G62" t="str">
            <v>291 GROVE SUB PARKING</v>
          </cell>
          <cell r="H62">
            <v>-1890</v>
          </cell>
          <cell r="I62" t="str">
            <v>856</v>
          </cell>
          <cell r="J62" t="str">
            <v>Jan Rent Rev</v>
          </cell>
        </row>
        <row r="63">
          <cell r="C63">
            <v>139</v>
          </cell>
          <cell r="D63">
            <v>40147</v>
          </cell>
          <cell r="E63" t="str">
            <v>454101</v>
          </cell>
          <cell r="F63" t="str">
            <v>110157</v>
          </cell>
          <cell r="G63" t="str">
            <v>HAGAR HUNT</v>
          </cell>
          <cell r="H63">
            <v>-200</v>
          </cell>
          <cell r="I63" t="str">
            <v>856</v>
          </cell>
          <cell r="J63" t="str">
            <v>DEC RENT REV</v>
          </cell>
        </row>
        <row r="64">
          <cell r="C64">
            <v>140</v>
          </cell>
          <cell r="D64">
            <v>40025</v>
          </cell>
          <cell r="E64" t="str">
            <v>454101</v>
          </cell>
          <cell r="F64" t="str">
            <v>070157</v>
          </cell>
          <cell r="G64" t="str">
            <v>HAGER HUNT</v>
          </cell>
          <cell r="H64">
            <v>-200</v>
          </cell>
          <cell r="I64" t="str">
            <v>856</v>
          </cell>
          <cell r="J64" t="str">
            <v>AUG RENT REV</v>
          </cell>
        </row>
        <row r="65">
          <cell r="C65">
            <v>141</v>
          </cell>
          <cell r="D65">
            <v>40178</v>
          </cell>
          <cell r="E65" t="str">
            <v>454101</v>
          </cell>
          <cell r="F65" t="str">
            <v>120157</v>
          </cell>
          <cell r="G65" t="str">
            <v>HAGER HUNT</v>
          </cell>
          <cell r="H65">
            <v>-200</v>
          </cell>
          <cell r="I65" t="str">
            <v>856</v>
          </cell>
          <cell r="J65" t="str">
            <v>Jan Rent Rev</v>
          </cell>
        </row>
        <row r="66">
          <cell r="C66">
            <v>142</v>
          </cell>
          <cell r="D66">
            <v>39872</v>
          </cell>
          <cell r="E66" t="str">
            <v>454101</v>
          </cell>
          <cell r="F66" t="str">
            <v>020157</v>
          </cell>
          <cell r="G66" t="str">
            <v>HAGER HUNT RENTAL</v>
          </cell>
          <cell r="H66">
            <v>-200</v>
          </cell>
          <cell r="I66" t="str">
            <v>856</v>
          </cell>
          <cell r="J66" t="str">
            <v>March RENT REV</v>
          </cell>
        </row>
        <row r="67">
          <cell r="C67">
            <v>143</v>
          </cell>
          <cell r="D67">
            <v>40117</v>
          </cell>
          <cell r="E67" t="str">
            <v>454101</v>
          </cell>
          <cell r="F67" t="str">
            <v>100157</v>
          </cell>
          <cell r="G67" t="str">
            <v>HAGER HUNT SUB</v>
          </cell>
          <cell r="H67">
            <v>-200</v>
          </cell>
          <cell r="I67" t="str">
            <v>856</v>
          </cell>
          <cell r="J67" t="str">
            <v>NOVEMBER RENT REV</v>
          </cell>
        </row>
        <row r="68">
          <cell r="C68">
            <v>144</v>
          </cell>
          <cell r="D68">
            <v>39994</v>
          </cell>
          <cell r="E68" t="str">
            <v>454101</v>
          </cell>
          <cell r="F68" t="str">
            <v>060157</v>
          </cell>
          <cell r="G68" t="str">
            <v>HAGER JUNE AND JULY</v>
          </cell>
          <cell r="H68">
            <v>-400</v>
          </cell>
          <cell r="I68" t="str">
            <v>856</v>
          </cell>
          <cell r="J68" t="str">
            <v>JULY Rent REV</v>
          </cell>
        </row>
        <row r="69">
          <cell r="C69">
            <v>145</v>
          </cell>
          <cell r="D69">
            <v>39903</v>
          </cell>
          <cell r="E69" t="str">
            <v>454101</v>
          </cell>
          <cell r="F69" t="str">
            <v>030157</v>
          </cell>
          <cell r="G69" t="str">
            <v>HAGER RENTAL</v>
          </cell>
          <cell r="H69">
            <v>-200</v>
          </cell>
          <cell r="I69" t="str">
            <v>856</v>
          </cell>
          <cell r="J69" t="str">
            <v>April RENT REV</v>
          </cell>
        </row>
        <row r="70">
          <cell r="C70">
            <v>146</v>
          </cell>
          <cell r="D70">
            <v>39933</v>
          </cell>
          <cell r="E70" t="str">
            <v>454101</v>
          </cell>
          <cell r="F70" t="str">
            <v>040157</v>
          </cell>
          <cell r="G70" t="str">
            <v>HAGER RENTAL</v>
          </cell>
          <cell r="H70">
            <v>-200</v>
          </cell>
          <cell r="I70" t="str">
            <v>856</v>
          </cell>
          <cell r="J70" t="str">
            <v>MAY RENT REV</v>
          </cell>
        </row>
        <row r="71">
          <cell r="C71">
            <v>147</v>
          </cell>
          <cell r="D71">
            <v>40056</v>
          </cell>
          <cell r="E71" t="str">
            <v>454101</v>
          </cell>
          <cell r="F71" t="str">
            <v>080157</v>
          </cell>
          <cell r="G71" t="str">
            <v>HAGER RENTAL</v>
          </cell>
          <cell r="H71">
            <v>-200</v>
          </cell>
          <cell r="I71" t="str">
            <v>856</v>
          </cell>
          <cell r="J71" t="str">
            <v>SEPT RENT REV</v>
          </cell>
        </row>
        <row r="72">
          <cell r="C72">
            <v>148</v>
          </cell>
          <cell r="D72">
            <v>40086</v>
          </cell>
          <cell r="E72" t="str">
            <v>454101</v>
          </cell>
          <cell r="F72" t="str">
            <v>090157</v>
          </cell>
          <cell r="G72" t="str">
            <v>HAGER RENTAL</v>
          </cell>
          <cell r="H72">
            <v>-200</v>
          </cell>
          <cell r="I72" t="str">
            <v>856</v>
          </cell>
          <cell r="J72" t="str">
            <v>OCTOBER RENT REV</v>
          </cell>
        </row>
        <row r="73">
          <cell r="C73">
            <v>149</v>
          </cell>
          <cell r="D73">
            <v>39844</v>
          </cell>
          <cell r="E73" t="str">
            <v>454101</v>
          </cell>
          <cell r="F73" t="str">
            <v>010157</v>
          </cell>
          <cell r="G73" t="str">
            <v>HAGER RENTAL HUNT SUB</v>
          </cell>
          <cell r="H73">
            <v>-200</v>
          </cell>
          <cell r="I73" t="str">
            <v>856</v>
          </cell>
          <cell r="J73" t="str">
            <v>Feb RENT REV</v>
          </cell>
        </row>
        <row r="74">
          <cell r="C74">
            <v>150</v>
          </cell>
          <cell r="D74">
            <v>40178</v>
          </cell>
          <cell r="E74" t="str">
            <v>454101</v>
          </cell>
          <cell r="F74" t="str">
            <v>120157</v>
          </cell>
          <cell r="G74" t="str">
            <v>HAGER-EDEN</v>
          </cell>
          <cell r="H74">
            <v>-200</v>
          </cell>
          <cell r="I74" t="str">
            <v>856</v>
          </cell>
          <cell r="J74" t="str">
            <v>Jan Rent Rev</v>
          </cell>
        </row>
        <row r="75">
          <cell r="C75">
            <v>151</v>
          </cell>
          <cell r="D75">
            <v>40178</v>
          </cell>
          <cell r="E75" t="str">
            <v>454102</v>
          </cell>
          <cell r="F75" t="str">
            <v>120034</v>
          </cell>
          <cell r="G75" t="str">
            <v>HORIZON WIND PERMIT</v>
          </cell>
          <cell r="H75">
            <v>-2500</v>
          </cell>
          <cell r="I75" t="str">
            <v>856</v>
          </cell>
          <cell r="J75" t="str">
            <v>Misc Cash Acctg ID 0000208379</v>
          </cell>
        </row>
        <row r="76">
          <cell r="C76">
            <v>152</v>
          </cell>
          <cell r="D76">
            <v>40178</v>
          </cell>
          <cell r="E76" t="str">
            <v>454101</v>
          </cell>
          <cell r="F76" t="str">
            <v>120034</v>
          </cell>
          <cell r="G76" t="str">
            <v>ID TRANS DEPT EASEMENT SA</v>
          </cell>
          <cell r="H76">
            <v>-29182</v>
          </cell>
          <cell r="I76" t="str">
            <v>856</v>
          </cell>
          <cell r="J76" t="str">
            <v>Misc Cash Acctg ID 0000208379</v>
          </cell>
        </row>
        <row r="77">
          <cell r="C77">
            <v>102</v>
          </cell>
          <cell r="D77">
            <v>40178</v>
          </cell>
          <cell r="E77" t="str">
            <v>454101</v>
          </cell>
          <cell r="F77" t="str">
            <v>120157</v>
          </cell>
          <cell r="G77" t="str">
            <v>388 JENTZCH-KEARL FARMS</v>
          </cell>
          <cell r="H77">
            <v>-50</v>
          </cell>
          <cell r="I77" t="str">
            <v>856</v>
          </cell>
          <cell r="J77" t="str">
            <v>Jan Rent Rev</v>
          </cell>
        </row>
        <row r="78">
          <cell r="C78">
            <v>57</v>
          </cell>
          <cell r="D78">
            <v>39872</v>
          </cell>
          <cell r="E78" t="str">
            <v>454101</v>
          </cell>
          <cell r="F78" t="str">
            <v>020157</v>
          </cell>
          <cell r="G78" t="str">
            <v>#388 JENTZSCH-KEARL FARMS</v>
          </cell>
          <cell r="H78">
            <v>-50</v>
          </cell>
          <cell r="I78" t="str">
            <v>856</v>
          </cell>
          <cell r="J78" t="str">
            <v>March RENT REV</v>
          </cell>
        </row>
        <row r="79">
          <cell r="C79">
            <v>73</v>
          </cell>
          <cell r="D79">
            <v>39964</v>
          </cell>
          <cell r="E79" t="str">
            <v>454102</v>
          </cell>
          <cell r="F79" t="str">
            <v>050157</v>
          </cell>
          <cell r="G79" t="str">
            <v>#419 JOHN AMES</v>
          </cell>
          <cell r="H79">
            <v>-100</v>
          </cell>
          <cell r="I79" t="str">
            <v>856</v>
          </cell>
          <cell r="J79" t="str">
            <v>June RENT REV</v>
          </cell>
        </row>
        <row r="80">
          <cell r="C80">
            <v>153</v>
          </cell>
          <cell r="D80">
            <v>40086</v>
          </cell>
          <cell r="E80" t="str">
            <v>454101</v>
          </cell>
          <cell r="F80" t="str">
            <v>090157</v>
          </cell>
          <cell r="G80" t="str">
            <v>KILL HILL IRRIGATION PERM</v>
          </cell>
          <cell r="H80">
            <v>-100</v>
          </cell>
          <cell r="I80" t="str">
            <v>856</v>
          </cell>
          <cell r="J80" t="str">
            <v>OCTOBER RENT REV</v>
          </cell>
        </row>
        <row r="81">
          <cell r="C81">
            <v>74</v>
          </cell>
          <cell r="D81">
            <v>39872</v>
          </cell>
          <cell r="E81" t="str">
            <v>454102</v>
          </cell>
          <cell r="F81" t="str">
            <v>020157</v>
          </cell>
          <cell r="G81" t="str">
            <v>#48 KIM WRIGHT</v>
          </cell>
          <cell r="H81">
            <v>-10</v>
          </cell>
          <cell r="I81" t="str">
            <v>856</v>
          </cell>
          <cell r="J81" t="str">
            <v>March RENT REV</v>
          </cell>
        </row>
        <row r="82">
          <cell r="C82">
            <v>5</v>
          </cell>
          <cell r="D82">
            <v>39994</v>
          </cell>
          <cell r="E82" t="str">
            <v>454101</v>
          </cell>
          <cell r="F82" t="str">
            <v>060157</v>
          </cell>
          <cell r="G82" t="str">
            <v>#124 KNIGHT GRAZING LEASE</v>
          </cell>
          <cell r="H82">
            <v>-100</v>
          </cell>
          <cell r="I82" t="str">
            <v>856</v>
          </cell>
          <cell r="J82" t="str">
            <v>JULY Rent REV</v>
          </cell>
        </row>
        <row r="83">
          <cell r="C83">
            <v>154</v>
          </cell>
          <cell r="D83">
            <v>40086</v>
          </cell>
          <cell r="E83" t="str">
            <v>454101</v>
          </cell>
          <cell r="F83" t="str">
            <v>090157</v>
          </cell>
          <cell r="G83" t="str">
            <v>LAMAR 345 357 358</v>
          </cell>
          <cell r="H83">
            <v>-5709.39</v>
          </cell>
          <cell r="I83" t="str">
            <v>856</v>
          </cell>
          <cell r="J83" t="str">
            <v>OCTOBER RENT REV</v>
          </cell>
        </row>
        <row r="84">
          <cell r="C84">
            <v>92</v>
          </cell>
          <cell r="D84">
            <v>40147</v>
          </cell>
          <cell r="E84" t="str">
            <v>454101</v>
          </cell>
          <cell r="F84" t="str">
            <v>110157</v>
          </cell>
          <cell r="G84" t="str">
            <v>346 LAMAR</v>
          </cell>
          <cell r="H84">
            <v>-1695.33</v>
          </cell>
          <cell r="I84" t="str">
            <v>856</v>
          </cell>
          <cell r="J84" t="str">
            <v>DEC RENT REV</v>
          </cell>
        </row>
        <row r="85">
          <cell r="C85">
            <v>8</v>
          </cell>
          <cell r="D85">
            <v>39872</v>
          </cell>
          <cell r="E85" t="str">
            <v>454101</v>
          </cell>
          <cell r="F85" t="str">
            <v>020157</v>
          </cell>
          <cell r="G85" t="str">
            <v>#264 LAMAR OUTDOOR</v>
          </cell>
          <cell r="H85">
            <v>-1354.17</v>
          </cell>
          <cell r="I85" t="str">
            <v>856</v>
          </cell>
          <cell r="J85" t="str">
            <v>March RENT REV</v>
          </cell>
        </row>
        <row r="86">
          <cell r="C86">
            <v>93</v>
          </cell>
          <cell r="D86">
            <v>40147</v>
          </cell>
          <cell r="E86" t="str">
            <v>454101</v>
          </cell>
          <cell r="F86" t="str">
            <v>110157</v>
          </cell>
          <cell r="G86" t="str">
            <v>348 LAMAR OUTDOOR AD</v>
          </cell>
          <cell r="H86">
            <v>-1695.33</v>
          </cell>
          <cell r="I86" t="str">
            <v>856</v>
          </cell>
          <cell r="J86" t="str">
            <v>DEC RENT REV</v>
          </cell>
        </row>
        <row r="87">
          <cell r="C87">
            <v>19</v>
          </cell>
          <cell r="D87">
            <v>39903</v>
          </cell>
          <cell r="E87" t="str">
            <v>454101</v>
          </cell>
          <cell r="F87" t="str">
            <v>030157</v>
          </cell>
          <cell r="G87" t="str">
            <v>#314 LAMAR SHORELINE</v>
          </cell>
          <cell r="H87">
            <v>-2186.66</v>
          </cell>
          <cell r="I87" t="str">
            <v>856</v>
          </cell>
          <cell r="J87" t="str">
            <v>April RENT REV</v>
          </cell>
        </row>
        <row r="88">
          <cell r="C88">
            <v>155</v>
          </cell>
          <cell r="D88">
            <v>39872</v>
          </cell>
          <cell r="E88" t="str">
            <v>454101</v>
          </cell>
          <cell r="F88" t="str">
            <v>020157</v>
          </cell>
          <cell r="G88" t="str">
            <v>LEVEL 3 COMM LEASE 407</v>
          </cell>
          <cell r="H88">
            <v>-3250.57</v>
          </cell>
          <cell r="I88" t="str">
            <v>856</v>
          </cell>
          <cell r="J88" t="str">
            <v>March RENT REV</v>
          </cell>
        </row>
        <row r="89">
          <cell r="C89">
            <v>10</v>
          </cell>
          <cell r="D89">
            <v>39964</v>
          </cell>
          <cell r="E89" t="str">
            <v>454101</v>
          </cell>
          <cell r="F89" t="str">
            <v>050157</v>
          </cell>
          <cell r="G89" t="str">
            <v>#289 LOTT</v>
          </cell>
          <cell r="H89">
            <v>-100</v>
          </cell>
          <cell r="I89" t="str">
            <v>856</v>
          </cell>
          <cell r="J89" t="str">
            <v>June RENT REV</v>
          </cell>
        </row>
        <row r="90">
          <cell r="C90">
            <v>75</v>
          </cell>
          <cell r="D90">
            <v>39872</v>
          </cell>
          <cell r="E90" t="str">
            <v>454101</v>
          </cell>
          <cell r="F90" t="str">
            <v>020157</v>
          </cell>
          <cell r="G90" t="str">
            <v>#66 LUNDY LEASE</v>
          </cell>
          <cell r="H90">
            <v>-100</v>
          </cell>
          <cell r="I90" t="str">
            <v>856</v>
          </cell>
          <cell r="J90" t="str">
            <v>March RENT REV</v>
          </cell>
        </row>
        <row r="91">
          <cell r="C91">
            <v>87</v>
          </cell>
          <cell r="D91">
            <v>40147</v>
          </cell>
          <cell r="E91" t="str">
            <v>454101</v>
          </cell>
          <cell r="F91" t="str">
            <v>110157</v>
          </cell>
          <cell r="G91" t="str">
            <v>319 MCBIRNEY</v>
          </cell>
          <cell r="H91">
            <v>-500</v>
          </cell>
          <cell r="I91" t="str">
            <v>856</v>
          </cell>
          <cell r="J91" t="str">
            <v>DEC RENT REV</v>
          </cell>
        </row>
        <row r="92">
          <cell r="C92">
            <v>103</v>
          </cell>
          <cell r="D92">
            <v>40178</v>
          </cell>
          <cell r="E92" t="str">
            <v>454101</v>
          </cell>
          <cell r="F92" t="str">
            <v>120157</v>
          </cell>
          <cell r="G92" t="str">
            <v>394 MCFARLAND</v>
          </cell>
          <cell r="H92">
            <v>-400</v>
          </cell>
          <cell r="I92" t="str">
            <v>856</v>
          </cell>
          <cell r="J92" t="str">
            <v>Jan Rent Rev</v>
          </cell>
        </row>
        <row r="93">
          <cell r="C93">
            <v>156</v>
          </cell>
          <cell r="D93">
            <v>40117</v>
          </cell>
          <cell r="E93" t="str">
            <v>454101</v>
          </cell>
          <cell r="F93" t="str">
            <v>100157</v>
          </cell>
          <cell r="G93" t="str">
            <v>MCFARLAND CASCADE #394</v>
          </cell>
          <cell r="H93">
            <v>-400</v>
          </cell>
          <cell r="I93" t="str">
            <v>856</v>
          </cell>
          <cell r="J93" t="str">
            <v>NOVEMBER RENT REV</v>
          </cell>
        </row>
        <row r="94">
          <cell r="C94">
            <v>157</v>
          </cell>
          <cell r="D94">
            <v>40056</v>
          </cell>
          <cell r="E94" t="str">
            <v>454101</v>
          </cell>
          <cell r="F94" t="str">
            <v>080157</v>
          </cell>
          <cell r="G94" t="str">
            <v>MCFARLAND CASCADE 394</v>
          </cell>
          <cell r="H94">
            <v>-400</v>
          </cell>
          <cell r="I94" t="str">
            <v>856</v>
          </cell>
          <cell r="J94" t="str">
            <v>SEPT RENT REV</v>
          </cell>
        </row>
        <row r="95">
          <cell r="C95">
            <v>58</v>
          </cell>
          <cell r="D95">
            <v>39844</v>
          </cell>
          <cell r="E95" t="str">
            <v>454101</v>
          </cell>
          <cell r="F95" t="str">
            <v>010157</v>
          </cell>
          <cell r="G95" t="str">
            <v>#394 MCFARLAND CASCADE</v>
          </cell>
          <cell r="H95">
            <v>-400</v>
          </cell>
          <cell r="I95" t="str">
            <v>856</v>
          </cell>
          <cell r="J95" t="str">
            <v>Feb RENT REV</v>
          </cell>
        </row>
        <row r="96">
          <cell r="C96">
            <v>59</v>
          </cell>
          <cell r="D96">
            <v>39872</v>
          </cell>
          <cell r="E96" t="str">
            <v>454101</v>
          </cell>
          <cell r="F96" t="str">
            <v>020157</v>
          </cell>
          <cell r="G96" t="str">
            <v>#394 MCFARLAND CASCADE</v>
          </cell>
          <cell r="H96">
            <v>-400</v>
          </cell>
          <cell r="I96" t="str">
            <v>856</v>
          </cell>
          <cell r="J96" t="str">
            <v>March RENT REV</v>
          </cell>
        </row>
        <row r="97">
          <cell r="C97">
            <v>60</v>
          </cell>
          <cell r="D97">
            <v>39903</v>
          </cell>
          <cell r="E97" t="str">
            <v>454101</v>
          </cell>
          <cell r="F97" t="str">
            <v>030157</v>
          </cell>
          <cell r="G97" t="str">
            <v>#394 MCFARLAND CASCADE</v>
          </cell>
          <cell r="H97">
            <v>-400</v>
          </cell>
          <cell r="I97" t="str">
            <v>856</v>
          </cell>
          <cell r="J97" t="str">
            <v>April RENT REV</v>
          </cell>
        </row>
        <row r="98">
          <cell r="C98">
            <v>61</v>
          </cell>
          <cell r="D98">
            <v>39933</v>
          </cell>
          <cell r="E98" t="str">
            <v>454101</v>
          </cell>
          <cell r="F98" t="str">
            <v>040157</v>
          </cell>
          <cell r="G98" t="str">
            <v>#394 MCFARLAND CASCADE</v>
          </cell>
          <cell r="H98">
            <v>-400</v>
          </cell>
          <cell r="I98" t="str">
            <v>856</v>
          </cell>
          <cell r="J98" t="str">
            <v>MAY RENT REV</v>
          </cell>
        </row>
        <row r="99">
          <cell r="C99">
            <v>62</v>
          </cell>
          <cell r="D99">
            <v>39964</v>
          </cell>
          <cell r="E99" t="str">
            <v>454101</v>
          </cell>
          <cell r="F99" t="str">
            <v>050157</v>
          </cell>
          <cell r="G99" t="str">
            <v>#394 MCFARLAND CASCADE</v>
          </cell>
          <cell r="H99">
            <v>-400</v>
          </cell>
          <cell r="I99" t="str">
            <v>856</v>
          </cell>
          <cell r="J99" t="str">
            <v>June RENT REV</v>
          </cell>
        </row>
        <row r="100">
          <cell r="C100">
            <v>63</v>
          </cell>
          <cell r="D100">
            <v>39994</v>
          </cell>
          <cell r="E100" t="str">
            <v>454101</v>
          </cell>
          <cell r="F100" t="str">
            <v>060157</v>
          </cell>
          <cell r="G100" t="str">
            <v>#394 MCFARLAND CASCADE</v>
          </cell>
          <cell r="H100">
            <v>-400</v>
          </cell>
          <cell r="I100" t="str">
            <v>856</v>
          </cell>
          <cell r="J100" t="str">
            <v>JULY Rent REV</v>
          </cell>
        </row>
        <row r="101">
          <cell r="C101">
            <v>64</v>
          </cell>
          <cell r="D101">
            <v>40025</v>
          </cell>
          <cell r="E101" t="str">
            <v>454101</v>
          </cell>
          <cell r="F101" t="str">
            <v>070157</v>
          </cell>
          <cell r="G101" t="str">
            <v>#394 MCFARLAND CASCADE</v>
          </cell>
          <cell r="H101">
            <v>-400</v>
          </cell>
          <cell r="I101" t="str">
            <v>856</v>
          </cell>
          <cell r="J101" t="str">
            <v>AUG RENT REV</v>
          </cell>
        </row>
        <row r="102">
          <cell r="C102">
            <v>104</v>
          </cell>
          <cell r="D102">
            <v>40086</v>
          </cell>
          <cell r="E102" t="str">
            <v>454101</v>
          </cell>
          <cell r="F102" t="str">
            <v>090157</v>
          </cell>
          <cell r="G102" t="str">
            <v>394 MCFARLAND CASCADE</v>
          </cell>
          <cell r="H102">
            <v>-400</v>
          </cell>
          <cell r="I102" t="str">
            <v>856</v>
          </cell>
          <cell r="J102" t="str">
            <v>OCTOBER RENT REV</v>
          </cell>
        </row>
        <row r="103">
          <cell r="C103">
            <v>105</v>
          </cell>
          <cell r="D103">
            <v>40147</v>
          </cell>
          <cell r="E103" t="str">
            <v>454101</v>
          </cell>
          <cell r="F103" t="str">
            <v>110157</v>
          </cell>
          <cell r="G103" t="str">
            <v>394 MCFARLAND CASCADE</v>
          </cell>
          <cell r="H103">
            <v>-400</v>
          </cell>
          <cell r="I103" t="str">
            <v>856</v>
          </cell>
          <cell r="J103" t="str">
            <v>DEC RENT REV</v>
          </cell>
        </row>
        <row r="104">
          <cell r="C104">
            <v>91</v>
          </cell>
          <cell r="D104">
            <v>40178</v>
          </cell>
          <cell r="E104" t="str">
            <v>454101</v>
          </cell>
          <cell r="F104" t="str">
            <v>120157</v>
          </cell>
          <cell r="G104" t="str">
            <v>330 MEADOW OUTDOOR AD</v>
          </cell>
          <cell r="H104">
            <v>-9017.56</v>
          </cell>
          <cell r="I104" t="str">
            <v>856</v>
          </cell>
          <cell r="J104" t="str">
            <v>Jan Rent Rev</v>
          </cell>
        </row>
        <row r="105">
          <cell r="C105">
            <v>37</v>
          </cell>
          <cell r="D105">
            <v>39903</v>
          </cell>
          <cell r="E105" t="str">
            <v>454102</v>
          </cell>
          <cell r="F105" t="str">
            <v>030157</v>
          </cell>
          <cell r="G105" t="str">
            <v>#326 MEL CROSS LEASE</v>
          </cell>
          <cell r="H105">
            <v>-100</v>
          </cell>
          <cell r="I105" t="str">
            <v>856</v>
          </cell>
          <cell r="J105" t="str">
            <v>April RENT REV</v>
          </cell>
        </row>
        <row r="106">
          <cell r="C106">
            <v>158</v>
          </cell>
          <cell r="D106">
            <v>40086</v>
          </cell>
          <cell r="E106" t="str">
            <v>454101</v>
          </cell>
          <cell r="F106" t="str">
            <v>090157</v>
          </cell>
          <cell r="G106" t="str">
            <v>METRO BOTH</v>
          </cell>
          <cell r="H106">
            <v>-864.6</v>
          </cell>
          <cell r="I106" t="str">
            <v>856</v>
          </cell>
          <cell r="J106" t="str">
            <v>OCTOBER RENT REV</v>
          </cell>
        </row>
        <row r="107">
          <cell r="C107">
            <v>159</v>
          </cell>
          <cell r="D107">
            <v>39903</v>
          </cell>
          <cell r="E107" t="str">
            <v>454101</v>
          </cell>
          <cell r="F107" t="str">
            <v>030157</v>
          </cell>
          <cell r="G107" t="str">
            <v>METRO BOTH RENTALS</v>
          </cell>
          <cell r="H107">
            <v>-716.77</v>
          </cell>
          <cell r="I107" t="str">
            <v>856</v>
          </cell>
          <cell r="J107" t="str">
            <v>April RENT REV</v>
          </cell>
        </row>
        <row r="108">
          <cell r="C108">
            <v>160</v>
          </cell>
          <cell r="D108">
            <v>39933</v>
          </cell>
          <cell r="E108" t="str">
            <v>454101</v>
          </cell>
          <cell r="F108" t="str">
            <v>040157</v>
          </cell>
          <cell r="G108" t="str">
            <v>METRO BOTH RENTALS</v>
          </cell>
          <cell r="H108">
            <v>-870.33</v>
          </cell>
          <cell r="I108" t="str">
            <v>856</v>
          </cell>
          <cell r="J108" t="str">
            <v>MAY RENT REV</v>
          </cell>
        </row>
        <row r="109">
          <cell r="C109">
            <v>161</v>
          </cell>
          <cell r="D109">
            <v>39964</v>
          </cell>
          <cell r="E109" t="str">
            <v>454101</v>
          </cell>
          <cell r="F109" t="str">
            <v>050157</v>
          </cell>
          <cell r="G109" t="str">
            <v>METRO BOTH RENTALS</v>
          </cell>
          <cell r="H109">
            <v>-711.02</v>
          </cell>
          <cell r="I109" t="str">
            <v>856</v>
          </cell>
          <cell r="J109" t="str">
            <v>June RENT REV</v>
          </cell>
        </row>
        <row r="110">
          <cell r="C110">
            <v>162</v>
          </cell>
          <cell r="D110">
            <v>40117</v>
          </cell>
          <cell r="E110" t="str">
            <v>454101</v>
          </cell>
          <cell r="F110" t="str">
            <v>100157</v>
          </cell>
          <cell r="G110" t="str">
            <v>METRO BOTH RENTALS</v>
          </cell>
          <cell r="H110">
            <v>-845.06</v>
          </cell>
          <cell r="I110" t="str">
            <v>856</v>
          </cell>
          <cell r="J110" t="str">
            <v>NOVEMBER RENT REV</v>
          </cell>
        </row>
        <row r="111">
          <cell r="C111">
            <v>163</v>
          </cell>
          <cell r="D111">
            <v>39994</v>
          </cell>
          <cell r="E111" t="str">
            <v>454101</v>
          </cell>
          <cell r="F111" t="str">
            <v>060157</v>
          </cell>
          <cell r="G111" t="str">
            <v>METRO JUNE BOTH RENTALS</v>
          </cell>
          <cell r="H111">
            <v>-476.47</v>
          </cell>
          <cell r="I111" t="str">
            <v>856</v>
          </cell>
          <cell r="J111" t="str">
            <v>JULY Rent REV</v>
          </cell>
        </row>
        <row r="112">
          <cell r="C112">
            <v>164</v>
          </cell>
          <cell r="D112">
            <v>39844</v>
          </cell>
          <cell r="E112" t="str">
            <v>454101</v>
          </cell>
          <cell r="F112" t="str">
            <v>010157</v>
          </cell>
          <cell r="G112" t="str">
            <v>METRO MANAGE BOTH RENTALS</v>
          </cell>
          <cell r="H112">
            <v>-800.3</v>
          </cell>
          <cell r="I112" t="str">
            <v>856</v>
          </cell>
          <cell r="J112" t="str">
            <v>Feb RENT REV</v>
          </cell>
        </row>
        <row r="113">
          <cell r="C113">
            <v>165</v>
          </cell>
          <cell r="D113">
            <v>40178</v>
          </cell>
          <cell r="E113" t="str">
            <v>454101</v>
          </cell>
          <cell r="F113" t="str">
            <v>120157</v>
          </cell>
          <cell r="G113" t="str">
            <v>METRO MANAGEMENT - BOTH</v>
          </cell>
          <cell r="H113">
            <v>-879.25</v>
          </cell>
          <cell r="I113" t="str">
            <v>856</v>
          </cell>
          <cell r="J113" t="str">
            <v>Jan Rent Rev</v>
          </cell>
        </row>
        <row r="114">
          <cell r="C114">
            <v>166</v>
          </cell>
          <cell r="D114">
            <v>39903</v>
          </cell>
          <cell r="E114" t="str">
            <v>454101</v>
          </cell>
          <cell r="F114" t="str">
            <v>030157</v>
          </cell>
          <cell r="G114" t="str">
            <v>METRO MANAGEMENT BOTH</v>
          </cell>
          <cell r="H114">
            <v>-523.75</v>
          </cell>
          <cell r="I114" t="str">
            <v>856</v>
          </cell>
          <cell r="J114" t="str">
            <v>April RENT REV</v>
          </cell>
        </row>
        <row r="115">
          <cell r="C115">
            <v>167</v>
          </cell>
          <cell r="D115">
            <v>40086</v>
          </cell>
          <cell r="E115" t="str">
            <v>454101</v>
          </cell>
          <cell r="F115" t="str">
            <v>090157</v>
          </cell>
          <cell r="G115" t="str">
            <v>METRO MAPLE GROVE ONLY</v>
          </cell>
          <cell r="H115">
            <v>-581.51</v>
          </cell>
          <cell r="I115" t="str">
            <v>856</v>
          </cell>
          <cell r="J115" t="str">
            <v>OCTOBER RENT REV</v>
          </cell>
        </row>
        <row r="116">
          <cell r="C116">
            <v>9</v>
          </cell>
          <cell r="D116">
            <v>39964</v>
          </cell>
          <cell r="E116" t="str">
            <v>454101</v>
          </cell>
          <cell r="F116" t="str">
            <v>050157</v>
          </cell>
          <cell r="G116" t="str">
            <v>#276 MUSSMANN HUNT</v>
          </cell>
          <cell r="H116">
            <v>-650</v>
          </cell>
          <cell r="I116" t="str">
            <v>856</v>
          </cell>
          <cell r="J116" t="str">
            <v>June RENT REV</v>
          </cell>
        </row>
        <row r="117">
          <cell r="C117">
            <v>4</v>
          </cell>
          <cell r="D117">
            <v>39903</v>
          </cell>
          <cell r="E117" t="str">
            <v>454102</v>
          </cell>
          <cell r="F117" t="str">
            <v>030157</v>
          </cell>
          <cell r="G117" t="str">
            <v>#046  OLMSTEAD LEASE</v>
          </cell>
          <cell r="H117">
            <v>-175</v>
          </cell>
          <cell r="I117" t="str">
            <v>856</v>
          </cell>
          <cell r="J117" t="str">
            <v>April RENT REV</v>
          </cell>
        </row>
        <row r="118">
          <cell r="C118">
            <v>80</v>
          </cell>
          <cell r="D118">
            <v>40178</v>
          </cell>
          <cell r="E118" t="str">
            <v>454102</v>
          </cell>
          <cell r="F118" t="str">
            <v>120157</v>
          </cell>
          <cell r="G118" t="str">
            <v>250 OXBOW CHRISTIAN</v>
          </cell>
          <cell r="H118">
            <v>-300</v>
          </cell>
          <cell r="I118" t="str">
            <v>856</v>
          </cell>
          <cell r="J118" t="str">
            <v>Jan Rent Rev</v>
          </cell>
        </row>
        <row r="119">
          <cell r="C119">
            <v>168</v>
          </cell>
          <cell r="D119">
            <v>40117</v>
          </cell>
          <cell r="E119" t="str">
            <v>454102</v>
          </cell>
          <cell r="F119" t="str">
            <v>100157</v>
          </cell>
          <cell r="G119" t="str">
            <v>OXBOW MAIL</v>
          </cell>
          <cell r="H119">
            <v>-50</v>
          </cell>
          <cell r="I119" t="str">
            <v>856</v>
          </cell>
          <cell r="J119" t="str">
            <v>NOVEMBER RENT REV</v>
          </cell>
        </row>
        <row r="120">
          <cell r="C120">
            <v>169</v>
          </cell>
          <cell r="D120">
            <v>39994</v>
          </cell>
          <cell r="E120" t="str">
            <v>454102</v>
          </cell>
          <cell r="F120" t="str">
            <v>060157</v>
          </cell>
          <cell r="G120" t="str">
            <v>OXBOW MAIN POST OFFICE</v>
          </cell>
          <cell r="H120">
            <v>-50</v>
          </cell>
          <cell r="I120" t="str">
            <v>856</v>
          </cell>
          <cell r="J120" t="str">
            <v>JULY Rent REV</v>
          </cell>
        </row>
        <row r="121">
          <cell r="C121">
            <v>170</v>
          </cell>
          <cell r="D121">
            <v>40025</v>
          </cell>
          <cell r="E121" t="str">
            <v>454102</v>
          </cell>
          <cell r="F121" t="str">
            <v>070157</v>
          </cell>
          <cell r="G121" t="str">
            <v>OXBOW MAIN POST OFFICE</v>
          </cell>
          <cell r="H121">
            <v>-50</v>
          </cell>
          <cell r="I121" t="str">
            <v>856</v>
          </cell>
          <cell r="J121" t="str">
            <v>AUG RENT REV</v>
          </cell>
        </row>
        <row r="122">
          <cell r="C122">
            <v>171</v>
          </cell>
          <cell r="D122">
            <v>40086</v>
          </cell>
          <cell r="E122" t="str">
            <v>454102</v>
          </cell>
          <cell r="F122" t="str">
            <v>090157</v>
          </cell>
          <cell r="G122" t="str">
            <v>OXBOW MAIN POST OFFICE</v>
          </cell>
          <cell r="H122">
            <v>-50</v>
          </cell>
          <cell r="I122" t="str">
            <v>856</v>
          </cell>
          <cell r="J122" t="str">
            <v>OCTOBER RENT REV</v>
          </cell>
        </row>
        <row r="123">
          <cell r="C123">
            <v>172</v>
          </cell>
          <cell r="D123">
            <v>40147</v>
          </cell>
          <cell r="E123" t="str">
            <v>454102</v>
          </cell>
          <cell r="F123" t="str">
            <v>110157</v>
          </cell>
          <cell r="G123" t="str">
            <v>OXBOW MAIN POST OFFICE</v>
          </cell>
          <cell r="H123">
            <v>-50</v>
          </cell>
          <cell r="I123" t="str">
            <v>856</v>
          </cell>
          <cell r="J123" t="str">
            <v>DEC RENT REV</v>
          </cell>
        </row>
        <row r="124">
          <cell r="C124">
            <v>173</v>
          </cell>
          <cell r="D124">
            <v>40178</v>
          </cell>
          <cell r="E124" t="str">
            <v>454102</v>
          </cell>
          <cell r="F124" t="str">
            <v>120157</v>
          </cell>
          <cell r="G124" t="str">
            <v>OXBOW MAIN POST OFFICE</v>
          </cell>
          <cell r="H124">
            <v>-50</v>
          </cell>
          <cell r="I124" t="str">
            <v>856</v>
          </cell>
          <cell r="J124" t="str">
            <v>Jan Rent Rev</v>
          </cell>
        </row>
        <row r="125">
          <cell r="C125">
            <v>174</v>
          </cell>
          <cell r="D125">
            <v>39872</v>
          </cell>
          <cell r="E125" t="str">
            <v>454102</v>
          </cell>
          <cell r="F125" t="str">
            <v>020157</v>
          </cell>
          <cell r="G125" t="str">
            <v>OXBOW POST OFFICE</v>
          </cell>
          <cell r="H125">
            <v>-50</v>
          </cell>
          <cell r="I125" t="str">
            <v>856</v>
          </cell>
          <cell r="J125" t="str">
            <v>March RENT REV</v>
          </cell>
        </row>
        <row r="126">
          <cell r="C126">
            <v>175</v>
          </cell>
          <cell r="D126">
            <v>39903</v>
          </cell>
          <cell r="E126" t="str">
            <v>454102</v>
          </cell>
          <cell r="F126" t="str">
            <v>030157</v>
          </cell>
          <cell r="G126" t="str">
            <v>OXBOW POST OFFICE</v>
          </cell>
          <cell r="H126">
            <v>-50</v>
          </cell>
          <cell r="I126" t="str">
            <v>856</v>
          </cell>
          <cell r="J126" t="str">
            <v>April RENT REV</v>
          </cell>
        </row>
        <row r="127">
          <cell r="C127">
            <v>176</v>
          </cell>
          <cell r="D127">
            <v>39964</v>
          </cell>
          <cell r="E127" t="str">
            <v>454102</v>
          </cell>
          <cell r="F127" t="str">
            <v>050157</v>
          </cell>
          <cell r="G127" t="str">
            <v>OXBOW POST OFFICE</v>
          </cell>
          <cell r="H127">
            <v>-50</v>
          </cell>
          <cell r="I127" t="str">
            <v>856</v>
          </cell>
          <cell r="J127" t="str">
            <v>June RENT REV</v>
          </cell>
        </row>
        <row r="128">
          <cell r="C128">
            <v>177</v>
          </cell>
          <cell r="D128">
            <v>40056</v>
          </cell>
          <cell r="E128" t="str">
            <v>454102</v>
          </cell>
          <cell r="F128" t="str">
            <v>080157</v>
          </cell>
          <cell r="G128" t="str">
            <v>OXBOW POST OFFICE</v>
          </cell>
          <cell r="H128">
            <v>-50</v>
          </cell>
          <cell r="I128" t="str">
            <v>856</v>
          </cell>
          <cell r="J128" t="str">
            <v>SEPT RENT REV</v>
          </cell>
        </row>
        <row r="129">
          <cell r="C129">
            <v>178</v>
          </cell>
          <cell r="D129">
            <v>39844</v>
          </cell>
          <cell r="E129" t="str">
            <v>454102</v>
          </cell>
          <cell r="F129" t="str">
            <v>010157</v>
          </cell>
          <cell r="G129" t="str">
            <v>OXBOW POSTOFFICE</v>
          </cell>
          <cell r="H129">
            <v>-50</v>
          </cell>
          <cell r="I129" t="str">
            <v>856</v>
          </cell>
          <cell r="J129" t="str">
            <v>Feb RENT REV</v>
          </cell>
        </row>
        <row r="130">
          <cell r="C130">
            <v>88</v>
          </cell>
          <cell r="D130">
            <v>40147</v>
          </cell>
          <cell r="E130" t="str">
            <v>454101</v>
          </cell>
          <cell r="F130" t="str">
            <v>110157</v>
          </cell>
          <cell r="G130" t="str">
            <v>323 PHILIP BRADLEY</v>
          </cell>
          <cell r="H130">
            <v>-100</v>
          </cell>
          <cell r="I130" t="str">
            <v>856</v>
          </cell>
          <cell r="J130" t="str">
            <v>DEC RENT REV</v>
          </cell>
        </row>
        <row r="131">
          <cell r="C131">
            <v>179</v>
          </cell>
          <cell r="D131">
            <v>39933</v>
          </cell>
          <cell r="E131" t="str">
            <v>454102</v>
          </cell>
          <cell r="F131" t="str">
            <v>040157</v>
          </cell>
          <cell r="G131" t="str">
            <v>PINE TELEPHONE OHC004</v>
          </cell>
          <cell r="H131">
            <v>-300</v>
          </cell>
          <cell r="I131" t="str">
            <v>856</v>
          </cell>
          <cell r="J131" t="str">
            <v>MAY RENT REV</v>
          </cell>
        </row>
        <row r="132">
          <cell r="C132">
            <v>18</v>
          </cell>
          <cell r="D132">
            <v>39903</v>
          </cell>
          <cell r="E132" t="str">
            <v>454101</v>
          </cell>
          <cell r="F132" t="str">
            <v>030157</v>
          </cell>
          <cell r="G132" t="str">
            <v>#295 ROCKING CATTLE</v>
          </cell>
          <cell r="H132">
            <v>-1500</v>
          </cell>
          <cell r="I132" t="str">
            <v>856</v>
          </cell>
          <cell r="J132" t="str">
            <v>April RENT REV</v>
          </cell>
        </row>
        <row r="133">
          <cell r="C133">
            <v>84</v>
          </cell>
          <cell r="D133">
            <v>40117</v>
          </cell>
          <cell r="E133" t="str">
            <v>454101</v>
          </cell>
          <cell r="F133" t="str">
            <v>100157</v>
          </cell>
          <cell r="G133" t="str">
            <v>295 ROCKING M CATTLE</v>
          </cell>
          <cell r="H133">
            <v>-1500</v>
          </cell>
          <cell r="I133" t="str">
            <v>856</v>
          </cell>
          <cell r="J133" t="str">
            <v>NOVEMBER RENT REV</v>
          </cell>
        </row>
        <row r="134">
          <cell r="C134">
            <v>77</v>
          </cell>
          <cell r="D134">
            <v>40086</v>
          </cell>
          <cell r="E134" t="str">
            <v>454101</v>
          </cell>
          <cell r="F134" t="str">
            <v>090157</v>
          </cell>
          <cell r="G134" t="str">
            <v>034 SALMON FALLS HENSLEE</v>
          </cell>
          <cell r="H134">
            <v>-190</v>
          </cell>
          <cell r="I134" t="str">
            <v>856</v>
          </cell>
          <cell r="J134" t="str">
            <v>OCTOBER RENT REV</v>
          </cell>
        </row>
        <row r="135">
          <cell r="C135">
            <v>78</v>
          </cell>
          <cell r="D135">
            <v>40086</v>
          </cell>
          <cell r="E135" t="str">
            <v>454101</v>
          </cell>
          <cell r="F135" t="str">
            <v>090157</v>
          </cell>
          <cell r="G135" t="str">
            <v>035 SALMON FALLS HENSLEE</v>
          </cell>
          <cell r="H135">
            <v>-470</v>
          </cell>
          <cell r="I135" t="str">
            <v>856</v>
          </cell>
          <cell r="J135" t="str">
            <v>OCTOBER RENT REV</v>
          </cell>
        </row>
        <row r="136">
          <cell r="C136">
            <v>2</v>
          </cell>
          <cell r="D136">
            <v>39844</v>
          </cell>
          <cell r="E136" t="str">
            <v>454101</v>
          </cell>
          <cell r="F136" t="str">
            <v>010157</v>
          </cell>
          <cell r="G136" t="str">
            <v>#406 SNOWBANK COMM SITE</v>
          </cell>
          <cell r="H136">
            <v>-4024.29</v>
          </cell>
          <cell r="I136" t="str">
            <v>856</v>
          </cell>
          <cell r="J136" t="str">
            <v>Feb RENT REV</v>
          </cell>
        </row>
        <row r="137">
          <cell r="C137">
            <v>180</v>
          </cell>
          <cell r="D137">
            <v>40056</v>
          </cell>
          <cell r="E137" t="str">
            <v>454101</v>
          </cell>
          <cell r="F137" t="str">
            <v>080157</v>
          </cell>
          <cell r="G137" t="str">
            <v>SPRINT NEXTEL 367</v>
          </cell>
          <cell r="H137">
            <v>-2271.48</v>
          </cell>
          <cell r="I137" t="str">
            <v>856</v>
          </cell>
          <cell r="J137" t="str">
            <v>SEPT RENT REV</v>
          </cell>
        </row>
        <row r="138">
          <cell r="C138">
            <v>41</v>
          </cell>
          <cell r="D138">
            <v>39872</v>
          </cell>
          <cell r="E138" t="str">
            <v>454101</v>
          </cell>
          <cell r="F138" t="str">
            <v>020157</v>
          </cell>
          <cell r="G138" t="str">
            <v>#367 SPRINT NEXTEL</v>
          </cell>
          <cell r="H138">
            <v>-2271.48</v>
          </cell>
          <cell r="I138" t="str">
            <v>856</v>
          </cell>
          <cell r="J138" t="str">
            <v>March RENT REV</v>
          </cell>
        </row>
        <row r="139">
          <cell r="C139">
            <v>42</v>
          </cell>
          <cell r="D139">
            <v>39903</v>
          </cell>
          <cell r="E139" t="str">
            <v>454101</v>
          </cell>
          <cell r="F139" t="str">
            <v>030157</v>
          </cell>
          <cell r="G139" t="str">
            <v>#367 SPRINT NEXTEL</v>
          </cell>
          <cell r="H139">
            <v>-2271.48</v>
          </cell>
          <cell r="I139" t="str">
            <v>856</v>
          </cell>
          <cell r="J139" t="str">
            <v>April RENT REV</v>
          </cell>
        </row>
        <row r="140">
          <cell r="C140">
            <v>43</v>
          </cell>
          <cell r="D140">
            <v>39933</v>
          </cell>
          <cell r="E140" t="str">
            <v>454101</v>
          </cell>
          <cell r="F140" t="str">
            <v>040157</v>
          </cell>
          <cell r="G140" t="str">
            <v>#367 SPRINT NEXTEL</v>
          </cell>
          <cell r="H140">
            <v>-2271.48</v>
          </cell>
          <cell r="I140" t="str">
            <v>856</v>
          </cell>
          <cell r="J140" t="str">
            <v>MAY RENT REV</v>
          </cell>
        </row>
        <row r="141">
          <cell r="C141">
            <v>44</v>
          </cell>
          <cell r="D141">
            <v>39994</v>
          </cell>
          <cell r="E141" t="str">
            <v>454101</v>
          </cell>
          <cell r="F141" t="str">
            <v>060157</v>
          </cell>
          <cell r="G141" t="str">
            <v>#367 SPRINT NEXTEL</v>
          </cell>
          <cell r="H141">
            <v>-2271.48</v>
          </cell>
          <cell r="I141" t="str">
            <v>856</v>
          </cell>
          <cell r="J141" t="str">
            <v>JULY Rent REV</v>
          </cell>
        </row>
        <row r="142">
          <cell r="C142">
            <v>45</v>
          </cell>
          <cell r="D142">
            <v>40025</v>
          </cell>
          <cell r="E142" t="str">
            <v>454101</v>
          </cell>
          <cell r="F142" t="str">
            <v>070157</v>
          </cell>
          <cell r="G142" t="str">
            <v>#367 SPRINT NEXTEL</v>
          </cell>
          <cell r="H142">
            <v>-2271.48</v>
          </cell>
          <cell r="I142" t="str">
            <v>856</v>
          </cell>
          <cell r="J142" t="str">
            <v>AUG RENT REV</v>
          </cell>
        </row>
        <row r="143">
          <cell r="C143">
            <v>46</v>
          </cell>
          <cell r="D143">
            <v>39844</v>
          </cell>
          <cell r="E143" t="str">
            <v>454101</v>
          </cell>
          <cell r="F143" t="str">
            <v>010157</v>
          </cell>
          <cell r="G143" t="str">
            <v>#367 SPRINT NEXTELL</v>
          </cell>
          <cell r="H143">
            <v>-2271.48</v>
          </cell>
          <cell r="I143" t="str">
            <v>856</v>
          </cell>
          <cell r="J143" t="str">
            <v>Feb RENT REV</v>
          </cell>
        </row>
        <row r="144">
          <cell r="C144">
            <v>47</v>
          </cell>
          <cell r="D144">
            <v>39964</v>
          </cell>
          <cell r="E144" t="str">
            <v>454101</v>
          </cell>
          <cell r="F144" t="str">
            <v>050157</v>
          </cell>
          <cell r="G144" t="str">
            <v>#367 SPRINT NEXTELL</v>
          </cell>
          <cell r="H144">
            <v>-2271.48</v>
          </cell>
          <cell r="I144" t="str">
            <v>856</v>
          </cell>
          <cell r="J144" t="str">
            <v>June RENT REV</v>
          </cell>
        </row>
        <row r="145">
          <cell r="C145">
            <v>94</v>
          </cell>
          <cell r="D145">
            <v>40086</v>
          </cell>
          <cell r="E145" t="str">
            <v>454101</v>
          </cell>
          <cell r="F145" t="str">
            <v>090157</v>
          </cell>
          <cell r="G145" t="str">
            <v>367 SPRINT NEXTEL</v>
          </cell>
          <cell r="H145">
            <v>-2271.48</v>
          </cell>
          <cell r="I145" t="str">
            <v>856</v>
          </cell>
          <cell r="J145" t="str">
            <v>OCTOBER RENT REV</v>
          </cell>
        </row>
        <row r="146">
          <cell r="C146">
            <v>95</v>
          </cell>
          <cell r="D146">
            <v>40147</v>
          </cell>
          <cell r="E146" t="str">
            <v>454101</v>
          </cell>
          <cell r="F146" t="str">
            <v>110157</v>
          </cell>
          <cell r="G146" t="str">
            <v>367 SPRINT NEXTEL</v>
          </cell>
          <cell r="H146">
            <v>-2271.48</v>
          </cell>
          <cell r="I146" t="str">
            <v>856</v>
          </cell>
          <cell r="J146" t="str">
            <v>DEC RENT REV</v>
          </cell>
        </row>
        <row r="147">
          <cell r="C147">
            <v>96</v>
          </cell>
          <cell r="D147">
            <v>40178</v>
          </cell>
          <cell r="E147" t="str">
            <v>454101</v>
          </cell>
          <cell r="F147" t="str">
            <v>120157</v>
          </cell>
          <cell r="G147" t="str">
            <v>367 SPRINT NEXTEL</v>
          </cell>
          <cell r="H147">
            <v>-4542.96</v>
          </cell>
          <cell r="I147" t="str">
            <v>856</v>
          </cell>
          <cell r="J147" t="str">
            <v>Jan Rent Rev</v>
          </cell>
        </row>
        <row r="148">
          <cell r="C148">
            <v>181</v>
          </cell>
          <cell r="D148">
            <v>40056</v>
          </cell>
          <cell r="E148" t="str">
            <v>454101</v>
          </cell>
          <cell r="F148" t="str">
            <v>080157</v>
          </cell>
          <cell r="G148" t="str">
            <v>STATE OF ID 291</v>
          </cell>
          <cell r="H148">
            <v>-1890</v>
          </cell>
          <cell r="I148" t="str">
            <v>856</v>
          </cell>
          <cell r="J148" t="str">
            <v>SEPT RENT REV</v>
          </cell>
        </row>
        <row r="149">
          <cell r="C149">
            <v>82</v>
          </cell>
          <cell r="D149">
            <v>40086</v>
          </cell>
          <cell r="E149" t="str">
            <v>454101</v>
          </cell>
          <cell r="F149" t="str">
            <v>090157</v>
          </cell>
          <cell r="G149" t="str">
            <v>291 STATE OF ID</v>
          </cell>
          <cell r="H149">
            <v>-1890</v>
          </cell>
          <cell r="I149" t="str">
            <v>856</v>
          </cell>
          <cell r="J149" t="str">
            <v>OCTOBER RENT REV</v>
          </cell>
        </row>
        <row r="150">
          <cell r="C150">
            <v>11</v>
          </cell>
          <cell r="D150">
            <v>40025</v>
          </cell>
          <cell r="E150" t="str">
            <v>454101</v>
          </cell>
          <cell r="F150" t="str">
            <v>070157</v>
          </cell>
          <cell r="G150" t="str">
            <v>#291 STATE OF ID AUG</v>
          </cell>
          <cell r="H150">
            <v>-1890</v>
          </cell>
          <cell r="I150" t="str">
            <v>856</v>
          </cell>
          <cell r="J150" t="str">
            <v>AUG RENT REV</v>
          </cell>
        </row>
        <row r="151">
          <cell r="C151">
            <v>83</v>
          </cell>
          <cell r="D151">
            <v>40147</v>
          </cell>
          <cell r="E151" t="str">
            <v>454101</v>
          </cell>
          <cell r="F151" t="str">
            <v>110157</v>
          </cell>
          <cell r="G151" t="str">
            <v>291 STATE OF ID- DEPT LAB</v>
          </cell>
          <cell r="H151">
            <v>-1890</v>
          </cell>
          <cell r="I151" t="str">
            <v>856</v>
          </cell>
          <cell r="J151" t="str">
            <v>DEC RENT REV</v>
          </cell>
        </row>
        <row r="152">
          <cell r="C152">
            <v>182</v>
          </cell>
          <cell r="D152">
            <v>40178</v>
          </cell>
          <cell r="E152" t="str">
            <v>454101</v>
          </cell>
          <cell r="F152" t="str">
            <v>120157</v>
          </cell>
          <cell r="G152" t="str">
            <v>STATE OF ID, GROVE 291</v>
          </cell>
          <cell r="H152">
            <v>-1890</v>
          </cell>
          <cell r="I152" t="str">
            <v>856</v>
          </cell>
          <cell r="J152" t="str">
            <v>Jan Rent Rev</v>
          </cell>
        </row>
        <row r="153">
          <cell r="C153">
            <v>12</v>
          </cell>
          <cell r="D153">
            <v>39844</v>
          </cell>
          <cell r="E153" t="str">
            <v>454101</v>
          </cell>
          <cell r="F153" t="str">
            <v>010157</v>
          </cell>
          <cell r="G153" t="str">
            <v>#291 STATE OF IDAHO</v>
          </cell>
          <cell r="H153">
            <v>1890</v>
          </cell>
          <cell r="I153" t="str">
            <v>856</v>
          </cell>
          <cell r="J153" t="str">
            <v>Feb RENT REV</v>
          </cell>
        </row>
        <row r="154">
          <cell r="C154">
            <v>13</v>
          </cell>
          <cell r="D154">
            <v>39872</v>
          </cell>
          <cell r="E154" t="str">
            <v>454101</v>
          </cell>
          <cell r="F154" t="str">
            <v>020157</v>
          </cell>
          <cell r="G154" t="str">
            <v>#291 STATE OF IDAHO</v>
          </cell>
          <cell r="H154">
            <v>-1890</v>
          </cell>
          <cell r="I154" t="str">
            <v>856</v>
          </cell>
          <cell r="J154" t="str">
            <v>March RENT REV</v>
          </cell>
        </row>
        <row r="155">
          <cell r="C155">
            <v>14</v>
          </cell>
          <cell r="D155">
            <v>39903</v>
          </cell>
          <cell r="E155" t="str">
            <v>454101</v>
          </cell>
          <cell r="F155" t="str">
            <v>030157</v>
          </cell>
          <cell r="G155" t="str">
            <v>#291 STATE OF IDAHO</v>
          </cell>
          <cell r="H155">
            <v>-1890</v>
          </cell>
          <cell r="I155" t="str">
            <v>856</v>
          </cell>
          <cell r="J155" t="str">
            <v>April RENT REV</v>
          </cell>
        </row>
        <row r="156">
          <cell r="C156">
            <v>15</v>
          </cell>
          <cell r="D156">
            <v>39933</v>
          </cell>
          <cell r="E156" t="str">
            <v>454101</v>
          </cell>
          <cell r="F156" t="str">
            <v>040157</v>
          </cell>
          <cell r="G156" t="str">
            <v>#291 STATE OF IDAHO</v>
          </cell>
          <cell r="H156">
            <v>-1890</v>
          </cell>
          <cell r="I156" t="str">
            <v>856</v>
          </cell>
          <cell r="J156" t="str">
            <v>MAY RENT REV</v>
          </cell>
        </row>
        <row r="157">
          <cell r="C157">
            <v>16</v>
          </cell>
          <cell r="D157">
            <v>39964</v>
          </cell>
          <cell r="E157" t="str">
            <v>454101</v>
          </cell>
          <cell r="F157" t="str">
            <v>050157</v>
          </cell>
          <cell r="G157" t="str">
            <v>#291 STATE OF IDAHO</v>
          </cell>
          <cell r="H157">
            <v>-1890</v>
          </cell>
          <cell r="I157" t="str">
            <v>856</v>
          </cell>
          <cell r="J157" t="str">
            <v>June RENT REV</v>
          </cell>
        </row>
        <row r="158">
          <cell r="C158">
            <v>17</v>
          </cell>
          <cell r="D158">
            <v>39994</v>
          </cell>
          <cell r="E158" t="str">
            <v>454101</v>
          </cell>
          <cell r="F158" t="str">
            <v>060157</v>
          </cell>
          <cell r="G158" t="str">
            <v>#291 STATE OF IDAHO</v>
          </cell>
          <cell r="H158">
            <v>-1890</v>
          </cell>
          <cell r="I158" t="str">
            <v>856</v>
          </cell>
          <cell r="J158" t="str">
            <v>JULY Rent REV</v>
          </cell>
        </row>
        <row r="159">
          <cell r="C159">
            <v>65</v>
          </cell>
          <cell r="D159">
            <v>39964</v>
          </cell>
          <cell r="E159" t="str">
            <v>454101</v>
          </cell>
          <cell r="F159" t="str">
            <v>050157</v>
          </cell>
          <cell r="G159" t="str">
            <v>#397 SUTFIN</v>
          </cell>
          <cell r="H159">
            <v>-700</v>
          </cell>
          <cell r="I159" t="str">
            <v>856</v>
          </cell>
          <cell r="J159" t="str">
            <v>June RENT REV</v>
          </cell>
        </row>
        <row r="160">
          <cell r="C160">
            <v>66</v>
          </cell>
          <cell r="D160">
            <v>39994</v>
          </cell>
          <cell r="E160" t="str">
            <v>454101</v>
          </cell>
          <cell r="F160" t="str">
            <v>060157</v>
          </cell>
          <cell r="G160" t="str">
            <v>#397 SUTFIN</v>
          </cell>
          <cell r="H160">
            <v>-700</v>
          </cell>
          <cell r="I160" t="str">
            <v>856</v>
          </cell>
          <cell r="J160" t="str">
            <v>JULY Rent REV</v>
          </cell>
        </row>
        <row r="161">
          <cell r="C161">
            <v>67</v>
          </cell>
          <cell r="D161">
            <v>40025</v>
          </cell>
          <cell r="E161" t="str">
            <v>454101</v>
          </cell>
          <cell r="F161" t="str">
            <v>070157</v>
          </cell>
          <cell r="G161" t="str">
            <v>#397 SUTFIN</v>
          </cell>
          <cell r="H161">
            <v>-700</v>
          </cell>
          <cell r="I161" t="str">
            <v>856</v>
          </cell>
          <cell r="J161" t="str">
            <v>AUG RENT REV</v>
          </cell>
        </row>
        <row r="162">
          <cell r="C162">
            <v>106</v>
          </cell>
          <cell r="D162">
            <v>40147</v>
          </cell>
          <cell r="E162" t="str">
            <v>454101</v>
          </cell>
          <cell r="F162" t="str">
            <v>110157</v>
          </cell>
          <cell r="G162" t="str">
            <v>397 SUTFIN</v>
          </cell>
          <cell r="H162">
            <v>-700</v>
          </cell>
          <cell r="I162" t="str">
            <v>856</v>
          </cell>
          <cell r="J162" t="str">
            <v>DEC RENT REV</v>
          </cell>
        </row>
        <row r="163">
          <cell r="C163">
            <v>107</v>
          </cell>
          <cell r="D163">
            <v>40178</v>
          </cell>
          <cell r="E163" t="str">
            <v>454101</v>
          </cell>
          <cell r="F163" t="str">
            <v>120157</v>
          </cell>
          <cell r="G163" t="str">
            <v>397 SUTFIN</v>
          </cell>
          <cell r="H163">
            <v>-700</v>
          </cell>
          <cell r="I163" t="str">
            <v>856</v>
          </cell>
          <cell r="J163" t="str">
            <v>Jan Rent Rev</v>
          </cell>
        </row>
        <row r="164">
          <cell r="C164">
            <v>183</v>
          </cell>
          <cell r="D164">
            <v>40056</v>
          </cell>
          <cell r="E164" t="str">
            <v>454101</v>
          </cell>
          <cell r="F164" t="str">
            <v>080157</v>
          </cell>
          <cell r="G164" t="str">
            <v>SUTFIN LEASE 397</v>
          </cell>
          <cell r="H164">
            <v>-700</v>
          </cell>
          <cell r="I164" t="str">
            <v>856</v>
          </cell>
          <cell r="J164" t="str">
            <v>SEPT RENT REV</v>
          </cell>
        </row>
        <row r="165">
          <cell r="C165">
            <v>1</v>
          </cell>
          <cell r="D165">
            <v>40086</v>
          </cell>
          <cell r="E165" t="str">
            <v>454101</v>
          </cell>
          <cell r="F165" t="str">
            <v>090157</v>
          </cell>
          <cell r="G165" t="str">
            <v>#397 SUTFIN LEASE</v>
          </cell>
          <cell r="H165">
            <v>-700</v>
          </cell>
          <cell r="I165" t="str">
            <v>856</v>
          </cell>
          <cell r="J165" t="str">
            <v>OCTOBER RENT REV</v>
          </cell>
        </row>
        <row r="166">
          <cell r="C166">
            <v>68</v>
          </cell>
          <cell r="D166">
            <v>39844</v>
          </cell>
          <cell r="E166" t="str">
            <v>454101</v>
          </cell>
          <cell r="F166" t="str">
            <v>010157</v>
          </cell>
          <cell r="G166" t="str">
            <v>#397 SUTFIN LEASE</v>
          </cell>
          <cell r="H166">
            <v>-700</v>
          </cell>
          <cell r="I166" t="str">
            <v>856</v>
          </cell>
          <cell r="J166" t="str">
            <v>Feb RENT REV</v>
          </cell>
        </row>
        <row r="167">
          <cell r="C167">
            <v>69</v>
          </cell>
          <cell r="D167">
            <v>39872</v>
          </cell>
          <cell r="E167" t="str">
            <v>454101</v>
          </cell>
          <cell r="F167" t="str">
            <v>020157</v>
          </cell>
          <cell r="G167" t="str">
            <v>#397 SUTFIN LEASE</v>
          </cell>
          <cell r="H167">
            <v>-700</v>
          </cell>
          <cell r="I167" t="str">
            <v>856</v>
          </cell>
          <cell r="J167" t="str">
            <v>March RENT REV</v>
          </cell>
        </row>
        <row r="168">
          <cell r="C168">
            <v>70</v>
          </cell>
          <cell r="D168">
            <v>39903</v>
          </cell>
          <cell r="E168" t="str">
            <v>454101</v>
          </cell>
          <cell r="F168" t="str">
            <v>030157</v>
          </cell>
          <cell r="G168" t="str">
            <v>#397 SUTFIN LEASE</v>
          </cell>
          <cell r="H168">
            <v>-700</v>
          </cell>
          <cell r="I168" t="str">
            <v>856</v>
          </cell>
          <cell r="J168" t="str">
            <v>April RENT REV</v>
          </cell>
        </row>
        <row r="169">
          <cell r="C169">
            <v>71</v>
          </cell>
          <cell r="D169">
            <v>39933</v>
          </cell>
          <cell r="E169" t="str">
            <v>454101</v>
          </cell>
          <cell r="F169" t="str">
            <v>040157</v>
          </cell>
          <cell r="G169" t="str">
            <v>#397 SUTFIN LEASE</v>
          </cell>
          <cell r="H169">
            <v>-700</v>
          </cell>
          <cell r="I169" t="str">
            <v>856</v>
          </cell>
          <cell r="J169" t="str">
            <v>MAY RENT REV</v>
          </cell>
        </row>
        <row r="170">
          <cell r="C170">
            <v>108</v>
          </cell>
          <cell r="D170">
            <v>40117</v>
          </cell>
          <cell r="E170" t="str">
            <v>454101</v>
          </cell>
          <cell r="F170" t="str">
            <v>100157</v>
          </cell>
          <cell r="G170" t="str">
            <v>397 SUTFIN LEASE</v>
          </cell>
          <cell r="H170">
            <v>-700</v>
          </cell>
          <cell r="I170" t="str">
            <v>856</v>
          </cell>
          <cell r="J170" t="str">
            <v>NOVEMBER RENT REV</v>
          </cell>
        </row>
        <row r="171">
          <cell r="C171">
            <v>3</v>
          </cell>
          <cell r="D171">
            <v>39964</v>
          </cell>
          <cell r="E171" t="str">
            <v>454102</v>
          </cell>
          <cell r="F171" t="str">
            <v>050157</v>
          </cell>
          <cell r="G171" t="str">
            <v>#032 SUTTON CREEK TEW</v>
          </cell>
          <cell r="H171">
            <v>-100</v>
          </cell>
          <cell r="I171" t="str">
            <v>856</v>
          </cell>
          <cell r="J171" t="str">
            <v>June RENT REV</v>
          </cell>
        </row>
        <row r="172">
          <cell r="C172">
            <v>97</v>
          </cell>
          <cell r="D172">
            <v>40178</v>
          </cell>
          <cell r="E172" t="str">
            <v>454101</v>
          </cell>
          <cell r="F172" t="str">
            <v>120157</v>
          </cell>
          <cell r="G172" t="str">
            <v>370 T &amp;K FARMS, INC.</v>
          </cell>
          <cell r="H172">
            <v>-6000</v>
          </cell>
          <cell r="I172" t="str">
            <v>856</v>
          </cell>
          <cell r="J172" t="str">
            <v>Jan Rent Rev</v>
          </cell>
        </row>
        <row r="173">
          <cell r="C173">
            <v>48</v>
          </cell>
          <cell r="D173">
            <v>39844</v>
          </cell>
          <cell r="E173" t="str">
            <v>454101</v>
          </cell>
          <cell r="F173" t="str">
            <v>010157</v>
          </cell>
          <cell r="G173" t="str">
            <v>#370 T&amp;K FARM LEASE</v>
          </cell>
          <cell r="H173">
            <v>-6000</v>
          </cell>
          <cell r="I173" t="str">
            <v>856</v>
          </cell>
          <cell r="J173" t="str">
            <v>Feb RENT REV</v>
          </cell>
        </row>
        <row r="174">
          <cell r="C174">
            <v>110</v>
          </cell>
          <cell r="D174">
            <v>40178</v>
          </cell>
          <cell r="E174" t="str">
            <v>454101</v>
          </cell>
          <cell r="F174" t="str">
            <v>120157</v>
          </cell>
          <cell r="G174" t="str">
            <v>60 TARA FARMS</v>
          </cell>
          <cell r="H174">
            <v>-175</v>
          </cell>
          <cell r="I174" t="str">
            <v>856</v>
          </cell>
          <cell r="J174" t="str">
            <v>Jan Rent Rev</v>
          </cell>
        </row>
        <row r="175">
          <cell r="C175">
            <v>184</v>
          </cell>
          <cell r="D175">
            <v>40086</v>
          </cell>
          <cell r="E175" t="str">
            <v>454101</v>
          </cell>
          <cell r="F175" t="str">
            <v>090034</v>
          </cell>
          <cell r="G175" t="str">
            <v>TCP cottage rents</v>
          </cell>
          <cell r="H175">
            <v>-490</v>
          </cell>
          <cell r="I175" t="str">
            <v>623</v>
          </cell>
          <cell r="J175" t="str">
            <v>Misc Cash Acctg ID 0000204567</v>
          </cell>
        </row>
        <row r="176">
          <cell r="C176">
            <v>185</v>
          </cell>
          <cell r="D176">
            <v>40086</v>
          </cell>
          <cell r="E176" t="str">
            <v>454101</v>
          </cell>
          <cell r="F176" t="str">
            <v>090034</v>
          </cell>
          <cell r="G176" t="str">
            <v>TCP Cottage rents income</v>
          </cell>
          <cell r="H176">
            <v>-490</v>
          </cell>
          <cell r="I176" t="str">
            <v>623</v>
          </cell>
          <cell r="J176" t="str">
            <v>Misc Cash Acctg ID 0000203755</v>
          </cell>
        </row>
        <row r="177">
          <cell r="C177">
            <v>186</v>
          </cell>
          <cell r="D177">
            <v>39964</v>
          </cell>
          <cell r="E177" t="str">
            <v>454101</v>
          </cell>
          <cell r="F177" t="str">
            <v>050034</v>
          </cell>
          <cell r="G177" t="str">
            <v>TCP INCOME</v>
          </cell>
          <cell r="H177">
            <v>-111.68</v>
          </cell>
          <cell r="I177" t="str">
            <v>623</v>
          </cell>
          <cell r="J177" t="str">
            <v>Misc Cash Acctg ID 0000196728</v>
          </cell>
        </row>
        <row r="178">
          <cell r="C178">
            <v>187</v>
          </cell>
          <cell r="D178">
            <v>40025</v>
          </cell>
          <cell r="E178" t="str">
            <v>454101</v>
          </cell>
          <cell r="F178" t="str">
            <v>070034</v>
          </cell>
          <cell r="G178" t="str">
            <v>TCP INCOME</v>
          </cell>
          <cell r="H178">
            <v>-490</v>
          </cell>
          <cell r="I178" t="str">
            <v>623</v>
          </cell>
          <cell r="J178" t="str">
            <v>Misc Cash Acctg ID 0000200818</v>
          </cell>
        </row>
        <row r="179">
          <cell r="C179">
            <v>188</v>
          </cell>
          <cell r="D179">
            <v>40117</v>
          </cell>
          <cell r="E179" t="str">
            <v>454101</v>
          </cell>
          <cell r="F179" t="str">
            <v>100034</v>
          </cell>
          <cell r="G179" t="str">
            <v>TCP INCOME</v>
          </cell>
          <cell r="H179">
            <v>-490</v>
          </cell>
          <cell r="I179" t="str">
            <v>623</v>
          </cell>
          <cell r="J179" t="str">
            <v>Misc Cash Acctg ID 0000206225</v>
          </cell>
        </row>
        <row r="180">
          <cell r="C180">
            <v>189</v>
          </cell>
          <cell r="D180">
            <v>40147</v>
          </cell>
          <cell r="E180" t="str">
            <v>454101</v>
          </cell>
          <cell r="F180" t="str">
            <v>110034</v>
          </cell>
          <cell r="G180" t="str">
            <v>TCP INCOME</v>
          </cell>
          <cell r="H180">
            <v>-490</v>
          </cell>
          <cell r="I180" t="str">
            <v>623</v>
          </cell>
          <cell r="J180" t="str">
            <v>Misc Cash Acctg ID 0000207773</v>
          </cell>
        </row>
        <row r="181">
          <cell r="C181">
            <v>190</v>
          </cell>
          <cell r="D181">
            <v>40178</v>
          </cell>
          <cell r="E181" t="str">
            <v>454101</v>
          </cell>
          <cell r="F181" t="str">
            <v>120034</v>
          </cell>
          <cell r="G181" t="str">
            <v>TCP INCOME</v>
          </cell>
          <cell r="H181">
            <v>-490</v>
          </cell>
          <cell r="I181" t="str">
            <v>623</v>
          </cell>
          <cell r="J181" t="str">
            <v>Misc Cash Acctg ID 0000209640</v>
          </cell>
        </row>
        <row r="182">
          <cell r="C182">
            <v>191</v>
          </cell>
          <cell r="D182">
            <v>40056</v>
          </cell>
          <cell r="E182" t="str">
            <v>454101</v>
          </cell>
          <cell r="F182" t="str">
            <v>080157</v>
          </cell>
          <cell r="G182" t="str">
            <v>TMOBILE 325</v>
          </cell>
          <cell r="H182">
            <v>-2524.46</v>
          </cell>
          <cell r="I182" t="str">
            <v>856</v>
          </cell>
          <cell r="J182" t="str">
            <v>SEPT RENT REV</v>
          </cell>
        </row>
        <row r="183">
          <cell r="C183">
            <v>192</v>
          </cell>
          <cell r="D183">
            <v>40117</v>
          </cell>
          <cell r="E183" t="str">
            <v>454101</v>
          </cell>
          <cell r="F183" t="str">
            <v>100157</v>
          </cell>
          <cell r="G183" t="str">
            <v>TMOBILE 325</v>
          </cell>
          <cell r="H183">
            <v>-2524.46</v>
          </cell>
          <cell r="I183" t="str">
            <v>856</v>
          </cell>
          <cell r="J183" t="str">
            <v>NOVEMBER RENT REV</v>
          </cell>
        </row>
        <row r="184">
          <cell r="C184">
            <v>31</v>
          </cell>
          <cell r="D184">
            <v>39964</v>
          </cell>
          <cell r="E184" t="str">
            <v>454101</v>
          </cell>
          <cell r="F184" t="str">
            <v>050157</v>
          </cell>
          <cell r="G184" t="str">
            <v>#325 TMOBILE</v>
          </cell>
          <cell r="H184">
            <v>-2499.46</v>
          </cell>
          <cell r="I184" t="str">
            <v>856</v>
          </cell>
          <cell r="J184" t="str">
            <v>June RENT REV</v>
          </cell>
        </row>
        <row r="185">
          <cell r="C185">
            <v>32</v>
          </cell>
          <cell r="D185">
            <v>40147</v>
          </cell>
          <cell r="E185" t="str">
            <v>454101</v>
          </cell>
          <cell r="F185" t="str">
            <v>110157</v>
          </cell>
          <cell r="G185" t="str">
            <v>#325 TMOBILE</v>
          </cell>
          <cell r="H185">
            <v>-2524.46</v>
          </cell>
          <cell r="I185" t="str">
            <v>856</v>
          </cell>
          <cell r="J185" t="str">
            <v>DEC RENT REV</v>
          </cell>
        </row>
        <row r="186">
          <cell r="C186">
            <v>38</v>
          </cell>
          <cell r="D186">
            <v>39872</v>
          </cell>
          <cell r="E186" t="str">
            <v>454101</v>
          </cell>
          <cell r="F186" t="str">
            <v>020157</v>
          </cell>
          <cell r="G186" t="str">
            <v>#326 TMOBILE</v>
          </cell>
          <cell r="H186">
            <v>-8424.4599999999991</v>
          </cell>
          <cell r="I186" t="str">
            <v>856</v>
          </cell>
          <cell r="J186" t="str">
            <v>March RENT REV</v>
          </cell>
        </row>
        <row r="187">
          <cell r="C187">
            <v>33</v>
          </cell>
          <cell r="D187">
            <v>39933</v>
          </cell>
          <cell r="E187" t="str">
            <v>454101</v>
          </cell>
          <cell r="F187" t="str">
            <v>040157</v>
          </cell>
          <cell r="G187" t="str">
            <v>#325 TMOBILE APRIL CPI</v>
          </cell>
          <cell r="H187">
            <v>-2524.46</v>
          </cell>
          <cell r="I187" t="str">
            <v>856</v>
          </cell>
          <cell r="J187" t="str">
            <v>MAY RENT REV</v>
          </cell>
        </row>
        <row r="188">
          <cell r="C188">
            <v>34</v>
          </cell>
          <cell r="D188">
            <v>39994</v>
          </cell>
          <cell r="E188" t="str">
            <v>454101</v>
          </cell>
          <cell r="F188" t="str">
            <v>060157</v>
          </cell>
          <cell r="G188" t="str">
            <v>#325 TMOBILE CHQ</v>
          </cell>
          <cell r="H188">
            <v>-2524.46</v>
          </cell>
          <cell r="I188" t="str">
            <v>856</v>
          </cell>
          <cell r="J188" t="str">
            <v>JULY Rent REV</v>
          </cell>
        </row>
        <row r="189">
          <cell r="C189">
            <v>193</v>
          </cell>
          <cell r="D189">
            <v>39844</v>
          </cell>
          <cell r="E189" t="str">
            <v>454101</v>
          </cell>
          <cell r="F189" t="str">
            <v>010157</v>
          </cell>
          <cell r="G189" t="str">
            <v>TMOBILE CPI #326</v>
          </cell>
          <cell r="H189">
            <v>-2499.46</v>
          </cell>
          <cell r="I189" t="str">
            <v>856</v>
          </cell>
          <cell r="J189" t="str">
            <v>Feb RENT REV</v>
          </cell>
        </row>
        <row r="190">
          <cell r="C190">
            <v>35</v>
          </cell>
          <cell r="D190">
            <v>39903</v>
          </cell>
          <cell r="E190" t="str">
            <v>454101</v>
          </cell>
          <cell r="F190" t="str">
            <v>030157</v>
          </cell>
          <cell r="G190" t="str">
            <v>#325 TMOBILE CPI</v>
          </cell>
          <cell r="H190">
            <v>-2524.46</v>
          </cell>
          <cell r="I190" t="str">
            <v>856</v>
          </cell>
          <cell r="J190" t="str">
            <v>April RENT REV</v>
          </cell>
        </row>
        <row r="191">
          <cell r="C191">
            <v>36</v>
          </cell>
          <cell r="D191">
            <v>39933</v>
          </cell>
          <cell r="E191" t="str">
            <v>454101</v>
          </cell>
          <cell r="F191" t="str">
            <v>040157</v>
          </cell>
          <cell r="G191" t="str">
            <v>#325 TMOBILE MARCH CPI</v>
          </cell>
          <cell r="H191">
            <v>-2524.46</v>
          </cell>
          <cell r="I191" t="str">
            <v>856</v>
          </cell>
          <cell r="J191" t="str">
            <v>MAY RENT REV</v>
          </cell>
        </row>
        <row r="192">
          <cell r="C192">
            <v>90</v>
          </cell>
          <cell r="D192">
            <v>40178</v>
          </cell>
          <cell r="E192" t="str">
            <v>454101</v>
          </cell>
          <cell r="F192" t="str">
            <v>120157</v>
          </cell>
          <cell r="G192" t="str">
            <v>325 T-MOBILE PENTHOUSE</v>
          </cell>
          <cell r="H192">
            <v>0</v>
          </cell>
          <cell r="I192" t="str">
            <v>856</v>
          </cell>
          <cell r="J192" t="str">
            <v>Jan Rent Rev</v>
          </cell>
        </row>
        <row r="193">
          <cell r="C193">
            <v>194</v>
          </cell>
          <cell r="D193">
            <v>40025</v>
          </cell>
          <cell r="E193" t="str">
            <v>454101</v>
          </cell>
          <cell r="F193" t="str">
            <v>070157</v>
          </cell>
          <cell r="G193" t="str">
            <v>WALLACE TRUCKING RD PERMI</v>
          </cell>
          <cell r="H193">
            <v>-800.72</v>
          </cell>
          <cell r="I193" t="str">
            <v>856</v>
          </cell>
          <cell r="J193" t="str">
            <v>AUG RENT REV</v>
          </cell>
        </row>
        <row r="194">
          <cell r="C194">
            <v>7</v>
          </cell>
          <cell r="D194">
            <v>39872</v>
          </cell>
          <cell r="E194" t="str">
            <v>454101</v>
          </cell>
          <cell r="F194" t="str">
            <v>020157</v>
          </cell>
          <cell r="G194" t="str">
            <v>#168 WILL ROWE</v>
          </cell>
          <cell r="H194">
            <v>-13992</v>
          </cell>
          <cell r="I194" t="str">
            <v>856</v>
          </cell>
          <cell r="J194" t="str">
            <v>March RENT REV</v>
          </cell>
        </row>
        <row r="195">
          <cell r="C195">
            <v>39</v>
          </cell>
          <cell r="D195">
            <v>39933</v>
          </cell>
          <cell r="E195" t="str">
            <v>454101</v>
          </cell>
          <cell r="F195" t="str">
            <v>040157</v>
          </cell>
          <cell r="G195" t="str">
            <v>#343 WILTEL COMMUNICATION</v>
          </cell>
          <cell r="H195">
            <v>-4995.63</v>
          </cell>
          <cell r="I195" t="str">
            <v>856</v>
          </cell>
          <cell r="J195" t="str">
            <v>MAY RENT REV</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1"/>
  <dimension ref="A1:I53"/>
  <sheetViews>
    <sheetView tabSelected="1" zoomScaleNormal="100" zoomScaleSheetLayoutView="100" workbookViewId="0"/>
  </sheetViews>
  <sheetFormatPr defaultRowHeight="15.75"/>
  <cols>
    <col min="1" max="1" width="10.140625" style="10" bestFit="1" customWidth="1"/>
    <col min="2" max="3" width="11.42578125" style="10" bestFit="1" customWidth="1"/>
    <col min="4" max="4" width="9.140625" style="10"/>
    <col min="5" max="5" width="11.5703125" style="10" bestFit="1" customWidth="1"/>
    <col min="6" max="7" width="9.140625" style="10"/>
    <col min="8" max="8" width="19.7109375" style="10" bestFit="1" customWidth="1"/>
    <col min="9" max="16384" width="9.140625" style="10"/>
  </cols>
  <sheetData>
    <row r="1" spans="1:9">
      <c r="A1" s="8"/>
      <c r="B1" s="9"/>
      <c r="C1" s="8"/>
      <c r="G1" s="11"/>
      <c r="H1" s="12"/>
    </row>
    <row r="2" spans="1:9">
      <c r="A2" s="630"/>
      <c r="B2" s="630"/>
      <c r="C2" s="630"/>
      <c r="D2" s="630"/>
      <c r="E2" s="630"/>
      <c r="F2" s="630"/>
      <c r="G2" s="630"/>
      <c r="H2" s="630"/>
      <c r="I2" s="630"/>
    </row>
    <row r="3" spans="1:9">
      <c r="B3" s="13"/>
    </row>
    <row r="4" spans="1:9">
      <c r="A4" s="631" t="s">
        <v>541</v>
      </c>
      <c r="B4" s="631"/>
      <c r="C4" s="631"/>
      <c r="D4" s="631"/>
      <c r="E4" s="631"/>
      <c r="F4" s="631"/>
      <c r="G4" s="631"/>
      <c r="H4" s="631"/>
      <c r="I4" s="631"/>
    </row>
    <row r="6" spans="1:9">
      <c r="A6" s="631" t="s">
        <v>991</v>
      </c>
      <c r="B6" s="631"/>
      <c r="C6" s="631"/>
      <c r="D6" s="631"/>
      <c r="E6" s="631"/>
      <c r="F6" s="631"/>
      <c r="G6" s="631"/>
      <c r="H6" s="631"/>
      <c r="I6" s="631"/>
    </row>
    <row r="7" spans="1:9">
      <c r="A7" s="631"/>
      <c r="B7" s="631"/>
      <c r="C7" s="631"/>
      <c r="D7" s="631"/>
      <c r="E7" s="631"/>
      <c r="F7" s="631"/>
      <c r="G7" s="631"/>
      <c r="H7" s="631"/>
      <c r="I7" s="631"/>
    </row>
    <row r="8" spans="1:9">
      <c r="A8" s="562"/>
      <c r="B8" s="562"/>
      <c r="C8" s="562"/>
      <c r="D8" s="562"/>
      <c r="E8" s="562"/>
      <c r="F8" s="562"/>
      <c r="G8" s="562"/>
      <c r="H8" s="562"/>
      <c r="I8" s="562"/>
    </row>
    <row r="9" spans="1:9">
      <c r="A9" s="631" t="s">
        <v>158</v>
      </c>
      <c r="B9" s="631"/>
      <c r="C9" s="631"/>
      <c r="D9" s="631"/>
      <c r="E9" s="631"/>
      <c r="F9" s="631"/>
      <c r="G9" s="631"/>
      <c r="H9" s="631"/>
      <c r="I9" s="631"/>
    </row>
    <row r="10" spans="1:9">
      <c r="A10" s="633" t="s">
        <v>1166</v>
      </c>
      <c r="B10" s="633"/>
      <c r="C10" s="633"/>
      <c r="D10" s="633"/>
      <c r="E10" s="633"/>
      <c r="F10" s="633"/>
      <c r="G10" s="633"/>
      <c r="H10" s="633"/>
      <c r="I10" s="633"/>
    </row>
    <row r="12" spans="1:9">
      <c r="A12" s="15"/>
      <c r="B12" s="15"/>
      <c r="C12" s="15"/>
      <c r="D12" s="15"/>
      <c r="E12" s="15"/>
      <c r="F12" s="15"/>
      <c r="G12" s="15"/>
      <c r="H12" s="15"/>
      <c r="I12" s="15"/>
    </row>
    <row r="13" spans="1:9">
      <c r="A13" s="633" t="s">
        <v>1165</v>
      </c>
      <c r="B13" s="633"/>
      <c r="C13" s="633"/>
      <c r="D13" s="633"/>
      <c r="E13" s="633"/>
      <c r="F13" s="633"/>
      <c r="G13" s="633"/>
      <c r="H13" s="633"/>
      <c r="I13" s="633"/>
    </row>
    <row r="14" spans="1:9">
      <c r="A14" s="631"/>
      <c r="B14" s="631"/>
      <c r="C14" s="631"/>
      <c r="D14" s="631"/>
      <c r="E14" s="631"/>
      <c r="F14" s="631"/>
      <c r="G14" s="631"/>
      <c r="H14" s="631"/>
      <c r="I14" s="631"/>
    </row>
    <row r="15" spans="1:9">
      <c r="A15" s="14"/>
      <c r="B15" s="14"/>
      <c r="C15" s="14"/>
      <c r="D15" s="14"/>
      <c r="E15" s="14"/>
      <c r="F15" s="14"/>
      <c r="G15" s="14"/>
      <c r="H15" s="14"/>
      <c r="I15" s="14"/>
    </row>
    <row r="18" spans="1:9">
      <c r="A18" s="634">
        <v>42156</v>
      </c>
      <c r="B18" s="634"/>
      <c r="C18" s="634"/>
      <c r="D18" s="634"/>
      <c r="E18" s="634"/>
      <c r="F18" s="634"/>
      <c r="G18" s="634"/>
      <c r="H18" s="634"/>
      <c r="I18" s="634"/>
    </row>
    <row r="21" spans="1:9">
      <c r="A21" s="632"/>
      <c r="B21" s="632"/>
      <c r="C21" s="632"/>
      <c r="D21" s="632"/>
      <c r="E21" s="632"/>
      <c r="F21" s="632"/>
      <c r="G21" s="632"/>
      <c r="H21" s="632"/>
      <c r="I21" s="632"/>
    </row>
    <row r="22" spans="1:9">
      <c r="B22" s="136"/>
      <c r="C22" s="136"/>
      <c r="D22" s="136"/>
      <c r="E22" s="136"/>
      <c r="F22" s="136"/>
    </row>
    <row r="23" spans="1:9">
      <c r="B23" s="136"/>
      <c r="C23" s="136"/>
      <c r="D23" s="136"/>
      <c r="E23" s="136"/>
      <c r="F23" s="136"/>
    </row>
    <row r="24" spans="1:9">
      <c r="B24" s="136"/>
      <c r="C24" s="136"/>
      <c r="D24" s="136"/>
      <c r="E24" s="136"/>
      <c r="F24" s="136"/>
    </row>
    <row r="25" spans="1:9">
      <c r="B25" s="136"/>
      <c r="C25" s="136"/>
      <c r="D25" s="136"/>
      <c r="E25" s="136"/>
      <c r="F25" s="136"/>
    </row>
    <row r="26" spans="1:9">
      <c r="B26" s="136"/>
      <c r="C26" s="136"/>
      <c r="D26" s="136"/>
      <c r="E26" s="136"/>
      <c r="F26" s="136"/>
    </row>
    <row r="53" spans="1:9">
      <c r="A53" s="632"/>
      <c r="B53" s="632"/>
      <c r="C53" s="632"/>
      <c r="D53" s="632"/>
      <c r="E53" s="632"/>
      <c r="F53" s="632"/>
      <c r="G53" s="632"/>
      <c r="H53" s="632"/>
      <c r="I53" s="632"/>
    </row>
  </sheetData>
  <mergeCells count="11">
    <mergeCell ref="A2:I2"/>
    <mergeCell ref="A4:I4"/>
    <mergeCell ref="A6:I6"/>
    <mergeCell ref="A53:I53"/>
    <mergeCell ref="A7:I7"/>
    <mergeCell ref="A13:I13"/>
    <mergeCell ref="A18:I18"/>
    <mergeCell ref="A14:I14"/>
    <mergeCell ref="A21:I21"/>
    <mergeCell ref="A9:I9"/>
    <mergeCell ref="A10:I10"/>
  </mergeCells>
  <phoneticPr fontId="16" type="noConversion"/>
  <printOptions horizontalCentered="1"/>
  <pageMargins left="0.75" right="0.75" top="1" bottom="1" header="0.5" footer="0.5"/>
  <pageSetup scale="71" orientation="portrait" r:id="rId1"/>
  <headerFooter alignWithMargins="0">
    <oddHeader>&amp;CIDAHO POWER COMPANY
Transmission Cost of Service Rate Development
12 Months Ended 12/31/2014</oddHeader>
  </headerFooter>
</worksheet>
</file>

<file path=xl/worksheets/sheet10.xml><?xml version="1.0" encoding="utf-8"?>
<worksheet xmlns="http://schemas.openxmlformats.org/spreadsheetml/2006/main" xmlns:r="http://schemas.openxmlformats.org/officeDocument/2006/relationships">
  <sheetPr codeName="Sheet10">
    <pageSetUpPr fitToPage="1"/>
  </sheetPr>
  <dimension ref="A1:H59"/>
  <sheetViews>
    <sheetView zoomScaleNormal="100" zoomScaleSheetLayoutView="100" workbookViewId="0">
      <selection sqref="A1:F1"/>
    </sheetView>
  </sheetViews>
  <sheetFormatPr defaultRowHeight="12.75"/>
  <cols>
    <col min="1" max="1" width="4.5703125" style="568" customWidth="1"/>
    <col min="2" max="2" width="5.28515625" style="153" customWidth="1"/>
    <col min="3" max="3" width="4.7109375" style="153" customWidth="1"/>
    <col min="4" max="4" width="47.42578125" style="153" customWidth="1"/>
    <col min="5" max="5" width="66.7109375" style="153" bestFit="1" customWidth="1"/>
    <col min="6" max="6" width="18.5703125" style="153" customWidth="1"/>
    <col min="7" max="7" width="9.140625" style="153"/>
    <col min="8" max="8" width="15.85546875" style="153" bestFit="1" customWidth="1"/>
    <col min="9" max="16384" width="9.140625" style="153"/>
  </cols>
  <sheetData>
    <row r="1" spans="1:8">
      <c r="A1" s="645" t="s">
        <v>375</v>
      </c>
      <c r="B1" s="645"/>
      <c r="C1" s="645"/>
      <c r="D1" s="645"/>
      <c r="E1" s="645"/>
      <c r="F1" s="645"/>
    </row>
    <row r="2" spans="1:8">
      <c r="A2" s="645" t="s">
        <v>407</v>
      </c>
      <c r="B2" s="645"/>
      <c r="C2" s="645"/>
      <c r="D2" s="645"/>
      <c r="E2" s="645"/>
      <c r="F2" s="645"/>
    </row>
    <row r="5" spans="1:8">
      <c r="A5" s="568">
        <v>1</v>
      </c>
      <c r="B5" s="157" t="s">
        <v>185</v>
      </c>
    </row>
    <row r="6" spans="1:8">
      <c r="A6" s="568">
        <f>A5+1</f>
        <v>2</v>
      </c>
    </row>
    <row r="7" spans="1:8">
      <c r="A7" s="568">
        <f t="shared" ref="A7:A55" si="0">A6+1</f>
        <v>3</v>
      </c>
      <c r="D7" s="153" t="s">
        <v>206</v>
      </c>
      <c r="E7" s="159" t="s">
        <v>184</v>
      </c>
      <c r="F7" s="168">
        <f>-'Rate Calculation'!E8</f>
        <v>25884616.384999987</v>
      </c>
    </row>
    <row r="8" spans="1:8">
      <c r="A8" s="568">
        <f t="shared" si="0"/>
        <v>4</v>
      </c>
      <c r="D8" s="153" t="s">
        <v>780</v>
      </c>
      <c r="E8" s="159" t="s">
        <v>114</v>
      </c>
      <c r="F8" s="168">
        <f>'Rate Calculation'!E7</f>
        <v>1016207456</v>
      </c>
      <c r="H8" s="211"/>
    </row>
    <row r="9" spans="1:8">
      <c r="A9" s="568">
        <f t="shared" si="0"/>
        <v>5</v>
      </c>
      <c r="D9" s="153" t="s">
        <v>185</v>
      </c>
      <c r="E9" s="161" t="s">
        <v>605</v>
      </c>
      <c r="F9" s="160">
        <f>ROUND(F7/F8,8)</f>
        <v>2.5471779999999999E-2</v>
      </c>
      <c r="H9" s="212"/>
    </row>
    <row r="10" spans="1:8">
      <c r="A10" s="568">
        <f t="shared" si="0"/>
        <v>6</v>
      </c>
      <c r="E10" s="161"/>
      <c r="F10" s="213"/>
    </row>
    <row r="11" spans="1:8">
      <c r="A11" s="568">
        <f t="shared" si="0"/>
        <v>7</v>
      </c>
      <c r="E11" s="161"/>
      <c r="F11" s="213"/>
    </row>
    <row r="12" spans="1:8">
      <c r="A12" s="568">
        <f t="shared" si="0"/>
        <v>8</v>
      </c>
      <c r="B12" s="157" t="s">
        <v>222</v>
      </c>
    </row>
    <row r="13" spans="1:8">
      <c r="A13" s="568">
        <f t="shared" si="0"/>
        <v>9</v>
      </c>
    </row>
    <row r="14" spans="1:8">
      <c r="A14" s="568">
        <f t="shared" si="0"/>
        <v>10</v>
      </c>
      <c r="D14" s="153" t="s">
        <v>223</v>
      </c>
      <c r="E14" s="159" t="s">
        <v>584</v>
      </c>
      <c r="F14" s="168">
        <f>'Schedule 8'!E17</f>
        <v>1041147.3400000001</v>
      </c>
    </row>
    <row r="15" spans="1:8">
      <c r="A15" s="568">
        <f t="shared" si="0"/>
        <v>11</v>
      </c>
      <c r="D15" s="153" t="s">
        <v>780</v>
      </c>
      <c r="E15" s="159" t="s">
        <v>114</v>
      </c>
      <c r="F15" s="168">
        <f>'Rate Calculation'!E7</f>
        <v>1016207456</v>
      </c>
    </row>
    <row r="16" spans="1:8">
      <c r="A16" s="568">
        <f t="shared" si="0"/>
        <v>12</v>
      </c>
      <c r="D16" s="153" t="s">
        <v>222</v>
      </c>
      <c r="E16" s="161" t="s">
        <v>606</v>
      </c>
      <c r="F16" s="160">
        <f>ROUND(F14/F15,8)</f>
        <v>1.02454E-3</v>
      </c>
    </row>
    <row r="17" spans="1:8">
      <c r="A17" s="568">
        <f t="shared" si="0"/>
        <v>13</v>
      </c>
      <c r="E17" s="159"/>
      <c r="F17" s="214"/>
    </row>
    <row r="18" spans="1:8">
      <c r="A18" s="568">
        <f t="shared" si="0"/>
        <v>14</v>
      </c>
      <c r="E18" s="161"/>
      <c r="F18" s="213"/>
    </row>
    <row r="19" spans="1:8">
      <c r="A19" s="568">
        <f t="shared" si="0"/>
        <v>15</v>
      </c>
      <c r="B19" s="157" t="s">
        <v>273</v>
      </c>
    </row>
    <row r="20" spans="1:8">
      <c r="A20" s="568">
        <f t="shared" si="0"/>
        <v>16</v>
      </c>
    </row>
    <row r="21" spans="1:8">
      <c r="A21" s="568">
        <f t="shared" si="0"/>
        <v>17</v>
      </c>
      <c r="D21" s="153" t="s">
        <v>408</v>
      </c>
      <c r="E21" s="159" t="s">
        <v>1026</v>
      </c>
      <c r="F21" s="158">
        <v>10215248</v>
      </c>
    </row>
    <row r="22" spans="1:8">
      <c r="A22" s="568">
        <f t="shared" si="0"/>
        <v>18</v>
      </c>
      <c r="D22" s="153" t="s">
        <v>224</v>
      </c>
      <c r="E22" s="161" t="s">
        <v>296</v>
      </c>
      <c r="F22" s="163">
        <f>-(F9*F21)</f>
        <v>-260200.54970144</v>
      </c>
    </row>
    <row r="23" spans="1:8">
      <c r="A23" s="568">
        <f t="shared" si="0"/>
        <v>19</v>
      </c>
      <c r="D23" s="153" t="s">
        <v>225</v>
      </c>
      <c r="E23" s="161" t="s">
        <v>297</v>
      </c>
      <c r="F23" s="163">
        <f>-(F21*F16)</f>
        <v>-10465.93018592</v>
      </c>
    </row>
    <row r="24" spans="1:8">
      <c r="A24" s="568">
        <f t="shared" si="0"/>
        <v>20</v>
      </c>
      <c r="D24" s="153" t="s">
        <v>226</v>
      </c>
      <c r="E24" s="161" t="s">
        <v>298</v>
      </c>
      <c r="F24" s="158">
        <f>SUM(F21:F23)</f>
        <v>9944581.5201126412</v>
      </c>
    </row>
    <row r="25" spans="1:8">
      <c r="A25" s="568">
        <f t="shared" si="0"/>
        <v>21</v>
      </c>
      <c r="D25" s="153" t="s">
        <v>409</v>
      </c>
      <c r="E25" s="159" t="s">
        <v>1027</v>
      </c>
      <c r="F25" s="158">
        <v>44650679</v>
      </c>
    </row>
    <row r="26" spans="1:8">
      <c r="A26" s="568">
        <f t="shared" si="0"/>
        <v>22</v>
      </c>
      <c r="D26" s="153" t="s">
        <v>410</v>
      </c>
      <c r="E26" s="159" t="s">
        <v>1028</v>
      </c>
      <c r="F26" s="158">
        <v>124514080</v>
      </c>
    </row>
    <row r="27" spans="1:8">
      <c r="A27" s="568">
        <f t="shared" si="0"/>
        <v>23</v>
      </c>
      <c r="D27" s="153" t="s">
        <v>530</v>
      </c>
      <c r="E27" s="161" t="s">
        <v>781</v>
      </c>
      <c r="F27" s="160">
        <f>ROUND(F24/(F26-F25),8)</f>
        <v>0.12451988999999999</v>
      </c>
      <c r="H27" s="163"/>
    </row>
    <row r="28" spans="1:8">
      <c r="A28" s="568">
        <f t="shared" si="0"/>
        <v>24</v>
      </c>
      <c r="E28" s="161"/>
      <c r="F28" s="213"/>
    </row>
    <row r="29" spans="1:8">
      <c r="A29" s="568">
        <f t="shared" si="0"/>
        <v>25</v>
      </c>
      <c r="E29" s="161"/>
      <c r="F29" s="213"/>
    </row>
    <row r="30" spans="1:8">
      <c r="A30" s="568">
        <f t="shared" si="0"/>
        <v>26</v>
      </c>
      <c r="B30" s="157" t="s">
        <v>529</v>
      </c>
    </row>
    <row r="31" spans="1:8">
      <c r="A31" s="568">
        <f t="shared" si="0"/>
        <v>27</v>
      </c>
    </row>
    <row r="32" spans="1:8">
      <c r="A32" s="568">
        <f t="shared" si="0"/>
        <v>28</v>
      </c>
      <c r="E32" s="159"/>
      <c r="F32" s="158"/>
    </row>
    <row r="33" spans="1:6">
      <c r="A33" s="568">
        <f t="shared" si="0"/>
        <v>29</v>
      </c>
      <c r="D33" s="153" t="s">
        <v>780</v>
      </c>
      <c r="E33" s="159" t="s">
        <v>114</v>
      </c>
      <c r="F33" s="158">
        <f>'Rate Calculation'!E7</f>
        <v>1016207456</v>
      </c>
    </row>
    <row r="34" spans="1:6">
      <c r="A34" s="568">
        <f t="shared" si="0"/>
        <v>30</v>
      </c>
      <c r="D34" s="153" t="s">
        <v>205</v>
      </c>
      <c r="E34" s="159" t="s">
        <v>184</v>
      </c>
      <c r="F34" s="158">
        <f>-'Schedule 7'!E82</f>
        <v>-25884616.384999987</v>
      </c>
    </row>
    <row r="35" spans="1:6">
      <c r="A35" s="568">
        <f t="shared" si="0"/>
        <v>31</v>
      </c>
      <c r="D35" s="153" t="s">
        <v>227</v>
      </c>
      <c r="E35" s="159" t="s">
        <v>584</v>
      </c>
      <c r="F35" s="158">
        <f>-('Schedule 8'!E17)</f>
        <v>-1041147.3400000001</v>
      </c>
    </row>
    <row r="36" spans="1:6">
      <c r="A36" s="568">
        <f t="shared" si="0"/>
        <v>32</v>
      </c>
      <c r="D36" s="153" t="s">
        <v>199</v>
      </c>
      <c r="E36" s="161" t="s">
        <v>299</v>
      </c>
      <c r="F36" s="158">
        <f>SUM(F33:F35)</f>
        <v>989281692.27499998</v>
      </c>
    </row>
    <row r="37" spans="1:6">
      <c r="A37" s="568">
        <f t="shared" si="0"/>
        <v>33</v>
      </c>
      <c r="D37" s="153" t="s">
        <v>440</v>
      </c>
      <c r="E37" s="143">
        <v>-49</v>
      </c>
      <c r="F37" s="158">
        <f>F53</f>
        <v>49575261.074321069</v>
      </c>
    </row>
    <row r="38" spans="1:6">
      <c r="A38" s="568">
        <f t="shared" si="0"/>
        <v>34</v>
      </c>
      <c r="D38" s="153" t="s">
        <v>782</v>
      </c>
      <c r="E38" s="159" t="s">
        <v>1011</v>
      </c>
      <c r="F38" s="158">
        <f>5248212331-6372118-0-0-0-0-533712-0-0</f>
        <v>5241306501</v>
      </c>
    </row>
    <row r="39" spans="1:6">
      <c r="A39" s="568">
        <f t="shared" si="0"/>
        <v>35</v>
      </c>
      <c r="D39" s="153" t="s">
        <v>529</v>
      </c>
      <c r="E39" s="161" t="s">
        <v>155</v>
      </c>
      <c r="F39" s="160">
        <f>ROUND((F36+F37)/F38,8)</f>
        <v>0.19820572</v>
      </c>
    </row>
    <row r="40" spans="1:6">
      <c r="A40" s="568">
        <f t="shared" si="0"/>
        <v>36</v>
      </c>
    </row>
    <row r="41" spans="1:6">
      <c r="A41" s="568">
        <f t="shared" si="0"/>
        <v>37</v>
      </c>
    </row>
    <row r="42" spans="1:6">
      <c r="A42" s="568">
        <f t="shared" si="0"/>
        <v>38</v>
      </c>
      <c r="B42" s="157" t="s">
        <v>317</v>
      </c>
    </row>
    <row r="43" spans="1:6">
      <c r="A43" s="568">
        <f t="shared" si="0"/>
        <v>39</v>
      </c>
    </row>
    <row r="44" spans="1:6">
      <c r="A44" s="568">
        <f t="shared" si="0"/>
        <v>40</v>
      </c>
      <c r="D44" s="153" t="s">
        <v>200</v>
      </c>
      <c r="E44" s="159" t="s">
        <v>228</v>
      </c>
      <c r="F44" s="158">
        <f>F36</f>
        <v>989281692.27499998</v>
      </c>
    </row>
    <row r="45" spans="1:6">
      <c r="A45" s="568">
        <f t="shared" si="0"/>
        <v>41</v>
      </c>
      <c r="D45" s="153" t="s">
        <v>782</v>
      </c>
      <c r="E45" s="143">
        <v>-34</v>
      </c>
      <c r="F45" s="158">
        <f>F38</f>
        <v>5241306501</v>
      </c>
    </row>
    <row r="46" spans="1:6">
      <c r="A46" s="568">
        <f t="shared" si="0"/>
        <v>42</v>
      </c>
      <c r="D46" s="153" t="s">
        <v>317</v>
      </c>
      <c r="E46" s="161" t="s">
        <v>156</v>
      </c>
      <c r="F46" s="160">
        <f>ROUND(F44/F45,8)</f>
        <v>0.18874716</v>
      </c>
    </row>
    <row r="47" spans="1:6">
      <c r="A47" s="568">
        <f t="shared" si="0"/>
        <v>43</v>
      </c>
    </row>
    <row r="48" spans="1:6">
      <c r="A48" s="568">
        <f t="shared" si="0"/>
        <v>44</v>
      </c>
    </row>
    <row r="49" spans="1:6">
      <c r="A49" s="568">
        <f t="shared" si="0"/>
        <v>45</v>
      </c>
      <c r="B49" s="157" t="s">
        <v>411</v>
      </c>
    </row>
    <row r="50" spans="1:6">
      <c r="A50" s="568">
        <f t="shared" si="0"/>
        <v>46</v>
      </c>
    </row>
    <row r="51" spans="1:6">
      <c r="A51" s="568">
        <f t="shared" si="0"/>
        <v>47</v>
      </c>
      <c r="D51" s="153" t="s">
        <v>441</v>
      </c>
      <c r="E51" s="159" t="s">
        <v>236</v>
      </c>
      <c r="F51" s="93">
        <f>'Schedule 1'!F22</f>
        <v>42237305.077300079</v>
      </c>
    </row>
    <row r="52" spans="1:6">
      <c r="A52" s="568">
        <f t="shared" si="0"/>
        <v>48</v>
      </c>
      <c r="D52" s="153" t="s">
        <v>442</v>
      </c>
      <c r="E52" s="159" t="s">
        <v>236</v>
      </c>
      <c r="F52" s="93">
        <f>'Schedule 1'!F36</f>
        <v>7337955.9970209897</v>
      </c>
    </row>
    <row r="53" spans="1:6">
      <c r="A53" s="568">
        <f t="shared" si="0"/>
        <v>49</v>
      </c>
      <c r="D53" s="153" t="s">
        <v>443</v>
      </c>
      <c r="E53" s="161" t="s">
        <v>300</v>
      </c>
      <c r="F53" s="93">
        <f>SUM(F51:F52)</f>
        <v>49575261.074321069</v>
      </c>
    </row>
    <row r="54" spans="1:6">
      <c r="A54" s="568">
        <f t="shared" si="0"/>
        <v>50</v>
      </c>
      <c r="D54" s="153" t="s">
        <v>782</v>
      </c>
      <c r="E54" s="143">
        <v>-34</v>
      </c>
      <c r="F54" s="158">
        <f>F38</f>
        <v>5241306501</v>
      </c>
    </row>
    <row r="55" spans="1:6">
      <c r="A55" s="568">
        <f t="shared" si="0"/>
        <v>51</v>
      </c>
      <c r="D55" s="153" t="s">
        <v>436</v>
      </c>
      <c r="E55" s="161" t="s">
        <v>157</v>
      </c>
      <c r="F55" s="153">
        <f>ROUND(F53/F54,8)</f>
        <v>9.4585699999999995E-3</v>
      </c>
    </row>
    <row r="59" spans="1:6">
      <c r="D59" s="168"/>
    </row>
  </sheetData>
  <sheetProtection formatCells="0"/>
  <mergeCells count="2">
    <mergeCell ref="A1:F1"/>
    <mergeCell ref="A2:F2"/>
  </mergeCells>
  <phoneticPr fontId="0" type="noConversion"/>
  <printOptions horizontalCentered="1"/>
  <pageMargins left="0.75" right="0.75" top="1" bottom="1" header="0.5" footer="0.5"/>
  <pageSetup scale="61" orientation="portrait" r:id="rId1"/>
  <headerFooter alignWithMargins="0">
    <oddHeader>&amp;CIDAHO POWER COMPANY
Transmission Cost of Service Rate Development
12 Months Ended 12/31/2014</oddHeader>
  </headerFooter>
</worksheet>
</file>

<file path=xl/worksheets/sheet11.xml><?xml version="1.0" encoding="utf-8"?>
<worksheet xmlns="http://schemas.openxmlformats.org/spreadsheetml/2006/main" xmlns:r="http://schemas.openxmlformats.org/officeDocument/2006/relationships">
  <sheetPr codeName="Sheet11"/>
  <dimension ref="A1:E43"/>
  <sheetViews>
    <sheetView zoomScaleNormal="100" zoomScaleSheetLayoutView="100" workbookViewId="0">
      <selection sqref="A1:E1"/>
    </sheetView>
  </sheetViews>
  <sheetFormatPr defaultRowHeight="12.75"/>
  <cols>
    <col min="1" max="1" width="3.140625" style="153" customWidth="1"/>
    <col min="2" max="2" width="2.140625" style="153" customWidth="1"/>
    <col min="3" max="3" width="44.28515625" style="153" customWidth="1"/>
    <col min="4" max="4" width="37.7109375" style="93" customWidth="1"/>
    <col min="5" max="5" width="15.85546875" style="153" customWidth="1"/>
    <col min="6" max="16384" width="9.140625" style="153"/>
  </cols>
  <sheetData>
    <row r="1" spans="1:5">
      <c r="A1" s="645" t="s">
        <v>376</v>
      </c>
      <c r="B1" s="645"/>
      <c r="C1" s="645"/>
      <c r="D1" s="645"/>
      <c r="E1" s="645"/>
    </row>
    <row r="2" spans="1:5">
      <c r="A2" s="645" t="s">
        <v>305</v>
      </c>
      <c r="B2" s="645"/>
      <c r="C2" s="645"/>
      <c r="D2" s="645"/>
      <c r="E2" s="645"/>
    </row>
    <row r="3" spans="1:5">
      <c r="A3" s="645"/>
      <c r="B3" s="645"/>
      <c r="C3" s="645"/>
      <c r="D3" s="645"/>
      <c r="E3" s="645"/>
    </row>
    <row r="6" spans="1:5">
      <c r="A6" s="568">
        <v>1</v>
      </c>
      <c r="B6" s="157"/>
      <c r="C6" s="157" t="s">
        <v>482</v>
      </c>
    </row>
    <row r="7" spans="1:5">
      <c r="A7" s="568">
        <f>A6+1</f>
        <v>2</v>
      </c>
      <c r="B7" s="157"/>
      <c r="C7" s="153" t="s">
        <v>413</v>
      </c>
    </row>
    <row r="8" spans="1:5">
      <c r="A8" s="568">
        <f t="shared" ref="A8:A23" si="0">A7+1</f>
        <v>3</v>
      </c>
      <c r="B8" s="157"/>
      <c r="C8" s="153" t="s">
        <v>414</v>
      </c>
    </row>
    <row r="9" spans="1:5">
      <c r="A9" s="568">
        <f t="shared" si="0"/>
        <v>4</v>
      </c>
      <c r="B9" s="157"/>
      <c r="C9" s="153" t="s">
        <v>186</v>
      </c>
      <c r="D9" s="192" t="s">
        <v>648</v>
      </c>
      <c r="E9" s="504">
        <f>'Schedule 4 Workpaper page 1'!F12</f>
        <v>248230.40000000002</v>
      </c>
    </row>
    <row r="10" spans="1:5">
      <c r="A10" s="568">
        <f t="shared" si="0"/>
        <v>5</v>
      </c>
      <c r="B10" s="157"/>
      <c r="C10" s="153" t="s">
        <v>220</v>
      </c>
      <c r="D10" s="192" t="s">
        <v>648</v>
      </c>
      <c r="E10" s="505">
        <f>'Schedule 4 Workpaper page 1'!F11</f>
        <v>52487.514634117702</v>
      </c>
    </row>
    <row r="11" spans="1:5">
      <c r="A11" s="568">
        <f t="shared" si="0"/>
        <v>6</v>
      </c>
      <c r="B11" s="157"/>
      <c r="C11" s="153" t="s">
        <v>231</v>
      </c>
      <c r="D11" s="192" t="s">
        <v>648</v>
      </c>
      <c r="E11" s="506">
        <f>'Schedule 4 Workpaper page 1'!F13</f>
        <v>258329.27999999997</v>
      </c>
    </row>
    <row r="12" spans="1:5">
      <c r="A12" s="568">
        <f t="shared" si="0"/>
        <v>7</v>
      </c>
      <c r="B12" s="157"/>
      <c r="C12" s="153" t="s">
        <v>960</v>
      </c>
      <c r="D12" s="192" t="s">
        <v>648</v>
      </c>
      <c r="E12" s="507">
        <f>'Schedule 4 Workpaper page 1'!F32</f>
        <v>751303</v>
      </c>
    </row>
    <row r="13" spans="1:5">
      <c r="A13" s="568">
        <f t="shared" si="0"/>
        <v>8</v>
      </c>
      <c r="B13" s="157"/>
      <c r="C13" s="154" t="s">
        <v>195</v>
      </c>
      <c r="D13" s="192"/>
      <c r="E13" s="375">
        <f>SUM(E9:E12)</f>
        <v>1310350.1946341177</v>
      </c>
    </row>
    <row r="14" spans="1:5">
      <c r="A14" s="568">
        <f t="shared" si="0"/>
        <v>9</v>
      </c>
      <c r="B14" s="157"/>
      <c r="D14" s="192"/>
      <c r="E14" s="505"/>
    </row>
    <row r="15" spans="1:5">
      <c r="A15" s="568">
        <f t="shared" si="0"/>
        <v>10</v>
      </c>
      <c r="B15" s="157"/>
      <c r="C15" s="157" t="s">
        <v>415</v>
      </c>
      <c r="D15" s="192"/>
      <c r="E15" s="474"/>
    </row>
    <row r="16" spans="1:5">
      <c r="A16" s="568">
        <f t="shared" si="0"/>
        <v>11</v>
      </c>
      <c r="B16" s="157"/>
      <c r="C16" s="229" t="s">
        <v>186</v>
      </c>
      <c r="D16" s="508" t="s">
        <v>3</v>
      </c>
      <c r="E16" s="509">
        <f>'Schedule 4 Workpaper page 5'!G12</f>
        <v>2453.88</v>
      </c>
    </row>
    <row r="17" spans="1:5">
      <c r="A17" s="568">
        <f t="shared" si="0"/>
        <v>12</v>
      </c>
      <c r="B17" s="157"/>
      <c r="C17" s="229" t="s">
        <v>358</v>
      </c>
      <c r="D17" s="508" t="s">
        <v>1388</v>
      </c>
      <c r="E17" s="506">
        <f>14330*0.35</f>
        <v>5015.5</v>
      </c>
    </row>
    <row r="18" spans="1:5">
      <c r="A18" s="568">
        <f t="shared" si="0"/>
        <v>13</v>
      </c>
      <c r="B18" s="157"/>
      <c r="C18" s="229" t="s">
        <v>929</v>
      </c>
      <c r="D18" s="508" t="s">
        <v>820</v>
      </c>
      <c r="E18" s="510">
        <f>'Schedule 4 Workpaper page 6'!K43</f>
        <v>19247315.520000003</v>
      </c>
    </row>
    <row r="19" spans="1:5">
      <c r="A19" s="568">
        <f t="shared" si="0"/>
        <v>14</v>
      </c>
      <c r="B19" s="157"/>
      <c r="C19" s="154" t="s">
        <v>195</v>
      </c>
      <c r="D19" s="511"/>
      <c r="E19" s="509">
        <f>SUM(E16:E18)</f>
        <v>19254784.900000002</v>
      </c>
    </row>
    <row r="20" spans="1:5">
      <c r="A20" s="568">
        <f t="shared" si="0"/>
        <v>15</v>
      </c>
      <c r="B20" s="157"/>
      <c r="C20" s="154"/>
      <c r="D20" s="511"/>
      <c r="E20" s="506"/>
    </row>
    <row r="21" spans="1:5">
      <c r="A21" s="568">
        <f t="shared" si="0"/>
        <v>16</v>
      </c>
      <c r="D21" s="153"/>
      <c r="E21" s="505"/>
    </row>
    <row r="22" spans="1:5">
      <c r="A22" s="568">
        <f t="shared" si="0"/>
        <v>17</v>
      </c>
      <c r="D22" s="153"/>
      <c r="E22" s="505"/>
    </row>
    <row r="23" spans="1:5">
      <c r="A23" s="568">
        <f t="shared" si="0"/>
        <v>18</v>
      </c>
      <c r="B23" s="157"/>
      <c r="C23" s="512" t="s">
        <v>416</v>
      </c>
      <c r="E23" s="509">
        <f>E13+E19</f>
        <v>20565135.094634119</v>
      </c>
    </row>
    <row r="24" spans="1:5">
      <c r="A24" s="568"/>
      <c r="B24" s="157"/>
      <c r="C24" s="159"/>
      <c r="E24" s="511"/>
    </row>
    <row r="25" spans="1:5">
      <c r="A25" s="568"/>
      <c r="B25" s="157"/>
    </row>
    <row r="26" spans="1:5">
      <c r="B26" s="157"/>
    </row>
    <row r="27" spans="1:5">
      <c r="B27" s="157"/>
    </row>
    <row r="29" spans="1:5">
      <c r="C29" s="153" t="s">
        <v>928</v>
      </c>
    </row>
    <row r="30" spans="1:5">
      <c r="C30" s="153" t="s">
        <v>825</v>
      </c>
    </row>
    <row r="35" ht="15" customHeight="1"/>
    <row r="43" ht="15" customHeight="1"/>
  </sheetData>
  <sheetProtection formatCells="0"/>
  <mergeCells count="3">
    <mergeCell ref="A1:E1"/>
    <mergeCell ref="A2:E2"/>
    <mergeCell ref="A3:E3"/>
  </mergeCells>
  <phoneticPr fontId="0" type="noConversion"/>
  <printOptions horizontalCentered="1"/>
  <pageMargins left="0.75" right="0.75" top="1" bottom="1" header="0.5" footer="0.5"/>
  <pageSetup scale="71" orientation="portrait" r:id="rId1"/>
  <headerFooter alignWithMargins="0">
    <oddHeader>&amp;CIDAHO POWER COMPANY
Transmission Cost of Service Rate Development
12 Months Ended 12/31/2014</oddHeader>
  </headerFooter>
</worksheet>
</file>

<file path=xl/worksheets/sheet12.xml><?xml version="1.0" encoding="utf-8"?>
<worksheet xmlns="http://schemas.openxmlformats.org/spreadsheetml/2006/main" xmlns:r="http://schemas.openxmlformats.org/officeDocument/2006/relationships">
  <sheetPr codeName="Sheet12">
    <pageSetUpPr fitToPage="1"/>
  </sheetPr>
  <dimension ref="A1:O70"/>
  <sheetViews>
    <sheetView zoomScale="90" zoomScaleNormal="90" zoomScaleSheetLayoutView="100" zoomScalePageLayoutView="75" workbookViewId="0">
      <selection sqref="A1:H1"/>
    </sheetView>
  </sheetViews>
  <sheetFormatPr defaultRowHeight="12.75"/>
  <cols>
    <col min="1" max="1" width="15.85546875" style="159" customWidth="1"/>
    <col min="2" max="2" width="13.5703125" style="568" customWidth="1"/>
    <col min="3" max="3" width="11.85546875" style="568" customWidth="1"/>
    <col min="4" max="4" width="19.7109375" style="568" bestFit="1" customWidth="1"/>
    <col min="5" max="5" width="17.140625" style="568" customWidth="1"/>
    <col min="6" max="6" width="17.85546875" style="153" customWidth="1"/>
    <col min="7" max="9" width="11.85546875" style="153" customWidth="1"/>
    <col min="10" max="10" width="11.85546875" style="568" customWidth="1"/>
    <col min="11" max="15" width="11.85546875" style="153" customWidth="1"/>
    <col min="16" max="16384" width="9.140625" style="153"/>
  </cols>
  <sheetData>
    <row r="1" spans="1:15">
      <c r="A1" s="645" t="s">
        <v>196</v>
      </c>
      <c r="B1" s="645"/>
      <c r="C1" s="645"/>
      <c r="D1" s="645"/>
      <c r="E1" s="645"/>
      <c r="F1" s="645"/>
      <c r="G1" s="645"/>
      <c r="H1" s="645"/>
      <c r="I1" s="569"/>
      <c r="J1" s="184"/>
      <c r="K1" s="184"/>
      <c r="L1" s="184"/>
      <c r="M1" s="184"/>
      <c r="N1" s="184"/>
      <c r="O1" s="184"/>
    </row>
    <row r="2" spans="1:15" s="157" customFormat="1">
      <c r="A2" s="645" t="s">
        <v>1039</v>
      </c>
      <c r="B2" s="645"/>
      <c r="C2" s="645"/>
      <c r="D2" s="645"/>
      <c r="E2" s="645"/>
      <c r="F2" s="645"/>
      <c r="G2" s="645"/>
      <c r="H2" s="645"/>
      <c r="I2" s="569"/>
      <c r="J2" s="184"/>
      <c r="K2" s="184"/>
      <c r="L2" s="184"/>
      <c r="M2" s="184"/>
      <c r="N2" s="184"/>
      <c r="O2" s="184"/>
    </row>
    <row r="3" spans="1:15">
      <c r="A3" s="184"/>
      <c r="B3" s="184"/>
      <c r="C3" s="184"/>
      <c r="D3" s="184"/>
      <c r="E3" s="184"/>
      <c r="F3" s="184"/>
      <c r="G3" s="184"/>
      <c r="H3" s="184"/>
      <c r="I3" s="184"/>
      <c r="J3" s="184"/>
      <c r="K3" s="184"/>
      <c r="L3" s="184"/>
      <c r="M3" s="184"/>
      <c r="N3" s="184"/>
      <c r="O3" s="184"/>
    </row>
    <row r="4" spans="1:15">
      <c r="B4" s="215"/>
      <c r="C4" s="215"/>
      <c r="D4" s="215"/>
      <c r="E4" s="215"/>
      <c r="F4" s="215"/>
      <c r="G4" s="215"/>
      <c r="H4" s="215"/>
      <c r="I4" s="215"/>
      <c r="K4" s="568"/>
      <c r="L4" s="568"/>
      <c r="M4" s="568"/>
      <c r="N4" s="184"/>
      <c r="O4" s="184"/>
    </row>
    <row r="5" spans="1:15">
      <c r="A5" s="216"/>
      <c r="B5" s="217"/>
      <c r="C5" s="217"/>
      <c r="D5" s="217"/>
      <c r="E5" s="217"/>
      <c r="F5" s="217"/>
      <c r="G5" s="217"/>
      <c r="H5" s="217"/>
      <c r="I5" s="557"/>
      <c r="K5" s="568"/>
      <c r="L5" s="568"/>
      <c r="M5" s="568"/>
      <c r="N5" s="184"/>
      <c r="O5" s="184"/>
    </row>
    <row r="6" spans="1:15">
      <c r="A6" s="218"/>
      <c r="B6" s="570" t="s">
        <v>470</v>
      </c>
      <c r="C6" s="570" t="s">
        <v>471</v>
      </c>
      <c r="D6" s="570" t="s">
        <v>653</v>
      </c>
      <c r="E6" s="570" t="s">
        <v>654</v>
      </c>
      <c r="F6" s="570" t="s">
        <v>801</v>
      </c>
      <c r="G6" s="570" t="s">
        <v>802</v>
      </c>
      <c r="H6" s="571" t="s">
        <v>714</v>
      </c>
      <c r="I6" s="574"/>
      <c r="K6" s="568"/>
      <c r="L6" s="568"/>
      <c r="M6" s="568"/>
      <c r="N6" s="184"/>
      <c r="O6" s="184"/>
    </row>
    <row r="7" spans="1:15">
      <c r="A7" s="219"/>
      <c r="B7" s="574"/>
      <c r="C7" s="574" t="s">
        <v>467</v>
      </c>
      <c r="D7" s="574"/>
      <c r="E7" s="574"/>
      <c r="F7" s="178"/>
      <c r="G7" s="178"/>
      <c r="H7" s="220"/>
      <c r="I7" s="178"/>
      <c r="N7" s="184"/>
      <c r="O7" s="184"/>
    </row>
    <row r="8" spans="1:15">
      <c r="A8" s="219"/>
      <c r="B8" s="574" t="s">
        <v>467</v>
      </c>
      <c r="C8" s="574" t="s">
        <v>468</v>
      </c>
      <c r="D8" s="574" t="s">
        <v>805</v>
      </c>
      <c r="E8" s="574"/>
      <c r="F8" s="574" t="s">
        <v>823</v>
      </c>
      <c r="G8" s="178"/>
      <c r="H8" s="575"/>
      <c r="I8" s="574"/>
      <c r="K8" s="568"/>
      <c r="L8" s="568"/>
      <c r="M8" s="568"/>
      <c r="N8" s="184"/>
      <c r="O8" s="184"/>
    </row>
    <row r="9" spans="1:15">
      <c r="A9" s="219"/>
      <c r="B9" s="221" t="s">
        <v>819</v>
      </c>
      <c r="C9" s="221" t="s">
        <v>469</v>
      </c>
      <c r="D9" s="221" t="s">
        <v>546</v>
      </c>
      <c r="E9" s="221" t="s">
        <v>454</v>
      </c>
      <c r="F9" s="221" t="s">
        <v>824</v>
      </c>
      <c r="G9" s="221" t="s">
        <v>343</v>
      </c>
      <c r="H9" s="222" t="s">
        <v>454</v>
      </c>
      <c r="I9" s="221"/>
      <c r="J9" s="223"/>
      <c r="K9" s="223"/>
      <c r="L9" s="223"/>
      <c r="M9" s="223"/>
      <c r="N9" s="184"/>
      <c r="O9" s="184"/>
    </row>
    <row r="10" spans="1:15" s="229" customFormat="1" ht="38.25">
      <c r="A10" s="224"/>
      <c r="B10" s="225" t="s">
        <v>803</v>
      </c>
      <c r="C10" s="225" t="s">
        <v>804</v>
      </c>
      <c r="D10" s="225" t="s">
        <v>7</v>
      </c>
      <c r="E10" s="225" t="s">
        <v>925</v>
      </c>
      <c r="F10" s="225"/>
      <c r="G10" s="226"/>
      <c r="H10" s="227"/>
      <c r="I10" s="225"/>
      <c r="J10" s="228"/>
      <c r="K10" s="228"/>
      <c r="L10" s="228"/>
      <c r="M10" s="228"/>
      <c r="N10" s="184"/>
      <c r="O10" s="184"/>
    </row>
    <row r="11" spans="1:15">
      <c r="A11" s="219" t="s">
        <v>455</v>
      </c>
      <c r="B11" s="230">
        <f t="shared" ref="B11:B22" si="0">E11-C11-D11</f>
        <v>2171</v>
      </c>
      <c r="C11" s="230">
        <f>'Schedule 5 Workpaper '!C11</f>
        <v>217</v>
      </c>
      <c r="D11" s="230">
        <f t="shared" ref="D11:D22" si="1">J54</f>
        <v>567</v>
      </c>
      <c r="E11" s="230">
        <f>'Schedule 5 Workpaper '!H11-F11</f>
        <v>2955</v>
      </c>
      <c r="F11" s="230">
        <v>1836</v>
      </c>
      <c r="G11" s="574">
        <v>330</v>
      </c>
      <c r="H11" s="231">
        <f>SUM(E11:G11)</f>
        <v>5121</v>
      </c>
      <c r="I11" s="230"/>
      <c r="J11" s="233"/>
      <c r="K11" s="232"/>
      <c r="L11" s="568"/>
      <c r="M11" s="568"/>
      <c r="N11" s="184"/>
      <c r="O11" s="184"/>
    </row>
    <row r="12" spans="1:15">
      <c r="A12" s="219" t="s">
        <v>456</v>
      </c>
      <c r="B12" s="230">
        <f t="shared" si="0"/>
        <v>2086</v>
      </c>
      <c r="C12" s="230">
        <f>'Schedule 5 Workpaper '!C12</f>
        <v>220</v>
      </c>
      <c r="D12" s="230">
        <f t="shared" si="1"/>
        <v>567</v>
      </c>
      <c r="E12" s="230">
        <f>'Schedule 5 Workpaper '!H12-F12</f>
        <v>2873</v>
      </c>
      <c r="F12" s="230">
        <v>1836</v>
      </c>
      <c r="G12" s="574">
        <v>330</v>
      </c>
      <c r="H12" s="231">
        <f t="shared" ref="H12:H22" si="2">SUM(E12:G12)</f>
        <v>5039</v>
      </c>
      <c r="I12" s="230"/>
      <c r="J12" s="233"/>
      <c r="K12" s="232"/>
      <c r="L12" s="568"/>
      <c r="M12" s="568"/>
      <c r="N12" s="184"/>
      <c r="O12" s="184"/>
    </row>
    <row r="13" spans="1:15">
      <c r="A13" s="219" t="s">
        <v>457</v>
      </c>
      <c r="B13" s="230">
        <f t="shared" si="0"/>
        <v>1784</v>
      </c>
      <c r="C13" s="230">
        <f>'Schedule 5 Workpaper '!C13</f>
        <v>190</v>
      </c>
      <c r="D13" s="230">
        <f t="shared" si="1"/>
        <v>567</v>
      </c>
      <c r="E13" s="230">
        <f>'Schedule 5 Workpaper '!H13-F13</f>
        <v>2541</v>
      </c>
      <c r="F13" s="230">
        <v>1836</v>
      </c>
      <c r="G13" s="574">
        <v>330</v>
      </c>
      <c r="H13" s="231">
        <f t="shared" si="2"/>
        <v>4707</v>
      </c>
      <c r="I13" s="230"/>
      <c r="J13" s="233"/>
      <c r="K13" s="233"/>
      <c r="L13" s="568"/>
      <c r="M13" s="568"/>
      <c r="N13" s="184"/>
      <c r="O13" s="184"/>
    </row>
    <row r="14" spans="1:15">
      <c r="A14" s="219" t="s">
        <v>458</v>
      </c>
      <c r="B14" s="230">
        <f t="shared" si="0"/>
        <v>1619</v>
      </c>
      <c r="C14" s="230">
        <f>'Schedule 5 Workpaper '!C14</f>
        <v>159</v>
      </c>
      <c r="D14" s="230">
        <f t="shared" si="1"/>
        <v>567</v>
      </c>
      <c r="E14" s="230">
        <f>'Schedule 5 Workpaper '!H14-F14</f>
        <v>2345</v>
      </c>
      <c r="F14" s="230">
        <v>1836</v>
      </c>
      <c r="G14" s="574">
        <v>330</v>
      </c>
      <c r="H14" s="231">
        <f t="shared" si="2"/>
        <v>4511</v>
      </c>
      <c r="I14" s="230"/>
      <c r="J14" s="233"/>
      <c r="K14" s="233"/>
      <c r="L14" s="568"/>
      <c r="M14" s="568"/>
      <c r="N14" s="184"/>
      <c r="O14" s="184"/>
    </row>
    <row r="15" spans="1:15">
      <c r="A15" s="219" t="s">
        <v>459</v>
      </c>
      <c r="B15" s="230">
        <f t="shared" si="0"/>
        <v>2131</v>
      </c>
      <c r="C15" s="230">
        <f>'Schedule 5 Workpaper '!C15</f>
        <v>284</v>
      </c>
      <c r="D15" s="230">
        <f t="shared" si="1"/>
        <v>567</v>
      </c>
      <c r="E15" s="230">
        <f>'Schedule 5 Workpaper '!H15-F15</f>
        <v>2982</v>
      </c>
      <c r="F15" s="230">
        <v>1836</v>
      </c>
      <c r="G15" s="574">
        <v>330</v>
      </c>
      <c r="H15" s="231">
        <f t="shared" si="2"/>
        <v>5148</v>
      </c>
      <c r="I15" s="230"/>
      <c r="J15" s="233"/>
      <c r="K15" s="233"/>
      <c r="L15" s="568"/>
      <c r="M15" s="568"/>
      <c r="N15" s="184"/>
      <c r="O15" s="184"/>
    </row>
    <row r="16" spans="1:15">
      <c r="A16" s="219" t="s">
        <v>460</v>
      </c>
      <c r="B16" s="230">
        <f t="shared" si="0"/>
        <v>2751</v>
      </c>
      <c r="C16" s="230">
        <f>'Schedule 5 Workpaper '!C16</f>
        <v>342</v>
      </c>
      <c r="D16" s="230">
        <f t="shared" si="1"/>
        <v>567</v>
      </c>
      <c r="E16" s="230">
        <f>'Schedule 5 Workpaper '!H16-F16</f>
        <v>3660</v>
      </c>
      <c r="F16" s="230">
        <v>1836</v>
      </c>
      <c r="G16" s="574">
        <v>330</v>
      </c>
      <c r="H16" s="231">
        <f t="shared" si="2"/>
        <v>5826</v>
      </c>
      <c r="I16" s="230"/>
      <c r="J16" s="233"/>
      <c r="K16" s="233"/>
      <c r="L16" s="568"/>
      <c r="M16" s="568"/>
      <c r="N16" s="184"/>
      <c r="O16" s="184"/>
    </row>
    <row r="17" spans="1:15">
      <c r="A17" s="219" t="s">
        <v>461</v>
      </c>
      <c r="B17" s="230">
        <f t="shared" si="0"/>
        <v>3160</v>
      </c>
      <c r="C17" s="230">
        <f>'Schedule 5 Workpaper '!C17</f>
        <v>357</v>
      </c>
      <c r="D17" s="230">
        <f t="shared" si="1"/>
        <v>463</v>
      </c>
      <c r="E17" s="230">
        <f>'Schedule 5 Workpaper '!H17-F17</f>
        <v>3980</v>
      </c>
      <c r="F17" s="230">
        <v>1836</v>
      </c>
      <c r="G17" s="574">
        <v>330</v>
      </c>
      <c r="H17" s="231">
        <f t="shared" si="2"/>
        <v>6146</v>
      </c>
      <c r="I17" s="230"/>
      <c r="J17" s="233"/>
      <c r="K17" s="233"/>
      <c r="L17" s="568"/>
      <c r="M17" s="568"/>
      <c r="N17" s="184"/>
      <c r="O17" s="184"/>
    </row>
    <row r="18" spans="1:15">
      <c r="A18" s="219" t="s">
        <v>462</v>
      </c>
      <c r="B18" s="230">
        <f t="shared" si="0"/>
        <v>2756</v>
      </c>
      <c r="C18" s="230">
        <f>'Schedule 5 Workpaper '!C18</f>
        <v>274</v>
      </c>
      <c r="D18" s="230">
        <f t="shared" si="1"/>
        <v>463</v>
      </c>
      <c r="E18" s="230">
        <f>'Schedule 5 Workpaper '!H18-F18</f>
        <v>3493</v>
      </c>
      <c r="F18" s="230">
        <v>1836</v>
      </c>
      <c r="G18" s="574">
        <v>330</v>
      </c>
      <c r="H18" s="231">
        <f t="shared" si="2"/>
        <v>5659</v>
      </c>
      <c r="I18" s="230"/>
      <c r="J18" s="233"/>
      <c r="K18" s="233"/>
      <c r="L18" s="568"/>
      <c r="M18" s="568"/>
      <c r="N18" s="184"/>
      <c r="O18" s="184"/>
    </row>
    <row r="19" spans="1:15">
      <c r="A19" s="219" t="s">
        <v>463</v>
      </c>
      <c r="B19" s="230">
        <f t="shared" si="0"/>
        <v>2432</v>
      </c>
      <c r="C19" s="230">
        <f>'Schedule 5 Workpaper '!C19</f>
        <v>248</v>
      </c>
      <c r="D19" s="230">
        <f t="shared" si="1"/>
        <v>463</v>
      </c>
      <c r="E19" s="230">
        <f>'Schedule 5 Workpaper '!H19-F19</f>
        <v>3143</v>
      </c>
      <c r="F19" s="230">
        <v>1836</v>
      </c>
      <c r="G19" s="574">
        <v>330</v>
      </c>
      <c r="H19" s="231">
        <f t="shared" si="2"/>
        <v>5309</v>
      </c>
      <c r="I19" s="230"/>
      <c r="J19" s="233"/>
      <c r="K19" s="233"/>
      <c r="L19" s="568"/>
      <c r="M19" s="568"/>
      <c r="N19" s="184"/>
      <c r="O19" s="184"/>
    </row>
    <row r="20" spans="1:15">
      <c r="A20" s="219" t="s">
        <v>464</v>
      </c>
      <c r="B20" s="230">
        <f t="shared" si="0"/>
        <v>1714</v>
      </c>
      <c r="C20" s="230">
        <f>'Schedule 5 Workpaper '!C20</f>
        <v>162</v>
      </c>
      <c r="D20" s="230">
        <f t="shared" si="1"/>
        <v>463</v>
      </c>
      <c r="E20" s="230">
        <f>'Schedule 5 Workpaper '!H20-F20</f>
        <v>2339</v>
      </c>
      <c r="F20" s="230">
        <v>1836</v>
      </c>
      <c r="G20" s="574">
        <v>330</v>
      </c>
      <c r="H20" s="231">
        <f t="shared" si="2"/>
        <v>4505</v>
      </c>
      <c r="I20" s="230"/>
      <c r="J20" s="233"/>
      <c r="K20" s="233"/>
      <c r="L20" s="568"/>
      <c r="M20" s="568"/>
      <c r="N20" s="568"/>
      <c r="O20" s="568"/>
    </row>
    <row r="21" spans="1:15">
      <c r="A21" s="219" t="s">
        <v>465</v>
      </c>
      <c r="B21" s="230">
        <f t="shared" si="0"/>
        <v>2249</v>
      </c>
      <c r="C21" s="230">
        <f>'Schedule 5 Workpaper '!C21</f>
        <v>244</v>
      </c>
      <c r="D21" s="230">
        <f t="shared" si="1"/>
        <v>463</v>
      </c>
      <c r="E21" s="230">
        <f>'Schedule 5 Workpaper '!H21-F21</f>
        <v>2956</v>
      </c>
      <c r="F21" s="230">
        <v>1836</v>
      </c>
      <c r="G21" s="574">
        <v>330</v>
      </c>
      <c r="H21" s="231">
        <f t="shared" si="2"/>
        <v>5122</v>
      </c>
      <c r="I21" s="230"/>
      <c r="J21" s="233"/>
      <c r="K21" s="233"/>
      <c r="L21" s="568"/>
      <c r="M21" s="568"/>
      <c r="N21" s="568"/>
      <c r="O21" s="568"/>
    </row>
    <row r="22" spans="1:15">
      <c r="A22" s="219" t="s">
        <v>466</v>
      </c>
      <c r="B22" s="230">
        <f t="shared" si="0"/>
        <v>2169</v>
      </c>
      <c r="C22" s="230">
        <f>'Schedule 5 Workpaper '!C22</f>
        <v>234</v>
      </c>
      <c r="D22" s="230">
        <f t="shared" si="1"/>
        <v>463</v>
      </c>
      <c r="E22" s="230">
        <f>'Schedule 5 Workpaper '!H22-F22</f>
        <v>2866</v>
      </c>
      <c r="F22" s="230">
        <v>1836</v>
      </c>
      <c r="G22" s="574">
        <v>330</v>
      </c>
      <c r="H22" s="231">
        <f t="shared" si="2"/>
        <v>5032</v>
      </c>
      <c r="I22" s="230"/>
      <c r="J22" s="233"/>
      <c r="K22" s="233"/>
      <c r="L22" s="568"/>
      <c r="M22" s="568"/>
      <c r="N22" s="568"/>
      <c r="O22" s="568"/>
    </row>
    <row r="23" spans="1:15">
      <c r="A23" s="219"/>
      <c r="B23" s="574"/>
      <c r="C23" s="574"/>
      <c r="D23" s="574"/>
      <c r="E23" s="574"/>
      <c r="F23" s="574"/>
      <c r="G23" s="178"/>
      <c r="H23" s="231"/>
      <c r="I23" s="230"/>
      <c r="K23" s="233"/>
      <c r="L23" s="568"/>
      <c r="M23" s="568"/>
      <c r="N23" s="568"/>
      <c r="O23" s="568"/>
    </row>
    <row r="24" spans="1:15">
      <c r="A24" s="219" t="s">
        <v>535</v>
      </c>
      <c r="B24" s="230">
        <f>ROUND(SUM(B11:B22)/12,0)</f>
        <v>2252</v>
      </c>
      <c r="C24" s="230">
        <f>F45</f>
        <v>244</v>
      </c>
      <c r="D24" s="230">
        <f>J67</f>
        <v>515</v>
      </c>
      <c r="E24" s="230">
        <f>AVERAGE(E11:E22)</f>
        <v>3011.0833333333335</v>
      </c>
      <c r="F24" s="230">
        <f>AVERAGE(F11:F22)</f>
        <v>1836</v>
      </c>
      <c r="G24" s="230">
        <f>AVERAGE(G11:G22)</f>
        <v>330</v>
      </c>
      <c r="H24" s="234">
        <f>SUM(E24:G24)</f>
        <v>5177.0833333333339</v>
      </c>
      <c r="I24" s="230"/>
      <c r="J24" s="230"/>
      <c r="K24" s="233"/>
      <c r="L24" s="568"/>
      <c r="M24" s="568"/>
      <c r="N24" s="568"/>
      <c r="O24" s="568"/>
    </row>
    <row r="25" spans="1:15">
      <c r="A25" s="219"/>
      <c r="B25" s="574"/>
      <c r="C25" s="574"/>
      <c r="D25" s="574"/>
      <c r="E25" s="574"/>
      <c r="F25" s="235"/>
      <c r="G25" s="178"/>
      <c r="H25" s="575"/>
      <c r="I25" s="574"/>
      <c r="K25" s="233"/>
      <c r="L25" s="568"/>
      <c r="M25" s="568"/>
      <c r="N25" s="568"/>
      <c r="O25" s="568"/>
    </row>
    <row r="26" spans="1:15">
      <c r="A26" s="559" t="s">
        <v>32</v>
      </c>
      <c r="B26" s="182"/>
      <c r="C26" s="574"/>
      <c r="D26" s="574"/>
      <c r="E26" s="574"/>
      <c r="F26" s="574"/>
      <c r="G26" s="178"/>
      <c r="H26" s="575"/>
      <c r="I26" s="574"/>
      <c r="K26" s="233"/>
      <c r="L26" s="568"/>
      <c r="M26" s="568"/>
      <c r="N26" s="568"/>
      <c r="O26" s="568"/>
    </row>
    <row r="27" spans="1:15" ht="28.5" customHeight="1">
      <c r="A27" s="648" t="s">
        <v>1397</v>
      </c>
      <c r="B27" s="649"/>
      <c r="C27" s="649"/>
      <c r="D27" s="649"/>
      <c r="E27" s="649"/>
      <c r="F27" s="649"/>
      <c r="G27" s="649"/>
      <c r="H27" s="650"/>
      <c r="I27" s="558"/>
      <c r="K27" s="233"/>
      <c r="L27" s="568"/>
      <c r="M27" s="568"/>
      <c r="N27" s="568"/>
      <c r="O27" s="568"/>
    </row>
    <row r="28" spans="1:15">
      <c r="B28" s="184"/>
      <c r="C28" s="184"/>
      <c r="D28" s="184"/>
      <c r="E28" s="184"/>
      <c r="F28" s="184"/>
      <c r="G28" s="184"/>
      <c r="H28" s="184"/>
      <c r="I28" s="184"/>
      <c r="K28" s="233"/>
      <c r="L28" s="568"/>
      <c r="M28" s="568"/>
      <c r="N28" s="569"/>
      <c r="O28" s="569"/>
    </row>
    <row r="29" spans="1:15">
      <c r="A29" s="218"/>
      <c r="B29" s="647" t="s">
        <v>338</v>
      </c>
      <c r="C29" s="647"/>
      <c r="D29" s="647"/>
      <c r="E29" s="647"/>
      <c r="F29" s="647"/>
      <c r="G29" s="372"/>
    </row>
    <row r="30" spans="1:15" s="223" customFormat="1">
      <c r="A30" s="237"/>
      <c r="B30" s="221" t="s">
        <v>547</v>
      </c>
      <c r="C30" s="221" t="s">
        <v>548</v>
      </c>
      <c r="D30" s="221" t="s">
        <v>550</v>
      </c>
      <c r="E30" s="221" t="s">
        <v>551</v>
      </c>
      <c r="F30" s="222" t="s">
        <v>552</v>
      </c>
    </row>
    <row r="31" spans="1:15" s="223" customFormat="1">
      <c r="A31" s="237"/>
      <c r="B31" s="221"/>
      <c r="C31" s="221"/>
      <c r="D31" s="221"/>
      <c r="E31" s="221"/>
      <c r="F31" s="575" t="s">
        <v>540</v>
      </c>
    </row>
    <row r="32" spans="1:15">
      <c r="A32" s="219" t="s">
        <v>455</v>
      </c>
      <c r="B32" s="621">
        <v>0.40376000000000001</v>
      </c>
      <c r="C32" s="622">
        <v>1</v>
      </c>
      <c r="D32" s="622">
        <v>155</v>
      </c>
      <c r="E32" s="622">
        <v>61</v>
      </c>
      <c r="F32" s="231">
        <f t="shared" ref="F32:F43" si="3">SUM(B32:E32)</f>
        <v>217.40376000000001</v>
      </c>
      <c r="G32" s="568"/>
      <c r="H32" s="568"/>
      <c r="I32" s="568"/>
      <c r="K32" s="568"/>
      <c r="L32" s="568"/>
      <c r="M32" s="568"/>
      <c r="N32" s="568"/>
    </row>
    <row r="33" spans="1:15">
      <c r="A33" s="219" t="s">
        <v>456</v>
      </c>
      <c r="B33" s="621">
        <v>0.41943999999999998</v>
      </c>
      <c r="C33" s="622">
        <v>1</v>
      </c>
      <c r="D33" s="622">
        <v>159</v>
      </c>
      <c r="E33" s="622">
        <v>60</v>
      </c>
      <c r="F33" s="231">
        <f t="shared" si="3"/>
        <v>220.41944000000001</v>
      </c>
      <c r="G33" s="568"/>
      <c r="H33" s="568"/>
      <c r="I33" s="568"/>
      <c r="K33" s="568"/>
      <c r="L33" s="568"/>
      <c r="M33" s="568"/>
      <c r="N33" s="568"/>
    </row>
    <row r="34" spans="1:15">
      <c r="A34" s="219" t="s">
        <v>457</v>
      </c>
      <c r="B34" s="621">
        <v>0.34544999999999998</v>
      </c>
      <c r="C34" s="622">
        <v>1</v>
      </c>
      <c r="D34" s="622">
        <v>139</v>
      </c>
      <c r="E34" s="622">
        <v>50</v>
      </c>
      <c r="F34" s="231">
        <f t="shared" si="3"/>
        <v>190.34545</v>
      </c>
      <c r="G34" s="568"/>
      <c r="H34" s="568"/>
      <c r="I34" s="568"/>
      <c r="K34" s="568"/>
      <c r="L34" s="568"/>
      <c r="M34" s="568"/>
      <c r="N34" s="568"/>
    </row>
    <row r="35" spans="1:15">
      <c r="A35" s="219" t="s">
        <v>458</v>
      </c>
      <c r="B35" s="621">
        <v>0.25900000000000001</v>
      </c>
      <c r="C35" s="622">
        <v>1</v>
      </c>
      <c r="D35" s="622">
        <v>118</v>
      </c>
      <c r="E35" s="622">
        <v>40</v>
      </c>
      <c r="F35" s="231">
        <f t="shared" si="3"/>
        <v>159.25900000000001</v>
      </c>
      <c r="G35" s="568"/>
      <c r="H35" s="568"/>
      <c r="I35" s="568"/>
      <c r="K35" s="568"/>
      <c r="L35" s="568"/>
      <c r="M35" s="568"/>
      <c r="N35" s="568"/>
    </row>
    <row r="36" spans="1:15">
      <c r="A36" s="219" t="s">
        <v>459</v>
      </c>
      <c r="B36" s="621">
        <v>0.22799</v>
      </c>
      <c r="C36" s="622">
        <v>55</v>
      </c>
      <c r="D36" s="622">
        <v>190</v>
      </c>
      <c r="E36" s="622">
        <v>39</v>
      </c>
      <c r="F36" s="231">
        <f t="shared" si="3"/>
        <v>284.22798999999998</v>
      </c>
      <c r="G36" s="568"/>
      <c r="H36" s="568"/>
      <c r="I36" s="568"/>
      <c r="K36" s="568"/>
      <c r="L36" s="568"/>
      <c r="M36" s="568"/>
      <c r="N36" s="568"/>
    </row>
    <row r="37" spans="1:15">
      <c r="A37" s="219" t="s">
        <v>460</v>
      </c>
      <c r="B37" s="621">
        <v>0.18823000000000001</v>
      </c>
      <c r="C37" s="622">
        <v>73</v>
      </c>
      <c r="D37" s="622">
        <v>225</v>
      </c>
      <c r="E37" s="622">
        <v>44</v>
      </c>
      <c r="F37" s="231">
        <f t="shared" si="3"/>
        <v>342.18822999999998</v>
      </c>
      <c r="G37" s="568"/>
      <c r="H37" s="568"/>
      <c r="I37" s="568"/>
      <c r="K37" s="568"/>
      <c r="L37" s="568"/>
      <c r="M37" s="568"/>
      <c r="N37" s="568"/>
    </row>
    <row r="38" spans="1:15">
      <c r="A38" s="219" t="s">
        <v>461</v>
      </c>
      <c r="B38" s="621">
        <v>0.33831</v>
      </c>
      <c r="C38" s="622">
        <v>67</v>
      </c>
      <c r="D38" s="622">
        <v>237</v>
      </c>
      <c r="E38" s="622">
        <v>53</v>
      </c>
      <c r="F38" s="231">
        <f t="shared" si="3"/>
        <v>357.33830999999998</v>
      </c>
      <c r="G38" s="568"/>
      <c r="H38" s="568"/>
      <c r="I38" s="568"/>
      <c r="K38" s="568"/>
      <c r="L38" s="568"/>
      <c r="M38" s="568"/>
      <c r="N38" s="568"/>
    </row>
    <row r="39" spans="1:15">
      <c r="A39" s="219" t="s">
        <v>462</v>
      </c>
      <c r="B39" s="621">
        <v>0.23807</v>
      </c>
      <c r="C39" s="622">
        <v>37</v>
      </c>
      <c r="D39" s="622">
        <v>183</v>
      </c>
      <c r="E39" s="622">
        <v>54</v>
      </c>
      <c r="F39" s="231">
        <f t="shared" si="3"/>
        <v>274.23806999999999</v>
      </c>
      <c r="G39" s="568"/>
      <c r="H39" s="568"/>
      <c r="I39" s="568"/>
      <c r="K39" s="568"/>
      <c r="L39" s="568"/>
      <c r="M39" s="568"/>
      <c r="N39" s="568"/>
    </row>
    <row r="40" spans="1:15">
      <c r="A40" s="219" t="s">
        <v>463</v>
      </c>
      <c r="B40" s="621">
        <v>0.19928999999999999</v>
      </c>
      <c r="C40" s="622">
        <v>42</v>
      </c>
      <c r="D40" s="622">
        <v>172</v>
      </c>
      <c r="E40" s="622">
        <v>34</v>
      </c>
      <c r="F40" s="231">
        <f t="shared" si="3"/>
        <v>248.19928999999999</v>
      </c>
      <c r="G40" s="568"/>
      <c r="H40" s="568"/>
      <c r="I40" s="568"/>
      <c r="K40" s="568"/>
      <c r="L40" s="568"/>
      <c r="M40" s="568"/>
      <c r="N40" s="568"/>
    </row>
    <row r="41" spans="1:15">
      <c r="A41" s="219" t="s">
        <v>464</v>
      </c>
      <c r="B41" s="621">
        <v>0.1918</v>
      </c>
      <c r="C41" s="622">
        <v>18</v>
      </c>
      <c r="D41" s="622">
        <v>111</v>
      </c>
      <c r="E41" s="622">
        <v>33</v>
      </c>
      <c r="F41" s="231">
        <f t="shared" si="3"/>
        <v>162.1918</v>
      </c>
      <c r="G41" s="568"/>
      <c r="H41" s="568"/>
      <c r="I41" s="568"/>
      <c r="K41" s="568"/>
      <c r="L41" s="568"/>
      <c r="M41" s="568"/>
      <c r="N41" s="568"/>
    </row>
    <row r="42" spans="1:15">
      <c r="A42" s="219" t="s">
        <v>465</v>
      </c>
      <c r="B42" s="621">
        <v>0.40243000000000001</v>
      </c>
      <c r="C42" s="622">
        <v>1</v>
      </c>
      <c r="D42" s="622">
        <v>170</v>
      </c>
      <c r="E42" s="622">
        <v>73</v>
      </c>
      <c r="F42" s="231">
        <f t="shared" si="3"/>
        <v>244.40243000000001</v>
      </c>
      <c r="G42" s="568"/>
      <c r="H42" s="568"/>
      <c r="I42" s="568"/>
      <c r="K42" s="568"/>
      <c r="L42" s="568"/>
      <c r="M42" s="568"/>
      <c r="N42" s="568"/>
    </row>
    <row r="43" spans="1:15">
      <c r="A43" s="219" t="s">
        <v>466</v>
      </c>
      <c r="B43" s="621">
        <v>0.46528999999999998</v>
      </c>
      <c r="C43" s="622">
        <v>1</v>
      </c>
      <c r="D43" s="622">
        <v>171</v>
      </c>
      <c r="E43" s="622">
        <v>62</v>
      </c>
      <c r="F43" s="231">
        <f t="shared" si="3"/>
        <v>234.46529000000001</v>
      </c>
      <c r="G43" s="568"/>
      <c r="H43" s="568"/>
      <c r="I43" s="568"/>
      <c r="K43" s="568"/>
      <c r="L43" s="568"/>
      <c r="M43" s="568"/>
      <c r="N43" s="568"/>
    </row>
    <row r="44" spans="1:15">
      <c r="A44" s="219"/>
      <c r="B44" s="574"/>
      <c r="C44" s="574"/>
      <c r="D44" s="178"/>
      <c r="E44" s="178"/>
      <c r="F44" s="575"/>
      <c r="G44" s="568"/>
      <c r="H44" s="568"/>
      <c r="I44" s="568"/>
      <c r="J44" s="153"/>
    </row>
    <row r="45" spans="1:15">
      <c r="A45" s="238" t="s">
        <v>535</v>
      </c>
      <c r="B45" s="239">
        <f>SUM(B32:B43)/12</f>
        <v>0.3065883333333333</v>
      </c>
      <c r="C45" s="239">
        <f>SUM(C32:C43)/12</f>
        <v>24.833333333333332</v>
      </c>
      <c r="D45" s="239">
        <f>SUM(D32:D43)/12</f>
        <v>169.16666666666666</v>
      </c>
      <c r="E45" s="239">
        <f>SUM(E32:E43)/12</f>
        <v>50.25</v>
      </c>
      <c r="F45" s="240">
        <f>TRUNC(SUM(F32:F43)/12,0)</f>
        <v>244</v>
      </c>
      <c r="G45" s="568"/>
      <c r="H45" s="568"/>
      <c r="I45" s="568"/>
      <c r="K45" s="568"/>
      <c r="L45" s="568"/>
      <c r="M45" s="568"/>
      <c r="N45" s="568"/>
    </row>
    <row r="46" spans="1:15">
      <c r="F46" s="568"/>
      <c r="G46" s="568"/>
      <c r="H46" s="568"/>
      <c r="I46" s="568"/>
      <c r="K46" s="568"/>
      <c r="L46" s="568"/>
      <c r="M46" s="568"/>
      <c r="N46" s="568"/>
      <c r="O46" s="568"/>
    </row>
    <row r="48" spans="1:15">
      <c r="A48" s="651" t="s">
        <v>553</v>
      </c>
      <c r="B48" s="652"/>
      <c r="C48" s="652"/>
      <c r="D48" s="652"/>
      <c r="E48" s="652"/>
      <c r="F48" s="652"/>
      <c r="G48" s="652"/>
      <c r="H48" s="652"/>
      <c r="I48" s="652"/>
      <c r="J48" s="653"/>
      <c r="K48" s="241"/>
      <c r="L48" s="241"/>
      <c r="M48" s="241"/>
    </row>
    <row r="49" spans="1:10">
      <c r="A49" s="242"/>
      <c r="B49" s="243" t="s">
        <v>554</v>
      </c>
      <c r="C49" s="243" t="s">
        <v>1045</v>
      </c>
      <c r="D49" s="243" t="s">
        <v>856</v>
      </c>
      <c r="E49" s="243" t="s">
        <v>857</v>
      </c>
      <c r="F49" s="243" t="s">
        <v>857</v>
      </c>
      <c r="G49" s="243" t="s">
        <v>857</v>
      </c>
      <c r="H49" s="243" t="s">
        <v>857</v>
      </c>
      <c r="I49" s="243" t="s">
        <v>857</v>
      </c>
      <c r="J49" s="222" t="s">
        <v>454</v>
      </c>
    </row>
    <row r="50" spans="1:10" ht="66" customHeight="1">
      <c r="A50" s="244" t="s">
        <v>555</v>
      </c>
      <c r="B50" s="225">
        <v>74846379</v>
      </c>
      <c r="C50" s="225" t="s">
        <v>1046</v>
      </c>
      <c r="D50" s="225" t="s">
        <v>922</v>
      </c>
      <c r="E50" s="225" t="s">
        <v>951</v>
      </c>
      <c r="F50" s="225" t="s">
        <v>1395</v>
      </c>
      <c r="G50" s="225">
        <v>80381517</v>
      </c>
      <c r="H50" s="225">
        <v>81071569</v>
      </c>
      <c r="I50" s="225">
        <v>81071591</v>
      </c>
      <c r="J50" s="220"/>
    </row>
    <row r="51" spans="1:10" ht="52.5" customHeight="1">
      <c r="A51" s="244" t="s">
        <v>858</v>
      </c>
      <c r="B51" s="225" t="s">
        <v>996</v>
      </c>
      <c r="C51" s="225" t="s">
        <v>1149</v>
      </c>
      <c r="D51" s="225" t="s">
        <v>923</v>
      </c>
      <c r="E51" s="225" t="s">
        <v>927</v>
      </c>
      <c r="F51" s="225" t="s">
        <v>1396</v>
      </c>
      <c r="G51" s="560" t="s">
        <v>1382</v>
      </c>
      <c r="H51" s="560" t="s">
        <v>1382</v>
      </c>
      <c r="I51" s="560" t="s">
        <v>1382</v>
      </c>
      <c r="J51" s="220"/>
    </row>
    <row r="52" spans="1:10" ht="25.5">
      <c r="A52" s="244" t="s">
        <v>336</v>
      </c>
      <c r="B52" s="225" t="s">
        <v>921</v>
      </c>
      <c r="C52" s="225" t="s">
        <v>337</v>
      </c>
      <c r="D52" s="225" t="s">
        <v>859</v>
      </c>
      <c r="E52" s="225" t="s">
        <v>952</v>
      </c>
      <c r="F52" s="225" t="s">
        <v>924</v>
      </c>
      <c r="G52" s="560" t="s">
        <v>1383</v>
      </c>
      <c r="H52" s="560" t="s">
        <v>1384</v>
      </c>
      <c r="I52" s="560" t="s">
        <v>1383</v>
      </c>
      <c r="J52" s="220"/>
    </row>
    <row r="53" spans="1:10">
      <c r="A53" s="224"/>
      <c r="B53" s="245"/>
      <c r="C53" s="225"/>
      <c r="D53" s="225"/>
      <c r="E53" s="225"/>
      <c r="F53" s="225"/>
      <c r="G53" s="574"/>
      <c r="H53" s="178"/>
      <c r="I53" s="178"/>
      <c r="J53" s="220"/>
    </row>
    <row r="54" spans="1:10">
      <c r="A54" s="219" t="s">
        <v>455</v>
      </c>
      <c r="B54" s="574">
        <v>75</v>
      </c>
      <c r="C54" s="574">
        <v>87</v>
      </c>
      <c r="D54" s="574">
        <v>101</v>
      </c>
      <c r="E54" s="574">
        <v>104</v>
      </c>
      <c r="F54" s="574">
        <v>200</v>
      </c>
      <c r="G54" s="574">
        <v>0</v>
      </c>
      <c r="H54" s="574">
        <v>0</v>
      </c>
      <c r="I54" s="574">
        <v>0</v>
      </c>
      <c r="J54" s="575">
        <f>SUM(B54:I54)</f>
        <v>567</v>
      </c>
    </row>
    <row r="55" spans="1:10">
      <c r="A55" s="219" t="s">
        <v>456</v>
      </c>
      <c r="B55" s="574">
        <v>75</v>
      </c>
      <c r="C55" s="574">
        <v>87</v>
      </c>
      <c r="D55" s="574">
        <v>101</v>
      </c>
      <c r="E55" s="574">
        <v>104</v>
      </c>
      <c r="F55" s="574">
        <v>200</v>
      </c>
      <c r="G55" s="629">
        <v>0</v>
      </c>
      <c r="H55" s="629">
        <v>0</v>
      </c>
      <c r="I55" s="629">
        <v>0</v>
      </c>
      <c r="J55" s="575">
        <f t="shared" ref="J55:J65" si="4">SUM(B55:I55)</f>
        <v>567</v>
      </c>
    </row>
    <row r="56" spans="1:10">
      <c r="A56" s="219" t="s">
        <v>457</v>
      </c>
      <c r="B56" s="574">
        <v>75</v>
      </c>
      <c r="C56" s="574">
        <v>87</v>
      </c>
      <c r="D56" s="574">
        <v>101</v>
      </c>
      <c r="E56" s="574">
        <v>104</v>
      </c>
      <c r="F56" s="574">
        <v>200</v>
      </c>
      <c r="G56" s="629">
        <v>0</v>
      </c>
      <c r="H56" s="629">
        <v>0</v>
      </c>
      <c r="I56" s="629">
        <v>0</v>
      </c>
      <c r="J56" s="575">
        <f t="shared" si="4"/>
        <v>567</v>
      </c>
    </row>
    <row r="57" spans="1:10">
      <c r="A57" s="219" t="s">
        <v>458</v>
      </c>
      <c r="B57" s="574">
        <v>75</v>
      </c>
      <c r="C57" s="574">
        <v>87</v>
      </c>
      <c r="D57" s="574">
        <v>101</v>
      </c>
      <c r="E57" s="574">
        <v>104</v>
      </c>
      <c r="F57" s="574">
        <v>200</v>
      </c>
      <c r="G57" s="629">
        <v>0</v>
      </c>
      <c r="H57" s="629">
        <v>0</v>
      </c>
      <c r="I57" s="629">
        <v>0</v>
      </c>
      <c r="J57" s="575">
        <f t="shared" si="4"/>
        <v>567</v>
      </c>
    </row>
    <row r="58" spans="1:10">
      <c r="A58" s="219" t="s">
        <v>459</v>
      </c>
      <c r="B58" s="574">
        <v>75</v>
      </c>
      <c r="C58" s="574">
        <v>87</v>
      </c>
      <c r="D58" s="574">
        <v>101</v>
      </c>
      <c r="E58" s="574">
        <v>104</v>
      </c>
      <c r="F58" s="574">
        <v>200</v>
      </c>
      <c r="G58" s="629">
        <v>0</v>
      </c>
      <c r="H58" s="629">
        <v>0</v>
      </c>
      <c r="I58" s="629">
        <v>0</v>
      </c>
      <c r="J58" s="575">
        <f t="shared" si="4"/>
        <v>567</v>
      </c>
    </row>
    <row r="59" spans="1:10">
      <c r="A59" s="219" t="s">
        <v>460</v>
      </c>
      <c r="B59" s="574">
        <v>75</v>
      </c>
      <c r="C59" s="574">
        <v>87</v>
      </c>
      <c r="D59" s="574">
        <v>101</v>
      </c>
      <c r="E59" s="574">
        <v>104</v>
      </c>
      <c r="F59" s="574">
        <v>200</v>
      </c>
      <c r="G59" s="629">
        <v>0</v>
      </c>
      <c r="H59" s="629">
        <v>0</v>
      </c>
      <c r="I59" s="629">
        <v>0</v>
      </c>
      <c r="J59" s="575">
        <f t="shared" si="4"/>
        <v>567</v>
      </c>
    </row>
    <row r="60" spans="1:10">
      <c r="A60" s="219" t="s">
        <v>461</v>
      </c>
      <c r="B60" s="574">
        <v>75</v>
      </c>
      <c r="C60" s="574">
        <v>87</v>
      </c>
      <c r="D60" s="574">
        <v>101</v>
      </c>
      <c r="E60" s="574">
        <v>0</v>
      </c>
      <c r="F60" s="574">
        <v>200</v>
      </c>
      <c r="G60" s="629">
        <v>0</v>
      </c>
      <c r="H60" s="629">
        <v>0</v>
      </c>
      <c r="I60" s="629">
        <v>0</v>
      </c>
      <c r="J60" s="575">
        <f t="shared" si="4"/>
        <v>463</v>
      </c>
    </row>
    <row r="61" spans="1:10">
      <c r="A61" s="219" t="s">
        <v>462</v>
      </c>
      <c r="B61" s="574">
        <v>75</v>
      </c>
      <c r="C61" s="574">
        <v>87</v>
      </c>
      <c r="D61" s="574">
        <v>101</v>
      </c>
      <c r="E61" s="574">
        <v>0</v>
      </c>
      <c r="F61" s="574">
        <v>200</v>
      </c>
      <c r="G61" s="629">
        <v>0</v>
      </c>
      <c r="H61" s="629">
        <v>0</v>
      </c>
      <c r="I61" s="629">
        <v>0</v>
      </c>
      <c r="J61" s="575">
        <f t="shared" si="4"/>
        <v>463</v>
      </c>
    </row>
    <row r="62" spans="1:10">
      <c r="A62" s="219" t="s">
        <v>463</v>
      </c>
      <c r="B62" s="574">
        <v>75</v>
      </c>
      <c r="C62" s="574">
        <v>87</v>
      </c>
      <c r="D62" s="574">
        <v>101</v>
      </c>
      <c r="E62" s="574">
        <v>0</v>
      </c>
      <c r="F62" s="574">
        <v>200</v>
      </c>
      <c r="G62" s="629">
        <v>0</v>
      </c>
      <c r="H62" s="629">
        <v>0</v>
      </c>
      <c r="I62" s="629">
        <v>0</v>
      </c>
      <c r="J62" s="575">
        <f t="shared" si="4"/>
        <v>463</v>
      </c>
    </row>
    <row r="63" spans="1:10">
      <c r="A63" s="219" t="s">
        <v>464</v>
      </c>
      <c r="B63" s="574">
        <v>75</v>
      </c>
      <c r="C63" s="574">
        <v>87</v>
      </c>
      <c r="D63" s="574">
        <v>101</v>
      </c>
      <c r="E63" s="574">
        <v>0</v>
      </c>
      <c r="F63" s="574">
        <v>200</v>
      </c>
      <c r="G63" s="629">
        <v>0</v>
      </c>
      <c r="H63" s="629">
        <v>0</v>
      </c>
      <c r="I63" s="629">
        <v>0</v>
      </c>
      <c r="J63" s="575">
        <f t="shared" si="4"/>
        <v>463</v>
      </c>
    </row>
    <row r="64" spans="1:10">
      <c r="A64" s="219" t="s">
        <v>465</v>
      </c>
      <c r="B64" s="574">
        <v>75</v>
      </c>
      <c r="C64" s="574">
        <v>87</v>
      </c>
      <c r="D64" s="574">
        <v>101</v>
      </c>
      <c r="E64" s="574">
        <v>0</v>
      </c>
      <c r="F64" s="574">
        <v>200</v>
      </c>
      <c r="G64" s="629">
        <v>0</v>
      </c>
      <c r="H64" s="629">
        <v>0</v>
      </c>
      <c r="I64" s="629">
        <v>0</v>
      </c>
      <c r="J64" s="575">
        <f t="shared" si="4"/>
        <v>463</v>
      </c>
    </row>
    <row r="65" spans="1:13">
      <c r="A65" s="219" t="s">
        <v>466</v>
      </c>
      <c r="B65" s="574">
        <v>75</v>
      </c>
      <c r="C65" s="574">
        <v>87</v>
      </c>
      <c r="D65" s="574">
        <v>101</v>
      </c>
      <c r="E65" s="574">
        <v>0</v>
      </c>
      <c r="F65" s="574">
        <v>200</v>
      </c>
      <c r="G65" s="629">
        <v>0</v>
      </c>
      <c r="H65" s="629">
        <v>0</v>
      </c>
      <c r="I65" s="629">
        <v>0</v>
      </c>
      <c r="J65" s="575">
        <f t="shared" si="4"/>
        <v>463</v>
      </c>
    </row>
    <row r="66" spans="1:13">
      <c r="A66" s="219"/>
      <c r="B66" s="574"/>
      <c r="C66" s="574"/>
      <c r="D66" s="574"/>
      <c r="E66" s="574"/>
      <c r="F66" s="574"/>
      <c r="G66" s="178"/>
      <c r="H66" s="178"/>
      <c r="I66" s="178"/>
      <c r="J66" s="575"/>
    </row>
    <row r="67" spans="1:13">
      <c r="A67" s="238" t="s">
        <v>535</v>
      </c>
      <c r="B67" s="239">
        <f t="shared" ref="B67:D67" si="5">ROUND(AVERAGE(B54:B65),0)</f>
        <v>75</v>
      </c>
      <c r="C67" s="239">
        <f t="shared" si="5"/>
        <v>87</v>
      </c>
      <c r="D67" s="239">
        <f t="shared" si="5"/>
        <v>101</v>
      </c>
      <c r="E67" s="239">
        <f t="shared" ref="E67:I67" si="6">ROUND(AVERAGE(E54:E65),0)</f>
        <v>52</v>
      </c>
      <c r="F67" s="239">
        <f t="shared" si="6"/>
        <v>200</v>
      </c>
      <c r="G67" s="239">
        <f t="shared" si="6"/>
        <v>0</v>
      </c>
      <c r="H67" s="239">
        <f t="shared" si="6"/>
        <v>0</v>
      </c>
      <c r="I67" s="239">
        <f t="shared" si="6"/>
        <v>0</v>
      </c>
      <c r="J67" s="240">
        <f>ROUND(AVERAGE(J54:J65),0)</f>
        <v>515</v>
      </c>
    </row>
    <row r="68" spans="1:13">
      <c r="D68" s="246"/>
      <c r="E68" s="246"/>
      <c r="F68" s="246"/>
      <c r="G68" s="568"/>
      <c r="H68" s="568"/>
      <c r="I68" s="568"/>
      <c r="J68" s="246"/>
      <c r="K68" s="246"/>
      <c r="L68" s="246"/>
      <c r="M68" s="246"/>
    </row>
    <row r="69" spans="1:13">
      <c r="B69" s="574"/>
      <c r="C69" s="574"/>
      <c r="D69" s="574"/>
      <c r="E69" s="178"/>
      <c r="F69" s="178"/>
      <c r="G69" s="178"/>
      <c r="H69" s="178"/>
      <c r="I69" s="178"/>
      <c r="J69" s="574"/>
      <c r="K69" s="178"/>
      <c r="L69" s="178"/>
      <c r="M69" s="178"/>
    </row>
    <row r="70" spans="1:13" ht="15.75" customHeight="1">
      <c r="A70" s="646" t="s">
        <v>1381</v>
      </c>
      <c r="B70" s="646"/>
      <c r="C70" s="646"/>
      <c r="D70" s="646"/>
      <c r="E70" s="646"/>
      <c r="F70" s="646"/>
      <c r="G70" s="646"/>
      <c r="H70" s="646"/>
    </row>
  </sheetData>
  <sheetProtection formatCells="0"/>
  <mergeCells count="6">
    <mergeCell ref="A70:H70"/>
    <mergeCell ref="B29:F29"/>
    <mergeCell ref="A1:H1"/>
    <mergeCell ref="A2:H2"/>
    <mergeCell ref="A27:H27"/>
    <mergeCell ref="A48:J48"/>
  </mergeCells>
  <phoneticPr fontId="0" type="noConversion"/>
  <printOptions horizontalCentered="1"/>
  <pageMargins left="0.75" right="0.75" top="1" bottom="1" header="0.5" footer="0.5"/>
  <pageSetup scale="63" orientation="portrait" r:id="rId1"/>
  <headerFooter alignWithMargins="0">
    <oddHeader>&amp;CIDAHO POWER COMPANY
Transmission Cost of Service Rate Development
12 Months Ended 12/31/2014</oddHeader>
  </headerFooter>
</worksheet>
</file>

<file path=xl/worksheets/sheet13.xml><?xml version="1.0" encoding="utf-8"?>
<worksheet xmlns="http://schemas.openxmlformats.org/spreadsheetml/2006/main" xmlns:r="http://schemas.openxmlformats.org/officeDocument/2006/relationships">
  <sheetPr codeName="Sheet13"/>
  <dimension ref="A1:I2259"/>
  <sheetViews>
    <sheetView zoomScale="90" zoomScaleNormal="90" zoomScaleSheetLayoutView="100" zoomScalePageLayoutView="75" workbookViewId="0">
      <selection sqref="A1:I1"/>
    </sheetView>
  </sheetViews>
  <sheetFormatPr defaultRowHeight="12.75"/>
  <cols>
    <col min="1" max="1" width="3.7109375" style="568" customWidth="1"/>
    <col min="2" max="2" width="3.5703125" style="569" customWidth="1"/>
    <col min="3" max="3" width="25.5703125" style="153" customWidth="1"/>
    <col min="4" max="4" width="21.5703125" style="153" bestFit="1" customWidth="1"/>
    <col min="5" max="5" width="16.7109375" style="153" customWidth="1"/>
    <col min="6" max="6" width="14.7109375" style="153" customWidth="1"/>
    <col min="7" max="7" width="6.42578125" style="265" customWidth="1"/>
    <col min="8" max="8" width="16.42578125" style="265" customWidth="1"/>
    <col min="9" max="9" width="14.28515625" style="153" customWidth="1"/>
    <col min="10" max="16384" width="9.140625" style="153"/>
  </cols>
  <sheetData>
    <row r="1" spans="1:9" ht="15.75" customHeight="1">
      <c r="A1" s="645" t="s">
        <v>498</v>
      </c>
      <c r="B1" s="645"/>
      <c r="C1" s="645"/>
      <c r="D1" s="645"/>
      <c r="E1" s="645"/>
      <c r="F1" s="645"/>
      <c r="G1" s="645"/>
      <c r="H1" s="645"/>
      <c r="I1" s="645"/>
    </row>
    <row r="2" spans="1:9" ht="15.75" customHeight="1">
      <c r="A2" s="645" t="s">
        <v>51</v>
      </c>
      <c r="B2" s="645"/>
      <c r="C2" s="645"/>
      <c r="D2" s="645"/>
      <c r="E2" s="645"/>
      <c r="F2" s="645"/>
      <c r="G2" s="645"/>
      <c r="H2" s="645"/>
      <c r="I2" s="645"/>
    </row>
    <row r="3" spans="1:9">
      <c r="C3" s="157"/>
      <c r="D3" s="157"/>
      <c r="E3" s="157"/>
      <c r="G3" s="153"/>
      <c r="H3" s="168"/>
    </row>
    <row r="4" spans="1:9">
      <c r="C4" s="157"/>
      <c r="D4" s="157"/>
      <c r="E4" s="157"/>
      <c r="G4" s="153"/>
      <c r="H4" s="168"/>
    </row>
    <row r="5" spans="1:9">
      <c r="G5" s="153"/>
      <c r="H5" s="168"/>
    </row>
    <row r="6" spans="1:9">
      <c r="A6" s="568">
        <v>1</v>
      </c>
      <c r="B6" s="569" t="s">
        <v>470</v>
      </c>
      <c r="C6" s="157" t="s">
        <v>502</v>
      </c>
      <c r="D6" s="157"/>
      <c r="G6" s="153"/>
      <c r="H6" s="168"/>
    </row>
    <row r="7" spans="1:9">
      <c r="A7" s="568">
        <f>A6+1</f>
        <v>2</v>
      </c>
      <c r="E7" s="247" t="s">
        <v>418</v>
      </c>
      <c r="F7" s="247"/>
      <c r="G7" s="241"/>
      <c r="H7" s="248" t="s">
        <v>452</v>
      </c>
      <c r="I7" s="247"/>
    </row>
    <row r="8" spans="1:9">
      <c r="A8" s="568">
        <f t="shared" ref="A8:A39" si="0">A7+1</f>
        <v>3</v>
      </c>
      <c r="D8" s="153" t="s">
        <v>232</v>
      </c>
      <c r="E8" s="236" t="s">
        <v>233</v>
      </c>
      <c r="F8" s="236" t="s">
        <v>419</v>
      </c>
      <c r="G8" s="568"/>
      <c r="H8" s="249" t="s">
        <v>420</v>
      </c>
      <c r="I8" s="236" t="s">
        <v>421</v>
      </c>
    </row>
    <row r="9" spans="1:9">
      <c r="A9" s="568">
        <f t="shared" si="0"/>
        <v>4</v>
      </c>
      <c r="E9" s="250"/>
      <c r="F9" s="250"/>
      <c r="G9" s="250"/>
      <c r="H9" s="251"/>
      <c r="I9" s="250"/>
    </row>
    <row r="10" spans="1:9">
      <c r="A10" s="568">
        <f t="shared" si="0"/>
        <v>5</v>
      </c>
      <c r="E10" s="250"/>
      <c r="F10" s="581"/>
      <c r="G10" s="581"/>
      <c r="H10" s="581"/>
      <c r="I10" s="581"/>
    </row>
    <row r="11" spans="1:9">
      <c r="A11" s="568">
        <f t="shared" si="0"/>
        <v>6</v>
      </c>
      <c r="C11" s="153" t="s">
        <v>451</v>
      </c>
      <c r="D11" s="153" t="s">
        <v>98</v>
      </c>
      <c r="E11" s="202">
        <f>'Schedule 6 Workpaper page 1'!G39*1000</f>
        <v>1595460000</v>
      </c>
      <c r="F11" s="582">
        <f>E11/E17</f>
        <v>0.46750806604665479</v>
      </c>
      <c r="G11" s="582"/>
      <c r="H11" s="582">
        <f>'Schedule 6 Workpaper page 1'!O39</f>
        <v>5.1870701424110446E-2</v>
      </c>
      <c r="I11" s="582">
        <f>H11*F11</f>
        <v>2.4249971307269337E-2</v>
      </c>
    </row>
    <row r="12" spans="1:9">
      <c r="A12" s="568">
        <f t="shared" si="0"/>
        <v>7</v>
      </c>
      <c r="E12" s="202"/>
      <c r="F12" s="582"/>
      <c r="G12" s="582"/>
      <c r="H12" s="582"/>
      <c r="I12" s="582"/>
    </row>
    <row r="13" spans="1:9">
      <c r="A13" s="568">
        <f t="shared" si="0"/>
        <v>8</v>
      </c>
      <c r="C13" s="153" t="s">
        <v>422</v>
      </c>
      <c r="D13" s="153" t="s">
        <v>1316</v>
      </c>
      <c r="E13" s="202">
        <v>0</v>
      </c>
      <c r="F13" s="582">
        <f>E13/E17</f>
        <v>0</v>
      </c>
      <c r="G13" s="582"/>
      <c r="H13" s="582">
        <v>0</v>
      </c>
      <c r="I13" s="582">
        <f>H13*F13</f>
        <v>0</v>
      </c>
    </row>
    <row r="14" spans="1:9">
      <c r="A14" s="568">
        <f t="shared" si="0"/>
        <v>9</v>
      </c>
      <c r="E14" s="202"/>
      <c r="F14" s="582"/>
      <c r="G14" s="582"/>
      <c r="H14" s="582"/>
      <c r="I14" s="582"/>
    </row>
    <row r="15" spans="1:9">
      <c r="A15" s="568">
        <f t="shared" si="0"/>
        <v>10</v>
      </c>
      <c r="C15" s="153" t="s">
        <v>423</v>
      </c>
      <c r="D15" s="153" t="s">
        <v>1317</v>
      </c>
      <c r="E15" s="620">
        <v>1817229782</v>
      </c>
      <c r="F15" s="583">
        <f>E15/E17</f>
        <v>0.53249193395334515</v>
      </c>
      <c r="G15" s="583"/>
      <c r="H15" s="582">
        <v>0.107</v>
      </c>
      <c r="I15" s="583">
        <f>H15*F15</f>
        <v>5.6976636933007932E-2</v>
      </c>
    </row>
    <row r="16" spans="1:9">
      <c r="A16" s="568">
        <f t="shared" si="0"/>
        <v>11</v>
      </c>
      <c r="E16" s="206"/>
      <c r="F16" s="583"/>
      <c r="G16" s="583"/>
      <c r="H16" s="582"/>
      <c r="I16" s="583"/>
    </row>
    <row r="17" spans="1:9">
      <c r="A17" s="568">
        <f t="shared" si="0"/>
        <v>12</v>
      </c>
      <c r="C17" s="153" t="s">
        <v>424</v>
      </c>
      <c r="E17" s="202">
        <f>SUM(E11:E15)</f>
        <v>3412689782</v>
      </c>
      <c r="F17" s="582">
        <f>SUM(F11:F15)</f>
        <v>1</v>
      </c>
      <c r="G17" s="582"/>
      <c r="H17" s="582"/>
      <c r="I17" s="582">
        <f>SUM(I11:I15)</f>
        <v>8.1226608240277276E-2</v>
      </c>
    </row>
    <row r="18" spans="1:9">
      <c r="A18" s="568">
        <f t="shared" si="0"/>
        <v>13</v>
      </c>
      <c r="E18" s="202"/>
      <c r="F18" s="252"/>
      <c r="G18" s="252"/>
      <c r="H18" s="168"/>
      <c r="I18" s="253"/>
    </row>
    <row r="19" spans="1:9">
      <c r="A19" s="568">
        <f t="shared" si="0"/>
        <v>14</v>
      </c>
      <c r="G19" s="153"/>
      <c r="H19" s="168"/>
    </row>
    <row r="20" spans="1:9" ht="12.75" customHeight="1">
      <c r="A20" s="568">
        <f t="shared" si="0"/>
        <v>15</v>
      </c>
      <c r="E20" s="254" t="s">
        <v>412</v>
      </c>
      <c r="G20" s="153"/>
      <c r="H20" s="255" t="s">
        <v>417</v>
      </c>
      <c r="I20" s="580">
        <f>I17</f>
        <v>8.1226608240277276E-2</v>
      </c>
    </row>
    <row r="21" spans="1:9" ht="12.75" customHeight="1">
      <c r="A21" s="568">
        <f t="shared" si="0"/>
        <v>16</v>
      </c>
      <c r="E21" s="254"/>
      <c r="G21" s="153"/>
      <c r="H21" s="256"/>
      <c r="I21" s="253"/>
    </row>
    <row r="22" spans="1:9" ht="12.75" customHeight="1">
      <c r="A22" s="568">
        <f t="shared" si="0"/>
        <v>17</v>
      </c>
      <c r="B22" s="569" t="s">
        <v>471</v>
      </c>
      <c r="C22" s="157" t="s">
        <v>499</v>
      </c>
      <c r="D22" s="157"/>
      <c r="E22" s="157"/>
      <c r="G22" s="168"/>
      <c r="H22" s="256"/>
      <c r="I22" s="253"/>
    </row>
    <row r="23" spans="1:9" ht="12.75" customHeight="1">
      <c r="A23" s="568">
        <f t="shared" si="0"/>
        <v>18</v>
      </c>
      <c r="G23" s="168"/>
      <c r="H23" s="256"/>
      <c r="I23" s="253"/>
    </row>
    <row r="24" spans="1:9" ht="12.75" customHeight="1">
      <c r="A24" s="568">
        <f t="shared" si="0"/>
        <v>19</v>
      </c>
      <c r="C24" s="153" t="s">
        <v>500</v>
      </c>
      <c r="E24" s="193">
        <v>0.35</v>
      </c>
      <c r="G24" s="153"/>
      <c r="H24" s="256"/>
      <c r="I24" s="253"/>
    </row>
    <row r="25" spans="1:9" ht="12.75" customHeight="1">
      <c r="A25" s="568">
        <f t="shared" si="0"/>
        <v>20</v>
      </c>
      <c r="C25" s="153" t="s">
        <v>501</v>
      </c>
      <c r="E25" s="193">
        <f>'Schedule 6 Workpaper page 2'!F10</f>
        <v>6.3E-2</v>
      </c>
      <c r="F25" s="153" t="s">
        <v>106</v>
      </c>
      <c r="G25" s="153"/>
      <c r="H25" s="256"/>
      <c r="I25" s="253"/>
    </row>
    <row r="26" spans="1:9" ht="12.75" customHeight="1">
      <c r="A26" s="568">
        <f t="shared" si="0"/>
        <v>21</v>
      </c>
      <c r="G26" s="168"/>
      <c r="H26" s="256"/>
      <c r="I26" s="253"/>
    </row>
    <row r="27" spans="1:9">
      <c r="A27" s="568">
        <f t="shared" si="0"/>
        <v>22</v>
      </c>
      <c r="C27" s="257" t="s">
        <v>503</v>
      </c>
      <c r="D27" s="257"/>
      <c r="E27" s="178"/>
      <c r="F27" s="178"/>
      <c r="G27" s="203"/>
      <c r="H27" s="258"/>
      <c r="I27" s="259"/>
    </row>
    <row r="28" spans="1:9">
      <c r="A28" s="568">
        <f t="shared" si="0"/>
        <v>23</v>
      </c>
      <c r="C28" s="178" t="s">
        <v>505</v>
      </c>
      <c r="D28" s="178"/>
      <c r="E28" s="178"/>
      <c r="F28" s="178"/>
      <c r="G28" s="203"/>
      <c r="H28" s="181"/>
      <c r="I28" s="584">
        <f>ROUND((((($I$20-$I$11) +((E38 + E39)/'Rate Calculation'!$E$26))*$E$24)/(1-$E$24)),5)</f>
        <v>3.0259999999999999E-2</v>
      </c>
    </row>
    <row r="29" spans="1:9">
      <c r="A29" s="568">
        <f t="shared" si="0"/>
        <v>24</v>
      </c>
      <c r="C29" s="178"/>
      <c r="D29" s="178"/>
      <c r="E29" s="178"/>
      <c r="F29" s="178"/>
      <c r="G29" s="203"/>
      <c r="H29" s="181"/>
      <c r="I29" s="584"/>
    </row>
    <row r="30" spans="1:9">
      <c r="A30" s="568">
        <f t="shared" si="0"/>
        <v>25</v>
      </c>
      <c r="C30" s="257" t="s">
        <v>504</v>
      </c>
      <c r="D30" s="257"/>
      <c r="E30" s="178"/>
      <c r="F30" s="178"/>
      <c r="G30" s="203"/>
      <c r="H30" s="181"/>
      <c r="I30" s="584"/>
    </row>
    <row r="31" spans="1:9">
      <c r="A31" s="568">
        <f t="shared" si="0"/>
        <v>26</v>
      </c>
      <c r="C31" s="178" t="s">
        <v>506</v>
      </c>
      <c r="D31" s="178"/>
      <c r="E31" s="178"/>
      <c r="F31" s="178"/>
      <c r="G31" s="203"/>
      <c r="H31" s="181"/>
      <c r="I31" s="584">
        <f>ROUND(((($I$20-$I$11)+((E38 + E39) / 'Rate Calculation'!$E$26) + $I$28)*$E$25)/(1-$E$25),5)</f>
        <v>5.8100000000000001E-3</v>
      </c>
    </row>
    <row r="32" spans="1:9">
      <c r="A32" s="568">
        <f t="shared" si="0"/>
        <v>27</v>
      </c>
      <c r="C32" s="178"/>
      <c r="D32" s="178"/>
      <c r="E32" s="178"/>
      <c r="F32" s="182" t="s">
        <v>412</v>
      </c>
      <c r="G32" s="181"/>
      <c r="H32" s="181"/>
      <c r="I32" s="585" t="s">
        <v>412</v>
      </c>
    </row>
    <row r="33" spans="1:9">
      <c r="A33" s="568">
        <f t="shared" si="0"/>
        <v>28</v>
      </c>
      <c r="C33" s="178"/>
      <c r="D33" s="178"/>
      <c r="E33" s="178"/>
      <c r="F33" s="178"/>
      <c r="G33" s="181"/>
      <c r="H33" s="181"/>
      <c r="I33" s="584"/>
    </row>
    <row r="34" spans="1:9">
      <c r="A34" s="568">
        <f t="shared" si="0"/>
        <v>29</v>
      </c>
      <c r="C34" s="178"/>
      <c r="D34" s="178"/>
      <c r="E34" s="178"/>
      <c r="F34" s="260" t="s">
        <v>507</v>
      </c>
      <c r="G34" s="261"/>
      <c r="H34" s="179"/>
      <c r="I34" s="586">
        <f>ROUND(SUM(I28:I31),5)</f>
        <v>3.6069999999999998E-2</v>
      </c>
    </row>
    <row r="35" spans="1:9">
      <c r="A35" s="568">
        <f t="shared" si="0"/>
        <v>30</v>
      </c>
      <c r="C35" s="178"/>
      <c r="D35" s="178"/>
      <c r="E35" s="178"/>
      <c r="F35" s="260"/>
      <c r="G35" s="261"/>
      <c r="H35" s="179"/>
      <c r="I35" s="179"/>
    </row>
    <row r="36" spans="1:9">
      <c r="A36" s="568">
        <f t="shared" si="0"/>
        <v>31</v>
      </c>
      <c r="C36" s="178"/>
      <c r="D36" s="178"/>
      <c r="E36" s="178"/>
      <c r="F36" s="260"/>
      <c r="G36" s="261"/>
      <c r="H36" s="179"/>
      <c r="I36" s="179"/>
    </row>
    <row r="37" spans="1:9">
      <c r="A37" s="568">
        <f t="shared" si="0"/>
        <v>32</v>
      </c>
      <c r="C37" s="178"/>
      <c r="D37" s="178"/>
      <c r="E37" s="178"/>
      <c r="F37" s="179"/>
      <c r="G37" s="261"/>
      <c r="H37" s="181"/>
      <c r="I37" s="178"/>
    </row>
    <row r="38" spans="1:9">
      <c r="A38" s="568">
        <f t="shared" si="0"/>
        <v>33</v>
      </c>
      <c r="C38" s="179" t="s">
        <v>508</v>
      </c>
      <c r="D38" s="179"/>
      <c r="E38" s="552">
        <f>'Schedule 6 Workpaper page 3'!G18</f>
        <v>75110</v>
      </c>
      <c r="F38" s="241" t="s">
        <v>107</v>
      </c>
      <c r="G38" s="261"/>
      <c r="H38" s="181"/>
      <c r="I38" s="178"/>
    </row>
    <row r="39" spans="1:9">
      <c r="A39" s="568">
        <f t="shared" si="0"/>
        <v>34</v>
      </c>
      <c r="C39" s="179" t="s">
        <v>509</v>
      </c>
      <c r="D39" s="179"/>
      <c r="E39" s="206">
        <f>'Rate Calculation'!E38</f>
        <v>-595121.79176311998</v>
      </c>
      <c r="F39" s="182" t="s">
        <v>246</v>
      </c>
      <c r="G39" s="261"/>
      <c r="H39" s="181"/>
      <c r="I39" s="178"/>
    </row>
    <row r="40" spans="1:9">
      <c r="C40" s="178"/>
      <c r="D40" s="178"/>
      <c r="E40" s="178"/>
      <c r="F40" s="178"/>
      <c r="G40" s="261"/>
      <c r="H40" s="181"/>
      <c r="I40" s="178"/>
    </row>
    <row r="41" spans="1:9">
      <c r="C41" s="178"/>
      <c r="D41" s="178"/>
      <c r="E41" s="262"/>
      <c r="F41" s="263"/>
      <c r="G41" s="181"/>
      <c r="H41" s="181"/>
      <c r="I41" s="178"/>
    </row>
    <row r="42" spans="1:9">
      <c r="C42" s="178"/>
      <c r="D42" s="178"/>
      <c r="E42" s="178"/>
      <c r="F42" s="178"/>
      <c r="G42" s="181"/>
      <c r="H42" s="181"/>
      <c r="I42" s="178"/>
    </row>
    <row r="43" spans="1:9">
      <c r="C43" s="178"/>
      <c r="D43" s="178"/>
      <c r="E43" s="203"/>
      <c r="F43" s="178"/>
      <c r="G43" s="181"/>
      <c r="H43" s="181"/>
      <c r="I43" s="178"/>
    </row>
    <row r="44" spans="1:9">
      <c r="C44" s="178"/>
      <c r="D44" s="178"/>
      <c r="E44" s="178"/>
      <c r="F44" s="178"/>
      <c r="G44" s="181"/>
      <c r="H44" s="181"/>
      <c r="I44" s="178"/>
    </row>
    <row r="45" spans="1:9">
      <c r="C45" s="178"/>
      <c r="D45" s="178"/>
      <c r="E45" s="178"/>
      <c r="F45" s="178"/>
      <c r="G45" s="181"/>
      <c r="H45" s="181"/>
      <c r="I45" s="178"/>
    </row>
    <row r="46" spans="1:9">
      <c r="C46" s="178"/>
      <c r="D46" s="178"/>
      <c r="E46" s="178"/>
      <c r="F46" s="178"/>
      <c r="G46" s="181"/>
      <c r="H46" s="181"/>
      <c r="I46" s="178"/>
    </row>
    <row r="47" spans="1:9">
      <c r="C47" s="257"/>
      <c r="D47" s="257"/>
      <c r="E47" s="178"/>
      <c r="F47" s="178"/>
      <c r="G47" s="181"/>
      <c r="H47" s="181"/>
      <c r="I47" s="178"/>
    </row>
    <row r="48" spans="1:9">
      <c r="C48" s="178"/>
      <c r="D48" s="178"/>
      <c r="E48" s="178"/>
      <c r="F48" s="178"/>
      <c r="G48" s="181"/>
      <c r="H48" s="181"/>
      <c r="I48" s="178"/>
    </row>
    <row r="49" spans="3:9">
      <c r="C49" s="178"/>
      <c r="D49" s="178"/>
      <c r="E49" s="178"/>
      <c r="F49" s="178"/>
      <c r="G49" s="181"/>
      <c r="H49" s="181"/>
      <c r="I49" s="178"/>
    </row>
    <row r="50" spans="3:9">
      <c r="C50" s="178"/>
      <c r="D50" s="178"/>
      <c r="E50" s="178"/>
      <c r="F50" s="178"/>
      <c r="G50" s="181"/>
      <c r="H50" s="181"/>
      <c r="I50" s="178"/>
    </row>
    <row r="51" spans="3:9">
      <c r="C51" s="259"/>
      <c r="D51" s="259"/>
      <c r="E51" s="178"/>
      <c r="F51" s="178"/>
      <c r="G51" s="181"/>
      <c r="H51" s="181"/>
      <c r="I51" s="178"/>
    </row>
    <row r="52" spans="3:9">
      <c r="C52" s="264"/>
      <c r="D52" s="264"/>
      <c r="E52" s="178"/>
      <c r="F52" s="178"/>
      <c r="G52" s="181"/>
      <c r="H52" s="181"/>
      <c r="I52" s="178"/>
    </row>
    <row r="53" spans="3:9">
      <c r="C53" s="264"/>
      <c r="D53" s="264"/>
      <c r="E53" s="178"/>
      <c r="F53" s="178"/>
      <c r="G53" s="181"/>
      <c r="H53" s="181"/>
      <c r="I53" s="178"/>
    </row>
    <row r="54" spans="3:9">
      <c r="C54" s="178"/>
      <c r="D54" s="178"/>
      <c r="E54" s="178"/>
      <c r="F54" s="178"/>
      <c r="G54" s="181"/>
      <c r="H54" s="181"/>
      <c r="I54" s="178"/>
    </row>
    <row r="55" spans="3:9">
      <c r="C55" s="178"/>
      <c r="D55" s="178"/>
      <c r="E55" s="178"/>
      <c r="F55" s="178"/>
      <c r="G55" s="181"/>
      <c r="H55" s="181"/>
      <c r="I55" s="178"/>
    </row>
    <row r="56" spans="3:9">
      <c r="C56" s="178"/>
      <c r="D56" s="178"/>
      <c r="E56" s="178"/>
      <c r="F56" s="178"/>
      <c r="G56" s="181"/>
      <c r="H56" s="181"/>
      <c r="I56" s="178"/>
    </row>
    <row r="57" spans="3:9">
      <c r="C57" s="178"/>
      <c r="D57" s="178"/>
      <c r="E57" s="178"/>
      <c r="F57" s="178"/>
      <c r="G57" s="181"/>
      <c r="H57" s="181"/>
      <c r="I57" s="178"/>
    </row>
    <row r="58" spans="3:9">
      <c r="C58" s="178"/>
      <c r="D58" s="178"/>
      <c r="E58" s="178"/>
      <c r="F58" s="178"/>
      <c r="G58" s="181"/>
      <c r="H58" s="181"/>
      <c r="I58" s="178"/>
    </row>
    <row r="59" spans="3:9">
      <c r="C59" s="178"/>
      <c r="D59" s="178"/>
      <c r="E59" s="178"/>
      <c r="F59" s="178"/>
      <c r="G59" s="181"/>
      <c r="H59" s="181"/>
      <c r="I59" s="178"/>
    </row>
    <row r="60" spans="3:9">
      <c r="C60" s="178"/>
      <c r="D60" s="178"/>
      <c r="E60" s="178"/>
      <c r="F60" s="178"/>
      <c r="G60" s="181"/>
      <c r="H60" s="181"/>
      <c r="I60" s="178"/>
    </row>
    <row r="61" spans="3:9">
      <c r="C61" s="178"/>
      <c r="D61" s="178"/>
      <c r="E61" s="178"/>
      <c r="F61" s="178"/>
      <c r="G61" s="181"/>
      <c r="H61" s="181"/>
      <c r="I61" s="178"/>
    </row>
    <row r="62" spans="3:9">
      <c r="C62" s="178"/>
      <c r="D62" s="178"/>
      <c r="E62" s="178"/>
      <c r="F62" s="178"/>
      <c r="G62" s="181"/>
      <c r="H62" s="181"/>
      <c r="I62" s="178"/>
    </row>
    <row r="63" spans="3:9">
      <c r="C63" s="178"/>
      <c r="D63" s="178"/>
      <c r="E63" s="178"/>
      <c r="F63" s="178"/>
      <c r="G63" s="181"/>
      <c r="H63" s="181"/>
      <c r="I63" s="178"/>
    </row>
    <row r="64" spans="3:9">
      <c r="C64" s="178"/>
      <c r="D64" s="178"/>
      <c r="E64" s="178"/>
      <c r="F64" s="178"/>
      <c r="G64" s="181"/>
      <c r="H64" s="181"/>
      <c r="I64" s="178"/>
    </row>
    <row r="65" spans="3:9">
      <c r="C65" s="178"/>
      <c r="D65" s="178"/>
      <c r="E65" s="178"/>
      <c r="F65" s="178"/>
      <c r="G65" s="181"/>
      <c r="H65" s="181"/>
      <c r="I65" s="178"/>
    </row>
    <row r="66" spans="3:9">
      <c r="C66" s="178"/>
      <c r="D66" s="178"/>
      <c r="E66" s="178"/>
      <c r="F66" s="178"/>
      <c r="G66" s="181"/>
      <c r="H66" s="181"/>
      <c r="I66" s="178"/>
    </row>
    <row r="67" spans="3:9">
      <c r="C67" s="178"/>
      <c r="D67" s="178"/>
      <c r="E67" s="178"/>
      <c r="F67" s="178"/>
      <c r="G67" s="181"/>
      <c r="H67" s="181"/>
      <c r="I67" s="178"/>
    </row>
    <row r="68" spans="3:9">
      <c r="C68" s="178"/>
      <c r="D68" s="178"/>
      <c r="E68" s="178"/>
      <c r="F68" s="178"/>
      <c r="G68" s="181"/>
      <c r="H68" s="181"/>
      <c r="I68" s="178"/>
    </row>
    <row r="69" spans="3:9">
      <c r="C69" s="178"/>
      <c r="D69" s="178"/>
      <c r="E69" s="178"/>
      <c r="F69" s="178"/>
      <c r="G69" s="181"/>
      <c r="H69" s="181"/>
      <c r="I69" s="178"/>
    </row>
    <row r="70" spans="3:9">
      <c r="C70" s="178"/>
      <c r="D70" s="178"/>
      <c r="E70" s="178"/>
      <c r="F70" s="178"/>
      <c r="G70" s="181"/>
      <c r="H70" s="181"/>
      <c r="I70" s="178"/>
    </row>
    <row r="71" spans="3:9">
      <c r="C71" s="178"/>
      <c r="D71" s="178"/>
      <c r="E71" s="178"/>
      <c r="F71" s="178"/>
      <c r="G71" s="181"/>
      <c r="H71" s="181"/>
      <c r="I71" s="178"/>
    </row>
    <row r="72" spans="3:9">
      <c r="C72" s="178"/>
      <c r="D72" s="178"/>
      <c r="E72" s="178"/>
      <c r="F72" s="178"/>
      <c r="G72" s="181"/>
      <c r="H72" s="181"/>
      <c r="I72" s="178"/>
    </row>
    <row r="73" spans="3:9">
      <c r="C73" s="178"/>
      <c r="D73" s="178"/>
      <c r="E73" s="178"/>
      <c r="F73" s="178"/>
      <c r="G73" s="181"/>
      <c r="H73" s="181"/>
      <c r="I73" s="178"/>
    </row>
    <row r="74" spans="3:9">
      <c r="C74" s="178"/>
      <c r="D74" s="178"/>
      <c r="E74" s="178"/>
      <c r="F74" s="178"/>
      <c r="G74" s="181"/>
      <c r="H74" s="181"/>
      <c r="I74" s="178"/>
    </row>
    <row r="75" spans="3:9">
      <c r="C75" s="178"/>
      <c r="D75" s="178"/>
      <c r="E75" s="178"/>
      <c r="F75" s="178"/>
      <c r="G75" s="181"/>
      <c r="H75" s="181"/>
      <c r="I75" s="178"/>
    </row>
    <row r="76" spans="3:9">
      <c r="C76" s="178"/>
      <c r="D76" s="178"/>
      <c r="E76" s="178"/>
      <c r="F76" s="178"/>
      <c r="G76" s="181"/>
      <c r="H76" s="181"/>
      <c r="I76" s="178"/>
    </row>
    <row r="77" spans="3:9">
      <c r="C77" s="178"/>
      <c r="D77" s="178"/>
      <c r="E77" s="178"/>
      <c r="F77" s="178"/>
      <c r="G77" s="181"/>
      <c r="H77" s="181"/>
      <c r="I77" s="178"/>
    </row>
    <row r="78" spans="3:9">
      <c r="C78" s="178"/>
      <c r="D78" s="178"/>
      <c r="E78" s="178"/>
      <c r="F78" s="178"/>
      <c r="G78" s="181"/>
      <c r="H78" s="181"/>
      <c r="I78" s="178"/>
    </row>
    <row r="79" spans="3:9">
      <c r="C79" s="178"/>
      <c r="D79" s="178"/>
      <c r="E79" s="178"/>
      <c r="F79" s="178"/>
      <c r="G79" s="181"/>
      <c r="H79" s="181"/>
      <c r="I79" s="178"/>
    </row>
    <row r="80" spans="3:9">
      <c r="C80" s="178"/>
      <c r="D80" s="178"/>
      <c r="E80" s="178"/>
      <c r="F80" s="178"/>
      <c r="G80" s="181"/>
      <c r="H80" s="181"/>
      <c r="I80" s="178"/>
    </row>
    <row r="81" spans="3:9">
      <c r="C81" s="178"/>
      <c r="D81" s="178"/>
      <c r="E81" s="178"/>
      <c r="F81" s="178"/>
      <c r="G81" s="181"/>
      <c r="H81" s="181"/>
      <c r="I81" s="178"/>
    </row>
    <row r="82" spans="3:9">
      <c r="C82" s="178"/>
      <c r="D82" s="178"/>
      <c r="E82" s="178"/>
      <c r="F82" s="178"/>
      <c r="G82" s="181"/>
      <c r="H82" s="181"/>
      <c r="I82" s="178"/>
    </row>
    <row r="83" spans="3:9">
      <c r="C83" s="178"/>
      <c r="D83" s="178"/>
      <c r="E83" s="178"/>
      <c r="F83" s="178"/>
      <c r="G83" s="181"/>
      <c r="H83" s="181"/>
      <c r="I83" s="178"/>
    </row>
    <row r="84" spans="3:9">
      <c r="C84" s="178"/>
      <c r="D84" s="178"/>
      <c r="E84" s="178"/>
      <c r="F84" s="178"/>
      <c r="G84" s="181"/>
      <c r="H84" s="181"/>
      <c r="I84" s="178"/>
    </row>
    <row r="85" spans="3:9">
      <c r="C85" s="178"/>
      <c r="D85" s="178"/>
      <c r="E85" s="178"/>
      <c r="F85" s="178"/>
      <c r="G85" s="181"/>
      <c r="H85" s="181"/>
      <c r="I85" s="178"/>
    </row>
    <row r="86" spans="3:9">
      <c r="C86" s="178"/>
      <c r="D86" s="178"/>
      <c r="E86" s="178"/>
      <c r="F86" s="178"/>
      <c r="G86" s="181"/>
      <c r="H86" s="181"/>
      <c r="I86" s="178"/>
    </row>
    <row r="87" spans="3:9">
      <c r="C87" s="178"/>
      <c r="D87" s="178"/>
      <c r="E87" s="178"/>
      <c r="F87" s="178"/>
      <c r="G87" s="181"/>
      <c r="H87" s="181"/>
      <c r="I87" s="178"/>
    </row>
    <row r="88" spans="3:9">
      <c r="C88" s="178"/>
      <c r="D88" s="178"/>
      <c r="E88" s="178"/>
      <c r="F88" s="178"/>
      <c r="G88" s="181"/>
      <c r="H88" s="181"/>
      <c r="I88" s="178"/>
    </row>
    <row r="89" spans="3:9">
      <c r="C89" s="178"/>
      <c r="D89" s="178"/>
      <c r="E89" s="178"/>
      <c r="F89" s="178"/>
      <c r="G89" s="181"/>
      <c r="H89" s="181"/>
      <c r="I89" s="178"/>
    </row>
    <row r="90" spans="3:9">
      <c r="C90" s="178"/>
      <c r="D90" s="178"/>
      <c r="E90" s="178"/>
      <c r="F90" s="178"/>
      <c r="G90" s="181"/>
      <c r="H90" s="181"/>
      <c r="I90" s="178"/>
    </row>
    <row r="91" spans="3:9">
      <c r="C91" s="178"/>
      <c r="D91" s="178"/>
      <c r="E91" s="178"/>
      <c r="F91" s="178"/>
      <c r="G91" s="181"/>
      <c r="H91" s="181"/>
      <c r="I91" s="178"/>
    </row>
    <row r="92" spans="3:9">
      <c r="C92" s="178"/>
      <c r="D92" s="178"/>
      <c r="E92" s="178"/>
      <c r="F92" s="178"/>
      <c r="G92" s="181"/>
      <c r="H92" s="181"/>
      <c r="I92" s="178"/>
    </row>
    <row r="93" spans="3:9">
      <c r="C93" s="178"/>
      <c r="D93" s="178"/>
      <c r="E93" s="178"/>
      <c r="F93" s="178"/>
      <c r="G93" s="181"/>
      <c r="H93" s="181"/>
      <c r="I93" s="178"/>
    </row>
    <row r="94" spans="3:9">
      <c r="C94" s="178"/>
      <c r="D94" s="178"/>
      <c r="E94" s="178"/>
      <c r="F94" s="178"/>
      <c r="G94" s="181"/>
      <c r="H94" s="181"/>
      <c r="I94" s="178"/>
    </row>
    <row r="95" spans="3:9">
      <c r="C95" s="178"/>
      <c r="D95" s="178"/>
      <c r="E95" s="178"/>
      <c r="F95" s="178"/>
      <c r="G95" s="181"/>
      <c r="H95" s="181"/>
      <c r="I95" s="178"/>
    </row>
    <row r="96" spans="3:9">
      <c r="C96" s="178"/>
      <c r="D96" s="178"/>
      <c r="E96" s="178"/>
      <c r="F96" s="178"/>
      <c r="G96" s="181"/>
      <c r="H96" s="181"/>
      <c r="I96" s="178"/>
    </row>
    <row r="97" spans="3:9">
      <c r="C97" s="178"/>
      <c r="D97" s="178"/>
      <c r="E97" s="178"/>
      <c r="F97" s="178"/>
      <c r="G97" s="181"/>
      <c r="H97" s="181"/>
      <c r="I97" s="178"/>
    </row>
    <row r="98" spans="3:9">
      <c r="C98" s="178"/>
      <c r="D98" s="178"/>
      <c r="E98" s="178"/>
      <c r="F98" s="178"/>
      <c r="G98" s="181"/>
      <c r="H98" s="181"/>
      <c r="I98" s="178"/>
    </row>
    <row r="99" spans="3:9">
      <c r="C99" s="178"/>
      <c r="D99" s="178"/>
      <c r="E99" s="178"/>
      <c r="F99" s="178"/>
      <c r="G99" s="181"/>
      <c r="H99" s="181"/>
      <c r="I99" s="178"/>
    </row>
    <row r="100" spans="3:9">
      <c r="C100" s="178"/>
      <c r="D100" s="178"/>
      <c r="E100" s="178"/>
      <c r="F100" s="178"/>
      <c r="G100" s="181"/>
      <c r="H100" s="181"/>
      <c r="I100" s="178"/>
    </row>
    <row r="101" spans="3:9">
      <c r="C101" s="178"/>
      <c r="D101" s="178"/>
      <c r="E101" s="178"/>
      <c r="F101" s="178"/>
      <c r="G101" s="181"/>
      <c r="H101" s="181"/>
      <c r="I101" s="178"/>
    </row>
    <row r="102" spans="3:9">
      <c r="C102" s="178"/>
      <c r="D102" s="178"/>
      <c r="E102" s="178"/>
      <c r="F102" s="178"/>
      <c r="G102" s="181"/>
      <c r="H102" s="181"/>
      <c r="I102" s="178"/>
    </row>
    <row r="103" spans="3:9">
      <c r="C103" s="178"/>
      <c r="D103" s="178"/>
      <c r="E103" s="178"/>
      <c r="F103" s="178"/>
      <c r="G103" s="181"/>
      <c r="H103" s="181"/>
      <c r="I103" s="178"/>
    </row>
    <row r="104" spans="3:9">
      <c r="C104" s="178"/>
      <c r="D104" s="178"/>
      <c r="E104" s="178"/>
      <c r="F104" s="178"/>
      <c r="G104" s="181"/>
      <c r="H104" s="181"/>
      <c r="I104" s="178"/>
    </row>
    <row r="105" spans="3:9">
      <c r="C105" s="178"/>
      <c r="D105" s="178"/>
      <c r="E105" s="178"/>
      <c r="F105" s="178"/>
      <c r="G105" s="181"/>
      <c r="H105" s="181"/>
      <c r="I105" s="178"/>
    </row>
    <row r="106" spans="3:9">
      <c r="C106" s="178"/>
      <c r="D106" s="178"/>
      <c r="E106" s="178"/>
      <c r="F106" s="178"/>
      <c r="G106" s="181"/>
      <c r="H106" s="181"/>
      <c r="I106" s="178"/>
    </row>
    <row r="107" spans="3:9">
      <c r="C107" s="178"/>
      <c r="D107" s="178"/>
      <c r="E107" s="178"/>
      <c r="F107" s="178"/>
      <c r="G107" s="181"/>
      <c r="H107" s="181"/>
      <c r="I107" s="178"/>
    </row>
    <row r="108" spans="3:9">
      <c r="C108" s="178"/>
      <c r="D108" s="178"/>
      <c r="E108" s="178"/>
      <c r="F108" s="178"/>
      <c r="G108" s="181"/>
      <c r="H108" s="181"/>
      <c r="I108" s="178"/>
    </row>
    <row r="109" spans="3:9">
      <c r="C109" s="178"/>
      <c r="D109" s="178"/>
      <c r="E109" s="178"/>
      <c r="F109" s="178"/>
      <c r="G109" s="181"/>
      <c r="H109" s="181"/>
      <c r="I109" s="178"/>
    </row>
    <row r="110" spans="3:9">
      <c r="C110" s="178"/>
      <c r="D110" s="178"/>
      <c r="E110" s="178"/>
      <c r="F110" s="178"/>
      <c r="G110" s="181"/>
      <c r="H110" s="181"/>
      <c r="I110" s="178"/>
    </row>
    <row r="111" spans="3:9">
      <c r="C111" s="178"/>
      <c r="D111" s="178"/>
      <c r="E111" s="178"/>
      <c r="F111" s="178"/>
      <c r="G111" s="181"/>
      <c r="H111" s="181"/>
      <c r="I111" s="178"/>
    </row>
    <row r="112" spans="3:9">
      <c r="C112" s="178"/>
      <c r="D112" s="178"/>
      <c r="E112" s="178"/>
      <c r="F112" s="178"/>
      <c r="G112" s="181"/>
      <c r="H112" s="181"/>
      <c r="I112" s="178"/>
    </row>
    <row r="113" spans="3:9">
      <c r="C113" s="178"/>
      <c r="D113" s="178"/>
      <c r="E113" s="178"/>
      <c r="F113" s="178"/>
      <c r="G113" s="181"/>
      <c r="H113" s="181"/>
      <c r="I113" s="178"/>
    </row>
    <row r="114" spans="3:9">
      <c r="C114" s="178"/>
      <c r="D114" s="178"/>
      <c r="E114" s="178"/>
      <c r="F114" s="178"/>
      <c r="G114" s="181"/>
      <c r="H114" s="181"/>
      <c r="I114" s="178"/>
    </row>
    <row r="115" spans="3:9">
      <c r="C115" s="178"/>
      <c r="D115" s="178"/>
      <c r="E115" s="178"/>
      <c r="F115" s="178"/>
      <c r="G115" s="181"/>
      <c r="H115" s="181"/>
      <c r="I115" s="178"/>
    </row>
    <row r="116" spans="3:9">
      <c r="C116" s="178"/>
      <c r="D116" s="178"/>
      <c r="E116" s="178"/>
      <c r="F116" s="178"/>
      <c r="G116" s="181"/>
      <c r="H116" s="181"/>
      <c r="I116" s="178"/>
    </row>
    <row r="117" spans="3:9">
      <c r="C117" s="178"/>
      <c r="D117" s="178"/>
      <c r="E117" s="178"/>
      <c r="F117" s="178"/>
      <c r="G117" s="181"/>
      <c r="H117" s="181"/>
      <c r="I117" s="178"/>
    </row>
    <row r="118" spans="3:9">
      <c r="C118" s="178"/>
      <c r="D118" s="178"/>
      <c r="E118" s="178"/>
      <c r="F118" s="178"/>
      <c r="G118" s="181"/>
      <c r="H118" s="181"/>
      <c r="I118" s="178"/>
    </row>
    <row r="119" spans="3:9">
      <c r="C119" s="178"/>
      <c r="D119" s="178"/>
      <c r="E119" s="178"/>
      <c r="F119" s="178"/>
      <c r="G119" s="181"/>
      <c r="H119" s="181"/>
      <c r="I119" s="178"/>
    </row>
    <row r="120" spans="3:9">
      <c r="C120" s="178"/>
      <c r="D120" s="178"/>
      <c r="E120" s="178"/>
      <c r="F120" s="178"/>
      <c r="G120" s="181"/>
      <c r="H120" s="181"/>
      <c r="I120" s="178"/>
    </row>
    <row r="121" spans="3:9">
      <c r="C121" s="178"/>
      <c r="D121" s="178"/>
      <c r="E121" s="178"/>
      <c r="F121" s="178"/>
      <c r="G121" s="181"/>
      <c r="H121" s="181"/>
      <c r="I121" s="178"/>
    </row>
    <row r="122" spans="3:9">
      <c r="C122" s="178"/>
      <c r="D122" s="178"/>
      <c r="E122" s="178"/>
      <c r="F122" s="178"/>
      <c r="G122" s="181"/>
      <c r="H122" s="181"/>
      <c r="I122" s="178"/>
    </row>
    <row r="123" spans="3:9">
      <c r="C123" s="178"/>
      <c r="D123" s="178"/>
      <c r="E123" s="178"/>
      <c r="F123" s="178"/>
      <c r="G123" s="181"/>
      <c r="H123" s="181"/>
      <c r="I123" s="178"/>
    </row>
    <row r="124" spans="3:9">
      <c r="C124" s="178"/>
      <c r="D124" s="178"/>
      <c r="E124" s="178"/>
      <c r="F124" s="178"/>
      <c r="G124" s="181"/>
      <c r="H124" s="181"/>
      <c r="I124" s="178"/>
    </row>
    <row r="125" spans="3:9">
      <c r="C125" s="178"/>
      <c r="D125" s="178"/>
      <c r="E125" s="178"/>
      <c r="F125" s="178"/>
      <c r="G125" s="181"/>
      <c r="H125" s="181"/>
      <c r="I125" s="178"/>
    </row>
    <row r="126" spans="3:9">
      <c r="C126" s="178"/>
      <c r="D126" s="178"/>
      <c r="E126" s="178"/>
      <c r="F126" s="178"/>
      <c r="G126" s="181"/>
      <c r="H126" s="181"/>
      <c r="I126" s="178"/>
    </row>
    <row r="127" spans="3:9">
      <c r="C127" s="178"/>
      <c r="D127" s="178"/>
      <c r="E127" s="178"/>
      <c r="F127" s="178"/>
      <c r="G127" s="181"/>
      <c r="H127" s="181"/>
      <c r="I127" s="178"/>
    </row>
    <row r="128" spans="3:9">
      <c r="C128" s="178"/>
      <c r="D128" s="178"/>
      <c r="E128" s="178"/>
      <c r="F128" s="178"/>
      <c r="G128" s="181"/>
      <c r="H128" s="181"/>
      <c r="I128" s="178"/>
    </row>
    <row r="129" spans="3:9">
      <c r="C129" s="178"/>
      <c r="D129" s="178"/>
      <c r="E129" s="178"/>
      <c r="F129" s="178"/>
      <c r="G129" s="181"/>
      <c r="H129" s="181"/>
      <c r="I129" s="178"/>
    </row>
    <row r="130" spans="3:9">
      <c r="C130" s="178"/>
      <c r="D130" s="178"/>
      <c r="E130" s="178"/>
      <c r="F130" s="178"/>
      <c r="G130" s="181"/>
      <c r="H130" s="181"/>
      <c r="I130" s="178"/>
    </row>
    <row r="131" spans="3:9">
      <c r="C131" s="178"/>
      <c r="D131" s="178"/>
      <c r="E131" s="178"/>
      <c r="F131" s="178"/>
      <c r="G131" s="181"/>
      <c r="H131" s="181"/>
      <c r="I131" s="178"/>
    </row>
    <row r="132" spans="3:9">
      <c r="C132" s="178"/>
      <c r="D132" s="178"/>
      <c r="E132" s="178"/>
      <c r="F132" s="178"/>
      <c r="G132" s="181"/>
      <c r="H132" s="181"/>
      <c r="I132" s="178"/>
    </row>
    <row r="133" spans="3:9">
      <c r="C133" s="178"/>
      <c r="D133" s="178"/>
      <c r="E133" s="178"/>
      <c r="F133" s="178"/>
      <c r="G133" s="181"/>
      <c r="H133" s="181"/>
      <c r="I133" s="178"/>
    </row>
    <row r="134" spans="3:9">
      <c r="C134" s="178"/>
      <c r="D134" s="178"/>
      <c r="E134" s="178"/>
      <c r="F134" s="178"/>
      <c r="G134" s="181"/>
      <c r="H134" s="181"/>
      <c r="I134" s="178"/>
    </row>
    <row r="135" spans="3:9">
      <c r="C135" s="178"/>
      <c r="D135" s="178"/>
      <c r="E135" s="178"/>
      <c r="F135" s="178"/>
      <c r="G135" s="181"/>
      <c r="H135" s="181"/>
      <c r="I135" s="178"/>
    </row>
    <row r="136" spans="3:9">
      <c r="C136" s="178"/>
      <c r="D136" s="178"/>
      <c r="E136" s="178"/>
      <c r="F136" s="178"/>
      <c r="G136" s="181"/>
      <c r="H136" s="181"/>
      <c r="I136" s="178"/>
    </row>
    <row r="137" spans="3:9">
      <c r="C137" s="178"/>
      <c r="D137" s="178"/>
      <c r="E137" s="178"/>
      <c r="F137" s="178"/>
      <c r="G137" s="181"/>
      <c r="H137" s="181"/>
      <c r="I137" s="178"/>
    </row>
    <row r="138" spans="3:9">
      <c r="C138" s="178"/>
      <c r="D138" s="178"/>
      <c r="E138" s="178"/>
      <c r="F138" s="178"/>
      <c r="G138" s="181"/>
      <c r="H138" s="181"/>
      <c r="I138" s="178"/>
    </row>
    <row r="139" spans="3:9">
      <c r="C139" s="178"/>
      <c r="D139" s="178"/>
      <c r="E139" s="178"/>
      <c r="F139" s="178"/>
      <c r="G139" s="181"/>
      <c r="H139" s="181"/>
      <c r="I139" s="178"/>
    </row>
    <row r="140" spans="3:9">
      <c r="C140" s="178"/>
      <c r="D140" s="178"/>
      <c r="E140" s="178"/>
      <c r="F140" s="178"/>
      <c r="G140" s="181"/>
      <c r="H140" s="181"/>
      <c r="I140" s="178"/>
    </row>
    <row r="141" spans="3:9">
      <c r="C141" s="178"/>
      <c r="D141" s="178"/>
      <c r="E141" s="178"/>
      <c r="F141" s="178"/>
      <c r="G141" s="181"/>
      <c r="H141" s="181"/>
      <c r="I141" s="178"/>
    </row>
    <row r="142" spans="3:9">
      <c r="C142" s="178"/>
      <c r="D142" s="178"/>
      <c r="E142" s="178"/>
      <c r="F142" s="178"/>
      <c r="G142" s="181"/>
      <c r="H142" s="181"/>
      <c r="I142" s="178"/>
    </row>
    <row r="143" spans="3:9">
      <c r="C143" s="178"/>
      <c r="D143" s="178"/>
      <c r="E143" s="178"/>
      <c r="F143" s="178"/>
      <c r="G143" s="181"/>
      <c r="H143" s="181"/>
      <c r="I143" s="178"/>
    </row>
    <row r="144" spans="3:9">
      <c r="C144" s="178"/>
      <c r="D144" s="178"/>
      <c r="E144" s="178"/>
      <c r="F144" s="178"/>
      <c r="G144" s="181"/>
      <c r="H144" s="181"/>
      <c r="I144" s="178"/>
    </row>
    <row r="145" spans="3:9">
      <c r="C145" s="178"/>
      <c r="D145" s="178"/>
      <c r="E145" s="178"/>
      <c r="F145" s="178"/>
      <c r="G145" s="181"/>
      <c r="H145" s="181"/>
      <c r="I145" s="178"/>
    </row>
    <row r="146" spans="3:9">
      <c r="C146" s="178"/>
      <c r="D146" s="178"/>
      <c r="E146" s="178"/>
      <c r="F146" s="178"/>
      <c r="G146" s="181"/>
      <c r="H146" s="181"/>
      <c r="I146" s="178"/>
    </row>
    <row r="147" spans="3:9">
      <c r="C147" s="178"/>
      <c r="D147" s="178"/>
      <c r="E147" s="178"/>
      <c r="F147" s="178"/>
      <c r="G147" s="181"/>
      <c r="H147" s="181"/>
      <c r="I147" s="178"/>
    </row>
    <row r="148" spans="3:9">
      <c r="C148" s="178"/>
      <c r="D148" s="178"/>
      <c r="E148" s="178"/>
      <c r="F148" s="178"/>
      <c r="G148" s="181"/>
      <c r="H148" s="181"/>
      <c r="I148" s="178"/>
    </row>
    <row r="149" spans="3:9">
      <c r="C149" s="178"/>
      <c r="D149" s="178"/>
      <c r="E149" s="178"/>
      <c r="F149" s="178"/>
      <c r="G149" s="181"/>
      <c r="H149" s="181"/>
      <c r="I149" s="178"/>
    </row>
    <row r="150" spans="3:9">
      <c r="C150" s="178"/>
      <c r="D150" s="178"/>
      <c r="E150" s="178"/>
      <c r="F150" s="178"/>
      <c r="G150" s="181"/>
      <c r="H150" s="181"/>
      <c r="I150" s="178"/>
    </row>
    <row r="151" spans="3:9">
      <c r="C151" s="178"/>
      <c r="D151" s="178"/>
      <c r="E151" s="178"/>
      <c r="F151" s="178"/>
      <c r="G151" s="181"/>
      <c r="H151" s="181"/>
      <c r="I151" s="178"/>
    </row>
    <row r="152" spans="3:9">
      <c r="C152" s="178"/>
      <c r="D152" s="178"/>
      <c r="E152" s="178"/>
      <c r="F152" s="178"/>
      <c r="G152" s="181"/>
      <c r="H152" s="181"/>
      <c r="I152" s="178"/>
    </row>
    <row r="153" spans="3:9">
      <c r="C153" s="178"/>
      <c r="D153" s="178"/>
      <c r="E153" s="178"/>
      <c r="F153" s="178"/>
      <c r="G153" s="181"/>
      <c r="H153" s="181"/>
      <c r="I153" s="178"/>
    </row>
    <row r="154" spans="3:9">
      <c r="C154" s="178"/>
      <c r="D154" s="178"/>
      <c r="E154" s="178"/>
      <c r="F154" s="178"/>
      <c r="G154" s="181"/>
      <c r="H154" s="181"/>
      <c r="I154" s="178"/>
    </row>
    <row r="155" spans="3:9">
      <c r="C155" s="178"/>
      <c r="D155" s="178"/>
      <c r="E155" s="178"/>
      <c r="F155" s="178"/>
      <c r="G155" s="181"/>
      <c r="H155" s="181"/>
      <c r="I155" s="178"/>
    </row>
    <row r="156" spans="3:9">
      <c r="C156" s="178"/>
      <c r="D156" s="178"/>
      <c r="E156" s="178"/>
      <c r="F156" s="178"/>
      <c r="G156" s="181"/>
      <c r="H156" s="181"/>
      <c r="I156" s="178"/>
    </row>
    <row r="157" spans="3:9">
      <c r="C157" s="178"/>
      <c r="D157" s="178"/>
      <c r="E157" s="178"/>
      <c r="F157" s="178"/>
      <c r="G157" s="181"/>
      <c r="H157" s="181"/>
      <c r="I157" s="178"/>
    </row>
    <row r="158" spans="3:9">
      <c r="C158" s="178"/>
      <c r="D158" s="178"/>
      <c r="E158" s="178"/>
      <c r="F158" s="178"/>
      <c r="G158" s="181"/>
      <c r="H158" s="181"/>
      <c r="I158" s="178"/>
    </row>
    <row r="159" spans="3:9">
      <c r="C159" s="178"/>
      <c r="D159" s="178"/>
      <c r="E159" s="178"/>
      <c r="F159" s="178"/>
      <c r="G159" s="181"/>
      <c r="H159" s="181"/>
      <c r="I159" s="178"/>
    </row>
    <row r="160" spans="3:9">
      <c r="C160" s="178"/>
      <c r="D160" s="178"/>
      <c r="E160" s="178"/>
      <c r="F160" s="178"/>
      <c r="G160" s="181"/>
      <c r="H160" s="181"/>
      <c r="I160" s="178"/>
    </row>
    <row r="161" spans="3:9">
      <c r="C161" s="178"/>
      <c r="D161" s="178"/>
      <c r="E161" s="178"/>
      <c r="F161" s="178"/>
      <c r="G161" s="181"/>
      <c r="H161" s="181"/>
      <c r="I161" s="178"/>
    </row>
    <row r="162" spans="3:9">
      <c r="C162" s="178"/>
      <c r="D162" s="178"/>
      <c r="E162" s="178"/>
      <c r="F162" s="178"/>
      <c r="G162" s="181"/>
      <c r="H162" s="181"/>
      <c r="I162" s="178"/>
    </row>
    <row r="163" spans="3:9">
      <c r="C163" s="178"/>
      <c r="D163" s="178"/>
      <c r="E163" s="178"/>
      <c r="F163" s="178"/>
      <c r="G163" s="181"/>
      <c r="H163" s="181"/>
      <c r="I163" s="178"/>
    </row>
    <row r="164" spans="3:9">
      <c r="C164" s="178"/>
      <c r="D164" s="178"/>
      <c r="E164" s="178"/>
      <c r="F164" s="178"/>
      <c r="G164" s="181"/>
      <c r="H164" s="181"/>
      <c r="I164" s="178"/>
    </row>
    <row r="165" spans="3:9">
      <c r="C165" s="178"/>
      <c r="D165" s="178"/>
      <c r="E165" s="178"/>
      <c r="F165" s="178"/>
      <c r="G165" s="181"/>
      <c r="H165" s="181"/>
      <c r="I165" s="178"/>
    </row>
    <row r="166" spans="3:9">
      <c r="C166" s="178"/>
      <c r="D166" s="178"/>
      <c r="E166" s="178"/>
      <c r="F166" s="178"/>
      <c r="G166" s="181"/>
      <c r="H166" s="181"/>
      <c r="I166" s="178"/>
    </row>
    <row r="167" spans="3:9">
      <c r="C167" s="178"/>
      <c r="D167" s="178"/>
      <c r="E167" s="178"/>
      <c r="F167" s="178"/>
      <c r="G167" s="181"/>
      <c r="H167" s="181"/>
      <c r="I167" s="178"/>
    </row>
    <row r="168" spans="3:9">
      <c r="C168" s="178"/>
      <c r="D168" s="178"/>
      <c r="E168" s="178"/>
      <c r="F168" s="178"/>
      <c r="G168" s="181"/>
      <c r="H168" s="181"/>
      <c r="I168" s="178"/>
    </row>
    <row r="169" spans="3:9">
      <c r="C169" s="178"/>
      <c r="D169" s="178"/>
      <c r="E169" s="178"/>
      <c r="F169" s="178"/>
      <c r="G169" s="181"/>
      <c r="H169" s="181"/>
      <c r="I169" s="178"/>
    </row>
    <row r="170" spans="3:9">
      <c r="C170" s="178"/>
      <c r="D170" s="178"/>
      <c r="E170" s="178"/>
      <c r="F170" s="178"/>
      <c r="G170" s="181"/>
      <c r="H170" s="181"/>
      <c r="I170" s="178"/>
    </row>
    <row r="171" spans="3:9">
      <c r="C171" s="178"/>
      <c r="D171" s="178"/>
      <c r="E171" s="178"/>
      <c r="F171" s="178"/>
      <c r="G171" s="181"/>
      <c r="H171" s="181"/>
      <c r="I171" s="178"/>
    </row>
    <row r="172" spans="3:9">
      <c r="C172" s="178"/>
      <c r="D172" s="178"/>
      <c r="E172" s="178"/>
      <c r="F172" s="178"/>
      <c r="G172" s="181"/>
      <c r="H172" s="181"/>
      <c r="I172" s="178"/>
    </row>
    <row r="173" spans="3:9">
      <c r="C173" s="178"/>
      <c r="D173" s="178"/>
      <c r="E173" s="178"/>
      <c r="F173" s="178"/>
      <c r="G173" s="181"/>
      <c r="H173" s="181"/>
      <c r="I173" s="178"/>
    </row>
    <row r="174" spans="3:9">
      <c r="C174" s="178"/>
      <c r="D174" s="178"/>
      <c r="E174" s="178"/>
      <c r="F174" s="178"/>
      <c r="G174" s="181"/>
      <c r="H174" s="181"/>
      <c r="I174" s="178"/>
    </row>
    <row r="175" spans="3:9">
      <c r="C175" s="178"/>
      <c r="D175" s="178"/>
      <c r="E175" s="178"/>
      <c r="F175" s="178"/>
      <c r="G175" s="181"/>
      <c r="H175" s="181"/>
      <c r="I175" s="178"/>
    </row>
    <row r="176" spans="3:9">
      <c r="C176" s="178"/>
      <c r="D176" s="178"/>
      <c r="E176" s="178"/>
      <c r="F176" s="178"/>
      <c r="G176" s="181"/>
      <c r="H176" s="181"/>
      <c r="I176" s="178"/>
    </row>
    <row r="177" spans="3:9">
      <c r="C177" s="178"/>
      <c r="D177" s="178"/>
      <c r="E177" s="178"/>
      <c r="F177" s="178"/>
      <c r="G177" s="181"/>
      <c r="H177" s="181"/>
      <c r="I177" s="178"/>
    </row>
    <row r="178" spans="3:9">
      <c r="C178" s="178"/>
      <c r="D178" s="178"/>
      <c r="E178" s="178"/>
      <c r="F178" s="178"/>
      <c r="G178" s="181"/>
      <c r="H178" s="181"/>
      <c r="I178" s="178"/>
    </row>
    <row r="179" spans="3:9">
      <c r="C179" s="178"/>
      <c r="D179" s="178"/>
      <c r="E179" s="178"/>
      <c r="F179" s="178"/>
      <c r="G179" s="181"/>
      <c r="H179" s="181"/>
      <c r="I179" s="178"/>
    </row>
    <row r="180" spans="3:9">
      <c r="C180" s="178"/>
      <c r="D180" s="178"/>
      <c r="E180" s="178"/>
      <c r="F180" s="178"/>
      <c r="G180" s="181"/>
      <c r="H180" s="181"/>
      <c r="I180" s="178"/>
    </row>
    <row r="181" spans="3:9">
      <c r="C181" s="178"/>
      <c r="D181" s="178"/>
      <c r="E181" s="178"/>
      <c r="F181" s="178"/>
      <c r="G181" s="181"/>
      <c r="H181" s="181"/>
      <c r="I181" s="178"/>
    </row>
    <row r="182" spans="3:9">
      <c r="C182" s="178"/>
      <c r="D182" s="178"/>
      <c r="E182" s="178"/>
      <c r="F182" s="178"/>
      <c r="G182" s="181"/>
      <c r="H182" s="181"/>
      <c r="I182" s="178"/>
    </row>
    <row r="183" spans="3:9">
      <c r="C183" s="178"/>
      <c r="D183" s="178"/>
      <c r="E183" s="178"/>
      <c r="F183" s="178"/>
      <c r="G183" s="181"/>
      <c r="H183" s="181"/>
      <c r="I183" s="178"/>
    </row>
    <row r="184" spans="3:9">
      <c r="C184" s="178"/>
      <c r="D184" s="178"/>
      <c r="E184" s="178"/>
      <c r="F184" s="178"/>
      <c r="G184" s="181"/>
      <c r="H184" s="181"/>
      <c r="I184" s="178"/>
    </row>
    <row r="185" spans="3:9">
      <c r="C185" s="178"/>
      <c r="D185" s="178"/>
      <c r="E185" s="178"/>
      <c r="F185" s="178"/>
      <c r="G185" s="181"/>
      <c r="H185" s="181"/>
      <c r="I185" s="178"/>
    </row>
    <row r="186" spans="3:9">
      <c r="C186" s="178"/>
      <c r="D186" s="178"/>
      <c r="E186" s="178"/>
      <c r="F186" s="178"/>
      <c r="G186" s="181"/>
      <c r="H186" s="181"/>
      <c r="I186" s="178"/>
    </row>
    <row r="187" spans="3:9">
      <c r="C187" s="178"/>
      <c r="D187" s="178"/>
      <c r="E187" s="178"/>
      <c r="F187" s="178"/>
      <c r="G187" s="181"/>
      <c r="H187" s="181"/>
      <c r="I187" s="178"/>
    </row>
    <row r="188" spans="3:9">
      <c r="C188" s="178"/>
      <c r="D188" s="178"/>
      <c r="E188" s="178"/>
      <c r="F188" s="178"/>
      <c r="G188" s="181"/>
      <c r="H188" s="181"/>
      <c r="I188" s="178"/>
    </row>
    <row r="189" spans="3:9">
      <c r="C189" s="178"/>
      <c r="D189" s="178"/>
      <c r="E189" s="178"/>
      <c r="F189" s="178"/>
      <c r="G189" s="181"/>
      <c r="H189" s="181"/>
      <c r="I189" s="178"/>
    </row>
    <row r="190" spans="3:9">
      <c r="C190" s="178"/>
      <c r="D190" s="178"/>
      <c r="E190" s="178"/>
      <c r="F190" s="178"/>
      <c r="G190" s="181"/>
      <c r="H190" s="181"/>
      <c r="I190" s="178"/>
    </row>
    <row r="191" spans="3:9">
      <c r="C191" s="178"/>
      <c r="D191" s="178"/>
      <c r="E191" s="178"/>
      <c r="F191" s="178"/>
      <c r="G191" s="181"/>
      <c r="H191" s="181"/>
      <c r="I191" s="178"/>
    </row>
    <row r="192" spans="3:9">
      <c r="C192" s="178"/>
      <c r="D192" s="178"/>
      <c r="E192" s="178"/>
      <c r="F192" s="178"/>
      <c r="G192" s="181"/>
      <c r="H192" s="181"/>
      <c r="I192" s="178"/>
    </row>
    <row r="193" spans="3:9">
      <c r="C193" s="178"/>
      <c r="D193" s="178"/>
      <c r="E193" s="178"/>
      <c r="F193" s="178"/>
      <c r="G193" s="181"/>
      <c r="H193" s="181"/>
      <c r="I193" s="178"/>
    </row>
    <row r="194" spans="3:9">
      <c r="C194" s="178"/>
      <c r="D194" s="178"/>
      <c r="E194" s="178"/>
      <c r="F194" s="178"/>
      <c r="G194" s="181"/>
      <c r="H194" s="181"/>
      <c r="I194" s="178"/>
    </row>
    <row r="195" spans="3:9">
      <c r="C195" s="178"/>
      <c r="D195" s="178"/>
      <c r="E195" s="178"/>
      <c r="F195" s="178"/>
      <c r="G195" s="181"/>
      <c r="H195" s="181"/>
      <c r="I195" s="178"/>
    </row>
    <row r="196" spans="3:9">
      <c r="C196" s="178"/>
      <c r="D196" s="178"/>
      <c r="E196" s="178"/>
      <c r="F196" s="178"/>
      <c r="G196" s="181"/>
      <c r="H196" s="181"/>
      <c r="I196" s="178"/>
    </row>
    <row r="197" spans="3:9">
      <c r="C197" s="178"/>
      <c r="D197" s="178"/>
      <c r="E197" s="178"/>
      <c r="F197" s="178"/>
      <c r="G197" s="181"/>
      <c r="H197" s="181"/>
      <c r="I197" s="178"/>
    </row>
    <row r="198" spans="3:9">
      <c r="C198" s="178"/>
      <c r="D198" s="178"/>
      <c r="E198" s="178"/>
      <c r="F198" s="178"/>
      <c r="G198" s="181"/>
      <c r="H198" s="181"/>
      <c r="I198" s="178"/>
    </row>
    <row r="199" spans="3:9">
      <c r="C199" s="178"/>
      <c r="D199" s="178"/>
      <c r="E199" s="178"/>
      <c r="F199" s="178"/>
      <c r="G199" s="181"/>
      <c r="H199" s="181"/>
      <c r="I199" s="178"/>
    </row>
    <row r="200" spans="3:9">
      <c r="C200" s="178"/>
      <c r="D200" s="178"/>
      <c r="E200" s="178"/>
      <c r="F200" s="178"/>
      <c r="G200" s="181"/>
      <c r="H200" s="181"/>
      <c r="I200" s="178"/>
    </row>
    <row r="201" spans="3:9">
      <c r="C201" s="178"/>
      <c r="D201" s="178"/>
      <c r="E201" s="178"/>
      <c r="F201" s="178"/>
      <c r="G201" s="181"/>
      <c r="H201" s="181"/>
      <c r="I201" s="178"/>
    </row>
    <row r="202" spans="3:9">
      <c r="C202" s="178"/>
      <c r="D202" s="178"/>
      <c r="E202" s="178"/>
      <c r="F202" s="178"/>
      <c r="G202" s="181"/>
      <c r="H202" s="181"/>
      <c r="I202" s="178"/>
    </row>
    <row r="203" spans="3:9">
      <c r="C203" s="178"/>
      <c r="D203" s="178"/>
      <c r="E203" s="178"/>
      <c r="F203" s="178"/>
      <c r="G203" s="181"/>
      <c r="H203" s="181"/>
      <c r="I203" s="178"/>
    </row>
    <row r="204" spans="3:9">
      <c r="C204" s="178"/>
      <c r="D204" s="178"/>
      <c r="E204" s="178"/>
      <c r="F204" s="178"/>
      <c r="G204" s="181"/>
      <c r="H204" s="181"/>
      <c r="I204" s="178"/>
    </row>
    <row r="205" spans="3:9">
      <c r="C205" s="178"/>
      <c r="D205" s="178"/>
      <c r="E205" s="178"/>
      <c r="F205" s="178"/>
      <c r="G205" s="181"/>
      <c r="H205" s="181"/>
      <c r="I205" s="178"/>
    </row>
    <row r="206" spans="3:9">
      <c r="C206" s="178"/>
      <c r="D206" s="178"/>
      <c r="E206" s="178"/>
      <c r="F206" s="178"/>
      <c r="G206" s="181"/>
      <c r="H206" s="181"/>
      <c r="I206" s="178"/>
    </row>
    <row r="207" spans="3:9">
      <c r="C207" s="178"/>
      <c r="D207" s="178"/>
      <c r="E207" s="178"/>
      <c r="F207" s="178"/>
      <c r="G207" s="181"/>
      <c r="H207" s="181"/>
      <c r="I207" s="178"/>
    </row>
    <row r="208" spans="3:9">
      <c r="C208" s="178"/>
      <c r="D208" s="178"/>
      <c r="E208" s="178"/>
      <c r="F208" s="178"/>
      <c r="G208" s="181"/>
      <c r="H208" s="181"/>
      <c r="I208" s="178"/>
    </row>
    <row r="209" spans="3:9">
      <c r="C209" s="178"/>
      <c r="D209" s="178"/>
      <c r="E209" s="178"/>
      <c r="F209" s="178"/>
      <c r="G209" s="181"/>
      <c r="H209" s="181"/>
      <c r="I209" s="178"/>
    </row>
    <row r="210" spans="3:9">
      <c r="C210" s="178"/>
      <c r="D210" s="178"/>
      <c r="E210" s="178"/>
      <c r="F210" s="178"/>
      <c r="G210" s="181"/>
      <c r="H210" s="181"/>
      <c r="I210" s="178"/>
    </row>
    <row r="211" spans="3:9">
      <c r="C211" s="178"/>
      <c r="D211" s="178"/>
      <c r="E211" s="178"/>
      <c r="F211" s="178"/>
      <c r="G211" s="181"/>
      <c r="H211" s="181"/>
      <c r="I211" s="178"/>
    </row>
    <row r="212" spans="3:9">
      <c r="C212" s="178"/>
      <c r="D212" s="178"/>
      <c r="E212" s="178"/>
      <c r="F212" s="178"/>
      <c r="G212" s="181"/>
      <c r="H212" s="181"/>
      <c r="I212" s="178"/>
    </row>
    <row r="213" spans="3:9">
      <c r="C213" s="178"/>
      <c r="D213" s="178"/>
      <c r="E213" s="178"/>
      <c r="F213" s="178"/>
      <c r="G213" s="181"/>
      <c r="H213" s="181"/>
      <c r="I213" s="178"/>
    </row>
    <row r="214" spans="3:9">
      <c r="C214" s="178"/>
      <c r="D214" s="178"/>
      <c r="E214" s="178"/>
      <c r="F214" s="178"/>
      <c r="G214" s="181"/>
      <c r="H214" s="181"/>
      <c r="I214" s="178"/>
    </row>
    <row r="215" spans="3:9">
      <c r="C215" s="178"/>
      <c r="D215" s="178"/>
      <c r="E215" s="178"/>
      <c r="F215" s="178"/>
      <c r="G215" s="181"/>
      <c r="H215" s="181"/>
      <c r="I215" s="178"/>
    </row>
    <row r="216" spans="3:9">
      <c r="C216" s="178"/>
      <c r="D216" s="178"/>
      <c r="E216" s="178"/>
      <c r="F216" s="178"/>
      <c r="G216" s="181"/>
      <c r="H216" s="181"/>
      <c r="I216" s="178"/>
    </row>
    <row r="217" spans="3:9">
      <c r="C217" s="178"/>
      <c r="D217" s="178"/>
      <c r="E217" s="178"/>
      <c r="F217" s="178"/>
      <c r="G217" s="181"/>
      <c r="H217" s="181"/>
      <c r="I217" s="178"/>
    </row>
    <row r="218" spans="3:9">
      <c r="C218" s="178"/>
      <c r="D218" s="178"/>
      <c r="E218" s="178"/>
      <c r="F218" s="178"/>
      <c r="G218" s="181"/>
      <c r="H218" s="181"/>
      <c r="I218" s="178"/>
    </row>
    <row r="219" spans="3:9">
      <c r="C219" s="178"/>
      <c r="D219" s="178"/>
      <c r="E219" s="178"/>
      <c r="F219" s="178"/>
      <c r="G219" s="181"/>
      <c r="H219" s="181"/>
      <c r="I219" s="178"/>
    </row>
    <row r="220" spans="3:9">
      <c r="C220" s="178"/>
      <c r="D220" s="178"/>
      <c r="E220" s="178"/>
      <c r="F220" s="178"/>
      <c r="G220" s="181"/>
      <c r="H220" s="181"/>
      <c r="I220" s="178"/>
    </row>
    <row r="221" spans="3:9">
      <c r="C221" s="178"/>
      <c r="D221" s="178"/>
      <c r="E221" s="178"/>
      <c r="F221" s="178"/>
      <c r="G221" s="181"/>
      <c r="H221" s="181"/>
      <c r="I221" s="178"/>
    </row>
    <row r="222" spans="3:9">
      <c r="C222" s="178"/>
      <c r="D222" s="178"/>
      <c r="E222" s="178"/>
      <c r="F222" s="178"/>
      <c r="G222" s="181"/>
      <c r="H222" s="181"/>
      <c r="I222" s="178"/>
    </row>
    <row r="223" spans="3:9">
      <c r="C223" s="178"/>
      <c r="D223" s="178"/>
      <c r="E223" s="178"/>
      <c r="F223" s="178"/>
      <c r="G223" s="181"/>
      <c r="H223" s="181"/>
      <c r="I223" s="178"/>
    </row>
    <row r="224" spans="3:9">
      <c r="C224" s="178"/>
      <c r="D224" s="178"/>
      <c r="E224" s="178"/>
      <c r="F224" s="178"/>
      <c r="G224" s="181"/>
      <c r="H224" s="181"/>
      <c r="I224" s="178"/>
    </row>
    <row r="225" spans="3:9">
      <c r="C225" s="178"/>
      <c r="D225" s="178"/>
      <c r="E225" s="178"/>
      <c r="F225" s="178"/>
      <c r="G225" s="181"/>
      <c r="H225" s="181"/>
      <c r="I225" s="178"/>
    </row>
    <row r="226" spans="3:9">
      <c r="C226" s="178"/>
      <c r="D226" s="178"/>
      <c r="E226" s="178"/>
      <c r="F226" s="178"/>
      <c r="G226" s="181"/>
      <c r="H226" s="181"/>
      <c r="I226" s="178"/>
    </row>
    <row r="227" spans="3:9">
      <c r="C227" s="178"/>
      <c r="D227" s="178"/>
      <c r="E227" s="178"/>
      <c r="F227" s="178"/>
      <c r="G227" s="181"/>
      <c r="H227" s="181"/>
      <c r="I227" s="178"/>
    </row>
    <row r="228" spans="3:9">
      <c r="C228" s="178"/>
      <c r="D228" s="178"/>
      <c r="E228" s="178"/>
      <c r="F228" s="178"/>
      <c r="G228" s="181"/>
      <c r="H228" s="181"/>
      <c r="I228" s="178"/>
    </row>
    <row r="229" spans="3:9">
      <c r="C229" s="178"/>
      <c r="D229" s="178"/>
      <c r="E229" s="178"/>
      <c r="F229" s="178"/>
      <c r="G229" s="181"/>
      <c r="H229" s="181"/>
      <c r="I229" s="178"/>
    </row>
    <row r="230" spans="3:9">
      <c r="C230" s="178"/>
      <c r="D230" s="178"/>
      <c r="E230" s="178"/>
      <c r="F230" s="178"/>
      <c r="G230" s="181"/>
      <c r="H230" s="181"/>
      <c r="I230" s="178"/>
    </row>
    <row r="231" spans="3:9">
      <c r="C231" s="178"/>
      <c r="D231" s="178"/>
      <c r="E231" s="178"/>
      <c r="F231" s="178"/>
      <c r="G231" s="181"/>
      <c r="H231" s="181"/>
      <c r="I231" s="178"/>
    </row>
    <row r="232" spans="3:9">
      <c r="C232" s="178"/>
      <c r="D232" s="178"/>
      <c r="E232" s="178"/>
      <c r="F232" s="178"/>
      <c r="G232" s="181"/>
      <c r="H232" s="181"/>
      <c r="I232" s="178"/>
    </row>
    <row r="233" spans="3:9">
      <c r="C233" s="178"/>
      <c r="D233" s="178"/>
      <c r="E233" s="178"/>
      <c r="F233" s="178"/>
      <c r="G233" s="181"/>
      <c r="H233" s="181"/>
      <c r="I233" s="178"/>
    </row>
    <row r="234" spans="3:9">
      <c r="C234" s="178"/>
      <c r="D234" s="178"/>
      <c r="E234" s="178"/>
      <c r="F234" s="178"/>
      <c r="G234" s="181"/>
      <c r="H234" s="181"/>
      <c r="I234" s="178"/>
    </row>
    <row r="235" spans="3:9">
      <c r="C235" s="178"/>
      <c r="D235" s="178"/>
      <c r="E235" s="178"/>
      <c r="F235" s="178"/>
      <c r="G235" s="181"/>
      <c r="H235" s="181"/>
      <c r="I235" s="178"/>
    </row>
    <row r="236" spans="3:9">
      <c r="C236" s="178"/>
      <c r="D236" s="178"/>
      <c r="E236" s="178"/>
      <c r="F236" s="178"/>
      <c r="G236" s="181"/>
      <c r="H236" s="181"/>
      <c r="I236" s="178"/>
    </row>
    <row r="237" spans="3:9">
      <c r="C237" s="178"/>
      <c r="D237" s="178"/>
      <c r="E237" s="178"/>
      <c r="F237" s="178"/>
      <c r="G237" s="181"/>
      <c r="H237" s="181"/>
      <c r="I237" s="178"/>
    </row>
    <row r="238" spans="3:9">
      <c r="C238" s="178"/>
      <c r="D238" s="178"/>
      <c r="E238" s="178"/>
      <c r="F238" s="178"/>
      <c r="G238" s="181"/>
      <c r="H238" s="181"/>
      <c r="I238" s="178"/>
    </row>
    <row r="239" spans="3:9">
      <c r="C239" s="178"/>
      <c r="D239" s="178"/>
      <c r="E239" s="178"/>
      <c r="F239" s="178"/>
      <c r="G239" s="181"/>
      <c r="H239" s="181"/>
      <c r="I239" s="178"/>
    </row>
    <row r="240" spans="3:9">
      <c r="C240" s="178"/>
      <c r="D240" s="178"/>
      <c r="E240" s="178"/>
      <c r="F240" s="178"/>
      <c r="G240" s="181"/>
      <c r="H240" s="181"/>
      <c r="I240" s="178"/>
    </row>
    <row r="241" spans="3:9">
      <c r="C241" s="178"/>
      <c r="D241" s="178"/>
      <c r="E241" s="178"/>
      <c r="F241" s="178"/>
      <c r="G241" s="181"/>
      <c r="H241" s="181"/>
      <c r="I241" s="178"/>
    </row>
    <row r="242" spans="3:9">
      <c r="C242" s="178"/>
      <c r="D242" s="178"/>
      <c r="E242" s="178"/>
      <c r="F242" s="178"/>
      <c r="G242" s="181"/>
      <c r="H242" s="181"/>
      <c r="I242" s="178"/>
    </row>
    <row r="243" spans="3:9">
      <c r="C243" s="178"/>
      <c r="D243" s="178"/>
      <c r="E243" s="178"/>
      <c r="F243" s="178"/>
      <c r="G243" s="181"/>
      <c r="H243" s="181"/>
      <c r="I243" s="178"/>
    </row>
    <row r="244" spans="3:9">
      <c r="C244" s="178"/>
      <c r="D244" s="178"/>
      <c r="E244" s="178"/>
      <c r="F244" s="178"/>
      <c r="G244" s="181"/>
      <c r="H244" s="181"/>
      <c r="I244" s="178"/>
    </row>
    <row r="245" spans="3:9">
      <c r="C245" s="178"/>
      <c r="D245" s="178"/>
      <c r="E245" s="178"/>
      <c r="F245" s="178"/>
      <c r="G245" s="181"/>
      <c r="H245" s="181"/>
      <c r="I245" s="178"/>
    </row>
    <row r="246" spans="3:9">
      <c r="C246" s="178"/>
      <c r="D246" s="178"/>
      <c r="E246" s="178"/>
      <c r="F246" s="178"/>
      <c r="G246" s="181"/>
      <c r="H246" s="181"/>
      <c r="I246" s="178"/>
    </row>
    <row r="247" spans="3:9">
      <c r="C247" s="178"/>
      <c r="D247" s="178"/>
      <c r="E247" s="178"/>
      <c r="F247" s="178"/>
      <c r="G247" s="181"/>
      <c r="H247" s="181"/>
      <c r="I247" s="178"/>
    </row>
    <row r="248" spans="3:9">
      <c r="C248" s="178"/>
      <c r="D248" s="178"/>
      <c r="E248" s="178"/>
      <c r="F248" s="178"/>
      <c r="G248" s="181"/>
      <c r="H248" s="181"/>
      <c r="I248" s="178"/>
    </row>
    <row r="249" spans="3:9">
      <c r="C249" s="178"/>
      <c r="D249" s="178"/>
      <c r="E249" s="178"/>
      <c r="F249" s="178"/>
      <c r="G249" s="181"/>
      <c r="H249" s="181"/>
      <c r="I249" s="178"/>
    </row>
    <row r="250" spans="3:9">
      <c r="C250" s="178"/>
      <c r="D250" s="178"/>
      <c r="E250" s="178"/>
      <c r="F250" s="178"/>
      <c r="G250" s="181"/>
      <c r="H250" s="181"/>
      <c r="I250" s="178"/>
    </row>
    <row r="251" spans="3:9">
      <c r="C251" s="178"/>
      <c r="D251" s="178"/>
      <c r="E251" s="178"/>
      <c r="F251" s="178"/>
      <c r="G251" s="181"/>
      <c r="H251" s="181"/>
      <c r="I251" s="178"/>
    </row>
    <row r="252" spans="3:9">
      <c r="C252" s="178"/>
      <c r="D252" s="178"/>
      <c r="E252" s="178"/>
      <c r="F252" s="178"/>
      <c r="G252" s="181"/>
      <c r="H252" s="181"/>
      <c r="I252" s="178"/>
    </row>
    <row r="253" spans="3:9">
      <c r="C253" s="178"/>
      <c r="D253" s="178"/>
      <c r="E253" s="178"/>
      <c r="F253" s="178"/>
      <c r="G253" s="181"/>
      <c r="H253" s="181"/>
      <c r="I253" s="178"/>
    </row>
    <row r="254" spans="3:9">
      <c r="C254" s="178"/>
      <c r="D254" s="178"/>
      <c r="E254" s="178"/>
      <c r="F254" s="178"/>
      <c r="G254" s="181"/>
      <c r="H254" s="181"/>
      <c r="I254" s="178"/>
    </row>
    <row r="255" spans="3:9">
      <c r="C255" s="178"/>
      <c r="D255" s="178"/>
      <c r="E255" s="178"/>
      <c r="F255" s="178"/>
      <c r="G255" s="181"/>
      <c r="H255" s="181"/>
      <c r="I255" s="178"/>
    </row>
    <row r="256" spans="3:9">
      <c r="C256" s="178"/>
      <c r="D256" s="178"/>
      <c r="E256" s="178"/>
      <c r="F256" s="178"/>
      <c r="G256" s="181"/>
      <c r="H256" s="181"/>
      <c r="I256" s="178"/>
    </row>
    <row r="257" spans="3:9">
      <c r="C257" s="178"/>
      <c r="D257" s="178"/>
      <c r="E257" s="178"/>
      <c r="F257" s="178"/>
      <c r="G257" s="181"/>
      <c r="H257" s="181"/>
      <c r="I257" s="178"/>
    </row>
    <row r="258" spans="3:9">
      <c r="C258" s="178"/>
      <c r="D258" s="178"/>
      <c r="E258" s="178"/>
      <c r="F258" s="178"/>
      <c r="G258" s="181"/>
      <c r="H258" s="181"/>
      <c r="I258" s="178"/>
    </row>
    <row r="259" spans="3:9">
      <c r="C259" s="178"/>
      <c r="D259" s="178"/>
      <c r="E259" s="178"/>
      <c r="F259" s="178"/>
      <c r="G259" s="181"/>
      <c r="H259" s="181"/>
      <c r="I259" s="178"/>
    </row>
    <row r="260" spans="3:9">
      <c r="C260" s="178"/>
      <c r="D260" s="178"/>
      <c r="E260" s="178"/>
      <c r="F260" s="178"/>
      <c r="G260" s="181"/>
      <c r="H260" s="181"/>
      <c r="I260" s="178"/>
    </row>
    <row r="261" spans="3:9">
      <c r="C261" s="178"/>
      <c r="D261" s="178"/>
      <c r="E261" s="178"/>
      <c r="F261" s="178"/>
      <c r="G261" s="181"/>
      <c r="H261" s="181"/>
      <c r="I261" s="178"/>
    </row>
    <row r="262" spans="3:9">
      <c r="C262" s="178"/>
      <c r="D262" s="178"/>
      <c r="E262" s="178"/>
      <c r="F262" s="178"/>
      <c r="G262" s="181"/>
      <c r="H262" s="181"/>
      <c r="I262" s="178"/>
    </row>
    <row r="263" spans="3:9">
      <c r="C263" s="178"/>
      <c r="D263" s="178"/>
      <c r="E263" s="178"/>
      <c r="F263" s="178"/>
      <c r="G263" s="181"/>
      <c r="H263" s="181"/>
      <c r="I263" s="178"/>
    </row>
    <row r="264" spans="3:9">
      <c r="C264" s="178"/>
      <c r="D264" s="178"/>
      <c r="E264" s="178"/>
      <c r="F264" s="178"/>
      <c r="G264" s="181"/>
      <c r="H264" s="181"/>
      <c r="I264" s="178"/>
    </row>
    <row r="265" spans="3:9">
      <c r="C265" s="178"/>
      <c r="D265" s="178"/>
      <c r="E265" s="178"/>
      <c r="F265" s="178"/>
      <c r="G265" s="181"/>
      <c r="H265" s="181"/>
      <c r="I265" s="178"/>
    </row>
    <row r="266" spans="3:9">
      <c r="C266" s="178"/>
      <c r="D266" s="178"/>
      <c r="E266" s="178"/>
      <c r="F266" s="178"/>
      <c r="G266" s="181"/>
      <c r="H266" s="181"/>
      <c r="I266" s="178"/>
    </row>
    <row r="267" spans="3:9">
      <c r="C267" s="178"/>
      <c r="D267" s="178"/>
      <c r="E267" s="178"/>
      <c r="F267" s="178"/>
      <c r="G267" s="181"/>
      <c r="H267" s="181"/>
      <c r="I267" s="178"/>
    </row>
    <row r="268" spans="3:9">
      <c r="C268" s="178"/>
      <c r="D268" s="178"/>
      <c r="E268" s="178"/>
      <c r="F268" s="178"/>
      <c r="G268" s="181"/>
      <c r="H268" s="181"/>
      <c r="I268" s="178"/>
    </row>
    <row r="269" spans="3:9">
      <c r="C269" s="178"/>
      <c r="D269" s="178"/>
      <c r="E269" s="178"/>
      <c r="F269" s="178"/>
      <c r="G269" s="181"/>
      <c r="H269" s="181"/>
      <c r="I269" s="178"/>
    </row>
    <row r="270" spans="3:9">
      <c r="C270" s="178"/>
      <c r="D270" s="178"/>
      <c r="E270" s="178"/>
      <c r="F270" s="178"/>
      <c r="G270" s="181"/>
      <c r="H270" s="181"/>
      <c r="I270" s="178"/>
    </row>
    <row r="271" spans="3:9">
      <c r="C271" s="178"/>
      <c r="D271" s="178"/>
      <c r="E271" s="178"/>
      <c r="F271" s="178"/>
      <c r="G271" s="181"/>
      <c r="H271" s="181"/>
      <c r="I271" s="178"/>
    </row>
    <row r="272" spans="3:9">
      <c r="C272" s="178"/>
      <c r="D272" s="178"/>
      <c r="E272" s="178"/>
      <c r="F272" s="178"/>
      <c r="G272" s="181"/>
      <c r="H272" s="181"/>
      <c r="I272" s="178"/>
    </row>
    <row r="273" spans="3:9">
      <c r="C273" s="178"/>
      <c r="D273" s="178"/>
      <c r="E273" s="178"/>
      <c r="F273" s="178"/>
      <c r="G273" s="181"/>
      <c r="H273" s="181"/>
      <c r="I273" s="178"/>
    </row>
    <row r="274" spans="3:9">
      <c r="C274" s="178"/>
      <c r="D274" s="178"/>
      <c r="E274" s="178"/>
      <c r="F274" s="178"/>
      <c r="G274" s="181"/>
      <c r="H274" s="181"/>
      <c r="I274" s="178"/>
    </row>
    <row r="275" spans="3:9">
      <c r="C275" s="178"/>
      <c r="D275" s="178"/>
      <c r="E275" s="178"/>
      <c r="F275" s="178"/>
      <c r="G275" s="181"/>
      <c r="H275" s="181"/>
      <c r="I275" s="178"/>
    </row>
    <row r="276" spans="3:9">
      <c r="C276" s="178"/>
      <c r="D276" s="178"/>
      <c r="E276" s="178"/>
      <c r="F276" s="178"/>
      <c r="G276" s="181"/>
      <c r="H276" s="181"/>
      <c r="I276" s="178"/>
    </row>
    <row r="277" spans="3:9">
      <c r="C277" s="178"/>
      <c r="D277" s="178"/>
      <c r="E277" s="178"/>
      <c r="F277" s="178"/>
      <c r="G277" s="181"/>
      <c r="H277" s="181"/>
      <c r="I277" s="178"/>
    </row>
    <row r="278" spans="3:9">
      <c r="C278" s="178"/>
      <c r="D278" s="178"/>
      <c r="E278" s="178"/>
      <c r="F278" s="178"/>
      <c r="G278" s="181"/>
      <c r="H278" s="181"/>
      <c r="I278" s="178"/>
    </row>
    <row r="279" spans="3:9">
      <c r="C279" s="178"/>
      <c r="D279" s="178"/>
      <c r="E279" s="178"/>
      <c r="F279" s="178"/>
      <c r="G279" s="181"/>
      <c r="H279" s="181"/>
      <c r="I279" s="178"/>
    </row>
    <row r="280" spans="3:9">
      <c r="C280" s="178"/>
      <c r="D280" s="178"/>
      <c r="E280" s="178"/>
      <c r="F280" s="178"/>
      <c r="G280" s="181"/>
      <c r="H280" s="181"/>
      <c r="I280" s="178"/>
    </row>
    <row r="281" spans="3:9">
      <c r="C281" s="178"/>
      <c r="D281" s="178"/>
      <c r="E281" s="178"/>
      <c r="F281" s="178"/>
      <c r="G281" s="181"/>
      <c r="H281" s="181"/>
      <c r="I281" s="178"/>
    </row>
    <row r="282" spans="3:9">
      <c r="C282" s="178"/>
      <c r="D282" s="178"/>
      <c r="E282" s="178"/>
      <c r="F282" s="178"/>
      <c r="G282" s="181"/>
      <c r="H282" s="181"/>
      <c r="I282" s="178"/>
    </row>
    <row r="283" spans="3:9">
      <c r="C283" s="178"/>
      <c r="D283" s="178"/>
      <c r="E283" s="178"/>
      <c r="F283" s="178"/>
      <c r="G283" s="181"/>
      <c r="H283" s="181"/>
      <c r="I283" s="178"/>
    </row>
    <row r="284" spans="3:9">
      <c r="C284" s="178"/>
      <c r="D284" s="178"/>
      <c r="E284" s="178"/>
      <c r="F284" s="178"/>
      <c r="G284" s="181"/>
      <c r="H284" s="181"/>
      <c r="I284" s="178"/>
    </row>
    <row r="285" spans="3:9">
      <c r="C285" s="178"/>
      <c r="D285" s="178"/>
      <c r="E285" s="178"/>
      <c r="F285" s="178"/>
      <c r="G285" s="181"/>
      <c r="H285" s="181"/>
      <c r="I285" s="178"/>
    </row>
    <row r="286" spans="3:9">
      <c r="C286" s="178"/>
      <c r="D286" s="178"/>
      <c r="E286" s="178"/>
      <c r="F286" s="178"/>
      <c r="G286" s="181"/>
      <c r="H286" s="181"/>
      <c r="I286" s="178"/>
    </row>
    <row r="287" spans="3:9">
      <c r="C287" s="178"/>
      <c r="D287" s="178"/>
      <c r="E287" s="178"/>
      <c r="F287" s="178"/>
      <c r="G287" s="181"/>
      <c r="H287" s="181"/>
      <c r="I287" s="178"/>
    </row>
    <row r="288" spans="3:9">
      <c r="C288" s="178"/>
      <c r="D288" s="178"/>
      <c r="E288" s="178"/>
      <c r="F288" s="178"/>
      <c r="G288" s="181"/>
      <c r="H288" s="181"/>
      <c r="I288" s="178"/>
    </row>
    <row r="289" spans="3:9">
      <c r="C289" s="178"/>
      <c r="D289" s="178"/>
      <c r="E289" s="178"/>
      <c r="F289" s="178"/>
      <c r="G289" s="181"/>
      <c r="H289" s="181"/>
      <c r="I289" s="178"/>
    </row>
    <row r="290" spans="3:9">
      <c r="C290" s="178"/>
      <c r="D290" s="178"/>
      <c r="E290" s="178"/>
      <c r="F290" s="178"/>
      <c r="G290" s="181"/>
      <c r="H290" s="181"/>
      <c r="I290" s="178"/>
    </row>
    <row r="291" spans="3:9">
      <c r="C291" s="178"/>
      <c r="D291" s="178"/>
      <c r="E291" s="178"/>
      <c r="F291" s="178"/>
      <c r="G291" s="181"/>
      <c r="H291" s="181"/>
      <c r="I291" s="178"/>
    </row>
    <row r="292" spans="3:9">
      <c r="C292" s="178"/>
      <c r="D292" s="178"/>
      <c r="E292" s="178"/>
      <c r="F292" s="178"/>
      <c r="G292" s="181"/>
      <c r="H292" s="181"/>
      <c r="I292" s="178"/>
    </row>
    <row r="293" spans="3:9">
      <c r="C293" s="178"/>
      <c r="D293" s="178"/>
      <c r="E293" s="178"/>
      <c r="F293" s="178"/>
      <c r="G293" s="181"/>
      <c r="H293" s="181"/>
      <c r="I293" s="178"/>
    </row>
    <row r="294" spans="3:9">
      <c r="C294" s="178"/>
      <c r="D294" s="178"/>
      <c r="E294" s="178"/>
      <c r="F294" s="178"/>
      <c r="G294" s="181"/>
      <c r="H294" s="181"/>
      <c r="I294" s="178"/>
    </row>
    <row r="295" spans="3:9">
      <c r="C295" s="178"/>
      <c r="D295" s="178"/>
      <c r="E295" s="178"/>
      <c r="F295" s="178"/>
      <c r="G295" s="181"/>
      <c r="H295" s="181"/>
      <c r="I295" s="178"/>
    </row>
    <row r="296" spans="3:9">
      <c r="C296" s="178"/>
      <c r="D296" s="178"/>
      <c r="E296" s="178"/>
      <c r="F296" s="178"/>
      <c r="G296" s="181"/>
      <c r="H296" s="181"/>
      <c r="I296" s="178"/>
    </row>
    <row r="297" spans="3:9">
      <c r="C297" s="178"/>
      <c r="D297" s="178"/>
      <c r="E297" s="178"/>
      <c r="F297" s="178"/>
      <c r="G297" s="181"/>
      <c r="H297" s="181"/>
      <c r="I297" s="178"/>
    </row>
    <row r="298" spans="3:9">
      <c r="C298" s="178"/>
      <c r="D298" s="178"/>
      <c r="E298" s="178"/>
      <c r="F298" s="178"/>
      <c r="G298" s="181"/>
      <c r="H298" s="181"/>
      <c r="I298" s="178"/>
    </row>
    <row r="299" spans="3:9">
      <c r="C299" s="178"/>
      <c r="D299" s="178"/>
      <c r="E299" s="178"/>
      <c r="F299" s="178"/>
      <c r="G299" s="181"/>
      <c r="H299" s="181"/>
      <c r="I299" s="178"/>
    </row>
    <row r="300" spans="3:9">
      <c r="C300" s="178"/>
      <c r="D300" s="178"/>
      <c r="E300" s="178"/>
      <c r="F300" s="178"/>
      <c r="G300" s="181"/>
      <c r="H300" s="181"/>
      <c r="I300" s="178"/>
    </row>
    <row r="301" spans="3:9">
      <c r="C301" s="178"/>
      <c r="D301" s="178"/>
      <c r="E301" s="178"/>
      <c r="F301" s="178"/>
      <c r="G301" s="181"/>
      <c r="H301" s="181"/>
      <c r="I301" s="178"/>
    </row>
    <row r="302" spans="3:9">
      <c r="C302" s="178"/>
      <c r="D302" s="178"/>
      <c r="E302" s="178"/>
      <c r="F302" s="178"/>
      <c r="G302" s="181"/>
      <c r="H302" s="181"/>
      <c r="I302" s="178"/>
    </row>
    <row r="303" spans="3:9">
      <c r="C303" s="178"/>
      <c r="D303" s="178"/>
      <c r="E303" s="178"/>
      <c r="F303" s="178"/>
      <c r="G303" s="181"/>
      <c r="H303" s="181"/>
      <c r="I303" s="178"/>
    </row>
    <row r="304" spans="3:9">
      <c r="C304" s="178"/>
      <c r="D304" s="178"/>
      <c r="E304" s="178"/>
      <c r="F304" s="178"/>
      <c r="G304" s="181"/>
      <c r="H304" s="181"/>
      <c r="I304" s="178"/>
    </row>
    <row r="305" spans="3:9">
      <c r="C305" s="178"/>
      <c r="D305" s="178"/>
      <c r="E305" s="178"/>
      <c r="F305" s="178"/>
      <c r="G305" s="181"/>
      <c r="H305" s="181"/>
      <c r="I305" s="178"/>
    </row>
    <row r="306" spans="3:9">
      <c r="C306" s="178"/>
      <c r="D306" s="178"/>
      <c r="E306" s="178"/>
      <c r="F306" s="178"/>
      <c r="G306" s="181"/>
      <c r="H306" s="181"/>
      <c r="I306" s="178"/>
    </row>
    <row r="307" spans="3:9">
      <c r="C307" s="178"/>
      <c r="D307" s="178"/>
      <c r="E307" s="178"/>
      <c r="F307" s="178"/>
      <c r="G307" s="181"/>
      <c r="H307" s="181"/>
      <c r="I307" s="178"/>
    </row>
    <row r="308" spans="3:9">
      <c r="C308" s="178"/>
      <c r="D308" s="178"/>
      <c r="E308" s="178"/>
      <c r="F308" s="178"/>
      <c r="G308" s="181"/>
      <c r="H308" s="181"/>
      <c r="I308" s="178"/>
    </row>
    <row r="309" spans="3:9">
      <c r="C309" s="178"/>
      <c r="D309" s="178"/>
      <c r="E309" s="178"/>
      <c r="F309" s="178"/>
      <c r="G309" s="181"/>
      <c r="H309" s="181"/>
      <c r="I309" s="178"/>
    </row>
    <row r="310" spans="3:9">
      <c r="C310" s="178"/>
      <c r="D310" s="178"/>
      <c r="E310" s="178"/>
      <c r="F310" s="178"/>
      <c r="G310" s="181"/>
      <c r="H310" s="181"/>
      <c r="I310" s="178"/>
    </row>
    <row r="311" spans="3:9">
      <c r="C311" s="178"/>
      <c r="D311" s="178"/>
      <c r="E311" s="178"/>
      <c r="F311" s="178"/>
      <c r="G311" s="181"/>
      <c r="H311" s="181"/>
      <c r="I311" s="178"/>
    </row>
    <row r="312" spans="3:9">
      <c r="C312" s="178"/>
      <c r="D312" s="178"/>
      <c r="E312" s="178"/>
      <c r="F312" s="178"/>
      <c r="G312" s="181"/>
      <c r="H312" s="181"/>
      <c r="I312" s="178"/>
    </row>
    <row r="313" spans="3:9">
      <c r="C313" s="178"/>
      <c r="D313" s="178"/>
      <c r="E313" s="178"/>
      <c r="F313" s="178"/>
      <c r="G313" s="181"/>
      <c r="H313" s="181"/>
      <c r="I313" s="178"/>
    </row>
    <row r="314" spans="3:9">
      <c r="C314" s="178"/>
      <c r="D314" s="178"/>
      <c r="E314" s="178"/>
      <c r="F314" s="178"/>
      <c r="G314" s="181"/>
      <c r="H314" s="181"/>
      <c r="I314" s="178"/>
    </row>
    <row r="315" spans="3:9">
      <c r="C315" s="178"/>
      <c r="D315" s="178"/>
      <c r="E315" s="178"/>
      <c r="F315" s="178"/>
      <c r="G315" s="181"/>
      <c r="H315" s="181"/>
      <c r="I315" s="178"/>
    </row>
    <row r="316" spans="3:9">
      <c r="C316" s="178"/>
      <c r="D316" s="178"/>
      <c r="E316" s="178"/>
      <c r="F316" s="178"/>
      <c r="G316" s="181"/>
      <c r="H316" s="181"/>
      <c r="I316" s="178"/>
    </row>
    <row r="317" spans="3:9">
      <c r="C317" s="178"/>
      <c r="D317" s="178"/>
      <c r="E317" s="178"/>
      <c r="F317" s="178"/>
      <c r="G317" s="181"/>
      <c r="H317" s="181"/>
      <c r="I317" s="178"/>
    </row>
    <row r="318" spans="3:9">
      <c r="C318" s="178"/>
      <c r="D318" s="178"/>
      <c r="E318" s="178"/>
      <c r="F318" s="178"/>
      <c r="G318" s="181"/>
      <c r="H318" s="181"/>
      <c r="I318" s="178"/>
    </row>
    <row r="319" spans="3:9">
      <c r="C319" s="178"/>
      <c r="D319" s="178"/>
      <c r="E319" s="178"/>
      <c r="F319" s="178"/>
      <c r="G319" s="181"/>
      <c r="H319" s="181"/>
      <c r="I319" s="178"/>
    </row>
    <row r="320" spans="3:9">
      <c r="C320" s="178"/>
      <c r="D320" s="178"/>
      <c r="E320" s="178"/>
      <c r="F320" s="178"/>
      <c r="G320" s="181"/>
      <c r="H320" s="181"/>
      <c r="I320" s="178"/>
    </row>
    <row r="321" spans="3:9">
      <c r="C321" s="178"/>
      <c r="D321" s="178"/>
      <c r="E321" s="178"/>
      <c r="F321" s="178"/>
      <c r="G321" s="181"/>
      <c r="H321" s="181"/>
      <c r="I321" s="178"/>
    </row>
    <row r="322" spans="3:9">
      <c r="C322" s="178"/>
      <c r="D322" s="178"/>
      <c r="E322" s="178"/>
      <c r="F322" s="178"/>
      <c r="G322" s="181"/>
      <c r="H322" s="181"/>
      <c r="I322" s="178"/>
    </row>
    <row r="323" spans="3:9">
      <c r="C323" s="178"/>
      <c r="D323" s="178"/>
      <c r="E323" s="178"/>
      <c r="F323" s="178"/>
      <c r="G323" s="181"/>
      <c r="H323" s="181"/>
      <c r="I323" s="178"/>
    </row>
    <row r="324" spans="3:9">
      <c r="C324" s="178"/>
      <c r="D324" s="178"/>
      <c r="E324" s="178"/>
      <c r="F324" s="178"/>
      <c r="G324" s="181"/>
      <c r="H324" s="181"/>
      <c r="I324" s="178"/>
    </row>
    <row r="325" spans="3:9">
      <c r="C325" s="178"/>
      <c r="D325" s="178"/>
      <c r="E325" s="178"/>
      <c r="F325" s="178"/>
      <c r="G325" s="181"/>
      <c r="H325" s="181"/>
      <c r="I325" s="178"/>
    </row>
    <row r="326" spans="3:9">
      <c r="C326" s="178"/>
      <c r="D326" s="178"/>
      <c r="E326" s="178"/>
      <c r="F326" s="178"/>
      <c r="G326" s="181"/>
      <c r="H326" s="181"/>
      <c r="I326" s="178"/>
    </row>
    <row r="327" spans="3:9">
      <c r="C327" s="178"/>
      <c r="D327" s="178"/>
      <c r="E327" s="178"/>
      <c r="F327" s="178"/>
      <c r="G327" s="181"/>
      <c r="H327" s="181"/>
      <c r="I327" s="178"/>
    </row>
    <row r="328" spans="3:9">
      <c r="C328" s="178"/>
      <c r="D328" s="178"/>
      <c r="E328" s="178"/>
      <c r="F328" s="178"/>
      <c r="G328" s="181"/>
      <c r="H328" s="181"/>
      <c r="I328" s="178"/>
    </row>
    <row r="329" spans="3:9">
      <c r="C329" s="178"/>
      <c r="D329" s="178"/>
      <c r="E329" s="178"/>
      <c r="F329" s="178"/>
      <c r="G329" s="181"/>
      <c r="H329" s="181"/>
      <c r="I329" s="178"/>
    </row>
    <row r="330" spans="3:9">
      <c r="C330" s="178"/>
      <c r="D330" s="178"/>
      <c r="E330" s="178"/>
      <c r="F330" s="178"/>
      <c r="G330" s="181"/>
      <c r="H330" s="181"/>
      <c r="I330" s="178"/>
    </row>
    <row r="331" spans="3:9">
      <c r="C331" s="178"/>
      <c r="D331" s="178"/>
      <c r="E331" s="178"/>
      <c r="F331" s="178"/>
      <c r="G331" s="181"/>
      <c r="H331" s="181"/>
      <c r="I331" s="178"/>
    </row>
    <row r="332" spans="3:9">
      <c r="C332" s="178"/>
      <c r="D332" s="178"/>
      <c r="E332" s="178"/>
      <c r="F332" s="178"/>
      <c r="G332" s="181"/>
      <c r="H332" s="181"/>
      <c r="I332" s="178"/>
    </row>
    <row r="333" spans="3:9">
      <c r="C333" s="178"/>
      <c r="D333" s="178"/>
      <c r="E333" s="178"/>
      <c r="F333" s="178"/>
      <c r="G333" s="181"/>
      <c r="H333" s="181"/>
      <c r="I333" s="178"/>
    </row>
    <row r="334" spans="3:9">
      <c r="C334" s="178"/>
      <c r="D334" s="178"/>
      <c r="E334" s="178"/>
      <c r="F334" s="178"/>
      <c r="G334" s="181"/>
      <c r="H334" s="181"/>
      <c r="I334" s="178"/>
    </row>
    <row r="335" spans="3:9">
      <c r="C335" s="178"/>
      <c r="D335" s="178"/>
      <c r="E335" s="178"/>
      <c r="F335" s="178"/>
      <c r="G335" s="181"/>
      <c r="H335" s="181"/>
      <c r="I335" s="178"/>
    </row>
    <row r="336" spans="3:9">
      <c r="C336" s="178"/>
      <c r="D336" s="178"/>
      <c r="E336" s="178"/>
      <c r="F336" s="178"/>
      <c r="G336" s="181"/>
      <c r="H336" s="181"/>
      <c r="I336" s="178"/>
    </row>
    <row r="337" spans="3:9">
      <c r="C337" s="178"/>
      <c r="D337" s="178"/>
      <c r="E337" s="178"/>
      <c r="F337" s="178"/>
      <c r="G337" s="181"/>
      <c r="H337" s="181"/>
      <c r="I337" s="178"/>
    </row>
    <row r="338" spans="3:9">
      <c r="C338" s="178"/>
      <c r="D338" s="178"/>
      <c r="E338" s="178"/>
      <c r="F338" s="178"/>
      <c r="G338" s="181"/>
      <c r="H338" s="181"/>
      <c r="I338" s="178"/>
    </row>
    <row r="339" spans="3:9">
      <c r="C339" s="178"/>
      <c r="D339" s="178"/>
      <c r="E339" s="178"/>
      <c r="F339" s="178"/>
      <c r="G339" s="181"/>
      <c r="H339" s="181"/>
      <c r="I339" s="178"/>
    </row>
    <row r="340" spans="3:9">
      <c r="C340" s="178"/>
      <c r="D340" s="178"/>
      <c r="E340" s="178"/>
      <c r="F340" s="178"/>
      <c r="G340" s="181"/>
      <c r="H340" s="181"/>
      <c r="I340" s="178"/>
    </row>
    <row r="341" spans="3:9">
      <c r="C341" s="178"/>
      <c r="D341" s="178"/>
      <c r="E341" s="178"/>
      <c r="F341" s="178"/>
      <c r="G341" s="181"/>
      <c r="H341" s="181"/>
      <c r="I341" s="178"/>
    </row>
    <row r="342" spans="3:9">
      <c r="C342" s="178"/>
      <c r="D342" s="178"/>
      <c r="E342" s="178"/>
      <c r="F342" s="178"/>
      <c r="G342" s="181"/>
      <c r="H342" s="181"/>
      <c r="I342" s="178"/>
    </row>
    <row r="343" spans="3:9">
      <c r="C343" s="178"/>
      <c r="D343" s="178"/>
      <c r="E343" s="178"/>
      <c r="F343" s="178"/>
      <c r="G343" s="181"/>
      <c r="H343" s="181"/>
      <c r="I343" s="178"/>
    </row>
    <row r="344" spans="3:9">
      <c r="C344" s="178"/>
      <c r="D344" s="178"/>
      <c r="E344" s="178"/>
      <c r="F344" s="178"/>
      <c r="G344" s="181"/>
      <c r="H344" s="181"/>
      <c r="I344" s="178"/>
    </row>
    <row r="345" spans="3:9">
      <c r="C345" s="178"/>
      <c r="D345" s="178"/>
      <c r="E345" s="178"/>
      <c r="F345" s="178"/>
      <c r="G345" s="181"/>
      <c r="H345" s="181"/>
      <c r="I345" s="178"/>
    </row>
    <row r="346" spans="3:9">
      <c r="C346" s="178"/>
      <c r="D346" s="178"/>
      <c r="E346" s="178"/>
      <c r="F346" s="178"/>
      <c r="G346" s="181"/>
      <c r="H346" s="181"/>
      <c r="I346" s="178"/>
    </row>
    <row r="347" spans="3:9">
      <c r="C347" s="178"/>
      <c r="D347" s="178"/>
      <c r="E347" s="178"/>
      <c r="F347" s="178"/>
      <c r="G347" s="181"/>
      <c r="H347" s="181"/>
      <c r="I347" s="178"/>
    </row>
    <row r="348" spans="3:9">
      <c r="C348" s="178"/>
      <c r="D348" s="178"/>
      <c r="E348" s="178"/>
      <c r="F348" s="178"/>
      <c r="G348" s="181"/>
      <c r="H348" s="181"/>
      <c r="I348" s="178"/>
    </row>
    <row r="349" spans="3:9">
      <c r="C349" s="178"/>
      <c r="D349" s="178"/>
      <c r="E349" s="178"/>
      <c r="F349" s="178"/>
      <c r="G349" s="181"/>
      <c r="H349" s="181"/>
      <c r="I349" s="178"/>
    </row>
    <row r="350" spans="3:9">
      <c r="C350" s="178"/>
      <c r="D350" s="178"/>
      <c r="E350" s="178"/>
      <c r="F350" s="178"/>
      <c r="G350" s="181"/>
      <c r="H350" s="181"/>
      <c r="I350" s="178"/>
    </row>
    <row r="351" spans="3:9">
      <c r="C351" s="178"/>
      <c r="D351" s="178"/>
      <c r="E351" s="178"/>
      <c r="F351" s="178"/>
      <c r="G351" s="181"/>
      <c r="H351" s="181"/>
      <c r="I351" s="178"/>
    </row>
    <row r="352" spans="3:9">
      <c r="C352" s="178"/>
      <c r="D352" s="178"/>
      <c r="E352" s="178"/>
      <c r="F352" s="178"/>
      <c r="G352" s="181"/>
      <c r="H352" s="181"/>
      <c r="I352" s="178"/>
    </row>
    <row r="353" spans="3:9">
      <c r="C353" s="178"/>
      <c r="D353" s="178"/>
      <c r="E353" s="178"/>
      <c r="F353" s="178"/>
      <c r="G353" s="181"/>
      <c r="H353" s="181"/>
      <c r="I353" s="178"/>
    </row>
    <row r="354" spans="3:9">
      <c r="C354" s="178"/>
      <c r="D354" s="178"/>
      <c r="E354" s="178"/>
      <c r="F354" s="178"/>
      <c r="G354" s="181"/>
      <c r="H354" s="181"/>
      <c r="I354" s="178"/>
    </row>
    <row r="355" spans="3:9">
      <c r="C355" s="178"/>
      <c r="D355" s="178"/>
      <c r="E355" s="178"/>
      <c r="F355" s="178"/>
      <c r="G355" s="181"/>
      <c r="H355" s="181"/>
      <c r="I355" s="178"/>
    </row>
    <row r="356" spans="3:9">
      <c r="C356" s="178"/>
      <c r="D356" s="178"/>
      <c r="E356" s="178"/>
      <c r="F356" s="178"/>
      <c r="G356" s="181"/>
      <c r="H356" s="181"/>
      <c r="I356" s="178"/>
    </row>
    <row r="357" spans="3:9">
      <c r="C357" s="178"/>
      <c r="D357" s="178"/>
      <c r="E357" s="178"/>
      <c r="F357" s="178"/>
      <c r="G357" s="181"/>
      <c r="H357" s="181"/>
      <c r="I357" s="178"/>
    </row>
    <row r="358" spans="3:9">
      <c r="C358" s="178"/>
      <c r="D358" s="178"/>
      <c r="E358" s="178"/>
      <c r="F358" s="178"/>
      <c r="G358" s="181"/>
      <c r="H358" s="181"/>
      <c r="I358" s="178"/>
    </row>
    <row r="359" spans="3:9">
      <c r="C359" s="178"/>
      <c r="D359" s="178"/>
      <c r="E359" s="178"/>
      <c r="F359" s="178"/>
      <c r="G359" s="181"/>
      <c r="H359" s="181"/>
      <c r="I359" s="178"/>
    </row>
    <row r="360" spans="3:9">
      <c r="C360" s="178"/>
      <c r="D360" s="178"/>
      <c r="E360" s="178"/>
      <c r="F360" s="178"/>
      <c r="G360" s="181"/>
      <c r="H360" s="181"/>
      <c r="I360" s="178"/>
    </row>
    <row r="361" spans="3:9">
      <c r="C361" s="178"/>
      <c r="D361" s="178"/>
      <c r="E361" s="178"/>
      <c r="F361" s="178"/>
      <c r="G361" s="181"/>
      <c r="H361" s="181"/>
      <c r="I361" s="178"/>
    </row>
    <row r="362" spans="3:9">
      <c r="C362" s="178"/>
      <c r="D362" s="178"/>
      <c r="E362" s="178"/>
      <c r="F362" s="178"/>
      <c r="G362" s="181"/>
      <c r="H362" s="181"/>
      <c r="I362" s="178"/>
    </row>
    <row r="363" spans="3:9">
      <c r="C363" s="178"/>
      <c r="D363" s="178"/>
      <c r="E363" s="178"/>
      <c r="F363" s="178"/>
      <c r="G363" s="181"/>
      <c r="H363" s="181"/>
      <c r="I363" s="178"/>
    </row>
    <row r="364" spans="3:9">
      <c r="C364" s="178"/>
      <c r="D364" s="178"/>
      <c r="E364" s="178"/>
      <c r="F364" s="178"/>
      <c r="G364" s="181"/>
      <c r="H364" s="181"/>
      <c r="I364" s="178"/>
    </row>
    <row r="365" spans="3:9">
      <c r="C365" s="178"/>
      <c r="D365" s="178"/>
      <c r="E365" s="178"/>
      <c r="F365" s="178"/>
      <c r="G365" s="181"/>
      <c r="H365" s="181"/>
      <c r="I365" s="178"/>
    </row>
    <row r="366" spans="3:9">
      <c r="C366" s="178"/>
      <c r="D366" s="178"/>
      <c r="E366" s="178"/>
      <c r="F366" s="178"/>
      <c r="G366" s="181"/>
      <c r="H366" s="181"/>
      <c r="I366" s="178"/>
    </row>
    <row r="367" spans="3:9">
      <c r="C367" s="178"/>
      <c r="D367" s="178"/>
      <c r="E367" s="178"/>
      <c r="F367" s="178"/>
      <c r="G367" s="181"/>
      <c r="H367" s="181"/>
      <c r="I367" s="178"/>
    </row>
    <row r="368" spans="3:9">
      <c r="C368" s="178"/>
      <c r="D368" s="178"/>
      <c r="E368" s="178"/>
      <c r="F368" s="178"/>
      <c r="G368" s="181"/>
      <c r="H368" s="181"/>
      <c r="I368" s="178"/>
    </row>
    <row r="369" spans="3:9">
      <c r="C369" s="178"/>
      <c r="D369" s="178"/>
      <c r="E369" s="178"/>
      <c r="F369" s="178"/>
      <c r="G369" s="181"/>
      <c r="H369" s="181"/>
      <c r="I369" s="178"/>
    </row>
    <row r="370" spans="3:9">
      <c r="C370" s="178"/>
      <c r="D370" s="178"/>
      <c r="E370" s="178"/>
      <c r="F370" s="178"/>
      <c r="G370" s="181"/>
      <c r="H370" s="181"/>
      <c r="I370" s="178"/>
    </row>
    <row r="371" spans="3:9">
      <c r="C371" s="178"/>
      <c r="D371" s="178"/>
      <c r="E371" s="178"/>
      <c r="F371" s="178"/>
      <c r="G371" s="181"/>
      <c r="H371" s="181"/>
      <c r="I371" s="178"/>
    </row>
    <row r="372" spans="3:9">
      <c r="C372" s="178"/>
      <c r="D372" s="178"/>
      <c r="E372" s="178"/>
      <c r="F372" s="178"/>
      <c r="G372" s="181"/>
      <c r="H372" s="181"/>
      <c r="I372" s="178"/>
    </row>
    <row r="373" spans="3:9">
      <c r="C373" s="178"/>
      <c r="D373" s="178"/>
      <c r="E373" s="178"/>
      <c r="F373" s="178"/>
      <c r="G373" s="181"/>
      <c r="H373" s="181"/>
      <c r="I373" s="178"/>
    </row>
    <row r="374" spans="3:9">
      <c r="C374" s="178"/>
      <c r="D374" s="178"/>
      <c r="E374" s="178"/>
      <c r="F374" s="178"/>
      <c r="G374" s="181"/>
      <c r="H374" s="181"/>
      <c r="I374" s="178"/>
    </row>
    <row r="375" spans="3:9">
      <c r="C375" s="178"/>
      <c r="D375" s="178"/>
      <c r="E375" s="178"/>
      <c r="F375" s="178"/>
      <c r="G375" s="181"/>
      <c r="H375" s="181"/>
      <c r="I375" s="178"/>
    </row>
    <row r="376" spans="3:9">
      <c r="C376" s="178"/>
      <c r="D376" s="178"/>
      <c r="E376" s="178"/>
      <c r="F376" s="178"/>
      <c r="G376" s="181"/>
      <c r="H376" s="181"/>
      <c r="I376" s="178"/>
    </row>
    <row r="377" spans="3:9">
      <c r="C377" s="178"/>
      <c r="D377" s="178"/>
      <c r="E377" s="178"/>
      <c r="F377" s="178"/>
      <c r="G377" s="181"/>
      <c r="H377" s="181"/>
      <c r="I377" s="178"/>
    </row>
    <row r="378" spans="3:9">
      <c r="C378" s="178"/>
      <c r="D378" s="178"/>
      <c r="E378" s="178"/>
      <c r="F378" s="178"/>
      <c r="G378" s="181"/>
      <c r="H378" s="181"/>
      <c r="I378" s="178"/>
    </row>
    <row r="379" spans="3:9">
      <c r="C379" s="178"/>
      <c r="D379" s="178"/>
      <c r="E379" s="178"/>
      <c r="F379" s="178"/>
      <c r="G379" s="181"/>
      <c r="H379" s="181"/>
      <c r="I379" s="178"/>
    </row>
    <row r="380" spans="3:9">
      <c r="C380" s="178"/>
      <c r="D380" s="178"/>
      <c r="E380" s="178"/>
      <c r="F380" s="178"/>
      <c r="G380" s="181"/>
      <c r="H380" s="181"/>
      <c r="I380" s="178"/>
    </row>
    <row r="381" spans="3:9">
      <c r="C381" s="178"/>
      <c r="D381" s="178"/>
      <c r="E381" s="178"/>
      <c r="F381" s="178"/>
      <c r="G381" s="181"/>
      <c r="H381" s="181"/>
      <c r="I381" s="178"/>
    </row>
    <row r="382" spans="3:9">
      <c r="C382" s="178"/>
      <c r="D382" s="178"/>
      <c r="E382" s="178"/>
      <c r="F382" s="178"/>
      <c r="G382" s="181"/>
      <c r="H382" s="181"/>
      <c r="I382" s="178"/>
    </row>
    <row r="383" spans="3:9">
      <c r="C383" s="178"/>
      <c r="D383" s="178"/>
      <c r="E383" s="178"/>
      <c r="F383" s="178"/>
      <c r="G383" s="181"/>
      <c r="H383" s="181"/>
      <c r="I383" s="178"/>
    </row>
    <row r="384" spans="3:9">
      <c r="C384" s="178"/>
      <c r="D384" s="178"/>
      <c r="E384" s="178"/>
      <c r="F384" s="178"/>
      <c r="G384" s="181"/>
      <c r="H384" s="181"/>
      <c r="I384" s="178"/>
    </row>
    <row r="385" spans="3:9">
      <c r="C385" s="178"/>
      <c r="D385" s="178"/>
      <c r="E385" s="178"/>
      <c r="F385" s="178"/>
      <c r="G385" s="181"/>
      <c r="H385" s="181"/>
      <c r="I385" s="178"/>
    </row>
    <row r="386" spans="3:9">
      <c r="C386" s="178"/>
      <c r="D386" s="178"/>
      <c r="E386" s="178"/>
      <c r="F386" s="178"/>
      <c r="G386" s="181"/>
      <c r="H386" s="181"/>
      <c r="I386" s="178"/>
    </row>
    <row r="387" spans="3:9">
      <c r="C387" s="178"/>
      <c r="D387" s="178"/>
      <c r="E387" s="178"/>
      <c r="F387" s="178"/>
      <c r="G387" s="181"/>
      <c r="H387" s="181"/>
      <c r="I387" s="178"/>
    </row>
    <row r="388" spans="3:9">
      <c r="C388" s="178"/>
      <c r="D388" s="178"/>
      <c r="E388" s="178"/>
      <c r="F388" s="178"/>
      <c r="G388" s="181"/>
      <c r="H388" s="181"/>
      <c r="I388" s="178"/>
    </row>
    <row r="389" spans="3:9">
      <c r="C389" s="178"/>
      <c r="D389" s="178"/>
      <c r="E389" s="178"/>
      <c r="F389" s="178"/>
      <c r="G389" s="181"/>
      <c r="H389" s="181"/>
      <c r="I389" s="178"/>
    </row>
    <row r="390" spans="3:9">
      <c r="C390" s="178"/>
      <c r="D390" s="178"/>
      <c r="E390" s="178"/>
      <c r="F390" s="178"/>
      <c r="G390" s="181"/>
      <c r="H390" s="181"/>
      <c r="I390" s="178"/>
    </row>
    <row r="391" spans="3:9">
      <c r="C391" s="178"/>
      <c r="D391" s="178"/>
      <c r="E391" s="178"/>
      <c r="F391" s="178"/>
      <c r="G391" s="181"/>
      <c r="H391" s="181"/>
      <c r="I391" s="178"/>
    </row>
    <row r="392" spans="3:9">
      <c r="C392" s="178"/>
      <c r="D392" s="178"/>
      <c r="E392" s="178"/>
      <c r="F392" s="178"/>
      <c r="G392" s="181"/>
      <c r="H392" s="181"/>
      <c r="I392" s="178"/>
    </row>
    <row r="393" spans="3:9">
      <c r="C393" s="178"/>
      <c r="D393" s="178"/>
      <c r="E393" s="178"/>
      <c r="F393" s="178"/>
      <c r="G393" s="181"/>
      <c r="H393" s="181"/>
      <c r="I393" s="178"/>
    </row>
    <row r="394" spans="3:9">
      <c r="C394" s="178"/>
      <c r="D394" s="178"/>
      <c r="E394" s="178"/>
      <c r="F394" s="178"/>
      <c r="G394" s="181"/>
      <c r="H394" s="181"/>
      <c r="I394" s="178"/>
    </row>
    <row r="395" spans="3:9">
      <c r="C395" s="178"/>
      <c r="D395" s="178"/>
      <c r="E395" s="178"/>
      <c r="F395" s="178"/>
      <c r="G395" s="181"/>
      <c r="H395" s="181"/>
      <c r="I395" s="178"/>
    </row>
    <row r="396" spans="3:9">
      <c r="C396" s="178"/>
      <c r="D396" s="178"/>
      <c r="E396" s="178"/>
      <c r="F396" s="178"/>
      <c r="G396" s="181"/>
      <c r="H396" s="181"/>
      <c r="I396" s="178"/>
    </row>
    <row r="397" spans="3:9">
      <c r="C397" s="178"/>
      <c r="D397" s="178"/>
      <c r="E397" s="178"/>
      <c r="F397" s="178"/>
      <c r="G397" s="181"/>
      <c r="H397" s="181"/>
      <c r="I397" s="178"/>
    </row>
    <row r="398" spans="3:9">
      <c r="C398" s="178"/>
      <c r="D398" s="178"/>
      <c r="E398" s="178"/>
      <c r="F398" s="178"/>
      <c r="G398" s="181"/>
      <c r="H398" s="181"/>
      <c r="I398" s="178"/>
    </row>
    <row r="399" spans="3:9">
      <c r="C399" s="178"/>
      <c r="D399" s="178"/>
      <c r="E399" s="178"/>
      <c r="F399" s="178"/>
      <c r="G399" s="181"/>
      <c r="H399" s="181"/>
      <c r="I399" s="178"/>
    </row>
    <row r="400" spans="3:9">
      <c r="C400" s="178"/>
      <c r="D400" s="178"/>
      <c r="E400" s="178"/>
      <c r="F400" s="178"/>
      <c r="G400" s="181"/>
      <c r="H400" s="181"/>
      <c r="I400" s="178"/>
    </row>
    <row r="401" spans="3:9">
      <c r="C401" s="178"/>
      <c r="D401" s="178"/>
      <c r="E401" s="178"/>
      <c r="F401" s="178"/>
      <c r="G401" s="181"/>
      <c r="H401" s="181"/>
      <c r="I401" s="178"/>
    </row>
    <row r="402" spans="3:9">
      <c r="C402" s="178"/>
      <c r="D402" s="178"/>
      <c r="E402" s="178"/>
      <c r="F402" s="178"/>
      <c r="G402" s="181"/>
      <c r="H402" s="181"/>
      <c r="I402" s="178"/>
    </row>
    <row r="403" spans="3:9">
      <c r="C403" s="178"/>
      <c r="D403" s="178"/>
      <c r="E403" s="178"/>
      <c r="F403" s="178"/>
      <c r="G403" s="181"/>
      <c r="H403" s="181"/>
      <c r="I403" s="178"/>
    </row>
    <row r="404" spans="3:9">
      <c r="C404" s="178"/>
      <c r="D404" s="178"/>
      <c r="E404" s="178"/>
      <c r="F404" s="178"/>
      <c r="G404" s="181"/>
      <c r="H404" s="181"/>
      <c r="I404" s="178"/>
    </row>
    <row r="405" spans="3:9">
      <c r="C405" s="178"/>
      <c r="D405" s="178"/>
      <c r="E405" s="178"/>
      <c r="F405" s="178"/>
      <c r="G405" s="181"/>
      <c r="H405" s="181"/>
      <c r="I405" s="178"/>
    </row>
    <row r="406" spans="3:9">
      <c r="C406" s="178"/>
      <c r="D406" s="178"/>
      <c r="E406" s="178"/>
      <c r="F406" s="178"/>
      <c r="G406" s="181"/>
      <c r="H406" s="181"/>
      <c r="I406" s="178"/>
    </row>
    <row r="407" spans="3:9">
      <c r="C407" s="178"/>
      <c r="D407" s="178"/>
      <c r="E407" s="178"/>
      <c r="F407" s="178"/>
      <c r="G407" s="181"/>
      <c r="H407" s="181"/>
      <c r="I407" s="178"/>
    </row>
    <row r="408" spans="3:9">
      <c r="C408" s="178"/>
      <c r="D408" s="178"/>
      <c r="E408" s="178"/>
      <c r="F408" s="178"/>
      <c r="G408" s="181"/>
      <c r="H408" s="181"/>
      <c r="I408" s="178"/>
    </row>
    <row r="409" spans="3:9">
      <c r="C409" s="178"/>
      <c r="D409" s="178"/>
      <c r="E409" s="178"/>
      <c r="F409" s="178"/>
      <c r="G409" s="181"/>
      <c r="H409" s="181"/>
      <c r="I409" s="178"/>
    </row>
    <row r="410" spans="3:9">
      <c r="C410" s="178"/>
      <c r="D410" s="178"/>
      <c r="E410" s="178"/>
      <c r="F410" s="178"/>
      <c r="G410" s="181"/>
      <c r="H410" s="181"/>
      <c r="I410" s="178"/>
    </row>
    <row r="411" spans="3:9">
      <c r="C411" s="178"/>
      <c r="D411" s="178"/>
      <c r="E411" s="178"/>
      <c r="F411" s="178"/>
      <c r="G411" s="181"/>
      <c r="H411" s="181"/>
      <c r="I411" s="178"/>
    </row>
    <row r="412" spans="3:9">
      <c r="C412" s="178"/>
      <c r="D412" s="178"/>
      <c r="E412" s="178"/>
      <c r="F412" s="178"/>
      <c r="G412" s="181"/>
      <c r="H412" s="181"/>
      <c r="I412" s="178"/>
    </row>
    <row r="413" spans="3:9">
      <c r="C413" s="178"/>
      <c r="D413" s="178"/>
      <c r="E413" s="178"/>
      <c r="F413" s="178"/>
      <c r="G413" s="181"/>
      <c r="H413" s="181"/>
      <c r="I413" s="178"/>
    </row>
    <row r="414" spans="3:9">
      <c r="C414" s="178"/>
      <c r="D414" s="178"/>
      <c r="E414" s="178"/>
      <c r="F414" s="178"/>
      <c r="G414" s="181"/>
      <c r="H414" s="181"/>
      <c r="I414" s="178"/>
    </row>
    <row r="415" spans="3:9">
      <c r="C415" s="178"/>
      <c r="D415" s="178"/>
      <c r="E415" s="178"/>
      <c r="F415" s="178"/>
      <c r="G415" s="181"/>
      <c r="H415" s="181"/>
      <c r="I415" s="178"/>
    </row>
    <row r="416" spans="3:9">
      <c r="C416" s="178"/>
      <c r="D416" s="178"/>
      <c r="E416" s="178"/>
      <c r="F416" s="178"/>
      <c r="G416" s="181"/>
      <c r="H416" s="181"/>
      <c r="I416" s="178"/>
    </row>
    <row r="417" spans="3:9">
      <c r="C417" s="178"/>
      <c r="D417" s="178"/>
      <c r="E417" s="178"/>
      <c r="F417" s="178"/>
      <c r="G417" s="181"/>
      <c r="H417" s="181"/>
      <c r="I417" s="178"/>
    </row>
    <row r="418" spans="3:9">
      <c r="C418" s="178"/>
      <c r="D418" s="178"/>
      <c r="E418" s="178"/>
      <c r="F418" s="178"/>
      <c r="G418" s="181"/>
      <c r="H418" s="181"/>
      <c r="I418" s="178"/>
    </row>
    <row r="419" spans="3:9">
      <c r="C419" s="178"/>
      <c r="D419" s="178"/>
      <c r="E419" s="178"/>
      <c r="F419" s="178"/>
      <c r="G419" s="181"/>
      <c r="H419" s="181"/>
      <c r="I419" s="178"/>
    </row>
    <row r="420" spans="3:9">
      <c r="C420" s="178"/>
      <c r="D420" s="178"/>
      <c r="E420" s="178"/>
      <c r="F420" s="178"/>
      <c r="G420" s="181"/>
      <c r="H420" s="181"/>
      <c r="I420" s="178"/>
    </row>
    <row r="421" spans="3:9">
      <c r="C421" s="178"/>
      <c r="D421" s="178"/>
      <c r="E421" s="178"/>
      <c r="F421" s="178"/>
      <c r="G421" s="181"/>
      <c r="H421" s="181"/>
      <c r="I421" s="178"/>
    </row>
    <row r="422" spans="3:9">
      <c r="C422" s="178"/>
      <c r="D422" s="178"/>
      <c r="E422" s="178"/>
      <c r="F422" s="178"/>
      <c r="G422" s="181"/>
      <c r="H422" s="181"/>
      <c r="I422" s="178"/>
    </row>
    <row r="423" spans="3:9">
      <c r="C423" s="178"/>
      <c r="D423" s="178"/>
      <c r="E423" s="178"/>
      <c r="F423" s="178"/>
      <c r="G423" s="181"/>
      <c r="H423" s="181"/>
      <c r="I423" s="178"/>
    </row>
    <row r="424" spans="3:9">
      <c r="C424" s="178"/>
      <c r="D424" s="178"/>
      <c r="E424" s="178"/>
      <c r="F424" s="178"/>
      <c r="G424" s="181"/>
      <c r="H424" s="181"/>
      <c r="I424" s="178"/>
    </row>
    <row r="425" spans="3:9">
      <c r="C425" s="178"/>
      <c r="D425" s="178"/>
      <c r="E425" s="178"/>
      <c r="F425" s="178"/>
      <c r="G425" s="181"/>
      <c r="H425" s="181"/>
      <c r="I425" s="178"/>
    </row>
    <row r="426" spans="3:9">
      <c r="C426" s="178"/>
      <c r="D426" s="178"/>
      <c r="E426" s="178"/>
      <c r="F426" s="178"/>
      <c r="G426" s="181"/>
      <c r="H426" s="181"/>
      <c r="I426" s="178"/>
    </row>
    <row r="427" spans="3:9">
      <c r="C427" s="178"/>
      <c r="D427" s="178"/>
      <c r="E427" s="178"/>
      <c r="F427" s="178"/>
      <c r="G427" s="181"/>
      <c r="H427" s="181"/>
      <c r="I427" s="178"/>
    </row>
    <row r="428" spans="3:9">
      <c r="C428" s="178"/>
      <c r="D428" s="178"/>
      <c r="E428" s="178"/>
      <c r="F428" s="178"/>
      <c r="G428" s="181"/>
      <c r="H428" s="181"/>
      <c r="I428" s="178"/>
    </row>
    <row r="429" spans="3:9">
      <c r="C429" s="178"/>
      <c r="D429" s="178"/>
      <c r="E429" s="178"/>
      <c r="F429" s="178"/>
      <c r="G429" s="181"/>
      <c r="H429" s="181"/>
      <c r="I429" s="178"/>
    </row>
    <row r="430" spans="3:9">
      <c r="C430" s="178"/>
      <c r="D430" s="178"/>
      <c r="E430" s="178"/>
      <c r="F430" s="178"/>
      <c r="G430" s="181"/>
      <c r="H430" s="181"/>
      <c r="I430" s="178"/>
    </row>
    <row r="431" spans="3:9">
      <c r="C431" s="178"/>
      <c r="D431" s="178"/>
      <c r="E431" s="178"/>
      <c r="F431" s="178"/>
      <c r="G431" s="181"/>
      <c r="H431" s="181"/>
      <c r="I431" s="178"/>
    </row>
    <row r="432" spans="3:9">
      <c r="C432" s="178"/>
      <c r="D432" s="178"/>
      <c r="E432" s="178"/>
      <c r="F432" s="178"/>
      <c r="G432" s="181"/>
      <c r="H432" s="181"/>
      <c r="I432" s="178"/>
    </row>
    <row r="433" spans="3:9">
      <c r="C433" s="178"/>
      <c r="D433" s="178"/>
      <c r="E433" s="178"/>
      <c r="F433" s="178"/>
      <c r="G433" s="181"/>
      <c r="H433" s="181"/>
      <c r="I433" s="178"/>
    </row>
    <row r="434" spans="3:9">
      <c r="C434" s="178"/>
      <c r="D434" s="178"/>
      <c r="E434" s="178"/>
      <c r="F434" s="178"/>
      <c r="G434" s="181"/>
      <c r="H434" s="181"/>
      <c r="I434" s="178"/>
    </row>
    <row r="435" spans="3:9">
      <c r="C435" s="178"/>
      <c r="D435" s="178"/>
      <c r="E435" s="178"/>
      <c r="F435" s="178"/>
      <c r="G435" s="181"/>
      <c r="H435" s="181"/>
      <c r="I435" s="178"/>
    </row>
    <row r="436" spans="3:9">
      <c r="C436" s="178"/>
      <c r="D436" s="178"/>
      <c r="E436" s="178"/>
      <c r="F436" s="178"/>
      <c r="G436" s="181"/>
      <c r="H436" s="181"/>
      <c r="I436" s="178"/>
    </row>
    <row r="437" spans="3:9">
      <c r="C437" s="178"/>
      <c r="D437" s="178"/>
      <c r="E437" s="178"/>
      <c r="F437" s="178"/>
      <c r="G437" s="181"/>
      <c r="H437" s="181"/>
      <c r="I437" s="178"/>
    </row>
    <row r="438" spans="3:9">
      <c r="C438" s="178"/>
      <c r="D438" s="178"/>
      <c r="E438" s="178"/>
      <c r="F438" s="178"/>
      <c r="G438" s="181"/>
      <c r="H438" s="181"/>
      <c r="I438" s="178"/>
    </row>
    <row r="439" spans="3:9">
      <c r="C439" s="178"/>
      <c r="D439" s="178"/>
      <c r="E439" s="178"/>
      <c r="F439" s="178"/>
      <c r="G439" s="181"/>
      <c r="H439" s="181"/>
      <c r="I439" s="178"/>
    </row>
    <row r="440" spans="3:9">
      <c r="C440" s="178"/>
      <c r="D440" s="178"/>
      <c r="E440" s="178"/>
      <c r="F440" s="178"/>
      <c r="G440" s="181"/>
      <c r="H440" s="181"/>
      <c r="I440" s="178"/>
    </row>
    <row r="441" spans="3:9">
      <c r="C441" s="178"/>
      <c r="D441" s="178"/>
      <c r="E441" s="178"/>
      <c r="F441" s="178"/>
      <c r="G441" s="181"/>
      <c r="H441" s="181"/>
      <c r="I441" s="178"/>
    </row>
    <row r="442" spans="3:9">
      <c r="C442" s="178"/>
      <c r="D442" s="178"/>
      <c r="E442" s="178"/>
      <c r="F442" s="178"/>
      <c r="G442" s="181"/>
      <c r="H442" s="181"/>
      <c r="I442" s="178"/>
    </row>
    <row r="443" spans="3:9">
      <c r="C443" s="178"/>
      <c r="D443" s="178"/>
      <c r="E443" s="178"/>
      <c r="F443" s="178"/>
      <c r="G443" s="181"/>
      <c r="H443" s="181"/>
      <c r="I443" s="178"/>
    </row>
    <row r="444" spans="3:9">
      <c r="C444" s="178"/>
      <c r="D444" s="178"/>
      <c r="E444" s="178"/>
      <c r="F444" s="178"/>
      <c r="G444" s="181"/>
      <c r="H444" s="181"/>
      <c r="I444" s="178"/>
    </row>
    <row r="445" spans="3:9">
      <c r="C445" s="178"/>
      <c r="D445" s="178"/>
      <c r="E445" s="178"/>
      <c r="F445" s="178"/>
      <c r="G445" s="181"/>
      <c r="H445" s="181"/>
      <c r="I445" s="178"/>
    </row>
    <row r="446" spans="3:9">
      <c r="C446" s="178"/>
      <c r="D446" s="178"/>
      <c r="E446" s="178"/>
      <c r="F446" s="178"/>
      <c r="G446" s="181"/>
      <c r="H446" s="181"/>
      <c r="I446" s="178"/>
    </row>
    <row r="447" spans="3:9">
      <c r="C447" s="178"/>
      <c r="D447" s="178"/>
      <c r="E447" s="178"/>
      <c r="F447" s="178"/>
      <c r="G447" s="181"/>
      <c r="H447" s="181"/>
      <c r="I447" s="178"/>
    </row>
    <row r="448" spans="3:9">
      <c r="C448" s="178"/>
      <c r="D448" s="178"/>
      <c r="E448" s="178"/>
      <c r="F448" s="178"/>
      <c r="G448" s="181"/>
      <c r="H448" s="181"/>
      <c r="I448" s="178"/>
    </row>
    <row r="449" spans="3:9">
      <c r="C449" s="178"/>
      <c r="D449" s="178"/>
      <c r="E449" s="178"/>
      <c r="F449" s="178"/>
      <c r="G449" s="181"/>
      <c r="H449" s="181"/>
      <c r="I449" s="178"/>
    </row>
    <row r="450" spans="3:9">
      <c r="C450" s="178"/>
      <c r="D450" s="178"/>
      <c r="E450" s="178"/>
      <c r="F450" s="178"/>
      <c r="G450" s="181"/>
      <c r="H450" s="181"/>
      <c r="I450" s="178"/>
    </row>
    <row r="451" spans="3:9">
      <c r="C451" s="178"/>
      <c r="D451" s="178"/>
      <c r="E451" s="178"/>
      <c r="F451" s="178"/>
      <c r="G451" s="181"/>
      <c r="H451" s="181"/>
      <c r="I451" s="178"/>
    </row>
    <row r="452" spans="3:9">
      <c r="C452" s="178"/>
      <c r="D452" s="178"/>
      <c r="E452" s="178"/>
      <c r="F452" s="178"/>
      <c r="G452" s="181"/>
      <c r="H452" s="181"/>
      <c r="I452" s="178"/>
    </row>
    <row r="453" spans="3:9">
      <c r="C453" s="178"/>
      <c r="D453" s="178"/>
      <c r="E453" s="178"/>
      <c r="F453" s="178"/>
      <c r="G453" s="181"/>
      <c r="H453" s="181"/>
      <c r="I453" s="178"/>
    </row>
    <row r="454" spans="3:9">
      <c r="C454" s="178"/>
      <c r="D454" s="178"/>
      <c r="E454" s="178"/>
      <c r="F454" s="178"/>
      <c r="G454" s="181"/>
      <c r="H454" s="181"/>
      <c r="I454" s="178"/>
    </row>
    <row r="455" spans="3:9">
      <c r="C455" s="178"/>
      <c r="D455" s="178"/>
      <c r="E455" s="178"/>
      <c r="F455" s="178"/>
      <c r="G455" s="181"/>
      <c r="H455" s="181"/>
      <c r="I455" s="178"/>
    </row>
    <row r="456" spans="3:9">
      <c r="C456" s="178"/>
      <c r="D456" s="178"/>
      <c r="E456" s="178"/>
      <c r="F456" s="178"/>
      <c r="G456" s="181"/>
      <c r="H456" s="181"/>
      <c r="I456" s="178"/>
    </row>
    <row r="457" spans="3:9">
      <c r="C457" s="178"/>
      <c r="D457" s="178"/>
      <c r="E457" s="178"/>
      <c r="F457" s="178"/>
      <c r="G457" s="181"/>
      <c r="H457" s="181"/>
      <c r="I457" s="178"/>
    </row>
    <row r="458" spans="3:9">
      <c r="C458" s="178"/>
      <c r="D458" s="178"/>
      <c r="E458" s="178"/>
      <c r="F458" s="178"/>
      <c r="G458" s="181"/>
      <c r="H458" s="181"/>
      <c r="I458" s="178"/>
    </row>
    <row r="459" spans="3:9">
      <c r="C459" s="178"/>
      <c r="D459" s="178"/>
      <c r="E459" s="178"/>
      <c r="F459" s="178"/>
      <c r="G459" s="181"/>
      <c r="H459" s="181"/>
      <c r="I459" s="178"/>
    </row>
    <row r="460" spans="3:9">
      <c r="C460" s="178"/>
      <c r="D460" s="178"/>
      <c r="E460" s="178"/>
      <c r="F460" s="178"/>
      <c r="G460" s="181"/>
      <c r="H460" s="181"/>
      <c r="I460" s="178"/>
    </row>
    <row r="461" spans="3:9">
      <c r="C461" s="178"/>
      <c r="D461" s="178"/>
      <c r="E461" s="178"/>
      <c r="F461" s="178"/>
      <c r="G461" s="181"/>
      <c r="H461" s="181"/>
      <c r="I461" s="178"/>
    </row>
    <row r="462" spans="3:9">
      <c r="C462" s="178"/>
      <c r="D462" s="178"/>
      <c r="E462" s="178"/>
      <c r="F462" s="178"/>
      <c r="G462" s="181"/>
      <c r="H462" s="181"/>
      <c r="I462" s="178"/>
    </row>
    <row r="463" spans="3:9">
      <c r="C463" s="178"/>
      <c r="D463" s="178"/>
      <c r="E463" s="178"/>
      <c r="F463" s="178"/>
      <c r="G463" s="181"/>
      <c r="H463" s="181"/>
      <c r="I463" s="178"/>
    </row>
    <row r="464" spans="3:9">
      <c r="C464" s="178"/>
      <c r="D464" s="178"/>
      <c r="E464" s="178"/>
      <c r="F464" s="178"/>
      <c r="G464" s="181"/>
      <c r="H464" s="181"/>
      <c r="I464" s="178"/>
    </row>
    <row r="465" spans="3:9">
      <c r="C465" s="178"/>
      <c r="D465" s="178"/>
      <c r="E465" s="178"/>
      <c r="F465" s="178"/>
      <c r="G465" s="181"/>
      <c r="H465" s="181"/>
      <c r="I465" s="178"/>
    </row>
    <row r="466" spans="3:9">
      <c r="C466" s="178"/>
      <c r="D466" s="178"/>
      <c r="E466" s="178"/>
      <c r="F466" s="178"/>
      <c r="G466" s="181"/>
      <c r="H466" s="181"/>
      <c r="I466" s="178"/>
    </row>
    <row r="467" spans="3:9">
      <c r="C467" s="178"/>
      <c r="D467" s="178"/>
      <c r="E467" s="178"/>
      <c r="F467" s="178"/>
      <c r="G467" s="181"/>
      <c r="H467" s="181"/>
      <c r="I467" s="178"/>
    </row>
    <row r="468" spans="3:9">
      <c r="C468" s="178"/>
      <c r="D468" s="178"/>
      <c r="E468" s="178"/>
      <c r="F468" s="178"/>
      <c r="G468" s="181"/>
      <c r="H468" s="181"/>
      <c r="I468" s="178"/>
    </row>
    <row r="469" spans="3:9">
      <c r="C469" s="178"/>
      <c r="D469" s="178"/>
      <c r="E469" s="178"/>
      <c r="F469" s="178"/>
      <c r="G469" s="181"/>
      <c r="H469" s="181"/>
      <c r="I469" s="178"/>
    </row>
    <row r="470" spans="3:9">
      <c r="C470" s="178"/>
      <c r="D470" s="178"/>
      <c r="E470" s="178"/>
      <c r="F470" s="178"/>
      <c r="G470" s="181"/>
      <c r="H470" s="181"/>
      <c r="I470" s="178"/>
    </row>
    <row r="471" spans="3:9">
      <c r="C471" s="178"/>
      <c r="D471" s="178"/>
      <c r="E471" s="178"/>
      <c r="F471" s="178"/>
      <c r="G471" s="181"/>
      <c r="H471" s="181"/>
      <c r="I471" s="178"/>
    </row>
    <row r="472" spans="3:9">
      <c r="C472" s="178"/>
      <c r="D472" s="178"/>
      <c r="E472" s="178"/>
      <c r="F472" s="178"/>
      <c r="G472" s="181"/>
      <c r="H472" s="181"/>
      <c r="I472" s="178"/>
    </row>
    <row r="473" spans="3:9">
      <c r="C473" s="178"/>
      <c r="D473" s="178"/>
      <c r="E473" s="178"/>
      <c r="F473" s="178"/>
      <c r="G473" s="181"/>
      <c r="H473" s="181"/>
      <c r="I473" s="178"/>
    </row>
    <row r="474" spans="3:9">
      <c r="C474" s="178"/>
      <c r="D474" s="178"/>
      <c r="E474" s="178"/>
      <c r="F474" s="178"/>
      <c r="G474" s="181"/>
      <c r="H474" s="181"/>
      <c r="I474" s="178"/>
    </row>
    <row r="475" spans="3:9">
      <c r="C475" s="178"/>
      <c r="D475" s="178"/>
      <c r="E475" s="178"/>
      <c r="F475" s="178"/>
      <c r="G475" s="181"/>
      <c r="H475" s="181"/>
      <c r="I475" s="178"/>
    </row>
    <row r="476" spans="3:9">
      <c r="C476" s="178"/>
      <c r="D476" s="178"/>
      <c r="E476" s="178"/>
      <c r="F476" s="178"/>
      <c r="G476" s="181"/>
      <c r="H476" s="181"/>
      <c r="I476" s="178"/>
    </row>
    <row r="477" spans="3:9">
      <c r="C477" s="178"/>
      <c r="D477" s="178"/>
      <c r="E477" s="178"/>
      <c r="F477" s="178"/>
      <c r="G477" s="181"/>
      <c r="H477" s="181"/>
      <c r="I477" s="178"/>
    </row>
    <row r="478" spans="3:9">
      <c r="C478" s="178"/>
      <c r="D478" s="178"/>
      <c r="E478" s="178"/>
      <c r="F478" s="178"/>
      <c r="G478" s="181"/>
      <c r="H478" s="181"/>
      <c r="I478" s="178"/>
    </row>
    <row r="479" spans="3:9">
      <c r="C479" s="178"/>
      <c r="D479" s="178"/>
      <c r="E479" s="178"/>
      <c r="F479" s="178"/>
      <c r="G479" s="181"/>
      <c r="H479" s="181"/>
      <c r="I479" s="178"/>
    </row>
    <row r="480" spans="3:9">
      <c r="C480" s="178"/>
      <c r="D480" s="178"/>
      <c r="E480" s="178"/>
      <c r="F480" s="178"/>
      <c r="G480" s="181"/>
      <c r="H480" s="181"/>
      <c r="I480" s="178"/>
    </row>
    <row r="481" spans="3:9">
      <c r="C481" s="178"/>
      <c r="D481" s="178"/>
      <c r="E481" s="178"/>
      <c r="F481" s="178"/>
      <c r="G481" s="181"/>
      <c r="H481" s="181"/>
      <c r="I481" s="178"/>
    </row>
    <row r="482" spans="3:9">
      <c r="C482" s="178"/>
      <c r="D482" s="178"/>
      <c r="E482" s="178"/>
      <c r="F482" s="178"/>
      <c r="G482" s="181"/>
      <c r="H482" s="181"/>
      <c r="I482" s="178"/>
    </row>
    <row r="483" spans="3:9">
      <c r="C483" s="178"/>
      <c r="D483" s="178"/>
      <c r="E483" s="178"/>
      <c r="F483" s="178"/>
      <c r="G483" s="181"/>
      <c r="H483" s="181"/>
      <c r="I483" s="178"/>
    </row>
    <row r="484" spans="3:9">
      <c r="C484" s="178"/>
      <c r="D484" s="178"/>
      <c r="E484" s="178"/>
      <c r="F484" s="178"/>
      <c r="G484" s="181"/>
      <c r="H484" s="181"/>
      <c r="I484" s="178"/>
    </row>
    <row r="485" spans="3:9">
      <c r="C485" s="178"/>
      <c r="D485" s="178"/>
      <c r="E485" s="178"/>
      <c r="F485" s="178"/>
      <c r="G485" s="181"/>
      <c r="H485" s="181"/>
      <c r="I485" s="178"/>
    </row>
    <row r="486" spans="3:9">
      <c r="C486" s="178"/>
      <c r="D486" s="178"/>
      <c r="E486" s="178"/>
      <c r="F486" s="178"/>
      <c r="G486" s="181"/>
      <c r="H486" s="181"/>
      <c r="I486" s="178"/>
    </row>
    <row r="487" spans="3:9">
      <c r="C487" s="178"/>
      <c r="D487" s="178"/>
      <c r="E487" s="178"/>
      <c r="F487" s="178"/>
      <c r="G487" s="181"/>
      <c r="H487" s="181"/>
      <c r="I487" s="178"/>
    </row>
    <row r="488" spans="3:9">
      <c r="C488" s="178"/>
      <c r="D488" s="178"/>
      <c r="E488" s="178"/>
      <c r="F488" s="178"/>
      <c r="G488" s="181"/>
      <c r="H488" s="181"/>
      <c r="I488" s="178"/>
    </row>
    <row r="489" spans="3:9">
      <c r="C489" s="178"/>
      <c r="D489" s="178"/>
      <c r="E489" s="178"/>
      <c r="F489" s="178"/>
      <c r="G489" s="181"/>
      <c r="H489" s="181"/>
      <c r="I489" s="178"/>
    </row>
    <row r="490" spans="3:9">
      <c r="C490" s="178"/>
      <c r="D490" s="178"/>
      <c r="E490" s="178"/>
      <c r="F490" s="178"/>
      <c r="G490" s="181"/>
      <c r="H490" s="181"/>
      <c r="I490" s="178"/>
    </row>
    <row r="491" spans="3:9">
      <c r="C491" s="178"/>
      <c r="D491" s="178"/>
      <c r="E491" s="178"/>
      <c r="F491" s="178"/>
      <c r="G491" s="181"/>
      <c r="H491" s="181"/>
      <c r="I491" s="178"/>
    </row>
    <row r="492" spans="3:9">
      <c r="C492" s="178"/>
      <c r="D492" s="178"/>
      <c r="E492" s="178"/>
      <c r="F492" s="178"/>
      <c r="G492" s="181"/>
      <c r="H492" s="181"/>
      <c r="I492" s="178"/>
    </row>
    <row r="493" spans="3:9">
      <c r="C493" s="178"/>
      <c r="D493" s="178"/>
      <c r="E493" s="178"/>
      <c r="F493" s="178"/>
      <c r="G493" s="181"/>
      <c r="H493" s="181"/>
      <c r="I493" s="178"/>
    </row>
    <row r="494" spans="3:9">
      <c r="C494" s="178"/>
      <c r="D494" s="178"/>
      <c r="E494" s="178"/>
      <c r="F494" s="178"/>
      <c r="G494" s="181"/>
      <c r="H494" s="181"/>
      <c r="I494" s="178"/>
    </row>
    <row r="495" spans="3:9">
      <c r="C495" s="178"/>
      <c r="D495" s="178"/>
      <c r="E495" s="178"/>
      <c r="F495" s="178"/>
      <c r="G495" s="181"/>
      <c r="H495" s="181"/>
      <c r="I495" s="178"/>
    </row>
    <row r="496" spans="3:9">
      <c r="C496" s="178"/>
      <c r="D496" s="178"/>
      <c r="E496" s="178"/>
      <c r="F496" s="178"/>
      <c r="G496" s="181"/>
      <c r="H496" s="181"/>
      <c r="I496" s="178"/>
    </row>
    <row r="497" spans="3:9">
      <c r="C497" s="178"/>
      <c r="D497" s="178"/>
      <c r="E497" s="178"/>
      <c r="F497" s="178"/>
      <c r="G497" s="181"/>
      <c r="H497" s="181"/>
      <c r="I497" s="178"/>
    </row>
    <row r="498" spans="3:9">
      <c r="C498" s="178"/>
      <c r="D498" s="178"/>
      <c r="E498" s="178"/>
      <c r="F498" s="178"/>
      <c r="G498" s="181"/>
      <c r="H498" s="181"/>
      <c r="I498" s="178"/>
    </row>
    <row r="499" spans="3:9">
      <c r="C499" s="178"/>
      <c r="D499" s="178"/>
      <c r="E499" s="178"/>
      <c r="F499" s="178"/>
      <c r="G499" s="181"/>
      <c r="H499" s="181"/>
      <c r="I499" s="178"/>
    </row>
    <row r="500" spans="3:9">
      <c r="C500" s="178"/>
      <c r="D500" s="178"/>
      <c r="E500" s="178"/>
      <c r="F500" s="178"/>
      <c r="G500" s="181"/>
      <c r="H500" s="181"/>
      <c r="I500" s="178"/>
    </row>
    <row r="501" spans="3:9">
      <c r="C501" s="178"/>
      <c r="D501" s="178"/>
      <c r="E501" s="178"/>
      <c r="F501" s="178"/>
      <c r="G501" s="181"/>
      <c r="H501" s="181"/>
      <c r="I501" s="178"/>
    </row>
    <row r="502" spans="3:9">
      <c r="C502" s="178"/>
      <c r="D502" s="178"/>
      <c r="E502" s="178"/>
      <c r="F502" s="178"/>
      <c r="G502" s="181"/>
      <c r="H502" s="181"/>
      <c r="I502" s="178"/>
    </row>
    <row r="503" spans="3:9">
      <c r="C503" s="178"/>
      <c r="D503" s="178"/>
      <c r="E503" s="178"/>
      <c r="F503" s="178"/>
      <c r="G503" s="181"/>
      <c r="H503" s="181"/>
      <c r="I503" s="178"/>
    </row>
    <row r="504" spans="3:9">
      <c r="C504" s="178"/>
      <c r="D504" s="178"/>
      <c r="E504" s="178"/>
      <c r="F504" s="178"/>
      <c r="G504" s="181"/>
      <c r="H504" s="181"/>
      <c r="I504" s="178"/>
    </row>
    <row r="505" spans="3:9">
      <c r="C505" s="178"/>
      <c r="D505" s="178"/>
      <c r="E505" s="178"/>
      <c r="F505" s="178"/>
      <c r="G505" s="181"/>
      <c r="H505" s="181"/>
      <c r="I505" s="178"/>
    </row>
    <row r="506" spans="3:9">
      <c r="C506" s="178"/>
      <c r="D506" s="178"/>
      <c r="E506" s="178"/>
      <c r="F506" s="178"/>
      <c r="G506" s="181"/>
      <c r="H506" s="181"/>
      <c r="I506" s="178"/>
    </row>
    <row r="507" spans="3:9">
      <c r="C507" s="178"/>
      <c r="D507" s="178"/>
      <c r="E507" s="178"/>
      <c r="F507" s="178"/>
      <c r="G507" s="181"/>
      <c r="H507" s="181"/>
      <c r="I507" s="178"/>
    </row>
    <row r="508" spans="3:9">
      <c r="C508" s="178"/>
      <c r="D508" s="178"/>
      <c r="E508" s="178"/>
      <c r="F508" s="178"/>
      <c r="G508" s="181"/>
      <c r="H508" s="181"/>
      <c r="I508" s="178"/>
    </row>
    <row r="509" spans="3:9">
      <c r="C509" s="178"/>
      <c r="D509" s="178"/>
      <c r="E509" s="178"/>
      <c r="F509" s="178"/>
      <c r="G509" s="181"/>
      <c r="H509" s="181"/>
      <c r="I509" s="178"/>
    </row>
    <row r="510" spans="3:9">
      <c r="C510" s="178"/>
      <c r="D510" s="178"/>
      <c r="E510" s="178"/>
      <c r="F510" s="178"/>
      <c r="G510" s="181"/>
      <c r="H510" s="181"/>
      <c r="I510" s="178"/>
    </row>
    <row r="511" spans="3:9">
      <c r="C511" s="178"/>
      <c r="D511" s="178"/>
      <c r="E511" s="178"/>
      <c r="F511" s="178"/>
      <c r="G511" s="181"/>
      <c r="H511" s="181"/>
      <c r="I511" s="178"/>
    </row>
    <row r="512" spans="3:9">
      <c r="C512" s="178"/>
      <c r="D512" s="178"/>
      <c r="E512" s="178"/>
      <c r="F512" s="178"/>
      <c r="G512" s="181"/>
      <c r="H512" s="181"/>
      <c r="I512" s="178"/>
    </row>
    <row r="513" spans="3:9">
      <c r="C513" s="178"/>
      <c r="D513" s="178"/>
      <c r="E513" s="178"/>
      <c r="F513" s="178"/>
      <c r="G513" s="181"/>
      <c r="H513" s="181"/>
      <c r="I513" s="178"/>
    </row>
    <row r="514" spans="3:9">
      <c r="C514" s="178"/>
      <c r="D514" s="178"/>
      <c r="E514" s="178"/>
      <c r="F514" s="178"/>
      <c r="G514" s="181"/>
      <c r="H514" s="181"/>
      <c r="I514" s="178"/>
    </row>
    <row r="515" spans="3:9">
      <c r="C515" s="178"/>
      <c r="D515" s="178"/>
      <c r="E515" s="178"/>
      <c r="F515" s="178"/>
      <c r="G515" s="181"/>
      <c r="H515" s="181"/>
      <c r="I515" s="178"/>
    </row>
    <row r="516" spans="3:9">
      <c r="C516" s="178"/>
      <c r="D516" s="178"/>
      <c r="E516" s="178"/>
      <c r="F516" s="178"/>
      <c r="G516" s="181"/>
      <c r="H516" s="181"/>
      <c r="I516" s="178"/>
    </row>
    <row r="517" spans="3:9">
      <c r="C517" s="178"/>
      <c r="D517" s="178"/>
      <c r="E517" s="178"/>
      <c r="F517" s="178"/>
      <c r="G517" s="181"/>
      <c r="H517" s="181"/>
      <c r="I517" s="178"/>
    </row>
    <row r="518" spans="3:9">
      <c r="C518" s="178"/>
      <c r="D518" s="178"/>
      <c r="E518" s="178"/>
      <c r="F518" s="178"/>
      <c r="G518" s="181"/>
      <c r="H518" s="181"/>
      <c r="I518" s="178"/>
    </row>
    <row r="519" spans="3:9">
      <c r="C519" s="178"/>
      <c r="D519" s="178"/>
      <c r="E519" s="178"/>
      <c r="F519" s="178"/>
      <c r="G519" s="181"/>
      <c r="H519" s="181"/>
      <c r="I519" s="178"/>
    </row>
    <row r="520" spans="3:9">
      <c r="C520" s="178"/>
      <c r="D520" s="178"/>
      <c r="E520" s="178"/>
      <c r="F520" s="178"/>
      <c r="G520" s="181"/>
      <c r="H520" s="181"/>
      <c r="I520" s="178"/>
    </row>
    <row r="521" spans="3:9">
      <c r="C521" s="178"/>
      <c r="D521" s="178"/>
      <c r="E521" s="178"/>
      <c r="F521" s="178"/>
      <c r="G521" s="181"/>
      <c r="H521" s="181"/>
      <c r="I521" s="178"/>
    </row>
    <row r="522" spans="3:9">
      <c r="C522" s="178"/>
      <c r="D522" s="178"/>
      <c r="E522" s="178"/>
      <c r="F522" s="178"/>
      <c r="G522" s="181"/>
      <c r="H522" s="181"/>
      <c r="I522" s="178"/>
    </row>
    <row r="523" spans="3:9">
      <c r="C523" s="178"/>
      <c r="D523" s="178"/>
      <c r="E523" s="178"/>
      <c r="F523" s="178"/>
      <c r="G523" s="181"/>
      <c r="H523" s="181"/>
      <c r="I523" s="178"/>
    </row>
    <row r="524" spans="3:9">
      <c r="C524" s="178"/>
      <c r="D524" s="178"/>
      <c r="E524" s="178"/>
      <c r="F524" s="178"/>
      <c r="G524" s="181"/>
      <c r="H524" s="181"/>
      <c r="I524" s="178"/>
    </row>
    <row r="525" spans="3:9">
      <c r="C525" s="178"/>
      <c r="D525" s="178"/>
      <c r="E525" s="178"/>
      <c r="F525" s="178"/>
      <c r="G525" s="181"/>
      <c r="H525" s="181"/>
      <c r="I525" s="178"/>
    </row>
    <row r="526" spans="3:9">
      <c r="C526" s="178"/>
      <c r="D526" s="178"/>
      <c r="E526" s="178"/>
      <c r="F526" s="178"/>
      <c r="G526" s="181"/>
      <c r="H526" s="181"/>
      <c r="I526" s="178"/>
    </row>
    <row r="527" spans="3:9">
      <c r="C527" s="178"/>
      <c r="D527" s="178"/>
      <c r="E527" s="178"/>
      <c r="F527" s="178"/>
      <c r="G527" s="181"/>
      <c r="H527" s="181"/>
      <c r="I527" s="178"/>
    </row>
    <row r="528" spans="3:9">
      <c r="C528" s="178"/>
      <c r="D528" s="178"/>
      <c r="E528" s="178"/>
      <c r="F528" s="178"/>
      <c r="G528" s="181"/>
      <c r="H528" s="181"/>
      <c r="I528" s="178"/>
    </row>
    <row r="529" spans="3:9">
      <c r="C529" s="178"/>
      <c r="D529" s="178"/>
      <c r="E529" s="178"/>
      <c r="F529" s="178"/>
      <c r="G529" s="181"/>
      <c r="H529" s="181"/>
      <c r="I529" s="178"/>
    </row>
    <row r="530" spans="3:9">
      <c r="C530" s="178"/>
      <c r="D530" s="178"/>
      <c r="E530" s="178"/>
      <c r="F530" s="178"/>
      <c r="G530" s="181"/>
      <c r="H530" s="181"/>
      <c r="I530" s="178"/>
    </row>
    <row r="531" spans="3:9">
      <c r="C531" s="178"/>
      <c r="D531" s="178"/>
      <c r="E531" s="178"/>
      <c r="F531" s="178"/>
      <c r="G531" s="181"/>
      <c r="H531" s="181"/>
      <c r="I531" s="178"/>
    </row>
    <row r="532" spans="3:9">
      <c r="C532" s="178"/>
      <c r="D532" s="178"/>
      <c r="E532" s="178"/>
      <c r="F532" s="178"/>
      <c r="G532" s="181"/>
      <c r="H532" s="181"/>
      <c r="I532" s="178"/>
    </row>
    <row r="533" spans="3:9">
      <c r="C533" s="178"/>
      <c r="D533" s="178"/>
      <c r="E533" s="178"/>
      <c r="F533" s="178"/>
      <c r="G533" s="181"/>
      <c r="H533" s="181"/>
      <c r="I533" s="178"/>
    </row>
    <row r="534" spans="3:9">
      <c r="C534" s="178"/>
      <c r="D534" s="178"/>
      <c r="E534" s="178"/>
      <c r="F534" s="178"/>
      <c r="G534" s="181"/>
      <c r="H534" s="181"/>
      <c r="I534" s="178"/>
    </row>
    <row r="535" spans="3:9">
      <c r="C535" s="178"/>
      <c r="D535" s="178"/>
      <c r="E535" s="178"/>
      <c r="F535" s="178"/>
      <c r="G535" s="181"/>
      <c r="H535" s="181"/>
      <c r="I535" s="178"/>
    </row>
    <row r="536" spans="3:9">
      <c r="C536" s="178"/>
      <c r="D536" s="178"/>
      <c r="E536" s="178"/>
      <c r="F536" s="178"/>
      <c r="G536" s="181"/>
      <c r="H536" s="181"/>
      <c r="I536" s="178"/>
    </row>
    <row r="537" spans="3:9">
      <c r="C537" s="178"/>
      <c r="D537" s="178"/>
      <c r="E537" s="178"/>
      <c r="F537" s="178"/>
      <c r="G537" s="181"/>
      <c r="H537" s="181"/>
      <c r="I537" s="178"/>
    </row>
    <row r="538" spans="3:9">
      <c r="C538" s="178"/>
      <c r="D538" s="178"/>
      <c r="E538" s="178"/>
      <c r="F538" s="178"/>
      <c r="G538" s="181"/>
      <c r="H538" s="181"/>
      <c r="I538" s="178"/>
    </row>
    <row r="539" spans="3:9">
      <c r="C539" s="178"/>
      <c r="D539" s="178"/>
      <c r="E539" s="178"/>
      <c r="F539" s="178"/>
      <c r="G539" s="181"/>
      <c r="H539" s="181"/>
      <c r="I539" s="178"/>
    </row>
    <row r="540" spans="3:9">
      <c r="C540" s="178"/>
      <c r="D540" s="178"/>
      <c r="E540" s="178"/>
      <c r="F540" s="178"/>
      <c r="G540" s="181"/>
      <c r="H540" s="181"/>
      <c r="I540" s="178"/>
    </row>
    <row r="541" spans="3:9">
      <c r="C541" s="178"/>
      <c r="D541" s="178"/>
      <c r="E541" s="178"/>
      <c r="F541" s="178"/>
      <c r="G541" s="181"/>
      <c r="H541" s="181"/>
      <c r="I541" s="178"/>
    </row>
    <row r="542" spans="3:9">
      <c r="C542" s="178"/>
      <c r="D542" s="178"/>
      <c r="E542" s="178"/>
      <c r="F542" s="178"/>
      <c r="G542" s="181"/>
      <c r="H542" s="181"/>
      <c r="I542" s="178"/>
    </row>
    <row r="543" spans="3:9">
      <c r="C543" s="178"/>
      <c r="D543" s="178"/>
      <c r="E543" s="178"/>
      <c r="F543" s="178"/>
      <c r="G543" s="181"/>
      <c r="H543" s="181"/>
      <c r="I543" s="178"/>
    </row>
    <row r="544" spans="3:9">
      <c r="C544" s="178"/>
      <c r="D544" s="178"/>
      <c r="E544" s="178"/>
      <c r="F544" s="178"/>
      <c r="G544" s="181"/>
      <c r="H544" s="181"/>
      <c r="I544" s="178"/>
    </row>
    <row r="545" spans="3:9">
      <c r="C545" s="178"/>
      <c r="D545" s="178"/>
      <c r="E545" s="178"/>
      <c r="F545" s="178"/>
      <c r="G545" s="181"/>
      <c r="H545" s="181"/>
      <c r="I545" s="178"/>
    </row>
    <row r="546" spans="3:9">
      <c r="C546" s="178"/>
      <c r="D546" s="178"/>
      <c r="E546" s="178"/>
      <c r="F546" s="178"/>
      <c r="G546" s="181"/>
      <c r="H546" s="181"/>
      <c r="I546" s="178"/>
    </row>
    <row r="547" spans="3:9">
      <c r="C547" s="178"/>
      <c r="D547" s="178"/>
      <c r="E547" s="178"/>
      <c r="F547" s="178"/>
      <c r="G547" s="181"/>
      <c r="H547" s="181"/>
      <c r="I547" s="178"/>
    </row>
    <row r="548" spans="3:9">
      <c r="C548" s="178"/>
      <c r="D548" s="178"/>
      <c r="E548" s="178"/>
      <c r="F548" s="178"/>
      <c r="G548" s="181"/>
      <c r="H548" s="181"/>
      <c r="I548" s="178"/>
    </row>
    <row r="549" spans="3:9">
      <c r="C549" s="178"/>
      <c r="D549" s="178"/>
      <c r="E549" s="178"/>
      <c r="F549" s="178"/>
      <c r="G549" s="181"/>
      <c r="H549" s="181"/>
      <c r="I549" s="178"/>
    </row>
    <row r="550" spans="3:9">
      <c r="C550" s="178"/>
      <c r="D550" s="178"/>
      <c r="E550" s="178"/>
      <c r="F550" s="178"/>
      <c r="G550" s="181"/>
      <c r="H550" s="181"/>
      <c r="I550" s="178"/>
    </row>
    <row r="551" spans="3:9">
      <c r="C551" s="178"/>
      <c r="D551" s="178"/>
      <c r="E551" s="178"/>
      <c r="F551" s="178"/>
      <c r="G551" s="181"/>
      <c r="H551" s="181"/>
      <c r="I551" s="178"/>
    </row>
    <row r="552" spans="3:9">
      <c r="C552" s="178"/>
      <c r="D552" s="178"/>
      <c r="E552" s="178"/>
      <c r="F552" s="178"/>
      <c r="G552" s="181"/>
      <c r="H552" s="181"/>
      <c r="I552" s="178"/>
    </row>
    <row r="553" spans="3:9">
      <c r="C553" s="178"/>
      <c r="D553" s="178"/>
      <c r="E553" s="178"/>
      <c r="F553" s="178"/>
      <c r="G553" s="181"/>
      <c r="H553" s="181"/>
      <c r="I553" s="178"/>
    </row>
    <row r="554" spans="3:9">
      <c r="C554" s="178"/>
      <c r="D554" s="178"/>
      <c r="E554" s="178"/>
      <c r="F554" s="178"/>
      <c r="G554" s="181"/>
      <c r="H554" s="181"/>
      <c r="I554" s="178"/>
    </row>
    <row r="555" spans="3:9">
      <c r="C555" s="178"/>
      <c r="D555" s="178"/>
      <c r="E555" s="178"/>
      <c r="F555" s="178"/>
      <c r="G555" s="181"/>
      <c r="H555" s="181"/>
      <c r="I555" s="178"/>
    </row>
    <row r="556" spans="3:9">
      <c r="C556" s="178"/>
      <c r="D556" s="178"/>
      <c r="E556" s="178"/>
      <c r="F556" s="178"/>
      <c r="G556" s="181"/>
      <c r="H556" s="181"/>
      <c r="I556" s="178"/>
    </row>
    <row r="557" spans="3:9">
      <c r="C557" s="178"/>
      <c r="D557" s="178"/>
      <c r="E557" s="178"/>
      <c r="F557" s="178"/>
      <c r="G557" s="181"/>
      <c r="H557" s="181"/>
      <c r="I557" s="178"/>
    </row>
    <row r="558" spans="3:9">
      <c r="C558" s="178"/>
      <c r="D558" s="178"/>
      <c r="E558" s="178"/>
      <c r="F558" s="178"/>
      <c r="G558" s="181"/>
      <c r="H558" s="181"/>
      <c r="I558" s="178"/>
    </row>
    <row r="559" spans="3:9">
      <c r="C559" s="178"/>
      <c r="D559" s="178"/>
      <c r="E559" s="178"/>
      <c r="F559" s="178"/>
      <c r="G559" s="181"/>
      <c r="H559" s="181"/>
      <c r="I559" s="178"/>
    </row>
    <row r="560" spans="3:9">
      <c r="C560" s="178"/>
      <c r="D560" s="178"/>
      <c r="E560" s="178"/>
      <c r="F560" s="178"/>
      <c r="G560" s="181"/>
      <c r="H560" s="181"/>
      <c r="I560" s="178"/>
    </row>
    <row r="561" spans="3:9">
      <c r="C561" s="178"/>
      <c r="D561" s="178"/>
      <c r="E561" s="178"/>
      <c r="F561" s="178"/>
      <c r="G561" s="181"/>
      <c r="H561" s="181"/>
      <c r="I561" s="178"/>
    </row>
    <row r="562" spans="3:9">
      <c r="C562" s="178"/>
      <c r="D562" s="178"/>
      <c r="E562" s="178"/>
      <c r="F562" s="178"/>
      <c r="G562" s="181"/>
      <c r="H562" s="181"/>
      <c r="I562" s="178"/>
    </row>
    <row r="563" spans="3:9">
      <c r="C563" s="178"/>
      <c r="D563" s="178"/>
      <c r="E563" s="178"/>
      <c r="F563" s="178"/>
      <c r="G563" s="181"/>
      <c r="H563" s="181"/>
      <c r="I563" s="178"/>
    </row>
    <row r="564" spans="3:9">
      <c r="C564" s="178"/>
      <c r="D564" s="178"/>
      <c r="E564" s="178"/>
      <c r="F564" s="178"/>
      <c r="G564" s="181"/>
      <c r="H564" s="181"/>
      <c r="I564" s="178"/>
    </row>
    <row r="565" spans="3:9">
      <c r="C565" s="178"/>
      <c r="D565" s="178"/>
      <c r="E565" s="178"/>
      <c r="F565" s="178"/>
      <c r="G565" s="181"/>
      <c r="H565" s="181"/>
      <c r="I565" s="178"/>
    </row>
    <row r="566" spans="3:9">
      <c r="C566" s="178"/>
      <c r="D566" s="178"/>
      <c r="E566" s="178"/>
      <c r="F566" s="178"/>
      <c r="G566" s="181"/>
      <c r="H566" s="181"/>
      <c r="I566" s="178"/>
    </row>
    <row r="567" spans="3:9">
      <c r="C567" s="178"/>
      <c r="D567" s="178"/>
      <c r="E567" s="178"/>
      <c r="F567" s="178"/>
      <c r="G567" s="181"/>
      <c r="H567" s="181"/>
      <c r="I567" s="178"/>
    </row>
    <row r="568" spans="3:9">
      <c r="C568" s="178"/>
      <c r="D568" s="178"/>
      <c r="E568" s="178"/>
      <c r="F568" s="178"/>
      <c r="G568" s="181"/>
      <c r="H568" s="181"/>
      <c r="I568" s="178"/>
    </row>
    <row r="569" spans="3:9">
      <c r="C569" s="178"/>
      <c r="D569" s="178"/>
      <c r="E569" s="178"/>
      <c r="F569" s="178"/>
      <c r="G569" s="181"/>
      <c r="H569" s="181"/>
      <c r="I569" s="178"/>
    </row>
    <row r="570" spans="3:9">
      <c r="C570" s="178"/>
      <c r="D570" s="178"/>
      <c r="E570" s="178"/>
      <c r="F570" s="178"/>
      <c r="G570" s="181"/>
      <c r="H570" s="181"/>
      <c r="I570" s="178"/>
    </row>
    <row r="571" spans="3:9">
      <c r="C571" s="178"/>
      <c r="D571" s="178"/>
      <c r="E571" s="178"/>
      <c r="F571" s="178"/>
      <c r="G571" s="181"/>
      <c r="H571" s="181"/>
      <c r="I571" s="178"/>
    </row>
    <row r="572" spans="3:9">
      <c r="C572" s="178"/>
      <c r="D572" s="178"/>
      <c r="E572" s="178"/>
      <c r="F572" s="178"/>
      <c r="G572" s="181"/>
      <c r="H572" s="181"/>
      <c r="I572" s="178"/>
    </row>
    <row r="573" spans="3:9">
      <c r="C573" s="178"/>
      <c r="D573" s="178"/>
      <c r="E573" s="178"/>
      <c r="F573" s="178"/>
      <c r="G573" s="181"/>
      <c r="H573" s="181"/>
      <c r="I573" s="178"/>
    </row>
    <row r="574" spans="3:9">
      <c r="C574" s="178"/>
      <c r="D574" s="178"/>
      <c r="E574" s="178"/>
      <c r="F574" s="178"/>
      <c r="G574" s="181"/>
      <c r="H574" s="181"/>
      <c r="I574" s="178"/>
    </row>
    <row r="575" spans="3:9">
      <c r="C575" s="178"/>
      <c r="D575" s="178"/>
      <c r="E575" s="178"/>
      <c r="F575" s="178"/>
      <c r="G575" s="181"/>
      <c r="H575" s="181"/>
      <c r="I575" s="178"/>
    </row>
    <row r="576" spans="3:9">
      <c r="C576" s="178"/>
      <c r="D576" s="178"/>
      <c r="E576" s="178"/>
      <c r="F576" s="178"/>
      <c r="G576" s="181"/>
      <c r="H576" s="181"/>
      <c r="I576" s="178"/>
    </row>
    <row r="577" spans="3:9">
      <c r="C577" s="178"/>
      <c r="D577" s="178"/>
      <c r="E577" s="178"/>
      <c r="F577" s="178"/>
      <c r="G577" s="181"/>
      <c r="H577" s="181"/>
      <c r="I577" s="178"/>
    </row>
    <row r="578" spans="3:9">
      <c r="C578" s="178"/>
      <c r="D578" s="178"/>
      <c r="E578" s="178"/>
      <c r="F578" s="178"/>
      <c r="G578" s="181"/>
      <c r="H578" s="181"/>
      <c r="I578" s="178"/>
    </row>
    <row r="579" spans="3:9">
      <c r="C579" s="178"/>
      <c r="D579" s="178"/>
      <c r="E579" s="178"/>
      <c r="F579" s="178"/>
      <c r="G579" s="181"/>
      <c r="H579" s="181"/>
      <c r="I579" s="178"/>
    </row>
    <row r="580" spans="3:9">
      <c r="C580" s="178"/>
      <c r="D580" s="178"/>
      <c r="E580" s="178"/>
      <c r="F580" s="178"/>
      <c r="G580" s="181"/>
      <c r="H580" s="181"/>
      <c r="I580" s="178"/>
    </row>
    <row r="581" spans="3:9">
      <c r="C581" s="178"/>
      <c r="D581" s="178"/>
      <c r="E581" s="178"/>
      <c r="F581" s="178"/>
      <c r="G581" s="181"/>
      <c r="H581" s="181"/>
      <c r="I581" s="178"/>
    </row>
    <row r="582" spans="3:9">
      <c r="C582" s="178"/>
      <c r="D582" s="178"/>
      <c r="E582" s="178"/>
      <c r="F582" s="178"/>
      <c r="G582" s="181"/>
      <c r="H582" s="181"/>
      <c r="I582" s="178"/>
    </row>
    <row r="583" spans="3:9">
      <c r="C583" s="178"/>
      <c r="D583" s="178"/>
      <c r="E583" s="178"/>
      <c r="F583" s="178"/>
      <c r="G583" s="181"/>
      <c r="H583" s="181"/>
      <c r="I583" s="178"/>
    </row>
    <row r="584" spans="3:9">
      <c r="C584" s="178"/>
      <c r="D584" s="178"/>
      <c r="E584" s="178"/>
      <c r="F584" s="178"/>
      <c r="G584" s="181"/>
      <c r="H584" s="181"/>
      <c r="I584" s="178"/>
    </row>
    <row r="585" spans="3:9">
      <c r="C585" s="178"/>
      <c r="D585" s="178"/>
      <c r="E585" s="178"/>
      <c r="F585" s="178"/>
      <c r="G585" s="181"/>
      <c r="H585" s="181"/>
      <c r="I585" s="178"/>
    </row>
    <row r="586" spans="3:9">
      <c r="C586" s="178"/>
      <c r="D586" s="178"/>
      <c r="E586" s="178"/>
      <c r="F586" s="178"/>
      <c r="G586" s="181"/>
      <c r="H586" s="181"/>
      <c r="I586" s="178"/>
    </row>
    <row r="587" spans="3:9">
      <c r="C587" s="178"/>
      <c r="D587" s="178"/>
      <c r="E587" s="178"/>
      <c r="F587" s="178"/>
      <c r="G587" s="181"/>
      <c r="H587" s="181"/>
      <c r="I587" s="178"/>
    </row>
    <row r="588" spans="3:9">
      <c r="C588" s="178"/>
      <c r="D588" s="178"/>
      <c r="E588" s="178"/>
      <c r="F588" s="178"/>
      <c r="G588" s="181"/>
      <c r="H588" s="181"/>
      <c r="I588" s="178"/>
    </row>
    <row r="589" spans="3:9">
      <c r="C589" s="178"/>
      <c r="D589" s="178"/>
      <c r="E589" s="178"/>
      <c r="F589" s="178"/>
      <c r="G589" s="181"/>
      <c r="H589" s="181"/>
      <c r="I589" s="178"/>
    </row>
    <row r="590" spans="3:9">
      <c r="C590" s="178"/>
      <c r="D590" s="178"/>
      <c r="E590" s="178"/>
      <c r="F590" s="178"/>
      <c r="G590" s="181"/>
      <c r="H590" s="181"/>
      <c r="I590" s="178"/>
    </row>
    <row r="591" spans="3:9">
      <c r="C591" s="178"/>
      <c r="D591" s="178"/>
      <c r="E591" s="178"/>
      <c r="F591" s="178"/>
      <c r="G591" s="181"/>
      <c r="H591" s="181"/>
      <c r="I591" s="178"/>
    </row>
    <row r="592" spans="3:9">
      <c r="C592" s="178"/>
      <c r="D592" s="178"/>
      <c r="E592" s="178"/>
      <c r="F592" s="178"/>
      <c r="G592" s="181"/>
      <c r="H592" s="181"/>
      <c r="I592" s="178"/>
    </row>
    <row r="593" spans="3:9">
      <c r="C593" s="178"/>
      <c r="D593" s="178"/>
      <c r="E593" s="178"/>
      <c r="F593" s="178"/>
      <c r="G593" s="181"/>
      <c r="H593" s="181"/>
      <c r="I593" s="178"/>
    </row>
    <row r="594" spans="3:9">
      <c r="C594" s="178"/>
      <c r="D594" s="178"/>
      <c r="E594" s="178"/>
      <c r="F594" s="178"/>
      <c r="G594" s="181"/>
      <c r="H594" s="181"/>
      <c r="I594" s="178"/>
    </row>
    <row r="595" spans="3:9">
      <c r="C595" s="178"/>
      <c r="D595" s="178"/>
      <c r="E595" s="178"/>
      <c r="F595" s="178"/>
      <c r="G595" s="181"/>
      <c r="H595" s="181"/>
      <c r="I595" s="178"/>
    </row>
    <row r="596" spans="3:9">
      <c r="C596" s="178"/>
      <c r="D596" s="178"/>
      <c r="E596" s="178"/>
      <c r="F596" s="178"/>
      <c r="G596" s="181"/>
      <c r="H596" s="181"/>
      <c r="I596" s="178"/>
    </row>
    <row r="597" spans="3:9">
      <c r="C597" s="178"/>
      <c r="D597" s="178"/>
      <c r="E597" s="178"/>
      <c r="F597" s="178"/>
      <c r="G597" s="181"/>
      <c r="H597" s="181"/>
      <c r="I597" s="178"/>
    </row>
    <row r="598" spans="3:9">
      <c r="C598" s="178"/>
      <c r="D598" s="178"/>
      <c r="E598" s="178"/>
      <c r="F598" s="178"/>
      <c r="G598" s="181"/>
      <c r="H598" s="181"/>
      <c r="I598" s="178"/>
    </row>
    <row r="599" spans="3:9">
      <c r="C599" s="178"/>
      <c r="D599" s="178"/>
      <c r="E599" s="178"/>
      <c r="F599" s="178"/>
      <c r="G599" s="181"/>
      <c r="H599" s="181"/>
      <c r="I599" s="178"/>
    </row>
    <row r="600" spans="3:9">
      <c r="C600" s="178"/>
      <c r="D600" s="178"/>
      <c r="E600" s="178"/>
      <c r="F600" s="178"/>
      <c r="G600" s="181"/>
      <c r="H600" s="181"/>
      <c r="I600" s="178"/>
    </row>
    <row r="601" spans="3:9">
      <c r="C601" s="178"/>
      <c r="D601" s="178"/>
      <c r="E601" s="178"/>
      <c r="F601" s="178"/>
      <c r="G601" s="181"/>
      <c r="H601" s="181"/>
      <c r="I601" s="178"/>
    </row>
    <row r="602" spans="3:9">
      <c r="C602" s="178"/>
      <c r="D602" s="178"/>
      <c r="E602" s="178"/>
      <c r="F602" s="178"/>
      <c r="G602" s="181"/>
      <c r="H602" s="181"/>
      <c r="I602" s="178"/>
    </row>
    <row r="603" spans="3:9">
      <c r="C603" s="178"/>
      <c r="D603" s="178"/>
      <c r="E603" s="178"/>
      <c r="F603" s="178"/>
      <c r="G603" s="181"/>
      <c r="H603" s="181"/>
      <c r="I603" s="178"/>
    </row>
    <row r="604" spans="3:9">
      <c r="C604" s="178"/>
      <c r="D604" s="178"/>
      <c r="E604" s="178"/>
      <c r="F604" s="178"/>
      <c r="G604" s="181"/>
      <c r="H604" s="181"/>
      <c r="I604" s="178"/>
    </row>
    <row r="605" spans="3:9">
      <c r="C605" s="178"/>
      <c r="D605" s="178"/>
      <c r="E605" s="178"/>
      <c r="F605" s="178"/>
      <c r="G605" s="181"/>
      <c r="H605" s="181"/>
      <c r="I605" s="178"/>
    </row>
    <row r="606" spans="3:9">
      <c r="C606" s="178"/>
      <c r="D606" s="178"/>
      <c r="E606" s="178"/>
      <c r="F606" s="178"/>
      <c r="G606" s="181"/>
      <c r="H606" s="181"/>
      <c r="I606" s="178"/>
    </row>
    <row r="607" spans="3:9">
      <c r="C607" s="178"/>
      <c r="D607" s="178"/>
      <c r="E607" s="178"/>
      <c r="F607" s="178"/>
      <c r="G607" s="181"/>
      <c r="H607" s="181"/>
      <c r="I607" s="178"/>
    </row>
    <row r="608" spans="3:9">
      <c r="C608" s="178"/>
      <c r="D608" s="178"/>
      <c r="E608" s="178"/>
      <c r="F608" s="178"/>
      <c r="G608" s="181"/>
      <c r="H608" s="181"/>
      <c r="I608" s="178"/>
    </row>
    <row r="609" spans="3:9">
      <c r="C609" s="178"/>
      <c r="D609" s="178"/>
      <c r="E609" s="178"/>
      <c r="F609" s="178"/>
      <c r="G609" s="181"/>
      <c r="H609" s="181"/>
      <c r="I609" s="178"/>
    </row>
    <row r="610" spans="3:9">
      <c r="C610" s="178"/>
      <c r="D610" s="178"/>
      <c r="E610" s="178"/>
      <c r="F610" s="178"/>
      <c r="G610" s="181"/>
      <c r="H610" s="181"/>
      <c r="I610" s="178"/>
    </row>
    <row r="611" spans="3:9">
      <c r="C611" s="178"/>
      <c r="D611" s="178"/>
      <c r="E611" s="178"/>
      <c r="F611" s="178"/>
      <c r="G611" s="181"/>
      <c r="H611" s="181"/>
      <c r="I611" s="178"/>
    </row>
    <row r="612" spans="3:9">
      <c r="C612" s="178"/>
      <c r="D612" s="178"/>
      <c r="E612" s="178"/>
      <c r="F612" s="178"/>
      <c r="G612" s="181"/>
      <c r="H612" s="181"/>
      <c r="I612" s="178"/>
    </row>
    <row r="613" spans="3:9">
      <c r="C613" s="178"/>
      <c r="D613" s="178"/>
      <c r="E613" s="178"/>
      <c r="F613" s="178"/>
      <c r="G613" s="181"/>
      <c r="H613" s="181"/>
      <c r="I613" s="178"/>
    </row>
    <row r="614" spans="3:9">
      <c r="C614" s="178"/>
      <c r="D614" s="178"/>
      <c r="E614" s="178"/>
      <c r="F614" s="178"/>
      <c r="G614" s="181"/>
      <c r="H614" s="181"/>
      <c r="I614" s="178"/>
    </row>
    <row r="615" spans="3:9">
      <c r="C615" s="178"/>
      <c r="D615" s="178"/>
      <c r="E615" s="178"/>
      <c r="F615" s="178"/>
      <c r="G615" s="181"/>
      <c r="H615" s="181"/>
      <c r="I615" s="178"/>
    </row>
    <row r="616" spans="3:9">
      <c r="C616" s="178"/>
      <c r="D616" s="178"/>
      <c r="E616" s="178"/>
      <c r="F616" s="178"/>
      <c r="G616" s="181"/>
      <c r="H616" s="181"/>
      <c r="I616" s="178"/>
    </row>
    <row r="617" spans="3:9">
      <c r="C617" s="178"/>
      <c r="D617" s="178"/>
      <c r="E617" s="178"/>
      <c r="F617" s="178"/>
      <c r="G617" s="181"/>
      <c r="H617" s="181"/>
      <c r="I617" s="178"/>
    </row>
    <row r="618" spans="3:9">
      <c r="C618" s="178"/>
      <c r="D618" s="178"/>
      <c r="E618" s="178"/>
      <c r="F618" s="178"/>
      <c r="G618" s="181"/>
      <c r="H618" s="181"/>
      <c r="I618" s="178"/>
    </row>
    <row r="619" spans="3:9">
      <c r="C619" s="178"/>
      <c r="D619" s="178"/>
      <c r="E619" s="178"/>
      <c r="F619" s="178"/>
      <c r="G619" s="181"/>
      <c r="H619" s="181"/>
      <c r="I619" s="178"/>
    </row>
    <row r="620" spans="3:9">
      <c r="C620" s="178"/>
      <c r="D620" s="178"/>
      <c r="E620" s="178"/>
      <c r="F620" s="178"/>
      <c r="G620" s="181"/>
      <c r="H620" s="181"/>
      <c r="I620" s="178"/>
    </row>
    <row r="621" spans="3:9">
      <c r="C621" s="178"/>
      <c r="D621" s="178"/>
      <c r="E621" s="178"/>
      <c r="F621" s="178"/>
      <c r="G621" s="181"/>
      <c r="H621" s="181"/>
      <c r="I621" s="178"/>
    </row>
    <row r="622" spans="3:9">
      <c r="C622" s="178"/>
      <c r="D622" s="178"/>
      <c r="E622" s="178"/>
      <c r="F622" s="178"/>
      <c r="G622" s="181"/>
      <c r="H622" s="181"/>
      <c r="I622" s="178"/>
    </row>
    <row r="623" spans="3:9">
      <c r="C623" s="178"/>
      <c r="D623" s="178"/>
      <c r="E623" s="178"/>
      <c r="F623" s="178"/>
      <c r="G623" s="181"/>
      <c r="H623" s="181"/>
      <c r="I623" s="178"/>
    </row>
    <row r="624" spans="3:9">
      <c r="C624" s="178"/>
      <c r="D624" s="178"/>
      <c r="E624" s="178"/>
      <c r="F624" s="178"/>
      <c r="G624" s="181"/>
      <c r="H624" s="181"/>
      <c r="I624" s="178"/>
    </row>
    <row r="625" spans="3:9">
      <c r="C625" s="178"/>
      <c r="D625" s="178"/>
      <c r="E625" s="178"/>
      <c r="F625" s="178"/>
      <c r="G625" s="181"/>
      <c r="H625" s="181"/>
      <c r="I625" s="178"/>
    </row>
    <row r="626" spans="3:9">
      <c r="C626" s="178"/>
      <c r="D626" s="178"/>
      <c r="E626" s="178"/>
      <c r="F626" s="178"/>
      <c r="G626" s="181"/>
      <c r="H626" s="181"/>
      <c r="I626" s="178"/>
    </row>
    <row r="627" spans="3:9">
      <c r="C627" s="178"/>
      <c r="D627" s="178"/>
      <c r="E627" s="178"/>
      <c r="F627" s="178"/>
      <c r="G627" s="181"/>
      <c r="H627" s="181"/>
      <c r="I627" s="178"/>
    </row>
    <row r="628" spans="3:9">
      <c r="C628" s="178"/>
      <c r="D628" s="178"/>
      <c r="E628" s="178"/>
      <c r="F628" s="178"/>
      <c r="G628" s="181"/>
      <c r="H628" s="181"/>
      <c r="I628" s="178"/>
    </row>
    <row r="629" spans="3:9">
      <c r="C629" s="178"/>
      <c r="D629" s="178"/>
      <c r="E629" s="178"/>
      <c r="F629" s="178"/>
      <c r="G629" s="181"/>
      <c r="H629" s="181"/>
      <c r="I629" s="178"/>
    </row>
    <row r="630" spans="3:9">
      <c r="C630" s="178"/>
      <c r="D630" s="178"/>
      <c r="E630" s="178"/>
      <c r="F630" s="178"/>
      <c r="G630" s="181"/>
      <c r="H630" s="181"/>
      <c r="I630" s="178"/>
    </row>
    <row r="631" spans="3:9">
      <c r="C631" s="178"/>
      <c r="D631" s="178"/>
      <c r="E631" s="178"/>
      <c r="F631" s="178"/>
      <c r="G631" s="181"/>
      <c r="H631" s="181"/>
      <c r="I631" s="178"/>
    </row>
    <row r="632" spans="3:9">
      <c r="C632" s="178"/>
      <c r="D632" s="178"/>
      <c r="E632" s="178"/>
      <c r="F632" s="178"/>
      <c r="G632" s="181"/>
      <c r="H632" s="181"/>
      <c r="I632" s="178"/>
    </row>
    <row r="633" spans="3:9">
      <c r="C633" s="178"/>
      <c r="D633" s="178"/>
      <c r="E633" s="178"/>
      <c r="F633" s="178"/>
      <c r="G633" s="181"/>
      <c r="H633" s="181"/>
      <c r="I633" s="178"/>
    </row>
    <row r="634" spans="3:9">
      <c r="C634" s="178"/>
      <c r="D634" s="178"/>
      <c r="E634" s="178"/>
      <c r="F634" s="178"/>
      <c r="G634" s="181"/>
      <c r="H634" s="181"/>
      <c r="I634" s="178"/>
    </row>
    <row r="635" spans="3:9">
      <c r="C635" s="178"/>
      <c r="D635" s="178"/>
      <c r="E635" s="178"/>
      <c r="F635" s="178"/>
      <c r="G635" s="181"/>
      <c r="H635" s="181"/>
      <c r="I635" s="178"/>
    </row>
    <row r="636" spans="3:9">
      <c r="C636" s="178"/>
      <c r="D636" s="178"/>
      <c r="E636" s="178"/>
      <c r="F636" s="178"/>
      <c r="G636" s="181"/>
      <c r="H636" s="181"/>
      <c r="I636" s="178"/>
    </row>
    <row r="637" spans="3:9">
      <c r="C637" s="178"/>
      <c r="D637" s="178"/>
      <c r="E637" s="178"/>
      <c r="F637" s="178"/>
      <c r="G637" s="181"/>
      <c r="H637" s="181"/>
      <c r="I637" s="178"/>
    </row>
    <row r="638" spans="3:9">
      <c r="C638" s="178"/>
      <c r="D638" s="178"/>
      <c r="E638" s="178"/>
      <c r="F638" s="178"/>
      <c r="G638" s="181"/>
      <c r="H638" s="181"/>
      <c r="I638" s="178"/>
    </row>
    <row r="639" spans="3:9">
      <c r="C639" s="178"/>
      <c r="D639" s="178"/>
      <c r="E639" s="178"/>
      <c r="F639" s="178"/>
      <c r="G639" s="181"/>
      <c r="H639" s="181"/>
      <c r="I639" s="178"/>
    </row>
    <row r="640" spans="3:9">
      <c r="C640" s="178"/>
      <c r="D640" s="178"/>
      <c r="E640" s="178"/>
      <c r="F640" s="178"/>
      <c r="G640" s="181"/>
      <c r="H640" s="181"/>
      <c r="I640" s="178"/>
    </row>
    <row r="641" spans="3:9">
      <c r="C641" s="178"/>
      <c r="D641" s="178"/>
      <c r="E641" s="178"/>
      <c r="F641" s="178"/>
      <c r="G641" s="181"/>
      <c r="H641" s="181"/>
      <c r="I641" s="178"/>
    </row>
    <row r="642" spans="3:9">
      <c r="C642" s="178"/>
      <c r="D642" s="178"/>
      <c r="E642" s="178"/>
      <c r="F642" s="178"/>
      <c r="G642" s="181"/>
      <c r="H642" s="181"/>
      <c r="I642" s="178"/>
    </row>
    <row r="643" spans="3:9">
      <c r="C643" s="178"/>
      <c r="D643" s="178"/>
      <c r="E643" s="178"/>
      <c r="F643" s="178"/>
      <c r="G643" s="181"/>
      <c r="H643" s="181"/>
      <c r="I643" s="178"/>
    </row>
    <row r="644" spans="3:9">
      <c r="C644" s="178"/>
      <c r="D644" s="178"/>
      <c r="E644" s="178"/>
      <c r="F644" s="178"/>
      <c r="G644" s="181"/>
      <c r="H644" s="181"/>
      <c r="I644" s="178"/>
    </row>
    <row r="645" spans="3:9">
      <c r="C645" s="178"/>
      <c r="D645" s="178"/>
      <c r="E645" s="178"/>
      <c r="F645" s="178"/>
      <c r="G645" s="181"/>
      <c r="H645" s="181"/>
      <c r="I645" s="178"/>
    </row>
    <row r="646" spans="3:9">
      <c r="C646" s="178"/>
      <c r="D646" s="178"/>
      <c r="E646" s="178"/>
      <c r="F646" s="178"/>
      <c r="G646" s="181"/>
      <c r="H646" s="181"/>
      <c r="I646" s="178"/>
    </row>
    <row r="647" spans="3:9">
      <c r="C647" s="178"/>
      <c r="D647" s="178"/>
      <c r="E647" s="178"/>
      <c r="F647" s="178"/>
      <c r="G647" s="181"/>
      <c r="H647" s="181"/>
      <c r="I647" s="178"/>
    </row>
    <row r="648" spans="3:9">
      <c r="C648" s="178"/>
      <c r="D648" s="178"/>
      <c r="E648" s="178"/>
      <c r="F648" s="178"/>
      <c r="G648" s="181"/>
      <c r="H648" s="181"/>
      <c r="I648" s="178"/>
    </row>
    <row r="649" spans="3:9">
      <c r="C649" s="178"/>
      <c r="D649" s="178"/>
      <c r="E649" s="178"/>
      <c r="F649" s="178"/>
      <c r="G649" s="181"/>
      <c r="H649" s="181"/>
      <c r="I649" s="178"/>
    </row>
    <row r="650" spans="3:9">
      <c r="C650" s="178"/>
      <c r="D650" s="178"/>
      <c r="E650" s="178"/>
      <c r="F650" s="178"/>
      <c r="G650" s="181"/>
      <c r="H650" s="181"/>
      <c r="I650" s="178"/>
    </row>
    <row r="651" spans="3:9">
      <c r="C651" s="178"/>
      <c r="D651" s="178"/>
      <c r="E651" s="178"/>
      <c r="F651" s="178"/>
      <c r="G651" s="181"/>
      <c r="H651" s="181"/>
      <c r="I651" s="178"/>
    </row>
    <row r="652" spans="3:9">
      <c r="C652" s="178"/>
      <c r="D652" s="178"/>
      <c r="E652" s="178"/>
      <c r="F652" s="178"/>
      <c r="G652" s="181"/>
      <c r="H652" s="181"/>
      <c r="I652" s="178"/>
    </row>
    <row r="653" spans="3:9">
      <c r="C653" s="178"/>
      <c r="D653" s="178"/>
      <c r="E653" s="178"/>
      <c r="F653" s="178"/>
      <c r="G653" s="181"/>
      <c r="H653" s="181"/>
      <c r="I653" s="178"/>
    </row>
    <row r="654" spans="3:9">
      <c r="C654" s="178"/>
      <c r="D654" s="178"/>
      <c r="E654" s="178"/>
      <c r="F654" s="178"/>
      <c r="G654" s="181"/>
      <c r="H654" s="181"/>
      <c r="I654" s="178"/>
    </row>
    <row r="655" spans="3:9">
      <c r="C655" s="178"/>
      <c r="D655" s="178"/>
      <c r="E655" s="178"/>
      <c r="F655" s="178"/>
      <c r="G655" s="181"/>
      <c r="H655" s="181"/>
      <c r="I655" s="178"/>
    </row>
    <row r="656" spans="3:9">
      <c r="C656" s="178"/>
      <c r="D656" s="178"/>
      <c r="E656" s="178"/>
      <c r="F656" s="178"/>
      <c r="G656" s="181"/>
      <c r="H656" s="181"/>
      <c r="I656" s="178"/>
    </row>
    <row r="657" spans="3:9">
      <c r="C657" s="178"/>
      <c r="D657" s="178"/>
      <c r="E657" s="178"/>
      <c r="F657" s="178"/>
      <c r="G657" s="181"/>
      <c r="H657" s="181"/>
      <c r="I657" s="178"/>
    </row>
    <row r="658" spans="3:9">
      <c r="C658" s="178"/>
      <c r="D658" s="178"/>
      <c r="E658" s="178"/>
      <c r="F658" s="178"/>
      <c r="G658" s="181"/>
      <c r="H658" s="181"/>
      <c r="I658" s="178"/>
    </row>
    <row r="659" spans="3:9">
      <c r="C659" s="178"/>
      <c r="D659" s="178"/>
      <c r="E659" s="178"/>
      <c r="F659" s="178"/>
      <c r="G659" s="181"/>
      <c r="H659" s="181"/>
      <c r="I659" s="178"/>
    </row>
    <row r="660" spans="3:9">
      <c r="C660" s="178"/>
      <c r="D660" s="178"/>
      <c r="E660" s="178"/>
      <c r="F660" s="178"/>
      <c r="G660" s="181"/>
      <c r="H660" s="181"/>
      <c r="I660" s="178"/>
    </row>
    <row r="661" spans="3:9">
      <c r="C661" s="178"/>
      <c r="D661" s="178"/>
      <c r="E661" s="178"/>
      <c r="F661" s="178"/>
      <c r="G661" s="181"/>
      <c r="H661" s="181"/>
      <c r="I661" s="178"/>
    </row>
    <row r="662" spans="3:9">
      <c r="C662" s="178"/>
      <c r="D662" s="178"/>
      <c r="E662" s="178"/>
      <c r="F662" s="178"/>
      <c r="G662" s="181"/>
      <c r="H662" s="181"/>
      <c r="I662" s="178"/>
    </row>
    <row r="663" spans="3:9">
      <c r="C663" s="178"/>
      <c r="D663" s="178"/>
      <c r="E663" s="178"/>
      <c r="F663" s="178"/>
      <c r="G663" s="181"/>
      <c r="H663" s="181"/>
      <c r="I663" s="178"/>
    </row>
    <row r="664" spans="3:9">
      <c r="C664" s="178"/>
      <c r="D664" s="178"/>
      <c r="E664" s="178"/>
      <c r="F664" s="178"/>
      <c r="G664" s="181"/>
      <c r="H664" s="181"/>
      <c r="I664" s="178"/>
    </row>
    <row r="665" spans="3:9">
      <c r="C665" s="178"/>
      <c r="D665" s="178"/>
      <c r="E665" s="178"/>
      <c r="F665" s="178"/>
      <c r="G665" s="181"/>
      <c r="H665" s="181"/>
      <c r="I665" s="178"/>
    </row>
    <row r="666" spans="3:9">
      <c r="C666" s="178"/>
      <c r="D666" s="178"/>
      <c r="E666" s="178"/>
      <c r="F666" s="178"/>
      <c r="G666" s="181"/>
      <c r="H666" s="181"/>
      <c r="I666" s="178"/>
    </row>
    <row r="667" spans="3:9">
      <c r="C667" s="178"/>
      <c r="D667" s="178"/>
      <c r="E667" s="178"/>
      <c r="F667" s="178"/>
      <c r="G667" s="181"/>
      <c r="H667" s="181"/>
      <c r="I667" s="178"/>
    </row>
    <row r="668" spans="3:9">
      <c r="C668" s="178"/>
      <c r="D668" s="178"/>
      <c r="E668" s="178"/>
      <c r="F668" s="178"/>
      <c r="G668" s="181"/>
      <c r="H668" s="181"/>
      <c r="I668" s="178"/>
    </row>
    <row r="669" spans="3:9">
      <c r="C669" s="178"/>
      <c r="D669" s="178"/>
      <c r="E669" s="178"/>
      <c r="F669" s="178"/>
      <c r="G669" s="181"/>
      <c r="H669" s="181"/>
      <c r="I669" s="178"/>
    </row>
    <row r="670" spans="3:9">
      <c r="C670" s="178"/>
      <c r="D670" s="178"/>
      <c r="E670" s="178"/>
      <c r="F670" s="178"/>
      <c r="G670" s="181"/>
      <c r="H670" s="181"/>
      <c r="I670" s="178"/>
    </row>
    <row r="671" spans="3:9">
      <c r="C671" s="178"/>
      <c r="D671" s="178"/>
      <c r="E671" s="178"/>
      <c r="F671" s="178"/>
      <c r="G671" s="181"/>
      <c r="H671" s="181"/>
      <c r="I671" s="178"/>
    </row>
    <row r="672" spans="3:9">
      <c r="C672" s="178"/>
      <c r="D672" s="178"/>
      <c r="E672" s="178"/>
      <c r="F672" s="178"/>
      <c r="G672" s="181"/>
      <c r="H672" s="181"/>
      <c r="I672" s="178"/>
    </row>
    <row r="673" spans="3:9">
      <c r="C673" s="178"/>
      <c r="D673" s="178"/>
      <c r="E673" s="178"/>
      <c r="F673" s="178"/>
      <c r="G673" s="181"/>
      <c r="H673" s="181"/>
      <c r="I673" s="178"/>
    </row>
    <row r="674" spans="3:9">
      <c r="C674" s="178"/>
      <c r="D674" s="178"/>
      <c r="E674" s="178"/>
      <c r="F674" s="178"/>
      <c r="G674" s="181"/>
      <c r="H674" s="181"/>
      <c r="I674" s="178"/>
    </row>
    <row r="675" spans="3:9">
      <c r="C675" s="178"/>
      <c r="D675" s="178"/>
      <c r="E675" s="178"/>
      <c r="F675" s="178"/>
      <c r="G675" s="181"/>
      <c r="H675" s="181"/>
      <c r="I675" s="178"/>
    </row>
    <row r="676" spans="3:9">
      <c r="C676" s="178"/>
      <c r="D676" s="178"/>
      <c r="E676" s="178"/>
      <c r="F676" s="178"/>
      <c r="G676" s="181"/>
      <c r="H676" s="181"/>
      <c r="I676" s="178"/>
    </row>
    <row r="677" spans="3:9">
      <c r="C677" s="178"/>
      <c r="D677" s="178"/>
      <c r="E677" s="178"/>
      <c r="F677" s="178"/>
      <c r="G677" s="181"/>
      <c r="H677" s="181"/>
      <c r="I677" s="178"/>
    </row>
    <row r="678" spans="3:9">
      <c r="C678" s="178"/>
      <c r="D678" s="178"/>
      <c r="E678" s="178"/>
      <c r="F678" s="178"/>
      <c r="G678" s="181"/>
      <c r="H678" s="181"/>
      <c r="I678" s="178"/>
    </row>
    <row r="679" spans="3:9">
      <c r="C679" s="178"/>
      <c r="D679" s="178"/>
      <c r="E679" s="178"/>
      <c r="F679" s="178"/>
      <c r="G679" s="181"/>
      <c r="H679" s="181"/>
      <c r="I679" s="178"/>
    </row>
    <row r="680" spans="3:9">
      <c r="C680" s="178"/>
      <c r="D680" s="178"/>
      <c r="E680" s="178"/>
      <c r="F680" s="178"/>
      <c r="G680" s="181"/>
      <c r="H680" s="181"/>
      <c r="I680" s="178"/>
    </row>
    <row r="681" spans="3:9">
      <c r="C681" s="178"/>
      <c r="D681" s="178"/>
      <c r="E681" s="178"/>
      <c r="F681" s="178"/>
      <c r="G681" s="181"/>
      <c r="H681" s="181"/>
      <c r="I681" s="178"/>
    </row>
    <row r="682" spans="3:9">
      <c r="C682" s="178"/>
      <c r="D682" s="178"/>
      <c r="E682" s="178"/>
      <c r="F682" s="178"/>
      <c r="G682" s="181"/>
      <c r="H682" s="181"/>
      <c r="I682" s="178"/>
    </row>
    <row r="683" spans="3:9">
      <c r="C683" s="178"/>
      <c r="D683" s="178"/>
      <c r="E683" s="178"/>
      <c r="F683" s="178"/>
      <c r="G683" s="181"/>
      <c r="H683" s="181"/>
      <c r="I683" s="178"/>
    </row>
    <row r="684" spans="3:9">
      <c r="C684" s="178"/>
      <c r="D684" s="178"/>
      <c r="E684" s="178"/>
      <c r="F684" s="178"/>
      <c r="G684" s="181"/>
      <c r="H684" s="181"/>
      <c r="I684" s="178"/>
    </row>
    <row r="685" spans="3:9">
      <c r="C685" s="178"/>
      <c r="D685" s="178"/>
      <c r="E685" s="178"/>
      <c r="F685" s="178"/>
      <c r="G685" s="181"/>
      <c r="H685" s="181"/>
      <c r="I685" s="178"/>
    </row>
    <row r="686" spans="3:9">
      <c r="C686" s="178"/>
      <c r="D686" s="178"/>
      <c r="E686" s="178"/>
      <c r="F686" s="178"/>
      <c r="G686" s="181"/>
      <c r="H686" s="181"/>
      <c r="I686" s="178"/>
    </row>
    <row r="687" spans="3:9">
      <c r="C687" s="178"/>
      <c r="D687" s="178"/>
      <c r="E687" s="178"/>
      <c r="F687" s="178"/>
      <c r="G687" s="181"/>
      <c r="H687" s="181"/>
      <c r="I687" s="178"/>
    </row>
    <row r="688" spans="3:9">
      <c r="C688" s="178"/>
      <c r="D688" s="178"/>
      <c r="E688" s="178"/>
      <c r="F688" s="178"/>
      <c r="G688" s="181"/>
      <c r="H688" s="181"/>
      <c r="I688" s="178"/>
    </row>
    <row r="689" spans="3:9">
      <c r="C689" s="178"/>
      <c r="D689" s="178"/>
      <c r="E689" s="178"/>
      <c r="F689" s="178"/>
      <c r="G689" s="181"/>
      <c r="H689" s="181"/>
      <c r="I689" s="178"/>
    </row>
    <row r="690" spans="3:9">
      <c r="C690" s="178"/>
      <c r="D690" s="178"/>
      <c r="E690" s="178"/>
      <c r="F690" s="178"/>
      <c r="G690" s="181"/>
      <c r="H690" s="181"/>
      <c r="I690" s="178"/>
    </row>
    <row r="691" spans="3:9">
      <c r="C691" s="178"/>
      <c r="D691" s="178"/>
      <c r="E691" s="178"/>
      <c r="F691" s="178"/>
      <c r="G691" s="181"/>
      <c r="H691" s="181"/>
      <c r="I691" s="178"/>
    </row>
    <row r="692" spans="3:9">
      <c r="C692" s="178"/>
      <c r="D692" s="178"/>
      <c r="E692" s="178"/>
      <c r="F692" s="178"/>
      <c r="G692" s="181"/>
      <c r="H692" s="181"/>
      <c r="I692" s="178"/>
    </row>
    <row r="693" spans="3:9">
      <c r="C693" s="178"/>
      <c r="D693" s="178"/>
      <c r="E693" s="178"/>
      <c r="F693" s="178"/>
      <c r="G693" s="181"/>
      <c r="H693" s="181"/>
      <c r="I693" s="178"/>
    </row>
    <row r="694" spans="3:9">
      <c r="C694" s="178"/>
      <c r="D694" s="178"/>
      <c r="E694" s="178"/>
      <c r="F694" s="178"/>
      <c r="G694" s="181"/>
      <c r="H694" s="181"/>
      <c r="I694" s="178"/>
    </row>
    <row r="695" spans="3:9">
      <c r="C695" s="178"/>
      <c r="D695" s="178"/>
      <c r="E695" s="178"/>
      <c r="F695" s="178"/>
      <c r="G695" s="181"/>
      <c r="H695" s="181"/>
      <c r="I695" s="178"/>
    </row>
    <row r="696" spans="3:9">
      <c r="C696" s="178"/>
      <c r="D696" s="178"/>
      <c r="E696" s="178"/>
      <c r="F696" s="178"/>
      <c r="G696" s="181"/>
      <c r="H696" s="181"/>
      <c r="I696" s="178"/>
    </row>
    <row r="697" spans="3:9">
      <c r="C697" s="178"/>
      <c r="D697" s="178"/>
      <c r="E697" s="178"/>
      <c r="F697" s="178"/>
      <c r="G697" s="181"/>
      <c r="H697" s="181"/>
      <c r="I697" s="178"/>
    </row>
    <row r="698" spans="3:9">
      <c r="C698" s="178"/>
      <c r="D698" s="178"/>
      <c r="E698" s="178"/>
      <c r="F698" s="178"/>
      <c r="G698" s="181"/>
      <c r="H698" s="181"/>
      <c r="I698" s="178"/>
    </row>
    <row r="699" spans="3:9">
      <c r="C699" s="178"/>
      <c r="D699" s="178"/>
      <c r="E699" s="178"/>
      <c r="F699" s="178"/>
      <c r="G699" s="181"/>
      <c r="H699" s="181"/>
      <c r="I699" s="178"/>
    </row>
    <row r="700" spans="3:9">
      <c r="C700" s="178"/>
      <c r="D700" s="178"/>
      <c r="E700" s="178"/>
      <c r="F700" s="178"/>
      <c r="G700" s="181"/>
      <c r="H700" s="181"/>
      <c r="I700" s="178"/>
    </row>
    <row r="701" spans="3:9">
      <c r="C701" s="178"/>
      <c r="D701" s="178"/>
      <c r="E701" s="178"/>
      <c r="F701" s="178"/>
      <c r="G701" s="181"/>
      <c r="H701" s="181"/>
      <c r="I701" s="178"/>
    </row>
    <row r="702" spans="3:9">
      <c r="C702" s="178"/>
      <c r="D702" s="178"/>
      <c r="E702" s="178"/>
      <c r="F702" s="178"/>
      <c r="G702" s="181"/>
      <c r="H702" s="181"/>
      <c r="I702" s="178"/>
    </row>
    <row r="703" spans="3:9">
      <c r="C703" s="178"/>
      <c r="D703" s="178"/>
      <c r="E703" s="178"/>
      <c r="F703" s="178"/>
      <c r="G703" s="181"/>
      <c r="H703" s="181"/>
      <c r="I703" s="178"/>
    </row>
    <row r="704" spans="3:9">
      <c r="C704" s="178"/>
      <c r="D704" s="178"/>
      <c r="E704" s="178"/>
      <c r="F704" s="178"/>
      <c r="G704" s="181"/>
      <c r="H704" s="181"/>
      <c r="I704" s="178"/>
    </row>
    <row r="705" spans="3:9">
      <c r="C705" s="178"/>
      <c r="D705" s="178"/>
      <c r="E705" s="178"/>
      <c r="F705" s="178"/>
      <c r="G705" s="181"/>
      <c r="H705" s="181"/>
      <c r="I705" s="178"/>
    </row>
    <row r="706" spans="3:9">
      <c r="C706" s="178"/>
      <c r="D706" s="178"/>
      <c r="E706" s="178"/>
      <c r="F706" s="178"/>
      <c r="G706" s="181"/>
      <c r="H706" s="181"/>
      <c r="I706" s="178"/>
    </row>
    <row r="707" spans="3:9">
      <c r="C707" s="178"/>
      <c r="D707" s="178"/>
      <c r="E707" s="178"/>
      <c r="F707" s="178"/>
      <c r="G707" s="181"/>
      <c r="H707" s="181"/>
      <c r="I707" s="178"/>
    </row>
    <row r="708" spans="3:9">
      <c r="C708" s="178"/>
      <c r="D708" s="178"/>
      <c r="E708" s="178"/>
      <c r="F708" s="178"/>
      <c r="G708" s="181"/>
      <c r="H708" s="181"/>
      <c r="I708" s="178"/>
    </row>
    <row r="709" spans="3:9">
      <c r="C709" s="178"/>
      <c r="D709" s="178"/>
      <c r="E709" s="178"/>
      <c r="F709" s="178"/>
      <c r="G709" s="181"/>
      <c r="H709" s="181"/>
      <c r="I709" s="178"/>
    </row>
    <row r="710" spans="3:9">
      <c r="C710" s="178"/>
      <c r="D710" s="178"/>
      <c r="E710" s="178"/>
      <c r="F710" s="178"/>
      <c r="G710" s="181"/>
      <c r="H710" s="181"/>
      <c r="I710" s="178"/>
    </row>
    <row r="711" spans="3:9">
      <c r="C711" s="178"/>
      <c r="D711" s="178"/>
      <c r="E711" s="178"/>
      <c r="F711" s="178"/>
      <c r="G711" s="181"/>
      <c r="H711" s="181"/>
      <c r="I711" s="178"/>
    </row>
    <row r="712" spans="3:9">
      <c r="C712" s="178"/>
      <c r="D712" s="178"/>
      <c r="E712" s="178"/>
      <c r="F712" s="178"/>
      <c r="G712" s="181"/>
      <c r="H712" s="181"/>
      <c r="I712" s="178"/>
    </row>
    <row r="713" spans="3:9">
      <c r="C713" s="178"/>
      <c r="D713" s="178"/>
      <c r="E713" s="178"/>
      <c r="F713" s="178"/>
      <c r="G713" s="181"/>
      <c r="H713" s="181"/>
      <c r="I713" s="178"/>
    </row>
    <row r="714" spans="3:9">
      <c r="C714" s="178"/>
      <c r="D714" s="178"/>
      <c r="E714" s="178"/>
      <c r="F714" s="178"/>
      <c r="G714" s="181"/>
      <c r="H714" s="181"/>
      <c r="I714" s="178"/>
    </row>
    <row r="715" spans="3:9">
      <c r="C715" s="178"/>
      <c r="D715" s="178"/>
      <c r="E715" s="178"/>
      <c r="F715" s="178"/>
      <c r="G715" s="181"/>
      <c r="H715" s="181"/>
      <c r="I715" s="178"/>
    </row>
    <row r="716" spans="3:9">
      <c r="C716" s="178"/>
      <c r="D716" s="178"/>
      <c r="E716" s="178"/>
      <c r="F716" s="178"/>
      <c r="G716" s="181"/>
      <c r="H716" s="181"/>
      <c r="I716" s="178"/>
    </row>
    <row r="717" spans="3:9">
      <c r="C717" s="178"/>
      <c r="D717" s="178"/>
      <c r="E717" s="178"/>
      <c r="F717" s="178"/>
      <c r="G717" s="181"/>
      <c r="H717" s="181"/>
      <c r="I717" s="178"/>
    </row>
    <row r="718" spans="3:9">
      <c r="C718" s="178"/>
      <c r="D718" s="178"/>
      <c r="E718" s="178"/>
      <c r="F718" s="178"/>
      <c r="G718" s="181"/>
      <c r="H718" s="181"/>
      <c r="I718" s="178"/>
    </row>
    <row r="719" spans="3:9">
      <c r="C719" s="178"/>
      <c r="D719" s="178"/>
      <c r="E719" s="178"/>
      <c r="F719" s="178"/>
      <c r="G719" s="181"/>
      <c r="H719" s="181"/>
      <c r="I719" s="178"/>
    </row>
    <row r="720" spans="3:9">
      <c r="C720" s="178"/>
      <c r="D720" s="178"/>
      <c r="E720" s="178"/>
      <c r="F720" s="178"/>
      <c r="G720" s="181"/>
      <c r="H720" s="181"/>
      <c r="I720" s="178"/>
    </row>
    <row r="721" spans="3:9">
      <c r="C721" s="178"/>
      <c r="D721" s="178"/>
      <c r="E721" s="178"/>
      <c r="F721" s="178"/>
      <c r="G721" s="181"/>
      <c r="H721" s="181"/>
      <c r="I721" s="178"/>
    </row>
    <row r="722" spans="3:9">
      <c r="C722" s="178"/>
      <c r="D722" s="178"/>
      <c r="E722" s="178"/>
      <c r="F722" s="178"/>
      <c r="G722" s="181"/>
      <c r="H722" s="181"/>
      <c r="I722" s="178"/>
    </row>
    <row r="723" spans="3:9">
      <c r="C723" s="178"/>
      <c r="D723" s="178"/>
      <c r="E723" s="178"/>
      <c r="F723" s="178"/>
      <c r="G723" s="181"/>
      <c r="H723" s="181"/>
      <c r="I723" s="178"/>
    </row>
    <row r="724" spans="3:9">
      <c r="C724" s="178"/>
      <c r="D724" s="178"/>
      <c r="E724" s="178"/>
      <c r="F724" s="178"/>
      <c r="G724" s="181"/>
      <c r="H724" s="181"/>
      <c r="I724" s="178"/>
    </row>
    <row r="725" spans="3:9">
      <c r="C725" s="178"/>
      <c r="D725" s="178"/>
      <c r="E725" s="178"/>
      <c r="F725" s="178"/>
      <c r="G725" s="181"/>
      <c r="H725" s="181"/>
      <c r="I725" s="178"/>
    </row>
    <row r="726" spans="3:9">
      <c r="C726" s="178"/>
      <c r="D726" s="178"/>
      <c r="E726" s="178"/>
      <c r="F726" s="178"/>
      <c r="G726" s="181"/>
      <c r="H726" s="181"/>
      <c r="I726" s="178"/>
    </row>
    <row r="727" spans="3:9">
      <c r="C727" s="178"/>
      <c r="D727" s="178"/>
      <c r="E727" s="178"/>
      <c r="F727" s="178"/>
      <c r="G727" s="181"/>
      <c r="H727" s="181"/>
      <c r="I727" s="178"/>
    </row>
    <row r="728" spans="3:9">
      <c r="C728" s="178"/>
      <c r="D728" s="178"/>
      <c r="E728" s="178"/>
      <c r="F728" s="178"/>
      <c r="G728" s="181"/>
      <c r="H728" s="181"/>
      <c r="I728" s="178"/>
    </row>
    <row r="729" spans="3:9">
      <c r="C729" s="178"/>
      <c r="D729" s="178"/>
      <c r="E729" s="178"/>
      <c r="F729" s="178"/>
      <c r="G729" s="181"/>
      <c r="H729" s="181"/>
      <c r="I729" s="178"/>
    </row>
    <row r="730" spans="3:9">
      <c r="C730" s="178"/>
      <c r="D730" s="178"/>
      <c r="E730" s="178"/>
      <c r="F730" s="178"/>
      <c r="G730" s="181"/>
      <c r="H730" s="181"/>
      <c r="I730" s="178"/>
    </row>
    <row r="731" spans="3:9">
      <c r="C731" s="178"/>
      <c r="D731" s="178"/>
      <c r="E731" s="178"/>
      <c r="F731" s="178"/>
      <c r="G731" s="181"/>
      <c r="H731" s="181"/>
      <c r="I731" s="178"/>
    </row>
    <row r="732" spans="3:9">
      <c r="C732" s="178"/>
      <c r="D732" s="178"/>
      <c r="E732" s="178"/>
      <c r="F732" s="178"/>
      <c r="G732" s="181"/>
      <c r="H732" s="181"/>
      <c r="I732" s="178"/>
    </row>
    <row r="733" spans="3:9">
      <c r="C733" s="178"/>
      <c r="D733" s="178"/>
      <c r="E733" s="178"/>
      <c r="F733" s="178"/>
      <c r="G733" s="181"/>
      <c r="H733" s="181"/>
      <c r="I733" s="178"/>
    </row>
    <row r="734" spans="3:9">
      <c r="C734" s="178"/>
      <c r="D734" s="178"/>
      <c r="E734" s="178"/>
      <c r="F734" s="178"/>
      <c r="G734" s="181"/>
      <c r="H734" s="181"/>
      <c r="I734" s="178"/>
    </row>
    <row r="735" spans="3:9">
      <c r="C735" s="178"/>
      <c r="D735" s="178"/>
      <c r="E735" s="178"/>
      <c r="F735" s="178"/>
      <c r="G735" s="181"/>
      <c r="H735" s="181"/>
      <c r="I735" s="178"/>
    </row>
    <row r="736" spans="3:9">
      <c r="C736" s="178"/>
      <c r="D736" s="178"/>
      <c r="E736" s="178"/>
      <c r="F736" s="178"/>
      <c r="G736" s="181"/>
      <c r="H736" s="181"/>
      <c r="I736" s="178"/>
    </row>
    <row r="737" spans="3:9">
      <c r="C737" s="178"/>
      <c r="D737" s="178"/>
      <c r="E737" s="178"/>
      <c r="F737" s="178"/>
      <c r="G737" s="181"/>
      <c r="H737" s="181"/>
      <c r="I737" s="178"/>
    </row>
    <row r="738" spans="3:9">
      <c r="C738" s="178"/>
      <c r="D738" s="178"/>
      <c r="E738" s="178"/>
      <c r="F738" s="178"/>
      <c r="G738" s="181"/>
      <c r="H738" s="181"/>
      <c r="I738" s="178"/>
    </row>
    <row r="739" spans="3:9">
      <c r="C739" s="178"/>
      <c r="D739" s="178"/>
      <c r="E739" s="178"/>
      <c r="F739" s="178"/>
      <c r="G739" s="181"/>
      <c r="H739" s="181"/>
      <c r="I739" s="178"/>
    </row>
    <row r="740" spans="3:9">
      <c r="C740" s="178"/>
      <c r="D740" s="178"/>
      <c r="E740" s="178"/>
      <c r="F740" s="178"/>
      <c r="G740" s="181"/>
      <c r="H740" s="181"/>
      <c r="I740" s="178"/>
    </row>
    <row r="741" spans="3:9">
      <c r="C741" s="178"/>
      <c r="D741" s="178"/>
      <c r="E741" s="178"/>
      <c r="F741" s="178"/>
      <c r="G741" s="181"/>
      <c r="H741" s="181"/>
      <c r="I741" s="178"/>
    </row>
    <row r="742" spans="3:9">
      <c r="C742" s="178"/>
      <c r="D742" s="178"/>
      <c r="E742" s="178"/>
      <c r="F742" s="178"/>
      <c r="G742" s="181"/>
      <c r="H742" s="181"/>
      <c r="I742" s="178"/>
    </row>
    <row r="743" spans="3:9">
      <c r="C743" s="178"/>
      <c r="D743" s="178"/>
      <c r="E743" s="178"/>
      <c r="F743" s="178"/>
      <c r="G743" s="181"/>
      <c r="H743" s="181"/>
      <c r="I743" s="178"/>
    </row>
    <row r="744" spans="3:9">
      <c r="C744" s="178"/>
      <c r="D744" s="178"/>
      <c r="E744" s="178"/>
      <c r="F744" s="178"/>
      <c r="G744" s="181"/>
      <c r="H744" s="181"/>
      <c r="I744" s="178"/>
    </row>
    <row r="745" spans="3:9">
      <c r="C745" s="178"/>
      <c r="D745" s="178"/>
      <c r="E745" s="178"/>
      <c r="F745" s="178"/>
      <c r="G745" s="181"/>
      <c r="H745" s="181"/>
      <c r="I745" s="178"/>
    </row>
    <row r="746" spans="3:9">
      <c r="C746" s="178"/>
      <c r="D746" s="178"/>
      <c r="E746" s="178"/>
      <c r="F746" s="178"/>
      <c r="G746" s="181"/>
      <c r="H746" s="181"/>
      <c r="I746" s="178"/>
    </row>
    <row r="747" spans="3:9">
      <c r="C747" s="178"/>
      <c r="D747" s="178"/>
      <c r="E747" s="178"/>
      <c r="F747" s="178"/>
      <c r="G747" s="181"/>
      <c r="H747" s="181"/>
      <c r="I747" s="178"/>
    </row>
    <row r="748" spans="3:9">
      <c r="C748" s="178"/>
      <c r="D748" s="178"/>
      <c r="E748" s="178"/>
      <c r="F748" s="178"/>
      <c r="G748" s="181"/>
      <c r="H748" s="181"/>
      <c r="I748" s="178"/>
    </row>
    <row r="749" spans="3:9">
      <c r="C749" s="178"/>
      <c r="D749" s="178"/>
      <c r="E749" s="178"/>
      <c r="F749" s="178"/>
      <c r="G749" s="181"/>
      <c r="H749" s="181"/>
      <c r="I749" s="178"/>
    </row>
    <row r="750" spans="3:9">
      <c r="C750" s="178"/>
      <c r="D750" s="178"/>
      <c r="E750" s="178"/>
      <c r="F750" s="178"/>
      <c r="G750" s="181"/>
      <c r="H750" s="181"/>
      <c r="I750" s="178"/>
    </row>
    <row r="751" spans="3:9">
      <c r="C751" s="178"/>
      <c r="D751" s="178"/>
      <c r="E751" s="178"/>
      <c r="F751" s="178"/>
      <c r="G751" s="181"/>
      <c r="H751" s="181"/>
      <c r="I751" s="178"/>
    </row>
    <row r="752" spans="3:9">
      <c r="C752" s="178"/>
      <c r="D752" s="178"/>
      <c r="E752" s="178"/>
      <c r="F752" s="178"/>
      <c r="G752" s="181"/>
      <c r="H752" s="181"/>
      <c r="I752" s="178"/>
    </row>
    <row r="753" spans="3:9">
      <c r="C753" s="178"/>
      <c r="D753" s="178"/>
      <c r="E753" s="178"/>
      <c r="F753" s="178"/>
      <c r="G753" s="181"/>
      <c r="H753" s="181"/>
      <c r="I753" s="178"/>
    </row>
    <row r="754" spans="3:9">
      <c r="C754" s="178"/>
      <c r="D754" s="178"/>
      <c r="E754" s="178"/>
      <c r="F754" s="178"/>
      <c r="G754" s="181"/>
      <c r="H754" s="181"/>
      <c r="I754" s="178"/>
    </row>
    <row r="755" spans="3:9">
      <c r="C755" s="178"/>
      <c r="D755" s="178"/>
      <c r="E755" s="178"/>
      <c r="F755" s="178"/>
      <c r="G755" s="181"/>
      <c r="H755" s="181"/>
      <c r="I755" s="178"/>
    </row>
    <row r="756" spans="3:9">
      <c r="C756" s="178"/>
      <c r="D756" s="178"/>
      <c r="E756" s="178"/>
      <c r="F756" s="178"/>
      <c r="G756" s="181"/>
      <c r="H756" s="181"/>
      <c r="I756" s="178"/>
    </row>
    <row r="757" spans="3:9">
      <c r="C757" s="178"/>
      <c r="D757" s="178"/>
      <c r="E757" s="178"/>
      <c r="F757" s="178"/>
      <c r="G757" s="181"/>
      <c r="H757" s="181"/>
      <c r="I757" s="178"/>
    </row>
    <row r="758" spans="3:9">
      <c r="C758" s="178"/>
      <c r="D758" s="178"/>
      <c r="E758" s="178"/>
      <c r="F758" s="178"/>
      <c r="G758" s="181"/>
      <c r="H758" s="181"/>
      <c r="I758" s="178"/>
    </row>
    <row r="759" spans="3:9">
      <c r="C759" s="178"/>
      <c r="D759" s="178"/>
      <c r="E759" s="178"/>
      <c r="F759" s="178"/>
      <c r="G759" s="181"/>
      <c r="H759" s="181"/>
      <c r="I759" s="178"/>
    </row>
    <row r="760" spans="3:9">
      <c r="C760" s="178"/>
      <c r="D760" s="178"/>
      <c r="E760" s="178"/>
      <c r="F760" s="178"/>
      <c r="G760" s="181"/>
      <c r="H760" s="181"/>
      <c r="I760" s="178"/>
    </row>
    <row r="761" spans="3:9">
      <c r="C761" s="178"/>
      <c r="D761" s="178"/>
      <c r="E761" s="178"/>
      <c r="F761" s="178"/>
      <c r="G761" s="181"/>
      <c r="H761" s="181"/>
      <c r="I761" s="178"/>
    </row>
    <row r="762" spans="3:9">
      <c r="C762" s="178"/>
      <c r="D762" s="178"/>
      <c r="E762" s="178"/>
      <c r="F762" s="178"/>
      <c r="G762" s="181"/>
      <c r="H762" s="181"/>
      <c r="I762" s="178"/>
    </row>
    <row r="763" spans="3:9">
      <c r="C763" s="178"/>
      <c r="D763" s="178"/>
      <c r="E763" s="178"/>
      <c r="F763" s="178"/>
      <c r="G763" s="181"/>
      <c r="H763" s="181"/>
      <c r="I763" s="178"/>
    </row>
    <row r="764" spans="3:9">
      <c r="C764" s="178"/>
      <c r="D764" s="178"/>
      <c r="E764" s="178"/>
      <c r="F764" s="178"/>
      <c r="G764" s="181"/>
      <c r="H764" s="181"/>
      <c r="I764" s="178"/>
    </row>
    <row r="765" spans="3:9">
      <c r="C765" s="178"/>
      <c r="D765" s="178"/>
      <c r="E765" s="178"/>
      <c r="F765" s="178"/>
      <c r="G765" s="181"/>
      <c r="H765" s="181"/>
      <c r="I765" s="178"/>
    </row>
    <row r="766" spans="3:9">
      <c r="C766" s="178"/>
      <c r="D766" s="178"/>
      <c r="E766" s="178"/>
      <c r="F766" s="178"/>
      <c r="G766" s="181"/>
      <c r="H766" s="181"/>
      <c r="I766" s="178"/>
    </row>
    <row r="767" spans="3:9">
      <c r="C767" s="178"/>
      <c r="D767" s="178"/>
      <c r="E767" s="178"/>
      <c r="F767" s="178"/>
      <c r="G767" s="181"/>
      <c r="H767" s="181"/>
      <c r="I767" s="178"/>
    </row>
    <row r="768" spans="3:9">
      <c r="C768" s="178"/>
      <c r="D768" s="178"/>
      <c r="E768" s="178"/>
      <c r="F768" s="178"/>
      <c r="G768" s="181"/>
      <c r="H768" s="181"/>
      <c r="I768" s="178"/>
    </row>
    <row r="769" spans="3:9">
      <c r="C769" s="178"/>
      <c r="D769" s="178"/>
      <c r="E769" s="178"/>
      <c r="F769" s="178"/>
      <c r="G769" s="181"/>
      <c r="H769" s="181"/>
      <c r="I769" s="178"/>
    </row>
    <row r="770" spans="3:9">
      <c r="C770" s="178"/>
      <c r="D770" s="178"/>
      <c r="E770" s="178"/>
      <c r="F770" s="178"/>
      <c r="G770" s="181"/>
      <c r="H770" s="181"/>
      <c r="I770" s="178"/>
    </row>
    <row r="771" spans="3:9">
      <c r="C771" s="178"/>
      <c r="D771" s="178"/>
      <c r="E771" s="178"/>
      <c r="F771" s="178"/>
      <c r="G771" s="181"/>
      <c r="H771" s="181"/>
      <c r="I771" s="178"/>
    </row>
    <row r="772" spans="3:9">
      <c r="C772" s="178"/>
      <c r="D772" s="178"/>
      <c r="E772" s="178"/>
      <c r="F772" s="178"/>
      <c r="G772" s="181"/>
      <c r="H772" s="181"/>
      <c r="I772" s="178"/>
    </row>
    <row r="773" spans="3:9">
      <c r="C773" s="178"/>
      <c r="D773" s="178"/>
      <c r="E773" s="178"/>
      <c r="F773" s="178"/>
      <c r="G773" s="181"/>
      <c r="H773" s="181"/>
      <c r="I773" s="178"/>
    </row>
    <row r="774" spans="3:9">
      <c r="C774" s="178"/>
      <c r="D774" s="178"/>
      <c r="E774" s="178"/>
      <c r="F774" s="178"/>
      <c r="G774" s="181"/>
      <c r="H774" s="181"/>
      <c r="I774" s="178"/>
    </row>
    <row r="775" spans="3:9">
      <c r="C775" s="178"/>
      <c r="D775" s="178"/>
      <c r="E775" s="178"/>
      <c r="F775" s="178"/>
      <c r="G775" s="181"/>
      <c r="H775" s="181"/>
      <c r="I775" s="178"/>
    </row>
    <row r="776" spans="3:9">
      <c r="C776" s="178"/>
      <c r="D776" s="178"/>
      <c r="E776" s="178"/>
      <c r="F776" s="178"/>
      <c r="G776" s="181"/>
      <c r="H776" s="181"/>
      <c r="I776" s="178"/>
    </row>
    <row r="777" spans="3:9">
      <c r="C777" s="178"/>
      <c r="D777" s="178"/>
      <c r="E777" s="178"/>
      <c r="F777" s="178"/>
      <c r="G777" s="181"/>
      <c r="H777" s="181"/>
      <c r="I777" s="178"/>
    </row>
    <row r="778" spans="3:9">
      <c r="C778" s="178"/>
      <c r="D778" s="178"/>
      <c r="E778" s="178"/>
      <c r="F778" s="178"/>
      <c r="G778" s="181"/>
      <c r="H778" s="181"/>
      <c r="I778" s="178"/>
    </row>
    <row r="779" spans="3:9">
      <c r="C779" s="178"/>
      <c r="D779" s="178"/>
      <c r="E779" s="178"/>
      <c r="F779" s="178"/>
      <c r="G779" s="181"/>
      <c r="H779" s="181"/>
      <c r="I779" s="178"/>
    </row>
    <row r="780" spans="3:9">
      <c r="C780" s="178"/>
      <c r="D780" s="178"/>
      <c r="E780" s="178"/>
      <c r="F780" s="178"/>
      <c r="G780" s="181"/>
      <c r="H780" s="181"/>
      <c r="I780" s="178"/>
    </row>
    <row r="781" spans="3:9">
      <c r="C781" s="178"/>
      <c r="D781" s="178"/>
      <c r="E781" s="178"/>
      <c r="F781" s="178"/>
      <c r="G781" s="181"/>
      <c r="H781" s="181"/>
      <c r="I781" s="178"/>
    </row>
    <row r="782" spans="3:9">
      <c r="C782" s="178"/>
      <c r="D782" s="178"/>
      <c r="E782" s="178"/>
      <c r="F782" s="178"/>
      <c r="G782" s="181"/>
      <c r="H782" s="181"/>
      <c r="I782" s="178"/>
    </row>
    <row r="783" spans="3:9">
      <c r="C783" s="178"/>
      <c r="D783" s="178"/>
      <c r="E783" s="178"/>
      <c r="F783" s="178"/>
      <c r="G783" s="181"/>
      <c r="H783" s="181"/>
      <c r="I783" s="178"/>
    </row>
    <row r="784" spans="3:9">
      <c r="C784" s="178"/>
      <c r="D784" s="178"/>
      <c r="E784" s="178"/>
      <c r="F784" s="178"/>
      <c r="G784" s="181"/>
      <c r="H784" s="181"/>
      <c r="I784" s="178"/>
    </row>
    <row r="785" spans="3:9">
      <c r="C785" s="178"/>
      <c r="D785" s="178"/>
      <c r="E785" s="178"/>
      <c r="F785" s="178"/>
      <c r="G785" s="181"/>
      <c r="H785" s="181"/>
      <c r="I785" s="178"/>
    </row>
    <row r="786" spans="3:9">
      <c r="C786" s="178"/>
      <c r="D786" s="178"/>
      <c r="E786" s="178"/>
      <c r="F786" s="178"/>
      <c r="G786" s="181"/>
      <c r="H786" s="181"/>
      <c r="I786" s="178"/>
    </row>
    <row r="787" spans="3:9">
      <c r="C787" s="178"/>
      <c r="D787" s="178"/>
      <c r="E787" s="178"/>
      <c r="F787" s="178"/>
      <c r="G787" s="181"/>
      <c r="H787" s="181"/>
      <c r="I787" s="178"/>
    </row>
    <row r="788" spans="3:9">
      <c r="C788" s="178"/>
      <c r="D788" s="178"/>
      <c r="E788" s="178"/>
      <c r="F788" s="178"/>
      <c r="G788" s="181"/>
      <c r="H788" s="181"/>
      <c r="I788" s="178"/>
    </row>
    <row r="789" spans="3:9">
      <c r="C789" s="178"/>
      <c r="D789" s="178"/>
      <c r="E789" s="178"/>
      <c r="F789" s="178"/>
      <c r="G789" s="181"/>
      <c r="H789" s="181"/>
      <c r="I789" s="178"/>
    </row>
    <row r="790" spans="3:9">
      <c r="C790" s="178"/>
      <c r="D790" s="178"/>
      <c r="E790" s="178"/>
      <c r="F790" s="178"/>
      <c r="G790" s="181"/>
      <c r="H790" s="181"/>
      <c r="I790" s="178"/>
    </row>
    <row r="791" spans="3:9">
      <c r="C791" s="178"/>
      <c r="D791" s="178"/>
      <c r="E791" s="178"/>
      <c r="F791" s="178"/>
      <c r="G791" s="181"/>
      <c r="H791" s="181"/>
      <c r="I791" s="178"/>
    </row>
    <row r="792" spans="3:9">
      <c r="C792" s="178"/>
      <c r="D792" s="178"/>
      <c r="E792" s="178"/>
      <c r="F792" s="178"/>
      <c r="G792" s="181"/>
      <c r="H792" s="181"/>
      <c r="I792" s="178"/>
    </row>
    <row r="793" spans="3:9">
      <c r="C793" s="178"/>
      <c r="D793" s="178"/>
      <c r="E793" s="178"/>
      <c r="F793" s="178"/>
      <c r="G793" s="181"/>
      <c r="H793" s="181"/>
      <c r="I793" s="178"/>
    </row>
    <row r="794" spans="3:9">
      <c r="C794" s="178"/>
      <c r="D794" s="178"/>
      <c r="E794" s="178"/>
      <c r="F794" s="178"/>
      <c r="G794" s="181"/>
      <c r="H794" s="181"/>
      <c r="I794" s="178"/>
    </row>
    <row r="795" spans="3:9">
      <c r="C795" s="178"/>
      <c r="D795" s="178"/>
      <c r="E795" s="178"/>
      <c r="F795" s="178"/>
      <c r="G795" s="181"/>
      <c r="H795" s="181"/>
      <c r="I795" s="178"/>
    </row>
    <row r="796" spans="3:9">
      <c r="C796" s="178"/>
      <c r="D796" s="178"/>
      <c r="E796" s="178"/>
      <c r="F796" s="178"/>
      <c r="G796" s="181"/>
      <c r="H796" s="181"/>
      <c r="I796" s="178"/>
    </row>
    <row r="797" spans="3:9">
      <c r="C797" s="178"/>
      <c r="D797" s="178"/>
      <c r="E797" s="178"/>
      <c r="F797" s="178"/>
      <c r="G797" s="181"/>
      <c r="H797" s="181"/>
      <c r="I797" s="178"/>
    </row>
    <row r="798" spans="3:9">
      <c r="C798" s="178"/>
      <c r="D798" s="178"/>
      <c r="E798" s="178"/>
      <c r="F798" s="178"/>
      <c r="G798" s="181"/>
      <c r="H798" s="181"/>
      <c r="I798" s="178"/>
    </row>
    <row r="799" spans="3:9">
      <c r="C799" s="178"/>
      <c r="D799" s="178"/>
      <c r="E799" s="178"/>
      <c r="F799" s="178"/>
      <c r="G799" s="181"/>
      <c r="H799" s="181"/>
      <c r="I799" s="178"/>
    </row>
    <row r="800" spans="3:9">
      <c r="C800" s="178"/>
      <c r="D800" s="178"/>
      <c r="E800" s="178"/>
      <c r="F800" s="178"/>
      <c r="G800" s="181"/>
      <c r="H800" s="181"/>
      <c r="I800" s="178"/>
    </row>
    <row r="801" spans="3:9">
      <c r="C801" s="178"/>
      <c r="D801" s="178"/>
      <c r="E801" s="178"/>
      <c r="F801" s="178"/>
      <c r="G801" s="181"/>
      <c r="H801" s="181"/>
      <c r="I801" s="178"/>
    </row>
    <row r="802" spans="3:9">
      <c r="C802" s="178"/>
      <c r="D802" s="178"/>
      <c r="E802" s="178"/>
      <c r="F802" s="178"/>
      <c r="G802" s="181"/>
      <c r="H802" s="181"/>
      <c r="I802" s="178"/>
    </row>
    <row r="803" spans="3:9">
      <c r="C803" s="178"/>
      <c r="D803" s="178"/>
      <c r="E803" s="178"/>
      <c r="F803" s="178"/>
      <c r="G803" s="181"/>
      <c r="H803" s="181"/>
      <c r="I803" s="178"/>
    </row>
    <row r="804" spans="3:9">
      <c r="C804" s="178"/>
      <c r="D804" s="178"/>
      <c r="E804" s="178"/>
      <c r="F804" s="178"/>
      <c r="G804" s="181"/>
      <c r="H804" s="181"/>
      <c r="I804" s="178"/>
    </row>
    <row r="805" spans="3:9">
      <c r="C805" s="178"/>
      <c r="D805" s="178"/>
      <c r="E805" s="178"/>
      <c r="F805" s="178"/>
      <c r="G805" s="181"/>
      <c r="H805" s="181"/>
      <c r="I805" s="178"/>
    </row>
    <row r="806" spans="3:9">
      <c r="C806" s="178"/>
      <c r="D806" s="178"/>
      <c r="E806" s="178"/>
      <c r="F806" s="178"/>
      <c r="G806" s="181"/>
      <c r="H806" s="181"/>
      <c r="I806" s="178"/>
    </row>
    <row r="807" spans="3:9">
      <c r="C807" s="178"/>
      <c r="D807" s="178"/>
      <c r="E807" s="178"/>
      <c r="F807" s="178"/>
      <c r="G807" s="181"/>
      <c r="H807" s="181"/>
      <c r="I807" s="178"/>
    </row>
    <row r="808" spans="3:9">
      <c r="C808" s="178"/>
      <c r="D808" s="178"/>
      <c r="E808" s="178"/>
      <c r="F808" s="178"/>
      <c r="G808" s="181"/>
      <c r="H808" s="181"/>
      <c r="I808" s="178"/>
    </row>
    <row r="809" spans="3:9">
      <c r="C809" s="178"/>
      <c r="D809" s="178"/>
      <c r="E809" s="178"/>
      <c r="F809" s="178"/>
      <c r="G809" s="181"/>
      <c r="H809" s="181"/>
      <c r="I809" s="178"/>
    </row>
    <row r="810" spans="3:9">
      <c r="C810" s="178"/>
      <c r="D810" s="178"/>
      <c r="E810" s="178"/>
      <c r="F810" s="178"/>
      <c r="G810" s="181"/>
      <c r="H810" s="181"/>
      <c r="I810" s="178"/>
    </row>
    <row r="811" spans="3:9">
      <c r="C811" s="178"/>
      <c r="D811" s="178"/>
      <c r="E811" s="178"/>
      <c r="F811" s="178"/>
      <c r="G811" s="181"/>
      <c r="H811" s="181"/>
      <c r="I811" s="178"/>
    </row>
    <row r="812" spans="3:9">
      <c r="C812" s="178"/>
      <c r="D812" s="178"/>
      <c r="E812" s="178"/>
      <c r="F812" s="178"/>
      <c r="G812" s="181"/>
      <c r="H812" s="181"/>
      <c r="I812" s="178"/>
    </row>
    <row r="813" spans="3:9">
      <c r="C813" s="178"/>
      <c r="D813" s="178"/>
      <c r="E813" s="178"/>
      <c r="F813" s="178"/>
      <c r="G813" s="181"/>
      <c r="H813" s="181"/>
      <c r="I813" s="178"/>
    </row>
    <row r="814" spans="3:9">
      <c r="C814" s="178"/>
      <c r="D814" s="178"/>
      <c r="E814" s="178"/>
      <c r="F814" s="178"/>
      <c r="G814" s="181"/>
      <c r="H814" s="181"/>
      <c r="I814" s="178"/>
    </row>
    <row r="815" spans="3:9">
      <c r="C815" s="178"/>
      <c r="D815" s="178"/>
      <c r="E815" s="178"/>
      <c r="F815" s="178"/>
      <c r="G815" s="181"/>
      <c r="H815" s="181"/>
      <c r="I815" s="178"/>
    </row>
    <row r="816" spans="3:9">
      <c r="C816" s="178"/>
      <c r="D816" s="178"/>
      <c r="E816" s="178"/>
      <c r="F816" s="178"/>
      <c r="G816" s="181"/>
      <c r="H816" s="181"/>
      <c r="I816" s="178"/>
    </row>
    <row r="817" spans="3:9">
      <c r="C817" s="178"/>
      <c r="D817" s="178"/>
      <c r="E817" s="178"/>
      <c r="F817" s="178"/>
      <c r="G817" s="181"/>
      <c r="H817" s="181"/>
      <c r="I817" s="178"/>
    </row>
    <row r="818" spans="3:9">
      <c r="C818" s="178"/>
      <c r="D818" s="178"/>
      <c r="E818" s="178"/>
      <c r="F818" s="178"/>
      <c r="G818" s="181"/>
      <c r="H818" s="181"/>
      <c r="I818" s="178"/>
    </row>
    <row r="819" spans="3:9">
      <c r="C819" s="178"/>
      <c r="D819" s="178"/>
      <c r="E819" s="178"/>
      <c r="F819" s="178"/>
      <c r="G819" s="181"/>
      <c r="H819" s="181"/>
      <c r="I819" s="178"/>
    </row>
    <row r="820" spans="3:9">
      <c r="C820" s="178"/>
      <c r="D820" s="178"/>
      <c r="E820" s="178"/>
      <c r="F820" s="178"/>
      <c r="G820" s="181"/>
      <c r="H820" s="181"/>
      <c r="I820" s="178"/>
    </row>
    <row r="821" spans="3:9">
      <c r="C821" s="178"/>
      <c r="D821" s="178"/>
      <c r="E821" s="178"/>
      <c r="F821" s="178"/>
      <c r="G821" s="181"/>
      <c r="H821" s="181"/>
      <c r="I821" s="178"/>
    </row>
    <row r="822" spans="3:9">
      <c r="C822" s="178"/>
      <c r="D822" s="178"/>
      <c r="E822" s="178"/>
      <c r="F822" s="178"/>
      <c r="G822" s="181"/>
      <c r="H822" s="181"/>
      <c r="I822" s="178"/>
    </row>
    <row r="823" spans="3:9">
      <c r="C823" s="178"/>
      <c r="D823" s="178"/>
      <c r="E823" s="178"/>
      <c r="F823" s="178"/>
      <c r="G823" s="181"/>
      <c r="H823" s="181"/>
      <c r="I823" s="178"/>
    </row>
    <row r="824" spans="3:9">
      <c r="C824" s="178"/>
      <c r="D824" s="178"/>
      <c r="E824" s="178"/>
      <c r="F824" s="178"/>
      <c r="G824" s="181"/>
      <c r="H824" s="181"/>
      <c r="I824" s="178"/>
    </row>
    <row r="825" spans="3:9">
      <c r="C825" s="178"/>
      <c r="D825" s="178"/>
      <c r="E825" s="178"/>
      <c r="F825" s="178"/>
      <c r="G825" s="181"/>
      <c r="H825" s="181"/>
      <c r="I825" s="178"/>
    </row>
    <row r="826" spans="3:9">
      <c r="C826" s="178"/>
      <c r="D826" s="178"/>
      <c r="E826" s="178"/>
      <c r="F826" s="178"/>
      <c r="G826" s="181"/>
      <c r="H826" s="181"/>
      <c r="I826" s="178"/>
    </row>
    <row r="827" spans="3:9">
      <c r="C827" s="178"/>
      <c r="D827" s="178"/>
      <c r="E827" s="178"/>
      <c r="F827" s="178"/>
      <c r="G827" s="181"/>
      <c r="H827" s="181"/>
      <c r="I827" s="178"/>
    </row>
    <row r="828" spans="3:9">
      <c r="C828" s="178"/>
      <c r="D828" s="178"/>
      <c r="E828" s="178"/>
      <c r="F828" s="178"/>
      <c r="G828" s="181"/>
      <c r="H828" s="181"/>
      <c r="I828" s="178"/>
    </row>
    <row r="829" spans="3:9">
      <c r="C829" s="178"/>
      <c r="D829" s="178"/>
      <c r="E829" s="178"/>
      <c r="F829" s="178"/>
      <c r="G829" s="181"/>
      <c r="H829" s="181"/>
      <c r="I829" s="178"/>
    </row>
    <row r="830" spans="3:9">
      <c r="C830" s="178"/>
      <c r="D830" s="178"/>
      <c r="E830" s="178"/>
      <c r="F830" s="178"/>
      <c r="G830" s="181"/>
      <c r="H830" s="181"/>
      <c r="I830" s="178"/>
    </row>
    <row r="831" spans="3:9">
      <c r="C831" s="178"/>
      <c r="D831" s="178"/>
      <c r="E831" s="178"/>
      <c r="F831" s="178"/>
      <c r="G831" s="181"/>
      <c r="H831" s="181"/>
      <c r="I831" s="178"/>
    </row>
    <row r="832" spans="3:9">
      <c r="C832" s="178"/>
      <c r="D832" s="178"/>
      <c r="E832" s="178"/>
      <c r="F832" s="178"/>
      <c r="G832" s="181"/>
      <c r="H832" s="181"/>
      <c r="I832" s="178"/>
    </row>
    <row r="833" spans="3:9">
      <c r="C833" s="178"/>
      <c r="D833" s="178"/>
      <c r="E833" s="178"/>
      <c r="F833" s="178"/>
      <c r="G833" s="181"/>
      <c r="H833" s="181"/>
      <c r="I833" s="178"/>
    </row>
    <row r="834" spans="3:9">
      <c r="C834" s="178"/>
      <c r="D834" s="178"/>
      <c r="E834" s="178"/>
      <c r="F834" s="178"/>
      <c r="G834" s="181"/>
      <c r="H834" s="181"/>
      <c r="I834" s="178"/>
    </row>
    <row r="835" spans="3:9">
      <c r="C835" s="178"/>
      <c r="D835" s="178"/>
      <c r="E835" s="178"/>
      <c r="F835" s="178"/>
      <c r="G835" s="181"/>
      <c r="H835" s="181"/>
      <c r="I835" s="178"/>
    </row>
    <row r="836" spans="3:9">
      <c r="C836" s="178"/>
      <c r="D836" s="178"/>
      <c r="E836" s="178"/>
      <c r="F836" s="178"/>
      <c r="G836" s="181"/>
      <c r="H836" s="181"/>
      <c r="I836" s="178"/>
    </row>
    <row r="837" spans="3:9">
      <c r="C837" s="178"/>
      <c r="D837" s="178"/>
      <c r="E837" s="178"/>
      <c r="F837" s="178"/>
      <c r="G837" s="181"/>
      <c r="H837" s="181"/>
      <c r="I837" s="178"/>
    </row>
    <row r="838" spans="3:9">
      <c r="C838" s="178"/>
      <c r="D838" s="178"/>
      <c r="E838" s="178"/>
      <c r="F838" s="178"/>
      <c r="G838" s="181"/>
      <c r="H838" s="181"/>
      <c r="I838" s="178"/>
    </row>
    <row r="839" spans="3:9">
      <c r="C839" s="178"/>
      <c r="D839" s="178"/>
      <c r="E839" s="178"/>
      <c r="F839" s="178"/>
      <c r="G839" s="181"/>
      <c r="H839" s="181"/>
      <c r="I839" s="178"/>
    </row>
    <row r="840" spans="3:9">
      <c r="C840" s="178"/>
      <c r="D840" s="178"/>
      <c r="E840" s="178"/>
      <c r="F840" s="178"/>
      <c r="G840" s="181"/>
      <c r="H840" s="181"/>
      <c r="I840" s="178"/>
    </row>
    <row r="841" spans="3:9">
      <c r="C841" s="178"/>
      <c r="D841" s="178"/>
      <c r="E841" s="178"/>
      <c r="F841" s="178"/>
      <c r="G841" s="181"/>
      <c r="H841" s="181"/>
      <c r="I841" s="178"/>
    </row>
    <row r="842" spans="3:9">
      <c r="C842" s="178"/>
      <c r="D842" s="178"/>
      <c r="E842" s="178"/>
      <c r="F842" s="178"/>
      <c r="G842" s="181"/>
      <c r="H842" s="181"/>
      <c r="I842" s="178"/>
    </row>
    <row r="843" spans="3:9">
      <c r="C843" s="178"/>
      <c r="D843" s="178"/>
      <c r="E843" s="178"/>
      <c r="F843" s="178"/>
      <c r="G843" s="181"/>
      <c r="H843" s="181"/>
      <c r="I843" s="178"/>
    </row>
    <row r="844" spans="3:9">
      <c r="C844" s="178"/>
      <c r="D844" s="178"/>
      <c r="E844" s="178"/>
      <c r="F844" s="178"/>
      <c r="G844" s="181"/>
      <c r="H844" s="181"/>
      <c r="I844" s="178"/>
    </row>
    <row r="845" spans="3:9">
      <c r="C845" s="178"/>
      <c r="D845" s="178"/>
      <c r="E845" s="178"/>
      <c r="F845" s="178"/>
      <c r="G845" s="181"/>
      <c r="H845" s="181"/>
      <c r="I845" s="178"/>
    </row>
    <row r="846" spans="3:9">
      <c r="C846" s="178"/>
      <c r="D846" s="178"/>
      <c r="E846" s="178"/>
      <c r="F846" s="178"/>
      <c r="G846" s="181"/>
      <c r="H846" s="181"/>
      <c r="I846" s="178"/>
    </row>
    <row r="847" spans="3:9">
      <c r="C847" s="178"/>
      <c r="D847" s="178"/>
      <c r="E847" s="178"/>
      <c r="F847" s="178"/>
      <c r="G847" s="181"/>
      <c r="H847" s="181"/>
      <c r="I847" s="178"/>
    </row>
    <row r="848" spans="3:9">
      <c r="C848" s="178"/>
      <c r="D848" s="178"/>
      <c r="E848" s="178"/>
      <c r="F848" s="178"/>
      <c r="G848" s="181"/>
      <c r="H848" s="181"/>
      <c r="I848" s="178"/>
    </row>
    <row r="849" spans="3:9">
      <c r="C849" s="178"/>
      <c r="D849" s="178"/>
      <c r="E849" s="178"/>
      <c r="F849" s="178"/>
      <c r="G849" s="181"/>
      <c r="H849" s="181"/>
      <c r="I849" s="178"/>
    </row>
    <row r="850" spans="3:9">
      <c r="C850" s="178"/>
      <c r="D850" s="178"/>
      <c r="E850" s="178"/>
      <c r="F850" s="178"/>
      <c r="G850" s="181"/>
      <c r="H850" s="181"/>
      <c r="I850" s="178"/>
    </row>
    <row r="851" spans="3:9">
      <c r="C851" s="178"/>
      <c r="D851" s="178"/>
      <c r="E851" s="178"/>
      <c r="F851" s="178"/>
      <c r="G851" s="181"/>
      <c r="H851" s="181"/>
      <c r="I851" s="178"/>
    </row>
    <row r="852" spans="3:9">
      <c r="C852" s="178"/>
      <c r="D852" s="178"/>
      <c r="E852" s="178"/>
      <c r="F852" s="178"/>
      <c r="G852" s="181"/>
      <c r="H852" s="181"/>
      <c r="I852" s="178"/>
    </row>
    <row r="853" spans="3:9">
      <c r="C853" s="178"/>
      <c r="D853" s="178"/>
      <c r="E853" s="178"/>
      <c r="F853" s="178"/>
      <c r="G853" s="181"/>
      <c r="H853" s="181"/>
      <c r="I853" s="178"/>
    </row>
    <row r="854" spans="3:9">
      <c r="C854" s="178"/>
      <c r="D854" s="178"/>
      <c r="E854" s="178"/>
      <c r="F854" s="178"/>
      <c r="G854" s="181"/>
      <c r="H854" s="181"/>
      <c r="I854" s="178"/>
    </row>
    <row r="855" spans="3:9">
      <c r="C855" s="178"/>
      <c r="D855" s="178"/>
      <c r="E855" s="178"/>
      <c r="F855" s="178"/>
      <c r="G855" s="181"/>
      <c r="H855" s="181"/>
      <c r="I855" s="178"/>
    </row>
    <row r="856" spans="3:9">
      <c r="C856" s="178"/>
      <c r="D856" s="178"/>
      <c r="E856" s="178"/>
      <c r="F856" s="178"/>
      <c r="G856" s="181"/>
      <c r="H856" s="181"/>
      <c r="I856" s="178"/>
    </row>
    <row r="857" spans="3:9">
      <c r="C857" s="178"/>
      <c r="D857" s="178"/>
      <c r="E857" s="178"/>
      <c r="F857" s="178"/>
      <c r="G857" s="181"/>
      <c r="H857" s="181"/>
      <c r="I857" s="178"/>
    </row>
    <row r="858" spans="3:9">
      <c r="C858" s="178"/>
      <c r="D858" s="178"/>
      <c r="E858" s="178"/>
      <c r="F858" s="178"/>
      <c r="G858" s="181"/>
      <c r="H858" s="181"/>
      <c r="I858" s="178"/>
    </row>
    <row r="859" spans="3:9">
      <c r="C859" s="178"/>
      <c r="D859" s="178"/>
      <c r="E859" s="178"/>
      <c r="F859" s="178"/>
      <c r="G859" s="181"/>
      <c r="H859" s="181"/>
      <c r="I859" s="178"/>
    </row>
    <row r="860" spans="3:9">
      <c r="C860" s="178"/>
      <c r="D860" s="178"/>
      <c r="E860" s="178"/>
      <c r="F860" s="178"/>
      <c r="G860" s="181"/>
      <c r="H860" s="181"/>
      <c r="I860" s="178"/>
    </row>
    <row r="861" spans="3:9">
      <c r="C861" s="178"/>
      <c r="D861" s="178"/>
      <c r="E861" s="178"/>
      <c r="F861" s="178"/>
      <c r="G861" s="181"/>
      <c r="H861" s="181"/>
      <c r="I861" s="178"/>
    </row>
    <row r="862" spans="3:9">
      <c r="C862" s="178"/>
      <c r="D862" s="178"/>
      <c r="E862" s="178"/>
      <c r="F862" s="178"/>
      <c r="G862" s="181"/>
      <c r="H862" s="181"/>
      <c r="I862" s="178"/>
    </row>
    <row r="863" spans="3:9">
      <c r="C863" s="178"/>
      <c r="D863" s="178"/>
      <c r="E863" s="178"/>
      <c r="F863" s="178"/>
      <c r="G863" s="181"/>
      <c r="H863" s="181"/>
      <c r="I863" s="178"/>
    </row>
    <row r="864" spans="3:9">
      <c r="C864" s="178"/>
      <c r="D864" s="178"/>
      <c r="E864" s="178"/>
      <c r="F864" s="178"/>
      <c r="G864" s="181"/>
      <c r="H864" s="181"/>
      <c r="I864" s="178"/>
    </row>
    <row r="865" spans="3:9">
      <c r="C865" s="178"/>
      <c r="D865" s="178"/>
      <c r="E865" s="178"/>
      <c r="F865" s="178"/>
      <c r="G865" s="181"/>
      <c r="H865" s="181"/>
      <c r="I865" s="178"/>
    </row>
    <row r="866" spans="3:9">
      <c r="C866" s="178"/>
      <c r="D866" s="178"/>
      <c r="E866" s="178"/>
      <c r="F866" s="178"/>
      <c r="G866" s="181"/>
      <c r="H866" s="181"/>
      <c r="I866" s="178"/>
    </row>
    <row r="867" spans="3:9">
      <c r="C867" s="178"/>
      <c r="D867" s="178"/>
      <c r="E867" s="178"/>
      <c r="F867" s="178"/>
      <c r="G867" s="181"/>
      <c r="H867" s="181"/>
      <c r="I867" s="178"/>
    </row>
    <row r="868" spans="3:9">
      <c r="C868" s="178"/>
      <c r="D868" s="178"/>
      <c r="E868" s="178"/>
      <c r="F868" s="178"/>
      <c r="G868" s="181"/>
      <c r="H868" s="181"/>
      <c r="I868" s="178"/>
    </row>
    <row r="869" spans="3:9">
      <c r="C869" s="178"/>
      <c r="D869" s="178"/>
      <c r="E869" s="178"/>
      <c r="F869" s="178"/>
      <c r="G869" s="181"/>
      <c r="H869" s="181"/>
      <c r="I869" s="178"/>
    </row>
    <row r="870" spans="3:9">
      <c r="C870" s="178"/>
      <c r="D870" s="178"/>
      <c r="E870" s="178"/>
      <c r="F870" s="178"/>
      <c r="G870" s="181"/>
      <c r="H870" s="181"/>
      <c r="I870" s="178"/>
    </row>
    <row r="871" spans="3:9">
      <c r="C871" s="178"/>
      <c r="D871" s="178"/>
      <c r="E871" s="178"/>
      <c r="F871" s="178"/>
      <c r="G871" s="181"/>
      <c r="H871" s="181"/>
      <c r="I871" s="178"/>
    </row>
    <row r="872" spans="3:9">
      <c r="C872" s="178"/>
      <c r="D872" s="178"/>
      <c r="E872" s="178"/>
      <c r="F872" s="178"/>
      <c r="G872" s="181"/>
      <c r="H872" s="181"/>
      <c r="I872" s="178"/>
    </row>
    <row r="873" spans="3:9">
      <c r="C873" s="178"/>
      <c r="D873" s="178"/>
      <c r="E873" s="178"/>
      <c r="F873" s="178"/>
      <c r="G873" s="181"/>
      <c r="H873" s="181"/>
      <c r="I873" s="178"/>
    </row>
    <row r="874" spans="3:9">
      <c r="C874" s="178"/>
      <c r="D874" s="178"/>
      <c r="E874" s="178"/>
      <c r="F874" s="178"/>
      <c r="G874" s="181"/>
      <c r="H874" s="181"/>
      <c r="I874" s="178"/>
    </row>
    <row r="875" spans="3:9">
      <c r="C875" s="178"/>
      <c r="D875" s="178"/>
      <c r="E875" s="178"/>
      <c r="F875" s="178"/>
      <c r="G875" s="181"/>
      <c r="H875" s="181"/>
      <c r="I875" s="178"/>
    </row>
    <row r="876" spans="3:9">
      <c r="C876" s="178"/>
      <c r="D876" s="178"/>
      <c r="E876" s="178"/>
      <c r="F876" s="178"/>
      <c r="G876" s="181"/>
      <c r="H876" s="181"/>
      <c r="I876" s="178"/>
    </row>
    <row r="877" spans="3:9">
      <c r="C877" s="178"/>
      <c r="D877" s="178"/>
      <c r="E877" s="178"/>
      <c r="F877" s="178"/>
      <c r="G877" s="181"/>
      <c r="H877" s="181"/>
      <c r="I877" s="178"/>
    </row>
    <row r="878" spans="3:9">
      <c r="C878" s="178"/>
      <c r="D878" s="178"/>
      <c r="E878" s="178"/>
      <c r="F878" s="178"/>
      <c r="G878" s="181"/>
      <c r="H878" s="181"/>
      <c r="I878" s="178"/>
    </row>
    <row r="879" spans="3:9">
      <c r="C879" s="178"/>
      <c r="D879" s="178"/>
      <c r="E879" s="178"/>
      <c r="F879" s="178"/>
      <c r="G879" s="181"/>
      <c r="H879" s="181"/>
      <c r="I879" s="178"/>
    </row>
    <row r="880" spans="3:9">
      <c r="C880" s="178"/>
      <c r="D880" s="178"/>
      <c r="E880" s="178"/>
      <c r="F880" s="178"/>
      <c r="G880" s="181"/>
      <c r="H880" s="181"/>
      <c r="I880" s="178"/>
    </row>
    <row r="881" spans="3:9">
      <c r="C881" s="178"/>
      <c r="D881" s="178"/>
      <c r="E881" s="178"/>
      <c r="F881" s="178"/>
      <c r="G881" s="181"/>
      <c r="H881" s="181"/>
      <c r="I881" s="178"/>
    </row>
    <row r="882" spans="3:9">
      <c r="C882" s="178"/>
      <c r="D882" s="178"/>
      <c r="E882" s="178"/>
      <c r="F882" s="178"/>
      <c r="G882" s="181"/>
      <c r="H882" s="181"/>
      <c r="I882" s="178"/>
    </row>
    <row r="883" spans="3:9">
      <c r="C883" s="178"/>
      <c r="D883" s="178"/>
      <c r="E883" s="178"/>
      <c r="F883" s="178"/>
      <c r="G883" s="181"/>
      <c r="H883" s="181"/>
      <c r="I883" s="178"/>
    </row>
    <row r="884" spans="3:9">
      <c r="C884" s="178"/>
      <c r="D884" s="178"/>
      <c r="E884" s="178"/>
      <c r="F884" s="178"/>
      <c r="G884" s="181"/>
      <c r="H884" s="181"/>
      <c r="I884" s="178"/>
    </row>
    <row r="885" spans="3:9">
      <c r="C885" s="178"/>
      <c r="D885" s="178"/>
      <c r="E885" s="178"/>
      <c r="F885" s="178"/>
      <c r="G885" s="181"/>
      <c r="H885" s="181"/>
      <c r="I885" s="178"/>
    </row>
    <row r="886" spans="3:9">
      <c r="C886" s="178"/>
      <c r="D886" s="178"/>
      <c r="E886" s="178"/>
      <c r="F886" s="178"/>
      <c r="G886" s="181"/>
      <c r="H886" s="181"/>
      <c r="I886" s="178"/>
    </row>
    <row r="887" spans="3:9">
      <c r="C887" s="178"/>
      <c r="D887" s="178"/>
      <c r="E887" s="178"/>
      <c r="F887" s="178"/>
      <c r="G887" s="181"/>
      <c r="H887" s="181"/>
      <c r="I887" s="178"/>
    </row>
    <row r="888" spans="3:9">
      <c r="C888" s="178"/>
      <c r="D888" s="178"/>
      <c r="E888" s="178"/>
      <c r="F888" s="178"/>
      <c r="G888" s="181"/>
      <c r="H888" s="181"/>
      <c r="I888" s="178"/>
    </row>
    <row r="889" spans="3:9">
      <c r="C889" s="178"/>
      <c r="D889" s="178"/>
      <c r="E889" s="178"/>
      <c r="F889" s="178"/>
      <c r="G889" s="181"/>
      <c r="H889" s="181"/>
      <c r="I889" s="178"/>
    </row>
    <row r="890" spans="3:9">
      <c r="C890" s="178"/>
      <c r="D890" s="178"/>
      <c r="E890" s="178"/>
      <c r="F890" s="178"/>
      <c r="G890" s="181"/>
      <c r="H890" s="181"/>
      <c r="I890" s="178"/>
    </row>
    <row r="891" spans="3:9">
      <c r="C891" s="178"/>
      <c r="D891" s="178"/>
      <c r="E891" s="178"/>
      <c r="F891" s="178"/>
      <c r="G891" s="181"/>
      <c r="H891" s="181"/>
      <c r="I891" s="178"/>
    </row>
    <row r="892" spans="3:9">
      <c r="C892" s="178"/>
      <c r="D892" s="178"/>
      <c r="E892" s="178"/>
      <c r="F892" s="178"/>
      <c r="G892" s="181"/>
      <c r="H892" s="181"/>
      <c r="I892" s="178"/>
    </row>
    <row r="893" spans="3:9">
      <c r="C893" s="178"/>
      <c r="D893" s="178"/>
      <c r="E893" s="178"/>
      <c r="F893" s="178"/>
      <c r="G893" s="181"/>
      <c r="H893" s="181"/>
      <c r="I893" s="178"/>
    </row>
    <row r="894" spans="3:9">
      <c r="C894" s="178"/>
      <c r="D894" s="178"/>
      <c r="E894" s="178"/>
      <c r="F894" s="178"/>
      <c r="G894" s="181"/>
      <c r="H894" s="181"/>
      <c r="I894" s="178"/>
    </row>
    <row r="895" spans="3:9">
      <c r="C895" s="178"/>
      <c r="D895" s="178"/>
      <c r="E895" s="178"/>
      <c r="F895" s="178"/>
      <c r="G895" s="181"/>
      <c r="H895" s="181"/>
      <c r="I895" s="178"/>
    </row>
    <row r="896" spans="3:9">
      <c r="C896" s="178"/>
      <c r="D896" s="178"/>
      <c r="E896" s="178"/>
      <c r="F896" s="178"/>
      <c r="G896" s="181"/>
      <c r="H896" s="181"/>
      <c r="I896" s="178"/>
    </row>
    <row r="897" spans="3:9">
      <c r="C897" s="178"/>
      <c r="D897" s="178"/>
      <c r="E897" s="178"/>
      <c r="F897" s="178"/>
      <c r="G897" s="181"/>
      <c r="H897" s="181"/>
      <c r="I897" s="178"/>
    </row>
    <row r="898" spans="3:9">
      <c r="C898" s="178"/>
      <c r="D898" s="178"/>
      <c r="E898" s="178"/>
      <c r="F898" s="178"/>
      <c r="G898" s="181"/>
      <c r="H898" s="181"/>
      <c r="I898" s="178"/>
    </row>
    <row r="899" spans="3:9">
      <c r="C899" s="178"/>
      <c r="D899" s="178"/>
      <c r="E899" s="178"/>
      <c r="F899" s="178"/>
      <c r="G899" s="181"/>
      <c r="H899" s="181"/>
      <c r="I899" s="178"/>
    </row>
    <row r="900" spans="3:9">
      <c r="C900" s="178"/>
      <c r="D900" s="178"/>
      <c r="E900" s="178"/>
      <c r="F900" s="178"/>
      <c r="G900" s="181"/>
      <c r="H900" s="181"/>
      <c r="I900" s="178"/>
    </row>
    <row r="901" spans="3:9">
      <c r="C901" s="178"/>
      <c r="D901" s="178"/>
      <c r="E901" s="178"/>
      <c r="F901" s="178"/>
      <c r="G901" s="181"/>
      <c r="H901" s="181"/>
      <c r="I901" s="178"/>
    </row>
    <row r="902" spans="3:9">
      <c r="C902" s="178"/>
      <c r="D902" s="178"/>
      <c r="E902" s="178"/>
      <c r="F902" s="178"/>
      <c r="G902" s="181"/>
      <c r="H902" s="181"/>
      <c r="I902" s="178"/>
    </row>
    <row r="903" spans="3:9">
      <c r="C903" s="178"/>
      <c r="D903" s="178"/>
      <c r="E903" s="178"/>
      <c r="F903" s="178"/>
      <c r="G903" s="181"/>
      <c r="H903" s="181"/>
      <c r="I903" s="178"/>
    </row>
    <row r="904" spans="3:9">
      <c r="C904" s="178"/>
      <c r="D904" s="178"/>
      <c r="E904" s="178"/>
      <c r="F904" s="178"/>
      <c r="G904" s="181"/>
      <c r="H904" s="181"/>
      <c r="I904" s="178"/>
    </row>
    <row r="905" spans="3:9">
      <c r="C905" s="178"/>
      <c r="D905" s="178"/>
      <c r="E905" s="178"/>
      <c r="F905" s="178"/>
      <c r="G905" s="181"/>
      <c r="H905" s="181"/>
      <c r="I905" s="178"/>
    </row>
    <row r="906" spans="3:9">
      <c r="C906" s="178"/>
      <c r="D906" s="178"/>
      <c r="E906" s="178"/>
      <c r="F906" s="178"/>
      <c r="G906" s="181"/>
      <c r="H906" s="181"/>
      <c r="I906" s="178"/>
    </row>
    <row r="907" spans="3:9">
      <c r="C907" s="178"/>
      <c r="D907" s="178"/>
      <c r="E907" s="178"/>
      <c r="F907" s="178"/>
      <c r="G907" s="181"/>
      <c r="H907" s="181"/>
      <c r="I907" s="178"/>
    </row>
    <row r="908" spans="3:9">
      <c r="C908" s="178"/>
      <c r="D908" s="178"/>
      <c r="E908" s="178"/>
      <c r="F908" s="178"/>
      <c r="G908" s="181"/>
      <c r="H908" s="181"/>
      <c r="I908" s="178"/>
    </row>
    <row r="909" spans="3:9">
      <c r="C909" s="178"/>
      <c r="D909" s="178"/>
      <c r="E909" s="178"/>
      <c r="F909" s="178"/>
      <c r="G909" s="181"/>
      <c r="H909" s="181"/>
      <c r="I909" s="178"/>
    </row>
    <row r="910" spans="3:9">
      <c r="C910" s="178"/>
      <c r="D910" s="178"/>
      <c r="E910" s="178"/>
      <c r="F910" s="178"/>
      <c r="G910" s="181"/>
      <c r="H910" s="181"/>
      <c r="I910" s="178"/>
    </row>
    <row r="911" spans="3:9">
      <c r="C911" s="178"/>
      <c r="D911" s="178"/>
      <c r="E911" s="178"/>
      <c r="F911" s="178"/>
      <c r="G911" s="181"/>
      <c r="H911" s="181"/>
      <c r="I911" s="178"/>
    </row>
    <row r="912" spans="3:9">
      <c r="C912" s="178"/>
      <c r="D912" s="178"/>
      <c r="E912" s="178"/>
      <c r="F912" s="178"/>
      <c r="G912" s="181"/>
      <c r="H912" s="181"/>
      <c r="I912" s="178"/>
    </row>
    <row r="913" spans="3:9">
      <c r="C913" s="178"/>
      <c r="D913" s="178"/>
      <c r="E913" s="178"/>
      <c r="F913" s="178"/>
      <c r="G913" s="181"/>
      <c r="H913" s="181"/>
      <c r="I913" s="178"/>
    </row>
    <row r="914" spans="3:9">
      <c r="C914" s="178"/>
      <c r="D914" s="178"/>
      <c r="E914" s="178"/>
      <c r="F914" s="178"/>
      <c r="G914" s="181"/>
      <c r="H914" s="181"/>
      <c r="I914" s="178"/>
    </row>
    <row r="915" spans="3:9">
      <c r="C915" s="178"/>
      <c r="D915" s="178"/>
      <c r="E915" s="178"/>
      <c r="F915" s="178"/>
      <c r="G915" s="181"/>
      <c r="H915" s="181"/>
      <c r="I915" s="178"/>
    </row>
    <row r="916" spans="3:9">
      <c r="C916" s="178"/>
      <c r="D916" s="178"/>
      <c r="E916" s="178"/>
      <c r="F916" s="178"/>
      <c r="G916" s="181"/>
      <c r="H916" s="181"/>
      <c r="I916" s="178"/>
    </row>
    <row r="917" spans="3:9">
      <c r="C917" s="178"/>
      <c r="D917" s="178"/>
      <c r="E917" s="178"/>
      <c r="F917" s="178"/>
      <c r="G917" s="181"/>
      <c r="H917" s="181"/>
      <c r="I917" s="178"/>
    </row>
    <row r="918" spans="3:9">
      <c r="C918" s="178"/>
      <c r="D918" s="178"/>
      <c r="E918" s="178"/>
      <c r="F918" s="178"/>
      <c r="G918" s="181"/>
      <c r="H918" s="181"/>
      <c r="I918" s="178"/>
    </row>
    <row r="919" spans="3:9">
      <c r="C919" s="178"/>
      <c r="D919" s="178"/>
      <c r="E919" s="178"/>
      <c r="F919" s="178"/>
      <c r="G919" s="181"/>
      <c r="H919" s="181"/>
      <c r="I919" s="178"/>
    </row>
    <row r="920" spans="3:9">
      <c r="C920" s="178"/>
      <c r="D920" s="178"/>
      <c r="E920" s="178"/>
      <c r="F920" s="178"/>
      <c r="G920" s="181"/>
      <c r="H920" s="181"/>
      <c r="I920" s="178"/>
    </row>
    <row r="921" spans="3:9">
      <c r="C921" s="178"/>
      <c r="D921" s="178"/>
      <c r="E921" s="178"/>
      <c r="F921" s="178"/>
      <c r="G921" s="181"/>
      <c r="H921" s="181"/>
      <c r="I921" s="178"/>
    </row>
    <row r="922" spans="3:9">
      <c r="C922" s="178"/>
      <c r="D922" s="178"/>
      <c r="E922" s="178"/>
      <c r="F922" s="178"/>
      <c r="G922" s="181"/>
      <c r="H922" s="181"/>
      <c r="I922" s="178"/>
    </row>
    <row r="923" spans="3:9">
      <c r="C923" s="178"/>
      <c r="D923" s="178"/>
      <c r="E923" s="178"/>
      <c r="F923" s="178"/>
      <c r="G923" s="181"/>
      <c r="H923" s="181"/>
      <c r="I923" s="178"/>
    </row>
    <row r="924" spans="3:9">
      <c r="C924" s="178"/>
      <c r="D924" s="178"/>
      <c r="E924" s="178"/>
      <c r="F924" s="178"/>
      <c r="G924" s="181"/>
      <c r="H924" s="181"/>
      <c r="I924" s="178"/>
    </row>
    <row r="925" spans="3:9">
      <c r="C925" s="178"/>
      <c r="D925" s="178"/>
      <c r="E925" s="178"/>
      <c r="F925" s="178"/>
      <c r="G925" s="181"/>
      <c r="H925" s="181"/>
      <c r="I925" s="178"/>
    </row>
    <row r="926" spans="3:9">
      <c r="C926" s="178"/>
      <c r="D926" s="178"/>
      <c r="E926" s="178"/>
      <c r="F926" s="178"/>
      <c r="G926" s="181"/>
      <c r="H926" s="181"/>
      <c r="I926" s="178"/>
    </row>
    <row r="927" spans="3:9">
      <c r="C927" s="178"/>
      <c r="D927" s="178"/>
      <c r="E927" s="178"/>
      <c r="F927" s="178"/>
      <c r="G927" s="181"/>
      <c r="H927" s="181"/>
      <c r="I927" s="178"/>
    </row>
    <row r="928" spans="3:9">
      <c r="C928" s="178"/>
      <c r="D928" s="178"/>
      <c r="E928" s="178"/>
      <c r="F928" s="178"/>
      <c r="G928" s="181"/>
      <c r="H928" s="181"/>
      <c r="I928" s="178"/>
    </row>
    <row r="929" spans="3:9">
      <c r="C929" s="178"/>
      <c r="D929" s="178"/>
      <c r="E929" s="178"/>
      <c r="F929" s="178"/>
      <c r="G929" s="181"/>
      <c r="H929" s="181"/>
      <c r="I929" s="178"/>
    </row>
    <row r="930" spans="3:9">
      <c r="C930" s="178"/>
      <c r="D930" s="178"/>
      <c r="E930" s="178"/>
      <c r="F930" s="178"/>
      <c r="G930" s="181"/>
      <c r="H930" s="181"/>
      <c r="I930" s="178"/>
    </row>
    <row r="931" spans="3:9">
      <c r="C931" s="178"/>
      <c r="D931" s="178"/>
      <c r="E931" s="178"/>
      <c r="F931" s="178"/>
      <c r="G931" s="181"/>
      <c r="H931" s="181"/>
      <c r="I931" s="178"/>
    </row>
    <row r="932" spans="3:9">
      <c r="C932" s="178"/>
      <c r="D932" s="178"/>
      <c r="E932" s="178"/>
      <c r="F932" s="178"/>
      <c r="G932" s="181"/>
      <c r="H932" s="181"/>
      <c r="I932" s="178"/>
    </row>
    <row r="933" spans="3:9">
      <c r="C933" s="178"/>
      <c r="D933" s="178"/>
      <c r="E933" s="178"/>
      <c r="F933" s="178"/>
      <c r="G933" s="181"/>
      <c r="H933" s="181"/>
      <c r="I933" s="178"/>
    </row>
    <row r="934" spans="3:9">
      <c r="C934" s="178"/>
      <c r="D934" s="178"/>
      <c r="E934" s="178"/>
      <c r="F934" s="178"/>
      <c r="G934" s="181"/>
      <c r="H934" s="181"/>
      <c r="I934" s="178"/>
    </row>
    <row r="935" spans="3:9">
      <c r="C935" s="178"/>
      <c r="D935" s="178"/>
      <c r="E935" s="178"/>
      <c r="F935" s="178"/>
      <c r="G935" s="181"/>
      <c r="H935" s="181"/>
      <c r="I935" s="178"/>
    </row>
    <row r="936" spans="3:9">
      <c r="C936" s="178"/>
      <c r="D936" s="178"/>
      <c r="E936" s="178"/>
      <c r="F936" s="178"/>
      <c r="G936" s="181"/>
      <c r="H936" s="181"/>
      <c r="I936" s="178"/>
    </row>
    <row r="937" spans="3:9">
      <c r="C937" s="178"/>
      <c r="D937" s="178"/>
      <c r="E937" s="178"/>
      <c r="F937" s="178"/>
      <c r="G937" s="181"/>
      <c r="H937" s="181"/>
      <c r="I937" s="178"/>
    </row>
    <row r="938" spans="3:9">
      <c r="C938" s="178"/>
      <c r="D938" s="178"/>
      <c r="E938" s="178"/>
      <c r="F938" s="178"/>
      <c r="G938" s="181"/>
      <c r="H938" s="181"/>
      <c r="I938" s="178"/>
    </row>
    <row r="939" spans="3:9">
      <c r="C939" s="178"/>
      <c r="D939" s="178"/>
      <c r="E939" s="178"/>
      <c r="F939" s="178"/>
      <c r="G939" s="181"/>
      <c r="H939" s="181"/>
      <c r="I939" s="178"/>
    </row>
    <row r="940" spans="3:9">
      <c r="C940" s="178"/>
      <c r="D940" s="178"/>
      <c r="E940" s="178"/>
      <c r="F940" s="178"/>
      <c r="G940" s="181"/>
      <c r="H940" s="181"/>
      <c r="I940" s="178"/>
    </row>
    <row r="941" spans="3:9">
      <c r="C941" s="178"/>
      <c r="D941" s="178"/>
      <c r="E941" s="178"/>
      <c r="F941" s="178"/>
      <c r="G941" s="181"/>
      <c r="H941" s="181"/>
      <c r="I941" s="178"/>
    </row>
    <row r="942" spans="3:9">
      <c r="C942" s="178"/>
      <c r="D942" s="178"/>
      <c r="E942" s="178"/>
      <c r="F942" s="178"/>
      <c r="G942" s="181"/>
      <c r="H942" s="181"/>
      <c r="I942" s="178"/>
    </row>
    <row r="943" spans="3:9">
      <c r="C943" s="178"/>
      <c r="D943" s="178"/>
      <c r="E943" s="178"/>
      <c r="F943" s="178"/>
      <c r="G943" s="181"/>
      <c r="H943" s="181"/>
      <c r="I943" s="178"/>
    </row>
    <row r="944" spans="3:9">
      <c r="C944" s="178"/>
      <c r="D944" s="178"/>
      <c r="E944" s="178"/>
      <c r="F944" s="178"/>
      <c r="G944" s="181"/>
      <c r="H944" s="181"/>
      <c r="I944" s="178"/>
    </row>
    <row r="945" spans="3:9">
      <c r="C945" s="178"/>
      <c r="D945" s="178"/>
      <c r="E945" s="178"/>
      <c r="F945" s="178"/>
      <c r="G945" s="181"/>
      <c r="H945" s="181"/>
      <c r="I945" s="178"/>
    </row>
    <row r="946" spans="3:9">
      <c r="C946" s="178"/>
      <c r="D946" s="178"/>
      <c r="E946" s="178"/>
      <c r="F946" s="178"/>
      <c r="G946" s="181"/>
      <c r="H946" s="181"/>
      <c r="I946" s="178"/>
    </row>
    <row r="947" spans="3:9">
      <c r="C947" s="178"/>
      <c r="D947" s="178"/>
      <c r="E947" s="178"/>
      <c r="F947" s="178"/>
      <c r="G947" s="181"/>
      <c r="H947" s="181"/>
      <c r="I947" s="178"/>
    </row>
    <row r="948" spans="3:9">
      <c r="C948" s="178"/>
      <c r="D948" s="178"/>
      <c r="E948" s="178"/>
      <c r="F948" s="178"/>
      <c r="G948" s="181"/>
      <c r="H948" s="181"/>
      <c r="I948" s="178"/>
    </row>
    <row r="949" spans="3:9">
      <c r="C949" s="178"/>
      <c r="D949" s="178"/>
      <c r="E949" s="178"/>
      <c r="F949" s="178"/>
      <c r="G949" s="181"/>
      <c r="H949" s="181"/>
      <c r="I949" s="178"/>
    </row>
    <row r="950" spans="3:9">
      <c r="C950" s="178"/>
      <c r="D950" s="178"/>
      <c r="E950" s="178"/>
      <c r="F950" s="178"/>
      <c r="G950" s="181"/>
      <c r="H950" s="181"/>
      <c r="I950" s="178"/>
    </row>
    <row r="951" spans="3:9">
      <c r="C951" s="178"/>
      <c r="D951" s="178"/>
      <c r="E951" s="178"/>
      <c r="F951" s="178"/>
      <c r="G951" s="181"/>
      <c r="H951" s="181"/>
      <c r="I951" s="178"/>
    </row>
    <row r="952" spans="3:9">
      <c r="C952" s="178"/>
      <c r="D952" s="178"/>
      <c r="E952" s="178"/>
      <c r="F952" s="178"/>
      <c r="G952" s="181"/>
      <c r="H952" s="181"/>
      <c r="I952" s="178"/>
    </row>
    <row r="953" spans="3:9">
      <c r="C953" s="178"/>
      <c r="D953" s="178"/>
      <c r="E953" s="178"/>
      <c r="F953" s="178"/>
      <c r="G953" s="181"/>
      <c r="H953" s="181"/>
      <c r="I953" s="178"/>
    </row>
    <row r="954" spans="3:9">
      <c r="C954" s="178"/>
      <c r="D954" s="178"/>
      <c r="E954" s="178"/>
      <c r="F954" s="178"/>
      <c r="G954" s="181"/>
      <c r="H954" s="181"/>
      <c r="I954" s="178"/>
    </row>
    <row r="955" spans="3:9">
      <c r="C955" s="178"/>
      <c r="D955" s="178"/>
      <c r="E955" s="178"/>
      <c r="F955" s="178"/>
      <c r="G955" s="181"/>
      <c r="H955" s="181"/>
      <c r="I955" s="178"/>
    </row>
    <row r="956" spans="3:9">
      <c r="C956" s="178"/>
      <c r="D956" s="178"/>
      <c r="E956" s="178"/>
      <c r="F956" s="178"/>
      <c r="G956" s="181"/>
      <c r="H956" s="181"/>
      <c r="I956" s="178"/>
    </row>
    <row r="957" spans="3:9">
      <c r="C957" s="178"/>
      <c r="D957" s="178"/>
      <c r="E957" s="178"/>
      <c r="F957" s="178"/>
      <c r="G957" s="181"/>
      <c r="H957" s="181"/>
      <c r="I957" s="178"/>
    </row>
    <row r="958" spans="3:9">
      <c r="C958" s="178"/>
      <c r="D958" s="178"/>
      <c r="E958" s="178"/>
      <c r="F958" s="178"/>
      <c r="G958" s="181"/>
      <c r="H958" s="181"/>
      <c r="I958" s="178"/>
    </row>
    <row r="959" spans="3:9">
      <c r="C959" s="178"/>
      <c r="D959" s="178"/>
      <c r="E959" s="178"/>
      <c r="F959" s="178"/>
      <c r="G959" s="181"/>
      <c r="H959" s="181"/>
      <c r="I959" s="178"/>
    </row>
    <row r="960" spans="3:9">
      <c r="C960" s="178"/>
      <c r="D960" s="178"/>
      <c r="E960" s="178"/>
      <c r="F960" s="178"/>
      <c r="G960" s="181"/>
      <c r="H960" s="181"/>
      <c r="I960" s="178"/>
    </row>
    <row r="961" spans="3:9">
      <c r="C961" s="178"/>
      <c r="D961" s="178"/>
      <c r="E961" s="178"/>
      <c r="F961" s="178"/>
      <c r="G961" s="181"/>
      <c r="H961" s="181"/>
      <c r="I961" s="178"/>
    </row>
    <row r="962" spans="3:9">
      <c r="C962" s="178"/>
      <c r="D962" s="178"/>
      <c r="E962" s="178"/>
      <c r="F962" s="178"/>
      <c r="G962" s="181"/>
      <c r="H962" s="181"/>
      <c r="I962" s="178"/>
    </row>
    <row r="963" spans="3:9">
      <c r="C963" s="178"/>
      <c r="D963" s="178"/>
      <c r="E963" s="178"/>
      <c r="F963" s="178"/>
      <c r="G963" s="181"/>
      <c r="H963" s="181"/>
      <c r="I963" s="178"/>
    </row>
    <row r="964" spans="3:9">
      <c r="C964" s="178"/>
      <c r="D964" s="178"/>
      <c r="E964" s="178"/>
      <c r="F964" s="178"/>
      <c r="G964" s="181"/>
      <c r="H964" s="181"/>
      <c r="I964" s="178"/>
    </row>
    <row r="965" spans="3:9">
      <c r="C965" s="178"/>
      <c r="D965" s="178"/>
      <c r="E965" s="178"/>
      <c r="F965" s="178"/>
      <c r="G965" s="181"/>
      <c r="H965" s="181"/>
      <c r="I965" s="178"/>
    </row>
    <row r="966" spans="3:9">
      <c r="C966" s="178"/>
      <c r="D966" s="178"/>
      <c r="E966" s="178"/>
      <c r="F966" s="178"/>
      <c r="G966" s="181"/>
      <c r="H966" s="181"/>
      <c r="I966" s="178"/>
    </row>
    <row r="967" spans="3:9">
      <c r="C967" s="178"/>
      <c r="D967" s="178"/>
      <c r="E967" s="178"/>
      <c r="F967" s="178"/>
      <c r="G967" s="181"/>
      <c r="H967" s="181"/>
      <c r="I967" s="178"/>
    </row>
    <row r="968" spans="3:9">
      <c r="C968" s="178"/>
      <c r="D968" s="178"/>
      <c r="E968" s="178"/>
      <c r="F968" s="178"/>
      <c r="G968" s="181"/>
      <c r="H968" s="181"/>
      <c r="I968" s="178"/>
    </row>
    <row r="969" spans="3:9">
      <c r="C969" s="178"/>
      <c r="D969" s="178"/>
      <c r="E969" s="178"/>
      <c r="F969" s="178"/>
      <c r="G969" s="181"/>
      <c r="H969" s="181"/>
      <c r="I969" s="178"/>
    </row>
    <row r="970" spans="3:9">
      <c r="C970" s="178"/>
      <c r="D970" s="178"/>
      <c r="E970" s="178"/>
      <c r="F970" s="178"/>
      <c r="G970" s="181"/>
      <c r="H970" s="181"/>
      <c r="I970" s="178"/>
    </row>
    <row r="971" spans="3:9">
      <c r="C971" s="178"/>
      <c r="D971" s="178"/>
      <c r="E971" s="178"/>
      <c r="F971" s="178"/>
      <c r="G971" s="181"/>
      <c r="H971" s="181"/>
      <c r="I971" s="178"/>
    </row>
    <row r="972" spans="3:9">
      <c r="C972" s="178"/>
      <c r="D972" s="178"/>
      <c r="E972" s="178"/>
      <c r="F972" s="178"/>
      <c r="G972" s="181"/>
      <c r="H972" s="181"/>
      <c r="I972" s="178"/>
    </row>
    <row r="973" spans="3:9">
      <c r="C973" s="178"/>
      <c r="D973" s="178"/>
      <c r="E973" s="178"/>
      <c r="F973" s="178"/>
      <c r="G973" s="181"/>
      <c r="H973" s="181"/>
      <c r="I973" s="178"/>
    </row>
    <row r="974" spans="3:9">
      <c r="C974" s="178"/>
      <c r="D974" s="178"/>
      <c r="E974" s="178"/>
      <c r="F974" s="178"/>
      <c r="G974" s="181"/>
      <c r="H974" s="181"/>
      <c r="I974" s="178"/>
    </row>
    <row r="975" spans="3:9">
      <c r="C975" s="178"/>
      <c r="D975" s="178"/>
      <c r="E975" s="178"/>
      <c r="F975" s="178"/>
      <c r="G975" s="181"/>
      <c r="H975" s="181"/>
      <c r="I975" s="178"/>
    </row>
    <row r="976" spans="3:9">
      <c r="C976" s="178"/>
      <c r="D976" s="178"/>
      <c r="E976" s="178"/>
      <c r="F976" s="178"/>
      <c r="G976" s="181"/>
      <c r="H976" s="181"/>
      <c r="I976" s="178"/>
    </row>
    <row r="977" spans="3:9">
      <c r="C977" s="178"/>
      <c r="D977" s="178"/>
      <c r="E977" s="178"/>
      <c r="F977" s="178"/>
      <c r="G977" s="181"/>
      <c r="H977" s="181"/>
      <c r="I977" s="178"/>
    </row>
    <row r="978" spans="3:9">
      <c r="C978" s="178"/>
      <c r="D978" s="178"/>
      <c r="E978" s="178"/>
      <c r="F978" s="178"/>
      <c r="G978" s="181"/>
      <c r="H978" s="181"/>
      <c r="I978" s="178"/>
    </row>
    <row r="979" spans="3:9">
      <c r="C979" s="178"/>
      <c r="D979" s="178"/>
      <c r="E979" s="178"/>
      <c r="F979" s="178"/>
      <c r="G979" s="181"/>
      <c r="H979" s="181"/>
      <c r="I979" s="178"/>
    </row>
    <row r="980" spans="3:9">
      <c r="C980" s="178"/>
      <c r="D980" s="178"/>
      <c r="E980" s="178"/>
      <c r="F980" s="178"/>
      <c r="G980" s="181"/>
      <c r="H980" s="181"/>
      <c r="I980" s="178"/>
    </row>
    <row r="981" spans="3:9">
      <c r="C981" s="178"/>
      <c r="D981" s="178"/>
      <c r="E981" s="178"/>
      <c r="F981" s="178"/>
      <c r="G981" s="181"/>
      <c r="H981" s="181"/>
      <c r="I981" s="178"/>
    </row>
    <row r="982" spans="3:9">
      <c r="C982" s="178"/>
      <c r="D982" s="178"/>
      <c r="E982" s="178"/>
      <c r="F982" s="178"/>
      <c r="G982" s="181"/>
      <c r="H982" s="181"/>
      <c r="I982" s="178"/>
    </row>
    <row r="983" spans="3:9">
      <c r="C983" s="178"/>
      <c r="D983" s="178"/>
      <c r="E983" s="178"/>
      <c r="F983" s="178"/>
      <c r="G983" s="181"/>
      <c r="H983" s="181"/>
      <c r="I983" s="178"/>
    </row>
    <row r="984" spans="3:9">
      <c r="C984" s="178"/>
      <c r="D984" s="178"/>
      <c r="E984" s="178"/>
      <c r="F984" s="178"/>
      <c r="G984" s="181"/>
      <c r="H984" s="181"/>
      <c r="I984" s="178"/>
    </row>
    <row r="985" spans="3:9">
      <c r="C985" s="178"/>
      <c r="D985" s="178"/>
      <c r="E985" s="178"/>
      <c r="F985" s="178"/>
      <c r="G985" s="181"/>
      <c r="H985" s="181"/>
      <c r="I985" s="178"/>
    </row>
    <row r="986" spans="3:9">
      <c r="C986" s="178"/>
      <c r="D986" s="178"/>
      <c r="E986" s="178"/>
      <c r="F986" s="178"/>
      <c r="G986" s="181"/>
      <c r="H986" s="181"/>
      <c r="I986" s="178"/>
    </row>
    <row r="987" spans="3:9">
      <c r="C987" s="178"/>
      <c r="D987" s="178"/>
      <c r="E987" s="178"/>
      <c r="F987" s="178"/>
      <c r="G987" s="181"/>
      <c r="H987" s="181"/>
      <c r="I987" s="178"/>
    </row>
    <row r="988" spans="3:9">
      <c r="C988" s="178"/>
      <c r="D988" s="178"/>
      <c r="E988" s="178"/>
      <c r="F988" s="178"/>
      <c r="G988" s="181"/>
      <c r="H988" s="181"/>
      <c r="I988" s="178"/>
    </row>
    <row r="989" spans="3:9">
      <c r="C989" s="178"/>
      <c r="D989" s="178"/>
      <c r="E989" s="178"/>
      <c r="F989" s="178"/>
      <c r="G989" s="181"/>
      <c r="H989" s="181"/>
      <c r="I989" s="178"/>
    </row>
    <row r="990" spans="3:9">
      <c r="C990" s="178"/>
      <c r="D990" s="178"/>
      <c r="E990" s="178"/>
      <c r="F990" s="178"/>
      <c r="G990" s="181"/>
      <c r="H990" s="181"/>
      <c r="I990" s="178"/>
    </row>
    <row r="991" spans="3:9">
      <c r="C991" s="178"/>
      <c r="D991" s="178"/>
      <c r="E991" s="178"/>
      <c r="F991" s="178"/>
      <c r="G991" s="181"/>
      <c r="H991" s="181"/>
      <c r="I991" s="178"/>
    </row>
    <row r="992" spans="3:9">
      <c r="C992" s="178"/>
      <c r="D992" s="178"/>
      <c r="E992" s="178"/>
      <c r="F992" s="178"/>
      <c r="G992" s="181"/>
      <c r="H992" s="181"/>
      <c r="I992" s="178"/>
    </row>
    <row r="993" spans="3:9">
      <c r="C993" s="178"/>
      <c r="D993" s="178"/>
      <c r="E993" s="178"/>
      <c r="F993" s="178"/>
      <c r="G993" s="181"/>
      <c r="H993" s="181"/>
      <c r="I993" s="178"/>
    </row>
    <row r="994" spans="3:9">
      <c r="C994" s="178"/>
      <c r="D994" s="178"/>
      <c r="E994" s="178"/>
      <c r="F994" s="178"/>
      <c r="G994" s="181"/>
      <c r="H994" s="181"/>
      <c r="I994" s="178"/>
    </row>
    <row r="995" spans="3:9">
      <c r="C995" s="178"/>
      <c r="D995" s="178"/>
      <c r="E995" s="178"/>
      <c r="F995" s="178"/>
      <c r="G995" s="181"/>
      <c r="H995" s="181"/>
      <c r="I995" s="178"/>
    </row>
    <row r="996" spans="3:9">
      <c r="C996" s="178"/>
      <c r="D996" s="178"/>
      <c r="E996" s="178"/>
      <c r="F996" s="178"/>
      <c r="G996" s="181"/>
      <c r="H996" s="181"/>
      <c r="I996" s="178"/>
    </row>
    <row r="997" spans="3:9">
      <c r="C997" s="178"/>
      <c r="D997" s="178"/>
      <c r="E997" s="178"/>
      <c r="F997" s="178"/>
      <c r="G997" s="181"/>
      <c r="H997" s="181"/>
      <c r="I997" s="178"/>
    </row>
    <row r="998" spans="3:9">
      <c r="C998" s="178"/>
      <c r="D998" s="178"/>
      <c r="E998" s="178"/>
      <c r="F998" s="178"/>
      <c r="G998" s="181"/>
      <c r="H998" s="181"/>
      <c r="I998" s="178"/>
    </row>
    <row r="999" spans="3:9">
      <c r="C999" s="178"/>
      <c r="D999" s="178"/>
      <c r="E999" s="178"/>
      <c r="F999" s="178"/>
      <c r="G999" s="181"/>
      <c r="H999" s="181"/>
      <c r="I999" s="178"/>
    </row>
    <row r="1000" spans="3:9">
      <c r="C1000" s="178"/>
      <c r="D1000" s="178"/>
      <c r="E1000" s="178"/>
      <c r="F1000" s="178"/>
      <c r="G1000" s="181"/>
      <c r="H1000" s="181"/>
      <c r="I1000" s="178"/>
    </row>
    <row r="1001" spans="3:9">
      <c r="C1001" s="178"/>
      <c r="D1001" s="178"/>
      <c r="E1001" s="178"/>
      <c r="F1001" s="178"/>
      <c r="G1001" s="181"/>
      <c r="H1001" s="181"/>
      <c r="I1001" s="178"/>
    </row>
    <row r="1002" spans="3:9">
      <c r="C1002" s="178"/>
      <c r="D1002" s="178"/>
      <c r="E1002" s="178"/>
      <c r="F1002" s="178"/>
      <c r="G1002" s="181"/>
      <c r="H1002" s="181"/>
      <c r="I1002" s="178"/>
    </row>
    <row r="1003" spans="3:9">
      <c r="C1003" s="178"/>
      <c r="D1003" s="178"/>
      <c r="E1003" s="178"/>
      <c r="F1003" s="178"/>
      <c r="G1003" s="181"/>
      <c r="H1003" s="181"/>
      <c r="I1003" s="178"/>
    </row>
    <row r="1004" spans="3:9">
      <c r="C1004" s="178"/>
      <c r="D1004" s="178"/>
      <c r="E1004" s="178"/>
      <c r="F1004" s="178"/>
      <c r="G1004" s="181"/>
      <c r="H1004" s="181"/>
      <c r="I1004" s="178"/>
    </row>
    <row r="1005" spans="3:9">
      <c r="C1005" s="178"/>
      <c r="D1005" s="178"/>
      <c r="E1005" s="178"/>
      <c r="F1005" s="178"/>
      <c r="G1005" s="181"/>
      <c r="H1005" s="181"/>
      <c r="I1005" s="178"/>
    </row>
    <row r="1006" spans="3:9">
      <c r="C1006" s="178"/>
      <c r="D1006" s="178"/>
      <c r="E1006" s="178"/>
      <c r="F1006" s="178"/>
      <c r="G1006" s="181"/>
      <c r="H1006" s="181"/>
      <c r="I1006" s="178"/>
    </row>
    <row r="1007" spans="3:9">
      <c r="C1007" s="178"/>
      <c r="D1007" s="178"/>
      <c r="E1007" s="178"/>
      <c r="F1007" s="178"/>
      <c r="G1007" s="181"/>
      <c r="H1007" s="181"/>
      <c r="I1007" s="178"/>
    </row>
    <row r="1008" spans="3:9">
      <c r="C1008" s="178"/>
      <c r="D1008" s="178"/>
      <c r="E1008" s="178"/>
      <c r="F1008" s="178"/>
      <c r="G1008" s="181"/>
      <c r="H1008" s="181"/>
      <c r="I1008" s="178"/>
    </row>
    <row r="1009" spans="3:9">
      <c r="C1009" s="178"/>
      <c r="D1009" s="178"/>
      <c r="E1009" s="178"/>
      <c r="F1009" s="178"/>
      <c r="G1009" s="181"/>
      <c r="H1009" s="181"/>
      <c r="I1009" s="178"/>
    </row>
    <row r="1010" spans="3:9">
      <c r="C1010" s="178"/>
      <c r="D1010" s="178"/>
      <c r="E1010" s="178"/>
      <c r="F1010" s="178"/>
      <c r="G1010" s="181"/>
      <c r="H1010" s="181"/>
      <c r="I1010" s="178"/>
    </row>
    <row r="1011" spans="3:9">
      <c r="C1011" s="178"/>
      <c r="D1011" s="178"/>
      <c r="E1011" s="178"/>
      <c r="F1011" s="178"/>
      <c r="G1011" s="181"/>
      <c r="H1011" s="181"/>
      <c r="I1011" s="178"/>
    </row>
    <row r="1012" spans="3:9">
      <c r="C1012" s="178"/>
      <c r="D1012" s="178"/>
      <c r="E1012" s="178"/>
      <c r="F1012" s="178"/>
      <c r="G1012" s="181"/>
      <c r="H1012" s="181"/>
      <c r="I1012" s="178"/>
    </row>
    <row r="1013" spans="3:9">
      <c r="C1013" s="178"/>
      <c r="D1013" s="178"/>
      <c r="E1013" s="178"/>
      <c r="F1013" s="178"/>
      <c r="G1013" s="181"/>
      <c r="H1013" s="181"/>
      <c r="I1013" s="178"/>
    </row>
    <row r="1014" spans="3:9">
      <c r="C1014" s="178"/>
      <c r="D1014" s="178"/>
      <c r="E1014" s="178"/>
      <c r="F1014" s="178"/>
      <c r="G1014" s="181"/>
      <c r="H1014" s="181"/>
      <c r="I1014" s="178"/>
    </row>
    <row r="1015" spans="3:9">
      <c r="C1015" s="178"/>
      <c r="D1015" s="178"/>
      <c r="E1015" s="178"/>
      <c r="F1015" s="178"/>
      <c r="G1015" s="181"/>
      <c r="H1015" s="181"/>
      <c r="I1015" s="178"/>
    </row>
    <row r="1016" spans="3:9">
      <c r="C1016" s="178"/>
      <c r="D1016" s="178"/>
      <c r="E1016" s="178"/>
      <c r="F1016" s="178"/>
      <c r="G1016" s="181"/>
      <c r="H1016" s="181"/>
      <c r="I1016" s="178"/>
    </row>
    <row r="1017" spans="3:9">
      <c r="C1017" s="178"/>
      <c r="D1017" s="178"/>
      <c r="E1017" s="178"/>
      <c r="F1017" s="178"/>
      <c r="G1017" s="181"/>
      <c r="H1017" s="181"/>
      <c r="I1017" s="178"/>
    </row>
    <row r="1018" spans="3:9">
      <c r="C1018" s="178"/>
      <c r="D1018" s="178"/>
      <c r="E1018" s="178"/>
      <c r="F1018" s="178"/>
      <c r="G1018" s="181"/>
      <c r="H1018" s="181"/>
      <c r="I1018" s="178"/>
    </row>
    <row r="1019" spans="3:9">
      <c r="C1019" s="178"/>
      <c r="D1019" s="178"/>
      <c r="E1019" s="178"/>
      <c r="F1019" s="178"/>
      <c r="G1019" s="181"/>
      <c r="H1019" s="181"/>
      <c r="I1019" s="178"/>
    </row>
    <row r="1020" spans="3:9">
      <c r="C1020" s="178"/>
      <c r="D1020" s="178"/>
      <c r="E1020" s="178"/>
      <c r="F1020" s="178"/>
      <c r="G1020" s="181"/>
      <c r="H1020" s="181"/>
      <c r="I1020" s="178"/>
    </row>
    <row r="1021" spans="3:9">
      <c r="C1021" s="178"/>
      <c r="D1021" s="178"/>
      <c r="E1021" s="178"/>
      <c r="F1021" s="178"/>
      <c r="G1021" s="181"/>
      <c r="H1021" s="181"/>
      <c r="I1021" s="178"/>
    </row>
    <row r="1022" spans="3:9">
      <c r="C1022" s="178"/>
      <c r="D1022" s="178"/>
      <c r="E1022" s="178"/>
      <c r="F1022" s="178"/>
      <c r="G1022" s="181"/>
      <c r="H1022" s="181"/>
      <c r="I1022" s="178"/>
    </row>
    <row r="1023" spans="3:9">
      <c r="C1023" s="178"/>
      <c r="D1023" s="178"/>
      <c r="E1023" s="178"/>
      <c r="F1023" s="178"/>
      <c r="G1023" s="181"/>
      <c r="H1023" s="181"/>
      <c r="I1023" s="178"/>
    </row>
    <row r="1024" spans="3:9">
      <c r="C1024" s="178"/>
      <c r="D1024" s="178"/>
      <c r="E1024" s="178"/>
      <c r="F1024" s="178"/>
      <c r="G1024" s="181"/>
      <c r="H1024" s="181"/>
      <c r="I1024" s="178"/>
    </row>
    <row r="1025" spans="3:9">
      <c r="C1025" s="178"/>
      <c r="D1025" s="178"/>
      <c r="E1025" s="178"/>
      <c r="F1025" s="178"/>
      <c r="G1025" s="181"/>
      <c r="H1025" s="181"/>
      <c r="I1025" s="178"/>
    </row>
    <row r="1026" spans="3:9">
      <c r="C1026" s="178"/>
      <c r="D1026" s="178"/>
      <c r="E1026" s="178"/>
      <c r="F1026" s="178"/>
      <c r="G1026" s="181"/>
      <c r="H1026" s="181"/>
      <c r="I1026" s="178"/>
    </row>
    <row r="1027" spans="3:9">
      <c r="C1027" s="178"/>
      <c r="D1027" s="178"/>
      <c r="E1027" s="178"/>
      <c r="F1027" s="178"/>
      <c r="G1027" s="181"/>
      <c r="H1027" s="181"/>
      <c r="I1027" s="178"/>
    </row>
    <row r="1028" spans="3:9">
      <c r="C1028" s="178"/>
      <c r="D1028" s="178"/>
      <c r="E1028" s="178"/>
      <c r="F1028" s="178"/>
      <c r="G1028" s="181"/>
      <c r="H1028" s="181"/>
      <c r="I1028" s="178"/>
    </row>
    <row r="1029" spans="3:9">
      <c r="C1029" s="178"/>
      <c r="D1029" s="178"/>
      <c r="E1029" s="178"/>
      <c r="F1029" s="178"/>
      <c r="G1029" s="181"/>
      <c r="H1029" s="181"/>
      <c r="I1029" s="178"/>
    </row>
    <row r="1030" spans="3:9">
      <c r="C1030" s="178"/>
      <c r="D1030" s="178"/>
      <c r="E1030" s="178"/>
      <c r="F1030" s="178"/>
      <c r="G1030" s="181"/>
      <c r="H1030" s="181"/>
      <c r="I1030" s="178"/>
    </row>
    <row r="1031" spans="3:9">
      <c r="C1031" s="178"/>
      <c r="D1031" s="178"/>
      <c r="E1031" s="178"/>
      <c r="F1031" s="178"/>
      <c r="G1031" s="181"/>
      <c r="H1031" s="181"/>
      <c r="I1031" s="178"/>
    </row>
    <row r="1032" spans="3:9">
      <c r="C1032" s="178"/>
      <c r="D1032" s="178"/>
      <c r="E1032" s="178"/>
      <c r="F1032" s="178"/>
      <c r="G1032" s="181"/>
      <c r="H1032" s="181"/>
      <c r="I1032" s="178"/>
    </row>
    <row r="1033" spans="3:9">
      <c r="C1033" s="178"/>
      <c r="D1033" s="178"/>
      <c r="E1033" s="178"/>
      <c r="F1033" s="178"/>
      <c r="G1033" s="181"/>
      <c r="H1033" s="181"/>
      <c r="I1033" s="178"/>
    </row>
    <row r="1034" spans="3:9">
      <c r="C1034" s="178"/>
      <c r="D1034" s="178"/>
      <c r="E1034" s="178"/>
      <c r="F1034" s="178"/>
      <c r="G1034" s="181"/>
      <c r="H1034" s="181"/>
      <c r="I1034" s="178"/>
    </row>
    <row r="1035" spans="3:9">
      <c r="C1035" s="178"/>
      <c r="D1035" s="178"/>
      <c r="E1035" s="178"/>
      <c r="F1035" s="178"/>
      <c r="G1035" s="181"/>
      <c r="H1035" s="181"/>
      <c r="I1035" s="178"/>
    </row>
    <row r="1036" spans="3:9">
      <c r="C1036" s="178"/>
      <c r="D1036" s="178"/>
      <c r="E1036" s="178"/>
      <c r="F1036" s="178"/>
      <c r="G1036" s="181"/>
      <c r="H1036" s="181"/>
      <c r="I1036" s="178"/>
    </row>
    <row r="1037" spans="3:9">
      <c r="C1037" s="178"/>
      <c r="D1037" s="178"/>
      <c r="E1037" s="178"/>
      <c r="F1037" s="178"/>
      <c r="G1037" s="181"/>
      <c r="H1037" s="181"/>
      <c r="I1037" s="178"/>
    </row>
    <row r="1038" spans="3:9">
      <c r="C1038" s="178"/>
      <c r="D1038" s="178"/>
      <c r="E1038" s="178"/>
      <c r="F1038" s="178"/>
      <c r="G1038" s="181"/>
      <c r="H1038" s="181"/>
      <c r="I1038" s="178"/>
    </row>
    <row r="1039" spans="3:9">
      <c r="C1039" s="178"/>
      <c r="D1039" s="178"/>
      <c r="E1039" s="178"/>
      <c r="F1039" s="178"/>
      <c r="G1039" s="181"/>
      <c r="H1039" s="181"/>
      <c r="I1039" s="178"/>
    </row>
    <row r="1040" spans="3:9">
      <c r="C1040" s="178"/>
      <c r="D1040" s="178"/>
      <c r="E1040" s="178"/>
      <c r="F1040" s="178"/>
      <c r="G1040" s="181"/>
      <c r="H1040" s="181"/>
      <c r="I1040" s="178"/>
    </row>
    <row r="1041" spans="3:9">
      <c r="C1041" s="178"/>
      <c r="D1041" s="178"/>
      <c r="E1041" s="178"/>
      <c r="F1041" s="178"/>
      <c r="G1041" s="181"/>
      <c r="H1041" s="181"/>
      <c r="I1041" s="178"/>
    </row>
    <row r="1042" spans="3:9">
      <c r="C1042" s="178"/>
      <c r="D1042" s="178"/>
      <c r="E1042" s="178"/>
      <c r="F1042" s="178"/>
      <c r="G1042" s="181"/>
      <c r="H1042" s="181"/>
      <c r="I1042" s="178"/>
    </row>
    <row r="1043" spans="3:9">
      <c r="C1043" s="178"/>
      <c r="D1043" s="178"/>
      <c r="E1043" s="178"/>
      <c r="F1043" s="178"/>
      <c r="G1043" s="181"/>
      <c r="H1043" s="181"/>
      <c r="I1043" s="178"/>
    </row>
    <row r="1044" spans="3:9">
      <c r="C1044" s="178"/>
      <c r="D1044" s="178"/>
      <c r="E1044" s="178"/>
      <c r="F1044" s="178"/>
      <c r="G1044" s="181"/>
      <c r="H1044" s="181"/>
      <c r="I1044" s="178"/>
    </row>
    <row r="1045" spans="3:9">
      <c r="C1045" s="178"/>
      <c r="D1045" s="178"/>
      <c r="E1045" s="178"/>
      <c r="F1045" s="178"/>
      <c r="G1045" s="181"/>
      <c r="H1045" s="181"/>
      <c r="I1045" s="178"/>
    </row>
    <row r="1046" spans="3:9">
      <c r="C1046" s="178"/>
      <c r="D1046" s="178"/>
      <c r="E1046" s="178"/>
      <c r="F1046" s="178"/>
      <c r="G1046" s="181"/>
      <c r="H1046" s="181"/>
      <c r="I1046" s="178"/>
    </row>
    <row r="1047" spans="3:9">
      <c r="C1047" s="178"/>
      <c r="D1047" s="178"/>
      <c r="E1047" s="178"/>
      <c r="F1047" s="178"/>
      <c r="G1047" s="181"/>
      <c r="H1047" s="181"/>
      <c r="I1047" s="178"/>
    </row>
    <row r="1048" spans="3:9">
      <c r="C1048" s="178"/>
      <c r="D1048" s="178"/>
      <c r="E1048" s="178"/>
      <c r="F1048" s="178"/>
      <c r="G1048" s="181"/>
      <c r="H1048" s="181"/>
      <c r="I1048" s="178"/>
    </row>
    <row r="1049" spans="3:9">
      <c r="C1049" s="178"/>
      <c r="D1049" s="178"/>
      <c r="E1049" s="178"/>
      <c r="F1049" s="178"/>
      <c r="G1049" s="181"/>
      <c r="H1049" s="181"/>
      <c r="I1049" s="178"/>
    </row>
    <row r="1050" spans="3:9">
      <c r="C1050" s="178"/>
      <c r="D1050" s="178"/>
      <c r="E1050" s="178"/>
      <c r="F1050" s="178"/>
      <c r="G1050" s="181"/>
      <c r="H1050" s="181"/>
      <c r="I1050" s="178"/>
    </row>
    <row r="1051" spans="3:9">
      <c r="C1051" s="178"/>
      <c r="D1051" s="178"/>
      <c r="E1051" s="178"/>
      <c r="F1051" s="178"/>
      <c r="G1051" s="181"/>
      <c r="H1051" s="181"/>
      <c r="I1051" s="178"/>
    </row>
    <row r="1052" spans="3:9">
      <c r="C1052" s="178"/>
      <c r="D1052" s="178"/>
      <c r="E1052" s="178"/>
      <c r="F1052" s="178"/>
      <c r="G1052" s="181"/>
      <c r="H1052" s="181"/>
      <c r="I1052" s="178"/>
    </row>
    <row r="1053" spans="3:9">
      <c r="C1053" s="178"/>
      <c r="D1053" s="178"/>
      <c r="E1053" s="178"/>
      <c r="F1053" s="178"/>
      <c r="G1053" s="181"/>
      <c r="H1053" s="181"/>
      <c r="I1053" s="178"/>
    </row>
    <row r="1054" spans="3:9">
      <c r="C1054" s="178"/>
      <c r="D1054" s="178"/>
      <c r="E1054" s="178"/>
      <c r="F1054" s="178"/>
      <c r="G1054" s="181"/>
      <c r="H1054" s="181"/>
      <c r="I1054" s="178"/>
    </row>
    <row r="1055" spans="3:9">
      <c r="C1055" s="178"/>
      <c r="D1055" s="178"/>
      <c r="E1055" s="178"/>
      <c r="F1055" s="178"/>
      <c r="G1055" s="181"/>
      <c r="H1055" s="181"/>
      <c r="I1055" s="178"/>
    </row>
    <row r="1056" spans="3:9">
      <c r="C1056" s="178"/>
      <c r="D1056" s="178"/>
      <c r="E1056" s="178"/>
      <c r="F1056" s="178"/>
      <c r="G1056" s="181"/>
      <c r="H1056" s="181"/>
      <c r="I1056" s="178"/>
    </row>
    <row r="1057" spans="3:9">
      <c r="C1057" s="178"/>
      <c r="D1057" s="178"/>
      <c r="E1057" s="178"/>
      <c r="F1057" s="178"/>
      <c r="G1057" s="181"/>
      <c r="H1057" s="181"/>
      <c r="I1057" s="178"/>
    </row>
    <row r="1058" spans="3:9">
      <c r="C1058" s="178"/>
      <c r="D1058" s="178"/>
      <c r="E1058" s="178"/>
      <c r="F1058" s="178"/>
      <c r="G1058" s="181"/>
      <c r="H1058" s="181"/>
      <c r="I1058" s="178"/>
    </row>
    <row r="1059" spans="3:9">
      <c r="C1059" s="178"/>
      <c r="D1059" s="178"/>
      <c r="E1059" s="178"/>
      <c r="F1059" s="178"/>
      <c r="G1059" s="181"/>
      <c r="H1059" s="181"/>
      <c r="I1059" s="178"/>
    </row>
    <row r="1060" spans="3:9">
      <c r="C1060" s="178"/>
      <c r="D1060" s="178"/>
      <c r="E1060" s="178"/>
      <c r="F1060" s="178"/>
      <c r="G1060" s="181"/>
      <c r="H1060" s="181"/>
      <c r="I1060" s="178"/>
    </row>
    <row r="1061" spans="3:9">
      <c r="C1061" s="178"/>
      <c r="D1061" s="178"/>
      <c r="E1061" s="178"/>
      <c r="F1061" s="178"/>
      <c r="G1061" s="181"/>
      <c r="H1061" s="181"/>
      <c r="I1061" s="178"/>
    </row>
    <row r="1062" spans="3:9">
      <c r="C1062" s="178"/>
      <c r="D1062" s="178"/>
      <c r="E1062" s="178"/>
      <c r="F1062" s="178"/>
      <c r="G1062" s="181"/>
      <c r="H1062" s="181"/>
      <c r="I1062" s="178"/>
    </row>
    <row r="1063" spans="3:9">
      <c r="C1063" s="178"/>
      <c r="D1063" s="178"/>
      <c r="E1063" s="178"/>
      <c r="F1063" s="178"/>
      <c r="G1063" s="181"/>
      <c r="H1063" s="181"/>
      <c r="I1063" s="178"/>
    </row>
    <row r="1064" spans="3:9">
      <c r="C1064" s="178"/>
      <c r="D1064" s="178"/>
      <c r="E1064" s="178"/>
      <c r="F1064" s="178"/>
      <c r="G1064" s="181"/>
      <c r="H1064" s="181"/>
      <c r="I1064" s="178"/>
    </row>
    <row r="1065" spans="3:9">
      <c r="C1065" s="178"/>
      <c r="D1065" s="178"/>
      <c r="E1065" s="178"/>
      <c r="F1065" s="178"/>
      <c r="G1065" s="181"/>
      <c r="H1065" s="181"/>
      <c r="I1065" s="178"/>
    </row>
    <row r="1066" spans="3:9">
      <c r="C1066" s="178"/>
      <c r="D1066" s="178"/>
      <c r="E1066" s="178"/>
      <c r="F1066" s="178"/>
      <c r="G1066" s="181"/>
      <c r="H1066" s="181"/>
      <c r="I1066" s="178"/>
    </row>
    <row r="1067" spans="3:9">
      <c r="C1067" s="178"/>
      <c r="D1067" s="178"/>
      <c r="E1067" s="178"/>
      <c r="F1067" s="178"/>
      <c r="G1067" s="181"/>
      <c r="H1067" s="181"/>
      <c r="I1067" s="178"/>
    </row>
    <row r="1068" spans="3:9">
      <c r="C1068" s="178"/>
      <c r="D1068" s="178"/>
      <c r="E1068" s="178"/>
      <c r="F1068" s="178"/>
      <c r="G1068" s="181"/>
      <c r="H1068" s="181"/>
      <c r="I1068" s="178"/>
    </row>
    <row r="1069" spans="3:9">
      <c r="C1069" s="178"/>
      <c r="D1069" s="178"/>
      <c r="E1069" s="178"/>
      <c r="F1069" s="178"/>
      <c r="G1069" s="181"/>
      <c r="H1069" s="181"/>
      <c r="I1069" s="178"/>
    </row>
    <row r="1070" spans="3:9">
      <c r="C1070" s="178"/>
      <c r="D1070" s="178"/>
      <c r="E1070" s="178"/>
      <c r="F1070" s="178"/>
      <c r="G1070" s="181"/>
      <c r="H1070" s="181"/>
      <c r="I1070" s="178"/>
    </row>
    <row r="1071" spans="3:9">
      <c r="C1071" s="178"/>
      <c r="D1071" s="178"/>
      <c r="E1071" s="178"/>
      <c r="F1071" s="178"/>
      <c r="G1071" s="181"/>
      <c r="H1071" s="181"/>
      <c r="I1071" s="178"/>
    </row>
    <row r="1072" spans="3:9">
      <c r="C1072" s="178"/>
      <c r="D1072" s="178"/>
      <c r="E1072" s="178"/>
      <c r="F1072" s="178"/>
      <c r="G1072" s="181"/>
      <c r="H1072" s="181"/>
      <c r="I1072" s="178"/>
    </row>
    <row r="1073" spans="3:9">
      <c r="C1073" s="178"/>
      <c r="D1073" s="178"/>
      <c r="E1073" s="178"/>
      <c r="F1073" s="178"/>
      <c r="G1073" s="181"/>
      <c r="H1073" s="181"/>
      <c r="I1073" s="178"/>
    </row>
    <row r="1074" spans="3:9">
      <c r="C1074" s="178"/>
      <c r="D1074" s="178"/>
      <c r="E1074" s="178"/>
      <c r="F1074" s="178"/>
      <c r="G1074" s="181"/>
      <c r="H1074" s="181"/>
      <c r="I1074" s="178"/>
    </row>
    <row r="1075" spans="3:9">
      <c r="C1075" s="178"/>
      <c r="D1075" s="178"/>
      <c r="E1075" s="178"/>
      <c r="F1075" s="178"/>
      <c r="G1075" s="181"/>
      <c r="H1075" s="181"/>
      <c r="I1075" s="178"/>
    </row>
    <row r="1076" spans="3:9">
      <c r="C1076" s="178"/>
      <c r="D1076" s="178"/>
      <c r="E1076" s="178"/>
      <c r="F1076" s="178"/>
      <c r="G1076" s="181"/>
      <c r="H1076" s="181"/>
      <c r="I1076" s="178"/>
    </row>
    <row r="1077" spans="3:9">
      <c r="C1077" s="178"/>
      <c r="D1077" s="178"/>
      <c r="E1077" s="178"/>
      <c r="F1077" s="178"/>
      <c r="G1077" s="181"/>
      <c r="H1077" s="181"/>
      <c r="I1077" s="178"/>
    </row>
    <row r="1078" spans="3:9">
      <c r="C1078" s="178"/>
      <c r="D1078" s="178"/>
      <c r="E1078" s="178"/>
      <c r="F1078" s="178"/>
      <c r="G1078" s="181"/>
      <c r="H1078" s="181"/>
      <c r="I1078" s="178"/>
    </row>
    <row r="1079" spans="3:9">
      <c r="C1079" s="178"/>
      <c r="D1079" s="178"/>
      <c r="E1079" s="178"/>
      <c r="F1079" s="178"/>
      <c r="G1079" s="181"/>
      <c r="H1079" s="181"/>
      <c r="I1079" s="178"/>
    </row>
    <row r="1080" spans="3:9">
      <c r="C1080" s="178"/>
      <c r="D1080" s="178"/>
      <c r="E1080" s="178"/>
      <c r="F1080" s="178"/>
      <c r="G1080" s="181"/>
      <c r="H1080" s="181"/>
      <c r="I1080" s="178"/>
    </row>
    <row r="1081" spans="3:9">
      <c r="C1081" s="178"/>
      <c r="D1081" s="178"/>
      <c r="E1081" s="178"/>
      <c r="F1081" s="178"/>
      <c r="G1081" s="181"/>
      <c r="H1081" s="181"/>
      <c r="I1081" s="178"/>
    </row>
    <row r="1082" spans="3:9">
      <c r="C1082" s="178"/>
      <c r="D1082" s="178"/>
      <c r="E1082" s="178"/>
      <c r="F1082" s="178"/>
      <c r="G1082" s="181"/>
      <c r="H1082" s="181"/>
      <c r="I1082" s="178"/>
    </row>
    <row r="1083" spans="3:9">
      <c r="C1083" s="178"/>
      <c r="D1083" s="178"/>
      <c r="E1083" s="178"/>
      <c r="F1083" s="178"/>
      <c r="G1083" s="181"/>
      <c r="H1083" s="181"/>
      <c r="I1083" s="178"/>
    </row>
    <row r="1084" spans="3:9">
      <c r="C1084" s="178"/>
      <c r="D1084" s="178"/>
      <c r="E1084" s="178"/>
      <c r="F1084" s="178"/>
      <c r="G1084" s="181"/>
      <c r="H1084" s="181"/>
      <c r="I1084" s="178"/>
    </row>
    <row r="1085" spans="3:9">
      <c r="C1085" s="178"/>
      <c r="D1085" s="178"/>
      <c r="E1085" s="178"/>
      <c r="F1085" s="178"/>
      <c r="G1085" s="181"/>
      <c r="H1085" s="181"/>
      <c r="I1085" s="178"/>
    </row>
    <row r="1086" spans="3:9">
      <c r="C1086" s="178"/>
      <c r="D1086" s="178"/>
      <c r="E1086" s="178"/>
      <c r="F1086" s="178"/>
      <c r="G1086" s="181"/>
      <c r="H1086" s="181"/>
      <c r="I1086" s="178"/>
    </row>
    <row r="1087" spans="3:9">
      <c r="C1087" s="178"/>
      <c r="D1087" s="178"/>
      <c r="E1087" s="178"/>
      <c r="F1087" s="178"/>
      <c r="G1087" s="181"/>
      <c r="H1087" s="181"/>
      <c r="I1087" s="178"/>
    </row>
    <row r="1088" spans="3:9">
      <c r="C1088" s="178"/>
      <c r="D1088" s="178"/>
      <c r="E1088" s="178"/>
      <c r="F1088" s="178"/>
      <c r="G1088" s="181"/>
      <c r="H1088" s="181"/>
      <c r="I1088" s="178"/>
    </row>
    <row r="1089" spans="3:9">
      <c r="C1089" s="178"/>
      <c r="D1089" s="178"/>
      <c r="E1089" s="178"/>
      <c r="F1089" s="178"/>
      <c r="G1089" s="181"/>
      <c r="H1089" s="181"/>
      <c r="I1089" s="178"/>
    </row>
    <row r="1090" spans="3:9">
      <c r="C1090" s="178"/>
      <c r="D1090" s="178"/>
      <c r="E1090" s="178"/>
      <c r="F1090" s="178"/>
      <c r="G1090" s="181"/>
      <c r="H1090" s="181"/>
      <c r="I1090" s="178"/>
    </row>
    <row r="1091" spans="3:9">
      <c r="C1091" s="178"/>
      <c r="D1091" s="178"/>
      <c r="E1091" s="178"/>
      <c r="F1091" s="178"/>
      <c r="G1091" s="181"/>
      <c r="H1091" s="181"/>
      <c r="I1091" s="178"/>
    </row>
    <row r="1092" spans="3:9">
      <c r="C1092" s="178"/>
      <c r="D1092" s="178"/>
      <c r="E1092" s="178"/>
      <c r="F1092" s="178"/>
      <c r="G1092" s="181"/>
      <c r="H1092" s="181"/>
      <c r="I1092" s="178"/>
    </row>
    <row r="1093" spans="3:9">
      <c r="C1093" s="178"/>
      <c r="D1093" s="178"/>
      <c r="E1093" s="178"/>
      <c r="F1093" s="178"/>
      <c r="G1093" s="181"/>
      <c r="H1093" s="181"/>
      <c r="I1093" s="178"/>
    </row>
    <row r="1094" spans="3:9">
      <c r="C1094" s="178"/>
      <c r="D1094" s="178"/>
      <c r="E1094" s="178"/>
      <c r="F1094" s="178"/>
      <c r="G1094" s="181"/>
      <c r="H1094" s="181"/>
      <c r="I1094" s="178"/>
    </row>
    <row r="1095" spans="3:9">
      <c r="C1095" s="178"/>
      <c r="D1095" s="178"/>
      <c r="E1095" s="178"/>
      <c r="F1095" s="178"/>
      <c r="G1095" s="181"/>
      <c r="H1095" s="181"/>
      <c r="I1095" s="178"/>
    </row>
    <row r="1096" spans="3:9">
      <c r="C1096" s="178"/>
      <c r="D1096" s="178"/>
      <c r="E1096" s="178"/>
      <c r="F1096" s="178"/>
      <c r="G1096" s="181"/>
      <c r="H1096" s="181"/>
      <c r="I1096" s="178"/>
    </row>
    <row r="1097" spans="3:9">
      <c r="C1097" s="178"/>
      <c r="D1097" s="178"/>
      <c r="E1097" s="178"/>
      <c r="F1097" s="178"/>
      <c r="G1097" s="181"/>
      <c r="H1097" s="181"/>
      <c r="I1097" s="178"/>
    </row>
    <row r="1098" spans="3:9">
      <c r="C1098" s="178"/>
      <c r="D1098" s="178"/>
      <c r="E1098" s="178"/>
      <c r="F1098" s="178"/>
      <c r="G1098" s="181"/>
      <c r="H1098" s="181"/>
      <c r="I1098" s="178"/>
    </row>
    <row r="1099" spans="3:9">
      <c r="C1099" s="178"/>
      <c r="D1099" s="178"/>
      <c r="E1099" s="178"/>
      <c r="F1099" s="178"/>
      <c r="G1099" s="181"/>
      <c r="H1099" s="181"/>
      <c r="I1099" s="178"/>
    </row>
    <row r="1100" spans="3:9">
      <c r="C1100" s="178"/>
      <c r="D1100" s="178"/>
      <c r="E1100" s="178"/>
      <c r="F1100" s="178"/>
      <c r="G1100" s="181"/>
      <c r="H1100" s="181"/>
      <c r="I1100" s="178"/>
    </row>
    <row r="1101" spans="3:9">
      <c r="C1101" s="178"/>
      <c r="D1101" s="178"/>
      <c r="E1101" s="178"/>
      <c r="F1101" s="178"/>
      <c r="G1101" s="181"/>
      <c r="H1101" s="181"/>
      <c r="I1101" s="178"/>
    </row>
    <row r="1102" spans="3:9">
      <c r="C1102" s="178"/>
      <c r="D1102" s="178"/>
      <c r="E1102" s="178"/>
      <c r="F1102" s="178"/>
      <c r="G1102" s="181"/>
      <c r="H1102" s="181"/>
      <c r="I1102" s="178"/>
    </row>
    <row r="1103" spans="3:9">
      <c r="C1103" s="178"/>
      <c r="D1103" s="178"/>
      <c r="E1103" s="178"/>
      <c r="F1103" s="178"/>
      <c r="G1103" s="181"/>
      <c r="H1103" s="181"/>
      <c r="I1103" s="178"/>
    </row>
    <row r="1104" spans="3:9">
      <c r="C1104" s="178"/>
      <c r="D1104" s="178"/>
      <c r="E1104" s="178"/>
      <c r="F1104" s="178"/>
      <c r="G1104" s="181"/>
      <c r="H1104" s="181"/>
      <c r="I1104" s="178"/>
    </row>
    <row r="1105" spans="3:9">
      <c r="C1105" s="178"/>
      <c r="D1105" s="178"/>
      <c r="E1105" s="178"/>
      <c r="F1105" s="178"/>
      <c r="G1105" s="181"/>
      <c r="H1105" s="181"/>
      <c r="I1105" s="178"/>
    </row>
    <row r="1106" spans="3:9">
      <c r="C1106" s="178"/>
      <c r="D1106" s="178"/>
      <c r="E1106" s="178"/>
      <c r="F1106" s="178"/>
      <c r="G1106" s="181"/>
      <c r="H1106" s="181"/>
      <c r="I1106" s="178"/>
    </row>
    <row r="1107" spans="3:9">
      <c r="C1107" s="178"/>
      <c r="D1107" s="178"/>
      <c r="E1107" s="178"/>
      <c r="F1107" s="178"/>
      <c r="G1107" s="181"/>
      <c r="H1107" s="181"/>
      <c r="I1107" s="178"/>
    </row>
    <row r="1108" spans="3:9">
      <c r="C1108" s="178"/>
      <c r="D1108" s="178"/>
      <c r="E1108" s="178"/>
      <c r="F1108" s="178"/>
      <c r="G1108" s="181"/>
      <c r="H1108" s="181"/>
      <c r="I1108" s="178"/>
    </row>
    <row r="1109" spans="3:9">
      <c r="C1109" s="178"/>
      <c r="D1109" s="178"/>
      <c r="E1109" s="178"/>
      <c r="F1109" s="178"/>
      <c r="G1109" s="181"/>
      <c r="H1109" s="181"/>
      <c r="I1109" s="178"/>
    </row>
    <row r="1110" spans="3:9">
      <c r="C1110" s="178"/>
      <c r="D1110" s="178"/>
      <c r="E1110" s="178"/>
      <c r="F1110" s="178"/>
      <c r="G1110" s="181"/>
      <c r="H1110" s="181"/>
      <c r="I1110" s="178"/>
    </row>
    <row r="1111" spans="3:9">
      <c r="C1111" s="178"/>
      <c r="D1111" s="178"/>
      <c r="E1111" s="178"/>
      <c r="F1111" s="178"/>
      <c r="G1111" s="181"/>
      <c r="H1111" s="181"/>
      <c r="I1111" s="178"/>
    </row>
    <row r="1112" spans="3:9">
      <c r="C1112" s="178"/>
      <c r="D1112" s="178"/>
      <c r="E1112" s="178"/>
      <c r="F1112" s="178"/>
      <c r="G1112" s="181"/>
      <c r="H1112" s="181"/>
      <c r="I1112" s="178"/>
    </row>
    <row r="1113" spans="3:9">
      <c r="C1113" s="178"/>
      <c r="D1113" s="178"/>
      <c r="E1113" s="178"/>
      <c r="F1113" s="178"/>
      <c r="G1113" s="181"/>
      <c r="H1113" s="181"/>
      <c r="I1113" s="178"/>
    </row>
    <row r="1114" spans="3:9">
      <c r="C1114" s="178"/>
      <c r="D1114" s="178"/>
      <c r="E1114" s="178"/>
      <c r="F1114" s="178"/>
      <c r="G1114" s="181"/>
      <c r="H1114" s="181"/>
      <c r="I1114" s="178"/>
    </row>
    <row r="1115" spans="3:9">
      <c r="C1115" s="178"/>
      <c r="D1115" s="178"/>
      <c r="E1115" s="178"/>
      <c r="F1115" s="178"/>
      <c r="G1115" s="181"/>
      <c r="H1115" s="181"/>
      <c r="I1115" s="178"/>
    </row>
    <row r="1116" spans="3:9">
      <c r="C1116" s="178"/>
      <c r="D1116" s="178"/>
      <c r="E1116" s="178"/>
      <c r="F1116" s="178"/>
      <c r="G1116" s="181"/>
      <c r="H1116" s="181"/>
      <c r="I1116" s="178"/>
    </row>
    <row r="1117" spans="3:9">
      <c r="C1117" s="178"/>
      <c r="D1117" s="178"/>
      <c r="E1117" s="178"/>
      <c r="F1117" s="178"/>
      <c r="G1117" s="181"/>
      <c r="H1117" s="181"/>
      <c r="I1117" s="178"/>
    </row>
    <row r="1118" spans="3:9">
      <c r="C1118" s="178"/>
      <c r="D1118" s="178"/>
      <c r="E1118" s="178"/>
      <c r="F1118" s="178"/>
      <c r="G1118" s="181"/>
      <c r="H1118" s="181"/>
      <c r="I1118" s="178"/>
    </row>
    <row r="1119" spans="3:9">
      <c r="C1119" s="178"/>
      <c r="D1119" s="178"/>
      <c r="E1119" s="178"/>
      <c r="F1119" s="178"/>
      <c r="G1119" s="181"/>
      <c r="H1119" s="181"/>
      <c r="I1119" s="178"/>
    </row>
    <row r="1120" spans="3:9">
      <c r="C1120" s="178"/>
      <c r="D1120" s="178"/>
      <c r="E1120" s="178"/>
      <c r="F1120" s="178"/>
      <c r="G1120" s="181"/>
      <c r="H1120" s="181"/>
      <c r="I1120" s="178"/>
    </row>
    <row r="1121" spans="3:9">
      <c r="C1121" s="178"/>
      <c r="D1121" s="178"/>
      <c r="E1121" s="178"/>
      <c r="F1121" s="178"/>
      <c r="G1121" s="181"/>
      <c r="H1121" s="181"/>
      <c r="I1121" s="178"/>
    </row>
    <row r="1122" spans="3:9">
      <c r="C1122" s="178"/>
      <c r="D1122" s="178"/>
      <c r="E1122" s="178"/>
      <c r="F1122" s="178"/>
      <c r="G1122" s="181"/>
      <c r="H1122" s="181"/>
      <c r="I1122" s="178"/>
    </row>
    <row r="1123" spans="3:9">
      <c r="C1123" s="178"/>
      <c r="D1123" s="178"/>
      <c r="E1123" s="178"/>
      <c r="F1123" s="178"/>
      <c r="G1123" s="181"/>
      <c r="H1123" s="181"/>
      <c r="I1123" s="178"/>
    </row>
    <row r="1124" spans="3:9">
      <c r="C1124" s="178"/>
      <c r="D1124" s="178"/>
      <c r="E1124" s="178"/>
      <c r="F1124" s="178"/>
      <c r="G1124" s="181"/>
      <c r="H1124" s="181"/>
      <c r="I1124" s="178"/>
    </row>
    <row r="1125" spans="3:9">
      <c r="C1125" s="178"/>
      <c r="D1125" s="178"/>
      <c r="E1125" s="178"/>
      <c r="F1125" s="178"/>
      <c r="G1125" s="181"/>
      <c r="H1125" s="181"/>
      <c r="I1125" s="178"/>
    </row>
    <row r="1126" spans="3:9">
      <c r="C1126" s="178"/>
      <c r="D1126" s="178"/>
      <c r="E1126" s="178"/>
      <c r="F1126" s="178"/>
      <c r="G1126" s="181"/>
      <c r="H1126" s="181"/>
      <c r="I1126" s="178"/>
    </row>
    <row r="1127" spans="3:9">
      <c r="C1127" s="178"/>
      <c r="D1127" s="178"/>
      <c r="E1127" s="178"/>
      <c r="F1127" s="178"/>
      <c r="G1127" s="181"/>
      <c r="H1127" s="181"/>
      <c r="I1127" s="178"/>
    </row>
    <row r="1128" spans="3:9">
      <c r="C1128" s="178"/>
      <c r="D1128" s="178"/>
      <c r="E1128" s="178"/>
      <c r="F1128" s="178"/>
      <c r="G1128" s="181"/>
      <c r="H1128" s="181"/>
      <c r="I1128" s="178"/>
    </row>
    <row r="1129" spans="3:9">
      <c r="C1129" s="178"/>
      <c r="D1129" s="178"/>
      <c r="E1129" s="178"/>
      <c r="F1129" s="178"/>
      <c r="G1129" s="181"/>
      <c r="H1129" s="181"/>
      <c r="I1129" s="178"/>
    </row>
    <row r="1130" spans="3:9">
      <c r="C1130" s="178"/>
      <c r="D1130" s="178"/>
      <c r="E1130" s="178"/>
      <c r="F1130" s="178"/>
      <c r="G1130" s="181"/>
      <c r="H1130" s="181"/>
      <c r="I1130" s="178"/>
    </row>
    <row r="1131" spans="3:9">
      <c r="C1131" s="178"/>
      <c r="D1131" s="178"/>
      <c r="E1131" s="178"/>
      <c r="F1131" s="178"/>
      <c r="G1131" s="181"/>
      <c r="H1131" s="181"/>
      <c r="I1131" s="178"/>
    </row>
    <row r="1132" spans="3:9">
      <c r="C1132" s="178"/>
      <c r="D1132" s="178"/>
      <c r="E1132" s="178"/>
      <c r="F1132" s="178"/>
      <c r="G1132" s="181"/>
      <c r="H1132" s="181"/>
      <c r="I1132" s="178"/>
    </row>
    <row r="1133" spans="3:9">
      <c r="C1133" s="178"/>
      <c r="D1133" s="178"/>
      <c r="E1133" s="178"/>
      <c r="F1133" s="178"/>
      <c r="G1133" s="181"/>
      <c r="H1133" s="181"/>
      <c r="I1133" s="178"/>
    </row>
    <row r="1134" spans="3:9">
      <c r="C1134" s="178"/>
      <c r="D1134" s="178"/>
      <c r="E1134" s="178"/>
      <c r="F1134" s="178"/>
      <c r="G1134" s="181"/>
      <c r="H1134" s="181"/>
      <c r="I1134" s="178"/>
    </row>
    <row r="1135" spans="3:9">
      <c r="C1135" s="178"/>
      <c r="D1135" s="178"/>
      <c r="E1135" s="178"/>
      <c r="F1135" s="178"/>
      <c r="G1135" s="181"/>
      <c r="H1135" s="181"/>
      <c r="I1135" s="178"/>
    </row>
    <row r="1136" spans="3:9">
      <c r="C1136" s="178"/>
      <c r="D1136" s="178"/>
      <c r="E1136" s="178"/>
      <c r="F1136" s="178"/>
      <c r="G1136" s="181"/>
      <c r="H1136" s="181"/>
      <c r="I1136" s="178"/>
    </row>
    <row r="1137" spans="3:9">
      <c r="C1137" s="178"/>
      <c r="D1137" s="178"/>
      <c r="E1137" s="178"/>
      <c r="F1137" s="178"/>
      <c r="G1137" s="181"/>
      <c r="H1137" s="181"/>
      <c r="I1137" s="178"/>
    </row>
    <row r="1138" spans="3:9">
      <c r="C1138" s="178"/>
      <c r="D1138" s="178"/>
      <c r="E1138" s="178"/>
      <c r="F1138" s="178"/>
      <c r="G1138" s="181"/>
      <c r="H1138" s="181"/>
      <c r="I1138" s="178"/>
    </row>
    <row r="1139" spans="3:9">
      <c r="C1139" s="178"/>
      <c r="D1139" s="178"/>
      <c r="E1139" s="178"/>
      <c r="F1139" s="178"/>
      <c r="G1139" s="181"/>
      <c r="H1139" s="181"/>
      <c r="I1139" s="178"/>
    </row>
    <row r="1140" spans="3:9">
      <c r="C1140" s="178"/>
      <c r="D1140" s="178"/>
      <c r="E1140" s="178"/>
      <c r="F1140" s="178"/>
      <c r="G1140" s="181"/>
      <c r="H1140" s="181"/>
      <c r="I1140" s="178"/>
    </row>
    <row r="1141" spans="3:9">
      <c r="C1141" s="178"/>
      <c r="D1141" s="178"/>
      <c r="E1141" s="178"/>
      <c r="F1141" s="178"/>
      <c r="G1141" s="181"/>
      <c r="H1141" s="181"/>
      <c r="I1141" s="178"/>
    </row>
    <row r="1142" spans="3:9">
      <c r="C1142" s="178"/>
      <c r="D1142" s="178"/>
      <c r="E1142" s="178"/>
      <c r="F1142" s="178"/>
      <c r="G1142" s="181"/>
      <c r="H1142" s="181"/>
      <c r="I1142" s="178"/>
    </row>
    <row r="1143" spans="3:9">
      <c r="C1143" s="178"/>
      <c r="D1143" s="178"/>
      <c r="E1143" s="178"/>
      <c r="F1143" s="178"/>
      <c r="G1143" s="181"/>
      <c r="H1143" s="181"/>
      <c r="I1143" s="178"/>
    </row>
    <row r="1144" spans="3:9">
      <c r="C1144" s="178"/>
      <c r="D1144" s="178"/>
      <c r="E1144" s="178"/>
      <c r="F1144" s="178"/>
      <c r="G1144" s="181"/>
      <c r="H1144" s="181"/>
      <c r="I1144" s="178"/>
    </row>
    <row r="1145" spans="3:9">
      <c r="C1145" s="178"/>
      <c r="D1145" s="178"/>
      <c r="E1145" s="178"/>
      <c r="F1145" s="178"/>
      <c r="G1145" s="181"/>
      <c r="H1145" s="181"/>
      <c r="I1145" s="178"/>
    </row>
    <row r="1146" spans="3:9">
      <c r="C1146" s="178"/>
      <c r="D1146" s="178"/>
      <c r="E1146" s="178"/>
      <c r="F1146" s="178"/>
      <c r="G1146" s="181"/>
      <c r="H1146" s="181"/>
      <c r="I1146" s="178"/>
    </row>
    <row r="1147" spans="3:9">
      <c r="C1147" s="178"/>
      <c r="D1147" s="178"/>
      <c r="E1147" s="178"/>
      <c r="F1147" s="178"/>
      <c r="G1147" s="181"/>
      <c r="H1147" s="181"/>
      <c r="I1147" s="178"/>
    </row>
    <row r="1148" spans="3:9">
      <c r="C1148" s="178"/>
      <c r="D1148" s="178"/>
      <c r="E1148" s="178"/>
      <c r="F1148" s="178"/>
      <c r="G1148" s="181"/>
      <c r="H1148" s="181"/>
      <c r="I1148" s="178"/>
    </row>
    <row r="1149" spans="3:9">
      <c r="C1149" s="178"/>
      <c r="D1149" s="178"/>
      <c r="E1149" s="178"/>
      <c r="F1149" s="178"/>
      <c r="G1149" s="181"/>
      <c r="H1149" s="181"/>
      <c r="I1149" s="178"/>
    </row>
    <row r="1150" spans="3:9">
      <c r="C1150" s="178"/>
      <c r="D1150" s="178"/>
      <c r="E1150" s="178"/>
      <c r="F1150" s="178"/>
      <c r="G1150" s="181"/>
      <c r="H1150" s="181"/>
      <c r="I1150" s="178"/>
    </row>
    <row r="1151" spans="3:9">
      <c r="C1151" s="178"/>
      <c r="D1151" s="178"/>
      <c r="E1151" s="178"/>
      <c r="F1151" s="178"/>
      <c r="G1151" s="181"/>
      <c r="H1151" s="181"/>
      <c r="I1151" s="178"/>
    </row>
    <row r="1152" spans="3:9">
      <c r="C1152" s="178"/>
      <c r="D1152" s="178"/>
      <c r="E1152" s="178"/>
      <c r="F1152" s="178"/>
      <c r="G1152" s="181"/>
      <c r="H1152" s="181"/>
      <c r="I1152" s="178"/>
    </row>
    <row r="1153" spans="3:9">
      <c r="C1153" s="178"/>
      <c r="D1153" s="178"/>
      <c r="E1153" s="178"/>
      <c r="F1153" s="178"/>
      <c r="G1153" s="181"/>
      <c r="H1153" s="181"/>
      <c r="I1153" s="178"/>
    </row>
    <row r="1154" spans="3:9">
      <c r="C1154" s="178"/>
      <c r="D1154" s="178"/>
      <c r="E1154" s="178"/>
      <c r="F1154" s="178"/>
      <c r="G1154" s="181"/>
      <c r="H1154" s="181"/>
      <c r="I1154" s="178"/>
    </row>
    <row r="1155" spans="3:9">
      <c r="C1155" s="178"/>
      <c r="D1155" s="178"/>
      <c r="E1155" s="178"/>
      <c r="F1155" s="178"/>
      <c r="G1155" s="181"/>
      <c r="H1155" s="181"/>
      <c r="I1155" s="178"/>
    </row>
    <row r="1156" spans="3:9">
      <c r="C1156" s="178"/>
      <c r="D1156" s="178"/>
      <c r="E1156" s="178"/>
      <c r="F1156" s="178"/>
      <c r="G1156" s="181"/>
      <c r="H1156" s="181"/>
      <c r="I1156" s="178"/>
    </row>
    <row r="1157" spans="3:9">
      <c r="C1157" s="178"/>
      <c r="D1157" s="178"/>
      <c r="E1157" s="178"/>
      <c r="F1157" s="178"/>
      <c r="G1157" s="181"/>
      <c r="H1157" s="181"/>
      <c r="I1157" s="178"/>
    </row>
    <row r="1158" spans="3:9">
      <c r="C1158" s="178"/>
      <c r="D1158" s="178"/>
      <c r="E1158" s="178"/>
      <c r="F1158" s="178"/>
      <c r="G1158" s="181"/>
      <c r="H1158" s="181"/>
      <c r="I1158" s="178"/>
    </row>
    <row r="1159" spans="3:9">
      <c r="C1159" s="178"/>
      <c r="D1159" s="178"/>
      <c r="E1159" s="178"/>
      <c r="F1159" s="178"/>
      <c r="G1159" s="181"/>
      <c r="H1159" s="181"/>
      <c r="I1159" s="178"/>
    </row>
    <row r="1160" spans="3:9">
      <c r="C1160" s="178"/>
      <c r="D1160" s="178"/>
      <c r="E1160" s="178"/>
      <c r="F1160" s="178"/>
      <c r="G1160" s="181"/>
      <c r="H1160" s="181"/>
      <c r="I1160" s="178"/>
    </row>
    <row r="1161" spans="3:9">
      <c r="C1161" s="178"/>
      <c r="D1161" s="178"/>
      <c r="E1161" s="178"/>
      <c r="F1161" s="178"/>
      <c r="G1161" s="181"/>
      <c r="H1161" s="181"/>
      <c r="I1161" s="178"/>
    </row>
    <row r="1162" spans="3:9">
      <c r="C1162" s="178"/>
      <c r="D1162" s="178"/>
      <c r="E1162" s="178"/>
      <c r="F1162" s="178"/>
      <c r="G1162" s="181"/>
      <c r="H1162" s="181"/>
      <c r="I1162" s="178"/>
    </row>
    <row r="1163" spans="3:9">
      <c r="C1163" s="178"/>
      <c r="D1163" s="178"/>
      <c r="E1163" s="178"/>
      <c r="F1163" s="178"/>
      <c r="G1163" s="181"/>
      <c r="H1163" s="181"/>
      <c r="I1163" s="178"/>
    </row>
    <row r="1164" spans="3:9">
      <c r="C1164" s="178"/>
      <c r="D1164" s="178"/>
      <c r="E1164" s="178"/>
      <c r="F1164" s="178"/>
      <c r="G1164" s="181"/>
      <c r="H1164" s="181"/>
      <c r="I1164" s="178"/>
    </row>
    <row r="1165" spans="3:9">
      <c r="C1165" s="178"/>
      <c r="D1165" s="178"/>
      <c r="E1165" s="178"/>
      <c r="F1165" s="178"/>
      <c r="G1165" s="181"/>
      <c r="H1165" s="181"/>
      <c r="I1165" s="178"/>
    </row>
    <row r="1166" spans="3:9">
      <c r="C1166" s="178"/>
      <c r="D1166" s="178"/>
      <c r="E1166" s="178"/>
      <c r="F1166" s="178"/>
      <c r="G1166" s="181"/>
      <c r="H1166" s="181"/>
      <c r="I1166" s="178"/>
    </row>
    <row r="1167" spans="3:9">
      <c r="C1167" s="178"/>
      <c r="D1167" s="178"/>
      <c r="E1167" s="178"/>
      <c r="F1167" s="178"/>
      <c r="G1167" s="181"/>
      <c r="H1167" s="181"/>
      <c r="I1167" s="178"/>
    </row>
    <row r="1168" spans="3:9">
      <c r="C1168" s="178"/>
      <c r="D1168" s="178"/>
      <c r="E1168" s="178"/>
      <c r="F1168" s="178"/>
      <c r="G1168" s="181"/>
      <c r="H1168" s="181"/>
      <c r="I1168" s="178"/>
    </row>
    <row r="1169" spans="3:9">
      <c r="C1169" s="178"/>
      <c r="D1169" s="178"/>
      <c r="E1169" s="178"/>
      <c r="F1169" s="178"/>
      <c r="G1169" s="181"/>
      <c r="H1169" s="181"/>
      <c r="I1169" s="178"/>
    </row>
    <row r="1170" spans="3:9">
      <c r="C1170" s="178"/>
      <c r="D1170" s="178"/>
      <c r="E1170" s="178"/>
      <c r="F1170" s="178"/>
      <c r="G1170" s="181"/>
      <c r="H1170" s="181"/>
      <c r="I1170" s="178"/>
    </row>
    <row r="1171" spans="3:9">
      <c r="C1171" s="178"/>
      <c r="D1171" s="178"/>
      <c r="E1171" s="178"/>
      <c r="F1171" s="178"/>
      <c r="G1171" s="181"/>
      <c r="H1171" s="181"/>
      <c r="I1171" s="178"/>
    </row>
    <row r="1172" spans="3:9">
      <c r="C1172" s="178"/>
      <c r="D1172" s="178"/>
      <c r="E1172" s="178"/>
      <c r="F1172" s="178"/>
      <c r="G1172" s="181"/>
      <c r="H1172" s="181"/>
      <c r="I1172" s="178"/>
    </row>
    <row r="1173" spans="3:9">
      <c r="C1173" s="178"/>
      <c r="D1173" s="178"/>
      <c r="E1173" s="178"/>
      <c r="F1173" s="178"/>
      <c r="G1173" s="181"/>
      <c r="H1173" s="181"/>
      <c r="I1173" s="178"/>
    </row>
    <row r="1174" spans="3:9">
      <c r="C1174" s="178"/>
      <c r="D1174" s="178"/>
      <c r="E1174" s="178"/>
      <c r="F1174" s="178"/>
      <c r="G1174" s="181"/>
      <c r="H1174" s="181"/>
      <c r="I1174" s="178"/>
    </row>
    <row r="1175" spans="3:9">
      <c r="C1175" s="178"/>
      <c r="D1175" s="178"/>
      <c r="E1175" s="178"/>
      <c r="F1175" s="178"/>
      <c r="G1175" s="181"/>
      <c r="H1175" s="181"/>
      <c r="I1175" s="178"/>
    </row>
    <row r="1176" spans="3:9">
      <c r="C1176" s="178"/>
      <c r="D1176" s="178"/>
      <c r="E1176" s="178"/>
      <c r="F1176" s="178"/>
      <c r="G1176" s="181"/>
      <c r="H1176" s="181"/>
      <c r="I1176" s="178"/>
    </row>
    <row r="1177" spans="3:9">
      <c r="C1177" s="178"/>
      <c r="D1177" s="178"/>
      <c r="E1177" s="178"/>
      <c r="F1177" s="178"/>
      <c r="G1177" s="181"/>
      <c r="H1177" s="181"/>
      <c r="I1177" s="178"/>
    </row>
    <row r="1178" spans="3:9">
      <c r="C1178" s="178"/>
      <c r="D1178" s="178"/>
      <c r="E1178" s="178"/>
      <c r="F1178" s="178"/>
      <c r="G1178" s="181"/>
      <c r="H1178" s="181"/>
      <c r="I1178" s="178"/>
    </row>
    <row r="1179" spans="3:9">
      <c r="C1179" s="178"/>
      <c r="D1179" s="178"/>
      <c r="E1179" s="178"/>
      <c r="F1179" s="178"/>
      <c r="G1179" s="181"/>
      <c r="H1179" s="181"/>
      <c r="I1179" s="178"/>
    </row>
    <row r="1180" spans="3:9">
      <c r="C1180" s="178"/>
      <c r="D1180" s="178"/>
      <c r="E1180" s="178"/>
      <c r="F1180" s="178"/>
      <c r="G1180" s="181"/>
      <c r="H1180" s="181"/>
      <c r="I1180" s="178"/>
    </row>
    <row r="1181" spans="3:9">
      <c r="C1181" s="178"/>
      <c r="D1181" s="178"/>
      <c r="E1181" s="178"/>
      <c r="F1181" s="178"/>
      <c r="G1181" s="181"/>
      <c r="H1181" s="181"/>
      <c r="I1181" s="178"/>
    </row>
    <row r="1182" spans="3:9">
      <c r="C1182" s="178"/>
      <c r="D1182" s="178"/>
      <c r="E1182" s="178"/>
      <c r="F1182" s="178"/>
      <c r="G1182" s="181"/>
      <c r="H1182" s="181"/>
      <c r="I1182" s="178"/>
    </row>
    <row r="1183" spans="3:9">
      <c r="C1183" s="178"/>
      <c r="D1183" s="178"/>
      <c r="E1183" s="178"/>
      <c r="F1183" s="178"/>
      <c r="G1183" s="181"/>
      <c r="H1183" s="181"/>
      <c r="I1183" s="178"/>
    </row>
    <row r="1184" spans="3:9">
      <c r="C1184" s="178"/>
      <c r="D1184" s="178"/>
      <c r="E1184" s="178"/>
      <c r="F1184" s="178"/>
      <c r="G1184" s="181"/>
      <c r="H1184" s="181"/>
      <c r="I1184" s="178"/>
    </row>
    <row r="1185" spans="3:9">
      <c r="C1185" s="178"/>
      <c r="D1185" s="178"/>
      <c r="E1185" s="178"/>
      <c r="F1185" s="178"/>
      <c r="G1185" s="181"/>
      <c r="H1185" s="181"/>
      <c r="I1185" s="178"/>
    </row>
    <row r="1186" spans="3:9">
      <c r="C1186" s="178"/>
      <c r="D1186" s="178"/>
      <c r="E1186" s="178"/>
      <c r="F1186" s="178"/>
      <c r="G1186" s="181"/>
      <c r="H1186" s="181"/>
      <c r="I1186" s="178"/>
    </row>
    <row r="1187" spans="3:9">
      <c r="C1187" s="178"/>
      <c r="D1187" s="178"/>
      <c r="E1187" s="178"/>
      <c r="F1187" s="178"/>
      <c r="G1187" s="181"/>
      <c r="H1187" s="181"/>
      <c r="I1187" s="178"/>
    </row>
    <row r="1188" spans="3:9">
      <c r="C1188" s="178"/>
      <c r="D1188" s="178"/>
      <c r="E1188" s="178"/>
      <c r="F1188" s="178"/>
      <c r="G1188" s="181"/>
      <c r="H1188" s="181"/>
      <c r="I1188" s="178"/>
    </row>
    <row r="1189" spans="3:9">
      <c r="C1189" s="178"/>
      <c r="D1189" s="178"/>
      <c r="E1189" s="178"/>
      <c r="F1189" s="178"/>
      <c r="G1189" s="181"/>
      <c r="H1189" s="181"/>
      <c r="I1189" s="178"/>
    </row>
    <row r="1190" spans="3:9">
      <c r="C1190" s="178"/>
      <c r="D1190" s="178"/>
      <c r="E1190" s="178"/>
      <c r="F1190" s="178"/>
      <c r="G1190" s="181"/>
      <c r="H1190" s="181"/>
      <c r="I1190" s="178"/>
    </row>
    <row r="1191" spans="3:9">
      <c r="C1191" s="178"/>
      <c r="D1191" s="178"/>
      <c r="E1191" s="178"/>
      <c r="F1191" s="178"/>
      <c r="G1191" s="181"/>
      <c r="H1191" s="181"/>
      <c r="I1191" s="178"/>
    </row>
    <row r="1192" spans="3:9">
      <c r="C1192" s="178"/>
      <c r="D1192" s="178"/>
      <c r="E1192" s="178"/>
      <c r="F1192" s="178"/>
      <c r="G1192" s="181"/>
      <c r="H1192" s="181"/>
      <c r="I1192" s="178"/>
    </row>
    <row r="1193" spans="3:9">
      <c r="C1193" s="178"/>
      <c r="D1193" s="178"/>
      <c r="E1193" s="178"/>
      <c r="F1193" s="178"/>
      <c r="G1193" s="181"/>
      <c r="H1193" s="181"/>
      <c r="I1193" s="178"/>
    </row>
    <row r="1194" spans="3:9">
      <c r="C1194" s="178"/>
      <c r="D1194" s="178"/>
      <c r="E1194" s="178"/>
      <c r="F1194" s="178"/>
      <c r="G1194" s="181"/>
      <c r="H1194" s="181"/>
      <c r="I1194" s="178"/>
    </row>
    <row r="1195" spans="3:9">
      <c r="C1195" s="178"/>
      <c r="D1195" s="178"/>
      <c r="E1195" s="178"/>
      <c r="F1195" s="178"/>
      <c r="G1195" s="181"/>
      <c r="H1195" s="181"/>
      <c r="I1195" s="178"/>
    </row>
    <row r="1196" spans="3:9">
      <c r="C1196" s="178"/>
      <c r="D1196" s="178"/>
      <c r="E1196" s="178"/>
      <c r="F1196" s="178"/>
      <c r="G1196" s="181"/>
      <c r="H1196" s="181"/>
      <c r="I1196" s="178"/>
    </row>
    <row r="1197" spans="3:9">
      <c r="C1197" s="178"/>
      <c r="D1197" s="178"/>
      <c r="E1197" s="178"/>
      <c r="F1197" s="178"/>
      <c r="G1197" s="181"/>
      <c r="H1197" s="181"/>
      <c r="I1197" s="178"/>
    </row>
    <row r="1198" spans="3:9">
      <c r="C1198" s="178"/>
      <c r="D1198" s="178"/>
      <c r="E1198" s="178"/>
      <c r="F1198" s="178"/>
      <c r="G1198" s="181"/>
      <c r="H1198" s="181"/>
      <c r="I1198" s="178"/>
    </row>
    <row r="1199" spans="3:9">
      <c r="C1199" s="178"/>
      <c r="D1199" s="178"/>
      <c r="E1199" s="178"/>
      <c r="F1199" s="178"/>
      <c r="G1199" s="181"/>
      <c r="H1199" s="181"/>
      <c r="I1199" s="178"/>
    </row>
    <row r="1200" spans="3:9">
      <c r="C1200" s="178"/>
      <c r="D1200" s="178"/>
      <c r="E1200" s="178"/>
      <c r="F1200" s="178"/>
      <c r="G1200" s="181"/>
      <c r="H1200" s="181"/>
      <c r="I1200" s="178"/>
    </row>
    <row r="1201" spans="3:9">
      <c r="C1201" s="178"/>
      <c r="D1201" s="178"/>
      <c r="E1201" s="178"/>
      <c r="F1201" s="178"/>
      <c r="G1201" s="181"/>
      <c r="H1201" s="181"/>
      <c r="I1201" s="178"/>
    </row>
    <row r="1202" spans="3:9">
      <c r="C1202" s="178"/>
      <c r="D1202" s="178"/>
      <c r="E1202" s="178"/>
      <c r="F1202" s="178"/>
      <c r="G1202" s="181"/>
      <c r="H1202" s="181"/>
      <c r="I1202" s="178"/>
    </row>
    <row r="1203" spans="3:9">
      <c r="C1203" s="178"/>
      <c r="D1203" s="178"/>
      <c r="E1203" s="178"/>
      <c r="F1203" s="178"/>
      <c r="G1203" s="181"/>
      <c r="H1203" s="181"/>
      <c r="I1203" s="178"/>
    </row>
    <row r="1204" spans="3:9">
      <c r="C1204" s="178"/>
      <c r="D1204" s="178"/>
      <c r="E1204" s="178"/>
      <c r="F1204" s="178"/>
      <c r="G1204" s="181"/>
      <c r="H1204" s="181"/>
      <c r="I1204" s="178"/>
    </row>
    <row r="1205" spans="3:9">
      <c r="C1205" s="178"/>
      <c r="D1205" s="178"/>
      <c r="E1205" s="178"/>
      <c r="F1205" s="178"/>
      <c r="G1205" s="181"/>
      <c r="H1205" s="181"/>
      <c r="I1205" s="178"/>
    </row>
    <row r="1206" spans="3:9">
      <c r="C1206" s="178"/>
      <c r="D1206" s="178"/>
      <c r="E1206" s="178"/>
      <c r="F1206" s="178"/>
      <c r="G1206" s="181"/>
      <c r="H1206" s="181"/>
      <c r="I1206" s="178"/>
    </row>
    <row r="1207" spans="3:9">
      <c r="C1207" s="178"/>
      <c r="D1207" s="178"/>
      <c r="E1207" s="178"/>
      <c r="F1207" s="178"/>
      <c r="G1207" s="181"/>
      <c r="H1207" s="181"/>
      <c r="I1207" s="178"/>
    </row>
    <row r="1208" spans="3:9">
      <c r="C1208" s="178"/>
      <c r="D1208" s="178"/>
      <c r="E1208" s="178"/>
      <c r="F1208" s="178"/>
      <c r="G1208" s="181"/>
      <c r="H1208" s="181"/>
      <c r="I1208" s="178"/>
    </row>
    <row r="1209" spans="3:9">
      <c r="C1209" s="178"/>
      <c r="D1209" s="178"/>
      <c r="E1209" s="178"/>
      <c r="F1209" s="178"/>
      <c r="G1209" s="181"/>
      <c r="H1209" s="181"/>
      <c r="I1209" s="178"/>
    </row>
    <row r="1210" spans="3:9">
      <c r="C1210" s="178"/>
      <c r="D1210" s="178"/>
      <c r="E1210" s="178"/>
      <c r="F1210" s="178"/>
      <c r="G1210" s="181"/>
      <c r="H1210" s="181"/>
      <c r="I1210" s="178"/>
    </row>
    <row r="1211" spans="3:9">
      <c r="C1211" s="178"/>
      <c r="D1211" s="178"/>
      <c r="E1211" s="178"/>
      <c r="F1211" s="178"/>
      <c r="G1211" s="181"/>
      <c r="H1211" s="181"/>
      <c r="I1211" s="178"/>
    </row>
    <row r="1212" spans="3:9">
      <c r="C1212" s="178"/>
      <c r="D1212" s="178"/>
      <c r="E1212" s="178"/>
      <c r="F1212" s="178"/>
      <c r="G1212" s="181"/>
      <c r="H1212" s="181"/>
      <c r="I1212" s="178"/>
    </row>
    <row r="1213" spans="3:9">
      <c r="C1213" s="178"/>
      <c r="D1213" s="178"/>
      <c r="E1213" s="178"/>
      <c r="F1213" s="178"/>
      <c r="G1213" s="181"/>
      <c r="H1213" s="181"/>
      <c r="I1213" s="178"/>
    </row>
    <row r="1214" spans="3:9">
      <c r="C1214" s="178"/>
      <c r="D1214" s="178"/>
      <c r="E1214" s="178"/>
      <c r="F1214" s="178"/>
      <c r="G1214" s="181"/>
      <c r="H1214" s="181"/>
      <c r="I1214" s="178"/>
    </row>
    <row r="1215" spans="3:9">
      <c r="C1215" s="178"/>
      <c r="D1215" s="178"/>
      <c r="E1215" s="178"/>
      <c r="F1215" s="178"/>
      <c r="G1215" s="181"/>
      <c r="H1215" s="181"/>
      <c r="I1215" s="178"/>
    </row>
    <row r="1216" spans="3:9">
      <c r="C1216" s="178"/>
      <c r="D1216" s="178"/>
      <c r="E1216" s="178"/>
      <c r="F1216" s="178"/>
      <c r="G1216" s="181"/>
      <c r="H1216" s="181"/>
      <c r="I1216" s="178"/>
    </row>
    <row r="1217" spans="3:9">
      <c r="C1217" s="178"/>
      <c r="D1217" s="178"/>
      <c r="E1217" s="178"/>
      <c r="F1217" s="178"/>
      <c r="G1217" s="181"/>
      <c r="H1217" s="181"/>
      <c r="I1217" s="178"/>
    </row>
    <row r="1218" spans="3:9">
      <c r="C1218" s="178"/>
      <c r="D1218" s="178"/>
      <c r="E1218" s="178"/>
      <c r="F1218" s="178"/>
      <c r="G1218" s="181"/>
      <c r="H1218" s="181"/>
      <c r="I1218" s="178"/>
    </row>
    <row r="1219" spans="3:9">
      <c r="C1219" s="178"/>
      <c r="D1219" s="178"/>
      <c r="E1219" s="178"/>
      <c r="F1219" s="178"/>
      <c r="G1219" s="181"/>
      <c r="H1219" s="181"/>
      <c r="I1219" s="178"/>
    </row>
    <row r="1220" spans="3:9">
      <c r="C1220" s="178"/>
      <c r="D1220" s="178"/>
      <c r="E1220" s="178"/>
      <c r="F1220" s="178"/>
      <c r="G1220" s="181"/>
      <c r="H1220" s="181"/>
      <c r="I1220" s="178"/>
    </row>
    <row r="1221" spans="3:9">
      <c r="C1221" s="178"/>
      <c r="D1221" s="178"/>
      <c r="E1221" s="178"/>
      <c r="F1221" s="178"/>
      <c r="G1221" s="181"/>
      <c r="H1221" s="181"/>
      <c r="I1221" s="178"/>
    </row>
    <row r="1222" spans="3:9">
      <c r="C1222" s="178"/>
      <c r="D1222" s="178"/>
      <c r="E1222" s="178"/>
      <c r="F1222" s="178"/>
      <c r="G1222" s="181"/>
      <c r="H1222" s="181"/>
      <c r="I1222" s="178"/>
    </row>
    <row r="1223" spans="3:9">
      <c r="C1223" s="178"/>
      <c r="D1223" s="178"/>
      <c r="E1223" s="178"/>
      <c r="F1223" s="178"/>
      <c r="G1223" s="181"/>
      <c r="H1223" s="181"/>
      <c r="I1223" s="178"/>
    </row>
    <row r="1224" spans="3:9">
      <c r="C1224" s="178"/>
      <c r="D1224" s="178"/>
      <c r="E1224" s="178"/>
      <c r="F1224" s="178"/>
      <c r="G1224" s="181"/>
      <c r="H1224" s="181"/>
      <c r="I1224" s="178"/>
    </row>
    <row r="1225" spans="3:9">
      <c r="C1225" s="178"/>
      <c r="D1225" s="178"/>
      <c r="E1225" s="178"/>
      <c r="F1225" s="178"/>
      <c r="G1225" s="181"/>
      <c r="H1225" s="181"/>
      <c r="I1225" s="178"/>
    </row>
    <row r="1226" spans="3:9">
      <c r="C1226" s="178"/>
      <c r="D1226" s="178"/>
      <c r="E1226" s="178"/>
      <c r="F1226" s="178"/>
      <c r="G1226" s="181"/>
      <c r="H1226" s="181"/>
      <c r="I1226" s="178"/>
    </row>
    <row r="1227" spans="3:9">
      <c r="C1227" s="178"/>
      <c r="D1227" s="178"/>
      <c r="E1227" s="178"/>
      <c r="F1227" s="178"/>
      <c r="G1227" s="181"/>
      <c r="H1227" s="181"/>
      <c r="I1227" s="178"/>
    </row>
    <row r="1228" spans="3:9">
      <c r="C1228" s="178"/>
      <c r="D1228" s="178"/>
      <c r="E1228" s="178"/>
      <c r="F1228" s="178"/>
      <c r="G1228" s="181"/>
      <c r="H1228" s="181"/>
      <c r="I1228" s="178"/>
    </row>
    <row r="1229" spans="3:9">
      <c r="C1229" s="178"/>
      <c r="D1229" s="178"/>
      <c r="E1229" s="178"/>
      <c r="F1229" s="178"/>
      <c r="G1229" s="181"/>
      <c r="H1229" s="181"/>
      <c r="I1229" s="178"/>
    </row>
    <row r="1230" spans="3:9">
      <c r="C1230" s="178"/>
      <c r="D1230" s="178"/>
      <c r="E1230" s="178"/>
      <c r="F1230" s="178"/>
      <c r="G1230" s="181"/>
      <c r="H1230" s="181"/>
      <c r="I1230" s="178"/>
    </row>
    <row r="1231" spans="3:9">
      <c r="C1231" s="178"/>
      <c r="D1231" s="178"/>
      <c r="E1231" s="178"/>
      <c r="F1231" s="178"/>
      <c r="G1231" s="181"/>
      <c r="H1231" s="181"/>
      <c r="I1231" s="178"/>
    </row>
    <row r="1232" spans="3:9">
      <c r="C1232" s="178"/>
      <c r="D1232" s="178"/>
      <c r="E1232" s="178"/>
      <c r="F1232" s="178"/>
      <c r="G1232" s="181"/>
      <c r="H1232" s="181"/>
      <c r="I1232" s="178"/>
    </row>
    <row r="1233" spans="3:9">
      <c r="C1233" s="178"/>
      <c r="D1233" s="178"/>
      <c r="E1233" s="178"/>
      <c r="F1233" s="178"/>
      <c r="G1233" s="181"/>
      <c r="H1233" s="181"/>
      <c r="I1233" s="178"/>
    </row>
    <row r="1234" spans="3:9">
      <c r="C1234" s="178"/>
      <c r="D1234" s="178"/>
      <c r="E1234" s="178"/>
      <c r="F1234" s="178"/>
      <c r="G1234" s="181"/>
      <c r="H1234" s="181"/>
      <c r="I1234" s="178"/>
    </row>
    <row r="1235" spans="3:9">
      <c r="C1235" s="178"/>
      <c r="D1235" s="178"/>
      <c r="E1235" s="178"/>
      <c r="F1235" s="178"/>
      <c r="G1235" s="181"/>
      <c r="H1235" s="181"/>
      <c r="I1235" s="178"/>
    </row>
    <row r="1236" spans="3:9">
      <c r="C1236" s="178"/>
      <c r="D1236" s="178"/>
      <c r="E1236" s="178"/>
      <c r="F1236" s="178"/>
      <c r="G1236" s="181"/>
      <c r="H1236" s="181"/>
      <c r="I1236" s="178"/>
    </row>
    <row r="1237" spans="3:9">
      <c r="C1237" s="178"/>
      <c r="D1237" s="178"/>
      <c r="E1237" s="178"/>
      <c r="F1237" s="178"/>
      <c r="G1237" s="181"/>
      <c r="H1237" s="181"/>
      <c r="I1237" s="178"/>
    </row>
    <row r="1238" spans="3:9">
      <c r="C1238" s="178"/>
      <c r="D1238" s="178"/>
      <c r="E1238" s="178"/>
      <c r="F1238" s="178"/>
      <c r="G1238" s="181"/>
      <c r="H1238" s="181"/>
      <c r="I1238" s="178"/>
    </row>
    <row r="1239" spans="3:9">
      <c r="C1239" s="178"/>
      <c r="D1239" s="178"/>
      <c r="E1239" s="178"/>
      <c r="F1239" s="178"/>
      <c r="G1239" s="181"/>
      <c r="H1239" s="181"/>
      <c r="I1239" s="178"/>
    </row>
    <row r="1240" spans="3:9">
      <c r="C1240" s="178"/>
      <c r="D1240" s="178"/>
      <c r="E1240" s="178"/>
      <c r="F1240" s="178"/>
      <c r="G1240" s="181"/>
      <c r="H1240" s="181"/>
      <c r="I1240" s="178"/>
    </row>
    <row r="1241" spans="3:9">
      <c r="C1241" s="178"/>
      <c r="D1241" s="178"/>
      <c r="E1241" s="178"/>
      <c r="F1241" s="178"/>
      <c r="G1241" s="181"/>
      <c r="H1241" s="181"/>
      <c r="I1241" s="178"/>
    </row>
    <row r="1242" spans="3:9">
      <c r="C1242" s="178"/>
      <c r="D1242" s="178"/>
      <c r="E1242" s="178"/>
      <c r="F1242" s="178"/>
      <c r="G1242" s="181"/>
      <c r="H1242" s="181"/>
      <c r="I1242" s="178"/>
    </row>
    <row r="1243" spans="3:9">
      <c r="C1243" s="178"/>
      <c r="D1243" s="178"/>
      <c r="E1243" s="178"/>
      <c r="F1243" s="178"/>
      <c r="G1243" s="181"/>
      <c r="H1243" s="181"/>
      <c r="I1243" s="178"/>
    </row>
    <row r="1244" spans="3:9">
      <c r="C1244" s="178"/>
      <c r="D1244" s="178"/>
      <c r="E1244" s="178"/>
      <c r="F1244" s="178"/>
      <c r="G1244" s="181"/>
      <c r="H1244" s="181"/>
      <c r="I1244" s="178"/>
    </row>
    <row r="1245" spans="3:9">
      <c r="C1245" s="178"/>
      <c r="D1245" s="178"/>
      <c r="E1245" s="178"/>
      <c r="F1245" s="178"/>
      <c r="G1245" s="181"/>
      <c r="H1245" s="181"/>
      <c r="I1245" s="178"/>
    </row>
    <row r="1246" spans="3:9">
      <c r="C1246" s="178"/>
      <c r="D1246" s="178"/>
      <c r="E1246" s="178"/>
      <c r="F1246" s="178"/>
      <c r="G1246" s="181"/>
      <c r="H1246" s="181"/>
      <c r="I1246" s="178"/>
    </row>
    <row r="1247" spans="3:9">
      <c r="C1247" s="178"/>
      <c r="D1247" s="178"/>
      <c r="E1247" s="178"/>
      <c r="F1247" s="178"/>
      <c r="G1247" s="181"/>
      <c r="H1247" s="181"/>
      <c r="I1247" s="178"/>
    </row>
    <row r="1248" spans="3:9">
      <c r="C1248" s="178"/>
      <c r="D1248" s="178"/>
      <c r="E1248" s="178"/>
      <c r="F1248" s="178"/>
      <c r="G1248" s="181"/>
      <c r="H1248" s="181"/>
      <c r="I1248" s="178"/>
    </row>
    <row r="1249" spans="3:9">
      <c r="C1249" s="178"/>
      <c r="D1249" s="178"/>
      <c r="E1249" s="178"/>
      <c r="F1249" s="178"/>
      <c r="G1249" s="181"/>
      <c r="H1249" s="181"/>
      <c r="I1249" s="178"/>
    </row>
    <row r="1250" spans="3:9">
      <c r="C1250" s="178"/>
      <c r="D1250" s="178"/>
      <c r="E1250" s="178"/>
      <c r="F1250" s="178"/>
      <c r="G1250" s="181"/>
      <c r="H1250" s="181"/>
      <c r="I1250" s="178"/>
    </row>
    <row r="1251" spans="3:9">
      <c r="C1251" s="178"/>
      <c r="D1251" s="178"/>
      <c r="E1251" s="178"/>
      <c r="F1251" s="178"/>
      <c r="G1251" s="181"/>
      <c r="H1251" s="181"/>
      <c r="I1251" s="178"/>
    </row>
    <row r="1252" spans="3:9">
      <c r="C1252" s="178"/>
      <c r="D1252" s="178"/>
      <c r="E1252" s="178"/>
      <c r="F1252" s="178"/>
      <c r="G1252" s="181"/>
      <c r="H1252" s="181"/>
      <c r="I1252" s="178"/>
    </row>
    <row r="1253" spans="3:9">
      <c r="C1253" s="178"/>
      <c r="D1253" s="178"/>
      <c r="E1253" s="178"/>
      <c r="F1253" s="178"/>
      <c r="G1253" s="181"/>
      <c r="H1253" s="181"/>
      <c r="I1253" s="178"/>
    </row>
    <row r="1254" spans="3:9">
      <c r="C1254" s="178"/>
      <c r="D1254" s="178"/>
      <c r="E1254" s="178"/>
      <c r="F1254" s="178"/>
      <c r="G1254" s="181"/>
      <c r="H1254" s="181"/>
      <c r="I1254" s="178"/>
    </row>
    <row r="1255" spans="3:9">
      <c r="C1255" s="178"/>
      <c r="D1255" s="178"/>
      <c r="E1255" s="178"/>
      <c r="F1255" s="178"/>
      <c r="G1255" s="181"/>
      <c r="H1255" s="181"/>
      <c r="I1255" s="178"/>
    </row>
    <row r="1256" spans="3:9">
      <c r="C1256" s="178"/>
      <c r="D1256" s="178"/>
      <c r="E1256" s="178"/>
      <c r="F1256" s="178"/>
      <c r="G1256" s="181"/>
      <c r="H1256" s="181"/>
      <c r="I1256" s="178"/>
    </row>
    <row r="1257" spans="3:9">
      <c r="C1257" s="178"/>
      <c r="D1257" s="178"/>
      <c r="E1257" s="178"/>
      <c r="F1257" s="178"/>
      <c r="G1257" s="181"/>
      <c r="H1257" s="181"/>
      <c r="I1257" s="178"/>
    </row>
    <row r="1258" spans="3:9">
      <c r="C1258" s="178"/>
      <c r="D1258" s="178"/>
      <c r="E1258" s="178"/>
      <c r="F1258" s="178"/>
      <c r="G1258" s="181"/>
      <c r="H1258" s="181"/>
      <c r="I1258" s="178"/>
    </row>
    <row r="1259" spans="3:9">
      <c r="C1259" s="178"/>
      <c r="D1259" s="178"/>
      <c r="E1259" s="178"/>
      <c r="F1259" s="178"/>
      <c r="G1259" s="181"/>
      <c r="H1259" s="181"/>
      <c r="I1259" s="178"/>
    </row>
    <row r="1260" spans="3:9">
      <c r="C1260" s="178"/>
      <c r="D1260" s="178"/>
      <c r="E1260" s="178"/>
      <c r="F1260" s="178"/>
      <c r="G1260" s="181"/>
      <c r="H1260" s="181"/>
      <c r="I1260" s="178"/>
    </row>
    <row r="1261" spans="3:9">
      <c r="C1261" s="178"/>
      <c r="D1261" s="178"/>
      <c r="E1261" s="178"/>
      <c r="F1261" s="178"/>
      <c r="G1261" s="181"/>
      <c r="H1261" s="181"/>
      <c r="I1261" s="178"/>
    </row>
    <row r="1262" spans="3:9">
      <c r="C1262" s="178"/>
      <c r="D1262" s="178"/>
      <c r="E1262" s="178"/>
      <c r="F1262" s="178"/>
      <c r="G1262" s="181"/>
      <c r="H1262" s="181"/>
      <c r="I1262" s="178"/>
    </row>
    <row r="1263" spans="3:9">
      <c r="C1263" s="178"/>
      <c r="D1263" s="178"/>
      <c r="E1263" s="178"/>
      <c r="F1263" s="178"/>
      <c r="G1263" s="181"/>
      <c r="H1263" s="181"/>
      <c r="I1263" s="178"/>
    </row>
    <row r="1264" spans="3:9">
      <c r="C1264" s="178"/>
      <c r="D1264" s="178"/>
      <c r="E1264" s="178"/>
      <c r="F1264" s="178"/>
      <c r="G1264" s="181"/>
      <c r="H1264" s="181"/>
      <c r="I1264" s="178"/>
    </row>
    <row r="1265" spans="3:9">
      <c r="C1265" s="178"/>
      <c r="D1265" s="178"/>
      <c r="E1265" s="178"/>
      <c r="F1265" s="178"/>
      <c r="G1265" s="181"/>
      <c r="H1265" s="181"/>
      <c r="I1265" s="178"/>
    </row>
    <row r="1266" spans="3:9">
      <c r="C1266" s="178"/>
      <c r="D1266" s="178"/>
      <c r="E1266" s="178"/>
      <c r="F1266" s="178"/>
      <c r="G1266" s="181"/>
      <c r="H1266" s="181"/>
      <c r="I1266" s="178"/>
    </row>
    <row r="1267" spans="3:9">
      <c r="C1267" s="178"/>
      <c r="D1267" s="178"/>
      <c r="E1267" s="178"/>
      <c r="F1267" s="178"/>
      <c r="G1267" s="181"/>
      <c r="H1267" s="181"/>
      <c r="I1267" s="178"/>
    </row>
    <row r="1268" spans="3:9">
      <c r="C1268" s="178"/>
      <c r="D1268" s="178"/>
      <c r="E1268" s="178"/>
      <c r="F1268" s="178"/>
      <c r="G1268" s="181"/>
      <c r="H1268" s="181"/>
      <c r="I1268" s="178"/>
    </row>
    <row r="1269" spans="3:9">
      <c r="C1269" s="178"/>
      <c r="D1269" s="178"/>
      <c r="E1269" s="178"/>
      <c r="F1269" s="178"/>
      <c r="G1269" s="181"/>
      <c r="H1269" s="181"/>
      <c r="I1269" s="178"/>
    </row>
    <row r="1270" spans="3:9">
      <c r="C1270" s="178"/>
      <c r="D1270" s="178"/>
      <c r="E1270" s="178"/>
      <c r="F1270" s="178"/>
      <c r="G1270" s="181"/>
      <c r="H1270" s="181"/>
      <c r="I1270" s="178"/>
    </row>
    <row r="1271" spans="3:9">
      <c r="C1271" s="178"/>
      <c r="D1271" s="178"/>
      <c r="E1271" s="178"/>
      <c r="F1271" s="178"/>
      <c r="G1271" s="181"/>
      <c r="H1271" s="181"/>
      <c r="I1271" s="178"/>
    </row>
    <row r="1272" spans="3:9">
      <c r="C1272" s="178"/>
      <c r="D1272" s="178"/>
      <c r="E1272" s="178"/>
      <c r="F1272" s="178"/>
      <c r="G1272" s="181"/>
      <c r="H1272" s="181"/>
      <c r="I1272" s="178"/>
    </row>
    <row r="1273" spans="3:9">
      <c r="C1273" s="178"/>
      <c r="D1273" s="178"/>
      <c r="E1273" s="178"/>
      <c r="F1273" s="178"/>
      <c r="G1273" s="181"/>
      <c r="H1273" s="181"/>
      <c r="I1273" s="178"/>
    </row>
    <row r="1274" spans="3:9">
      <c r="C1274" s="178"/>
      <c r="D1274" s="178"/>
      <c r="E1274" s="178"/>
      <c r="F1274" s="178"/>
      <c r="G1274" s="181"/>
      <c r="H1274" s="181"/>
      <c r="I1274" s="178"/>
    </row>
    <row r="1275" spans="3:9">
      <c r="C1275" s="178"/>
      <c r="D1275" s="178"/>
      <c r="E1275" s="178"/>
      <c r="F1275" s="178"/>
      <c r="G1275" s="181"/>
      <c r="H1275" s="181"/>
      <c r="I1275" s="178"/>
    </row>
    <row r="1276" spans="3:9">
      <c r="C1276" s="178"/>
      <c r="D1276" s="178"/>
      <c r="E1276" s="178"/>
      <c r="F1276" s="178"/>
      <c r="G1276" s="181"/>
      <c r="H1276" s="181"/>
      <c r="I1276" s="178"/>
    </row>
    <row r="1277" spans="3:9">
      <c r="C1277" s="178"/>
      <c r="D1277" s="178"/>
      <c r="E1277" s="178"/>
      <c r="F1277" s="178"/>
      <c r="G1277" s="181"/>
      <c r="H1277" s="181"/>
      <c r="I1277" s="178"/>
    </row>
    <row r="1278" spans="3:9">
      <c r="C1278" s="178"/>
      <c r="D1278" s="178"/>
      <c r="E1278" s="178"/>
      <c r="F1278" s="178"/>
      <c r="G1278" s="181"/>
      <c r="H1278" s="181"/>
      <c r="I1278" s="178"/>
    </row>
    <row r="1279" spans="3:9">
      <c r="C1279" s="178"/>
      <c r="D1279" s="178"/>
      <c r="E1279" s="178"/>
      <c r="F1279" s="178"/>
      <c r="G1279" s="181"/>
      <c r="H1279" s="181"/>
      <c r="I1279" s="178"/>
    </row>
    <row r="1280" spans="3:9">
      <c r="C1280" s="178"/>
      <c r="D1280" s="178"/>
      <c r="E1280" s="178"/>
      <c r="F1280" s="178"/>
      <c r="G1280" s="181"/>
      <c r="H1280" s="181"/>
      <c r="I1280" s="178"/>
    </row>
    <row r="1281" spans="3:9">
      <c r="C1281" s="178"/>
      <c r="D1281" s="178"/>
      <c r="E1281" s="178"/>
      <c r="F1281" s="178"/>
      <c r="G1281" s="181"/>
      <c r="H1281" s="181"/>
      <c r="I1281" s="178"/>
    </row>
    <row r="1282" spans="3:9">
      <c r="C1282" s="178"/>
      <c r="D1282" s="178"/>
      <c r="E1282" s="178"/>
      <c r="F1282" s="178"/>
      <c r="G1282" s="181"/>
      <c r="H1282" s="181"/>
      <c r="I1282" s="178"/>
    </row>
    <row r="1283" spans="3:9">
      <c r="C1283" s="178"/>
      <c r="D1283" s="178"/>
      <c r="E1283" s="178"/>
      <c r="F1283" s="178"/>
      <c r="G1283" s="181"/>
      <c r="H1283" s="181"/>
      <c r="I1283" s="178"/>
    </row>
    <row r="1284" spans="3:9">
      <c r="C1284" s="178"/>
      <c r="D1284" s="178"/>
      <c r="E1284" s="178"/>
      <c r="F1284" s="178"/>
      <c r="G1284" s="181"/>
      <c r="H1284" s="181"/>
      <c r="I1284" s="178"/>
    </row>
    <row r="1285" spans="3:9">
      <c r="C1285" s="178"/>
      <c r="D1285" s="178"/>
      <c r="E1285" s="178"/>
      <c r="F1285" s="178"/>
      <c r="G1285" s="181"/>
      <c r="H1285" s="181"/>
      <c r="I1285" s="178"/>
    </row>
    <row r="1286" spans="3:9">
      <c r="C1286" s="178"/>
      <c r="D1286" s="178"/>
      <c r="E1286" s="178"/>
      <c r="F1286" s="178"/>
      <c r="G1286" s="181"/>
      <c r="H1286" s="181"/>
      <c r="I1286" s="178"/>
    </row>
    <row r="1287" spans="3:9">
      <c r="C1287" s="178"/>
      <c r="D1287" s="178"/>
      <c r="E1287" s="178"/>
      <c r="F1287" s="178"/>
      <c r="G1287" s="181"/>
      <c r="H1287" s="181"/>
      <c r="I1287" s="178"/>
    </row>
    <row r="1288" spans="3:9">
      <c r="C1288" s="178"/>
      <c r="D1288" s="178"/>
      <c r="E1288" s="178"/>
      <c r="F1288" s="178"/>
      <c r="G1288" s="181"/>
      <c r="H1288" s="181"/>
      <c r="I1288" s="178"/>
    </row>
    <row r="1289" spans="3:9">
      <c r="C1289" s="178"/>
      <c r="D1289" s="178"/>
      <c r="E1289" s="178"/>
      <c r="F1289" s="178"/>
      <c r="G1289" s="181"/>
      <c r="H1289" s="181"/>
      <c r="I1289" s="178"/>
    </row>
    <row r="1290" spans="3:9">
      <c r="C1290" s="178"/>
      <c r="D1290" s="178"/>
      <c r="E1290" s="178"/>
      <c r="F1290" s="178"/>
      <c r="G1290" s="181"/>
      <c r="H1290" s="181"/>
      <c r="I1290" s="178"/>
    </row>
    <row r="1291" spans="3:9">
      <c r="C1291" s="178"/>
      <c r="D1291" s="178"/>
      <c r="E1291" s="178"/>
      <c r="F1291" s="178"/>
      <c r="G1291" s="181"/>
      <c r="H1291" s="181"/>
      <c r="I1291" s="178"/>
    </row>
    <row r="1292" spans="3:9">
      <c r="C1292" s="178"/>
      <c r="D1292" s="178"/>
      <c r="E1292" s="178"/>
      <c r="F1292" s="178"/>
      <c r="G1292" s="181"/>
      <c r="H1292" s="181"/>
      <c r="I1292" s="178"/>
    </row>
    <row r="1293" spans="3:9">
      <c r="C1293" s="178"/>
      <c r="D1293" s="178"/>
      <c r="E1293" s="178"/>
      <c r="F1293" s="178"/>
      <c r="G1293" s="181"/>
      <c r="H1293" s="181"/>
      <c r="I1293" s="178"/>
    </row>
    <row r="1294" spans="3:9">
      <c r="C1294" s="178"/>
      <c r="D1294" s="178"/>
      <c r="E1294" s="178"/>
      <c r="F1294" s="178"/>
      <c r="G1294" s="181"/>
      <c r="H1294" s="181"/>
      <c r="I1294" s="178"/>
    </row>
    <row r="1295" spans="3:9">
      <c r="C1295" s="178"/>
      <c r="D1295" s="178"/>
      <c r="E1295" s="178"/>
      <c r="F1295" s="178"/>
      <c r="G1295" s="181"/>
      <c r="H1295" s="181"/>
      <c r="I1295" s="178"/>
    </row>
    <row r="1296" spans="3:9">
      <c r="C1296" s="178"/>
      <c r="D1296" s="178"/>
      <c r="E1296" s="178"/>
      <c r="F1296" s="178"/>
      <c r="G1296" s="181"/>
      <c r="H1296" s="181"/>
      <c r="I1296" s="178"/>
    </row>
    <row r="1297" spans="3:9">
      <c r="C1297" s="178"/>
      <c r="D1297" s="178"/>
      <c r="E1297" s="178"/>
      <c r="F1297" s="178"/>
      <c r="G1297" s="181"/>
      <c r="H1297" s="181"/>
      <c r="I1297" s="178"/>
    </row>
    <row r="1298" spans="3:9">
      <c r="C1298" s="178"/>
      <c r="D1298" s="178"/>
      <c r="E1298" s="178"/>
      <c r="F1298" s="178"/>
      <c r="G1298" s="181"/>
      <c r="H1298" s="181"/>
      <c r="I1298" s="178"/>
    </row>
    <row r="1299" spans="3:9">
      <c r="C1299" s="178"/>
      <c r="D1299" s="178"/>
      <c r="E1299" s="178"/>
      <c r="F1299" s="178"/>
      <c r="G1299" s="181"/>
      <c r="H1299" s="181"/>
      <c r="I1299" s="178"/>
    </row>
    <row r="1300" spans="3:9">
      <c r="C1300" s="178"/>
      <c r="D1300" s="178"/>
      <c r="E1300" s="178"/>
      <c r="F1300" s="178"/>
      <c r="G1300" s="181"/>
      <c r="H1300" s="181"/>
      <c r="I1300" s="178"/>
    </row>
    <row r="1301" spans="3:9">
      <c r="C1301" s="178"/>
      <c r="D1301" s="178"/>
      <c r="E1301" s="178"/>
      <c r="F1301" s="178"/>
      <c r="G1301" s="181"/>
      <c r="H1301" s="181"/>
      <c r="I1301" s="178"/>
    </row>
    <row r="1302" spans="3:9">
      <c r="C1302" s="178"/>
      <c r="D1302" s="178"/>
      <c r="E1302" s="178"/>
      <c r="F1302" s="178"/>
      <c r="G1302" s="181"/>
      <c r="H1302" s="181"/>
      <c r="I1302" s="178"/>
    </row>
    <row r="1303" spans="3:9">
      <c r="C1303" s="178"/>
      <c r="D1303" s="178"/>
      <c r="E1303" s="178"/>
      <c r="F1303" s="178"/>
      <c r="G1303" s="181"/>
      <c r="H1303" s="181"/>
      <c r="I1303" s="178"/>
    </row>
    <row r="1304" spans="3:9">
      <c r="C1304" s="178"/>
      <c r="D1304" s="178"/>
      <c r="E1304" s="178"/>
      <c r="F1304" s="178"/>
      <c r="G1304" s="181"/>
      <c r="H1304" s="181"/>
      <c r="I1304" s="178"/>
    </row>
    <row r="1305" spans="3:9">
      <c r="C1305" s="178"/>
      <c r="D1305" s="178"/>
      <c r="E1305" s="178"/>
      <c r="F1305" s="178"/>
      <c r="G1305" s="181"/>
      <c r="H1305" s="181"/>
      <c r="I1305" s="178"/>
    </row>
    <row r="1306" spans="3:9">
      <c r="C1306" s="178"/>
      <c r="D1306" s="178"/>
      <c r="E1306" s="178"/>
      <c r="F1306" s="178"/>
      <c r="G1306" s="181"/>
      <c r="H1306" s="181"/>
      <c r="I1306" s="178"/>
    </row>
    <row r="1307" spans="3:9">
      <c r="C1307" s="178"/>
      <c r="D1307" s="178"/>
      <c r="E1307" s="178"/>
      <c r="F1307" s="178"/>
      <c r="G1307" s="181"/>
      <c r="H1307" s="181"/>
      <c r="I1307" s="178"/>
    </row>
    <row r="1308" spans="3:9">
      <c r="C1308" s="178"/>
      <c r="D1308" s="178"/>
      <c r="E1308" s="178"/>
      <c r="F1308" s="178"/>
      <c r="G1308" s="181"/>
      <c r="H1308" s="181"/>
      <c r="I1308" s="178"/>
    </row>
    <row r="1309" spans="3:9">
      <c r="C1309" s="178"/>
      <c r="D1309" s="178"/>
      <c r="E1309" s="178"/>
      <c r="F1309" s="178"/>
      <c r="G1309" s="181"/>
      <c r="H1309" s="181"/>
      <c r="I1309" s="178"/>
    </row>
    <row r="1310" spans="3:9">
      <c r="C1310" s="178"/>
      <c r="D1310" s="178"/>
      <c r="E1310" s="178"/>
      <c r="F1310" s="178"/>
      <c r="G1310" s="181"/>
      <c r="H1310" s="181"/>
      <c r="I1310" s="178"/>
    </row>
    <row r="1311" spans="3:9">
      <c r="C1311" s="178"/>
      <c r="D1311" s="178"/>
      <c r="E1311" s="178"/>
      <c r="F1311" s="178"/>
      <c r="G1311" s="181"/>
      <c r="H1311" s="181"/>
      <c r="I1311" s="178"/>
    </row>
    <row r="1312" spans="3:9">
      <c r="C1312" s="178"/>
      <c r="D1312" s="178"/>
      <c r="E1312" s="178"/>
      <c r="F1312" s="178"/>
      <c r="G1312" s="181"/>
      <c r="H1312" s="181"/>
      <c r="I1312" s="178"/>
    </row>
    <row r="1313" spans="3:9">
      <c r="C1313" s="178"/>
      <c r="D1313" s="178"/>
      <c r="E1313" s="178"/>
      <c r="F1313" s="178"/>
      <c r="G1313" s="181"/>
      <c r="H1313" s="181"/>
      <c r="I1313" s="178"/>
    </row>
    <row r="1314" spans="3:9">
      <c r="C1314" s="178"/>
      <c r="D1314" s="178"/>
      <c r="E1314" s="178"/>
      <c r="F1314" s="178"/>
      <c r="G1314" s="181"/>
      <c r="H1314" s="181"/>
      <c r="I1314" s="178"/>
    </row>
    <row r="1315" spans="3:9">
      <c r="C1315" s="178"/>
      <c r="D1315" s="178"/>
      <c r="E1315" s="178"/>
      <c r="F1315" s="178"/>
      <c r="G1315" s="181"/>
      <c r="H1315" s="181"/>
      <c r="I1315" s="178"/>
    </row>
    <row r="1316" spans="3:9">
      <c r="C1316" s="178"/>
      <c r="D1316" s="178"/>
      <c r="E1316" s="178"/>
      <c r="F1316" s="178"/>
      <c r="G1316" s="181"/>
      <c r="H1316" s="181"/>
      <c r="I1316" s="178"/>
    </row>
    <row r="1317" spans="3:9">
      <c r="C1317" s="178"/>
      <c r="D1317" s="178"/>
      <c r="E1317" s="178"/>
      <c r="F1317" s="178"/>
      <c r="G1317" s="181"/>
      <c r="H1317" s="181"/>
      <c r="I1317" s="178"/>
    </row>
    <row r="1318" spans="3:9">
      <c r="C1318" s="178"/>
      <c r="D1318" s="178"/>
      <c r="E1318" s="178"/>
      <c r="F1318" s="178"/>
      <c r="G1318" s="181"/>
      <c r="H1318" s="181"/>
      <c r="I1318" s="178"/>
    </row>
    <row r="1319" spans="3:9">
      <c r="C1319" s="178"/>
      <c r="D1319" s="178"/>
      <c r="E1319" s="178"/>
      <c r="F1319" s="178"/>
      <c r="G1319" s="181"/>
      <c r="H1319" s="181"/>
      <c r="I1319" s="178"/>
    </row>
    <row r="1320" spans="3:9">
      <c r="C1320" s="178"/>
      <c r="D1320" s="178"/>
      <c r="E1320" s="178"/>
      <c r="F1320" s="178"/>
      <c r="G1320" s="181"/>
      <c r="H1320" s="181"/>
      <c r="I1320" s="178"/>
    </row>
    <row r="1321" spans="3:9">
      <c r="C1321" s="178"/>
      <c r="D1321" s="178"/>
      <c r="E1321" s="178"/>
      <c r="F1321" s="178"/>
      <c r="G1321" s="181"/>
      <c r="H1321" s="181"/>
      <c r="I1321" s="178"/>
    </row>
    <row r="1322" spans="3:9">
      <c r="C1322" s="178"/>
      <c r="D1322" s="178"/>
      <c r="E1322" s="178"/>
      <c r="F1322" s="178"/>
      <c r="G1322" s="181"/>
      <c r="H1322" s="181"/>
      <c r="I1322" s="178"/>
    </row>
    <row r="1323" spans="3:9">
      <c r="C1323" s="178"/>
      <c r="D1323" s="178"/>
      <c r="E1323" s="178"/>
      <c r="F1323" s="178"/>
      <c r="G1323" s="181"/>
      <c r="H1323" s="181"/>
      <c r="I1323" s="178"/>
    </row>
    <row r="1324" spans="3:9">
      <c r="C1324" s="178"/>
      <c r="D1324" s="178"/>
      <c r="E1324" s="178"/>
      <c r="F1324" s="178"/>
      <c r="G1324" s="181"/>
      <c r="H1324" s="181"/>
      <c r="I1324" s="178"/>
    </row>
    <row r="1325" spans="3:9">
      <c r="C1325" s="178"/>
      <c r="D1325" s="178"/>
      <c r="E1325" s="178"/>
      <c r="F1325" s="178"/>
      <c r="G1325" s="181"/>
      <c r="H1325" s="181"/>
      <c r="I1325" s="178"/>
    </row>
    <row r="1326" spans="3:9">
      <c r="C1326" s="178"/>
      <c r="D1326" s="178"/>
      <c r="E1326" s="178"/>
      <c r="F1326" s="178"/>
      <c r="G1326" s="181"/>
      <c r="H1326" s="181"/>
      <c r="I1326" s="178"/>
    </row>
    <row r="1327" spans="3:9">
      <c r="C1327" s="178"/>
      <c r="D1327" s="178"/>
      <c r="E1327" s="178"/>
      <c r="F1327" s="178"/>
      <c r="G1327" s="181"/>
      <c r="H1327" s="181"/>
      <c r="I1327" s="178"/>
    </row>
    <row r="1328" spans="3:9">
      <c r="C1328" s="178"/>
      <c r="D1328" s="178"/>
      <c r="E1328" s="178"/>
      <c r="F1328" s="178"/>
      <c r="G1328" s="181"/>
      <c r="H1328" s="181"/>
      <c r="I1328" s="178"/>
    </row>
    <row r="1329" spans="3:9">
      <c r="C1329" s="178"/>
      <c r="D1329" s="178"/>
      <c r="E1329" s="178"/>
      <c r="F1329" s="178"/>
      <c r="G1329" s="181"/>
      <c r="H1329" s="181"/>
      <c r="I1329" s="178"/>
    </row>
    <row r="1330" spans="3:9">
      <c r="C1330" s="178"/>
      <c r="D1330" s="178"/>
      <c r="E1330" s="178"/>
      <c r="F1330" s="178"/>
      <c r="G1330" s="181"/>
      <c r="H1330" s="181"/>
      <c r="I1330" s="178"/>
    </row>
    <row r="1331" spans="3:9">
      <c r="C1331" s="178"/>
      <c r="D1331" s="178"/>
      <c r="E1331" s="178"/>
      <c r="F1331" s="178"/>
      <c r="G1331" s="181"/>
      <c r="H1331" s="181"/>
      <c r="I1331" s="178"/>
    </row>
    <row r="1332" spans="3:9">
      <c r="C1332" s="178"/>
      <c r="D1332" s="178"/>
      <c r="E1332" s="178"/>
      <c r="F1332" s="178"/>
      <c r="G1332" s="181"/>
      <c r="H1332" s="181"/>
      <c r="I1332" s="178"/>
    </row>
    <row r="1333" spans="3:9">
      <c r="C1333" s="178"/>
      <c r="D1333" s="178"/>
      <c r="E1333" s="178"/>
      <c r="F1333" s="178"/>
      <c r="G1333" s="181"/>
      <c r="H1333" s="181"/>
      <c r="I1333" s="178"/>
    </row>
    <row r="1334" spans="3:9">
      <c r="C1334" s="178"/>
      <c r="D1334" s="178"/>
      <c r="E1334" s="178"/>
      <c r="F1334" s="178"/>
      <c r="G1334" s="181"/>
      <c r="H1334" s="181"/>
      <c r="I1334" s="178"/>
    </row>
    <row r="1335" spans="3:9">
      <c r="C1335" s="178"/>
      <c r="D1335" s="178"/>
      <c r="E1335" s="178"/>
      <c r="F1335" s="178"/>
      <c r="G1335" s="181"/>
      <c r="H1335" s="181"/>
      <c r="I1335" s="178"/>
    </row>
    <row r="1336" spans="3:9">
      <c r="C1336" s="178"/>
      <c r="D1336" s="178"/>
      <c r="E1336" s="178"/>
      <c r="F1336" s="178"/>
      <c r="G1336" s="181"/>
      <c r="H1336" s="181"/>
      <c r="I1336" s="178"/>
    </row>
    <row r="1337" spans="3:9">
      <c r="C1337" s="178"/>
      <c r="D1337" s="178"/>
      <c r="E1337" s="178"/>
      <c r="F1337" s="178"/>
      <c r="G1337" s="181"/>
      <c r="H1337" s="181"/>
      <c r="I1337" s="178"/>
    </row>
    <row r="1338" spans="3:9">
      <c r="C1338" s="178"/>
      <c r="D1338" s="178"/>
      <c r="E1338" s="178"/>
      <c r="F1338" s="178"/>
      <c r="G1338" s="181"/>
      <c r="H1338" s="181"/>
      <c r="I1338" s="178"/>
    </row>
    <row r="1339" spans="3:9">
      <c r="C1339" s="178"/>
      <c r="D1339" s="178"/>
      <c r="E1339" s="178"/>
      <c r="F1339" s="178"/>
      <c r="G1339" s="181"/>
      <c r="H1339" s="181"/>
      <c r="I1339" s="178"/>
    </row>
    <row r="1340" spans="3:9">
      <c r="C1340" s="178"/>
      <c r="D1340" s="178"/>
      <c r="E1340" s="178"/>
      <c r="F1340" s="178"/>
      <c r="G1340" s="181"/>
      <c r="H1340" s="181"/>
      <c r="I1340" s="178"/>
    </row>
    <row r="1341" spans="3:9">
      <c r="C1341" s="178"/>
      <c r="D1341" s="178"/>
      <c r="E1341" s="178"/>
      <c r="F1341" s="178"/>
      <c r="G1341" s="181"/>
      <c r="H1341" s="181"/>
      <c r="I1341" s="178"/>
    </row>
    <row r="1342" spans="3:9">
      <c r="C1342" s="178"/>
      <c r="D1342" s="178"/>
      <c r="E1342" s="178"/>
      <c r="F1342" s="178"/>
      <c r="G1342" s="181"/>
      <c r="H1342" s="181"/>
      <c r="I1342" s="178"/>
    </row>
    <row r="1343" spans="3:9">
      <c r="C1343" s="178"/>
      <c r="D1343" s="178"/>
      <c r="E1343" s="178"/>
      <c r="F1343" s="178"/>
      <c r="G1343" s="181"/>
      <c r="H1343" s="181"/>
      <c r="I1343" s="178"/>
    </row>
    <row r="1344" spans="3:9">
      <c r="C1344" s="178"/>
      <c r="D1344" s="178"/>
      <c r="E1344" s="178"/>
      <c r="F1344" s="178"/>
      <c r="G1344" s="181"/>
      <c r="H1344" s="181"/>
      <c r="I1344" s="178"/>
    </row>
    <row r="1345" spans="3:9">
      <c r="C1345" s="178"/>
      <c r="D1345" s="178"/>
      <c r="E1345" s="178"/>
      <c r="F1345" s="178"/>
      <c r="G1345" s="181"/>
      <c r="H1345" s="181"/>
      <c r="I1345" s="178"/>
    </row>
    <row r="1346" spans="3:9">
      <c r="C1346" s="178"/>
      <c r="D1346" s="178"/>
      <c r="E1346" s="178"/>
      <c r="F1346" s="178"/>
      <c r="G1346" s="181"/>
      <c r="H1346" s="181"/>
      <c r="I1346" s="178"/>
    </row>
    <row r="1347" spans="3:9">
      <c r="C1347" s="178"/>
      <c r="D1347" s="178"/>
      <c r="E1347" s="178"/>
      <c r="F1347" s="178"/>
      <c r="G1347" s="181"/>
      <c r="H1347" s="181"/>
      <c r="I1347" s="178"/>
    </row>
    <row r="1348" spans="3:9">
      <c r="C1348" s="178"/>
      <c r="D1348" s="178"/>
      <c r="E1348" s="178"/>
      <c r="F1348" s="178"/>
      <c r="G1348" s="181"/>
      <c r="H1348" s="181"/>
      <c r="I1348" s="178"/>
    </row>
    <row r="1349" spans="3:9">
      <c r="C1349" s="178"/>
      <c r="D1349" s="178"/>
      <c r="E1349" s="178"/>
      <c r="F1349" s="178"/>
      <c r="G1349" s="181"/>
      <c r="H1349" s="181"/>
      <c r="I1349" s="178"/>
    </row>
    <row r="1350" spans="3:9">
      <c r="C1350" s="178"/>
      <c r="D1350" s="178"/>
      <c r="E1350" s="178"/>
      <c r="F1350" s="178"/>
      <c r="G1350" s="181"/>
      <c r="H1350" s="181"/>
      <c r="I1350" s="178"/>
    </row>
    <row r="1351" spans="3:9">
      <c r="C1351" s="178"/>
      <c r="D1351" s="178"/>
      <c r="E1351" s="178"/>
      <c r="F1351" s="178"/>
      <c r="G1351" s="181"/>
      <c r="H1351" s="181"/>
      <c r="I1351" s="178"/>
    </row>
    <row r="1352" spans="3:9">
      <c r="C1352" s="178"/>
      <c r="D1352" s="178"/>
      <c r="E1352" s="178"/>
      <c r="F1352" s="178"/>
      <c r="G1352" s="181"/>
      <c r="H1352" s="181"/>
      <c r="I1352" s="178"/>
    </row>
    <row r="1353" spans="3:9">
      <c r="C1353" s="178"/>
      <c r="D1353" s="178"/>
      <c r="E1353" s="178"/>
      <c r="F1353" s="178"/>
      <c r="G1353" s="181"/>
      <c r="H1353" s="181"/>
      <c r="I1353" s="178"/>
    </row>
    <row r="1354" spans="3:9">
      <c r="C1354" s="178"/>
      <c r="D1354" s="178"/>
      <c r="E1354" s="178"/>
      <c r="F1354" s="178"/>
      <c r="G1354" s="181"/>
      <c r="H1354" s="181"/>
      <c r="I1354" s="178"/>
    </row>
    <row r="1355" spans="3:9">
      <c r="C1355" s="178"/>
      <c r="D1355" s="178"/>
      <c r="E1355" s="178"/>
      <c r="F1355" s="178"/>
      <c r="G1355" s="181"/>
      <c r="H1355" s="181"/>
      <c r="I1355" s="178"/>
    </row>
    <row r="1356" spans="3:9">
      <c r="C1356" s="178"/>
      <c r="D1356" s="178"/>
      <c r="E1356" s="178"/>
      <c r="F1356" s="178"/>
      <c r="G1356" s="181"/>
      <c r="H1356" s="181"/>
      <c r="I1356" s="178"/>
    </row>
    <row r="1357" spans="3:9">
      <c r="C1357" s="178"/>
      <c r="D1357" s="178"/>
      <c r="E1357" s="178"/>
      <c r="F1357" s="178"/>
      <c r="G1357" s="181"/>
      <c r="H1357" s="181"/>
      <c r="I1357" s="178"/>
    </row>
    <row r="1358" spans="3:9">
      <c r="C1358" s="178"/>
      <c r="D1358" s="178"/>
      <c r="E1358" s="178"/>
      <c r="F1358" s="178"/>
      <c r="G1358" s="181"/>
      <c r="H1358" s="181"/>
      <c r="I1358" s="178"/>
    </row>
    <row r="1359" spans="3:9">
      <c r="C1359" s="178"/>
      <c r="D1359" s="178"/>
      <c r="E1359" s="178"/>
      <c r="F1359" s="178"/>
      <c r="G1359" s="181"/>
      <c r="H1359" s="181"/>
      <c r="I1359" s="178"/>
    </row>
    <row r="1360" spans="3:9">
      <c r="C1360" s="178"/>
      <c r="D1360" s="178"/>
      <c r="E1360" s="178"/>
      <c r="F1360" s="178"/>
      <c r="G1360" s="181"/>
      <c r="H1360" s="181"/>
      <c r="I1360" s="178"/>
    </row>
    <row r="1361" spans="3:9">
      <c r="C1361" s="178"/>
      <c r="D1361" s="178"/>
      <c r="E1361" s="178"/>
      <c r="F1361" s="178"/>
      <c r="G1361" s="181"/>
      <c r="H1361" s="181"/>
      <c r="I1361" s="178"/>
    </row>
    <row r="1362" spans="3:9">
      <c r="C1362" s="178"/>
      <c r="D1362" s="178"/>
      <c r="E1362" s="178"/>
      <c r="F1362" s="178"/>
      <c r="G1362" s="181"/>
      <c r="H1362" s="181"/>
      <c r="I1362" s="178"/>
    </row>
    <row r="1363" spans="3:9">
      <c r="C1363" s="178"/>
      <c r="D1363" s="178"/>
      <c r="E1363" s="178"/>
      <c r="F1363" s="178"/>
      <c r="G1363" s="181"/>
      <c r="H1363" s="181"/>
      <c r="I1363" s="178"/>
    </row>
    <row r="1364" spans="3:9">
      <c r="C1364" s="178"/>
      <c r="D1364" s="178"/>
      <c r="E1364" s="178"/>
      <c r="F1364" s="178"/>
      <c r="G1364" s="181"/>
      <c r="H1364" s="181"/>
      <c r="I1364" s="178"/>
    </row>
    <row r="1365" spans="3:9">
      <c r="C1365" s="178"/>
      <c r="D1365" s="178"/>
      <c r="E1365" s="178"/>
      <c r="F1365" s="178"/>
      <c r="G1365" s="181"/>
      <c r="H1365" s="181"/>
      <c r="I1365" s="178"/>
    </row>
    <row r="1366" spans="3:9">
      <c r="C1366" s="178"/>
      <c r="D1366" s="178"/>
      <c r="E1366" s="178"/>
      <c r="F1366" s="178"/>
      <c r="G1366" s="181"/>
      <c r="H1366" s="181"/>
      <c r="I1366" s="178"/>
    </row>
    <row r="1367" spans="3:9">
      <c r="C1367" s="178"/>
      <c r="D1367" s="178"/>
      <c r="E1367" s="178"/>
      <c r="F1367" s="178"/>
      <c r="G1367" s="181"/>
      <c r="H1367" s="181"/>
      <c r="I1367" s="178"/>
    </row>
    <row r="1368" spans="3:9">
      <c r="C1368" s="178"/>
      <c r="D1368" s="178"/>
      <c r="E1368" s="178"/>
      <c r="F1368" s="178"/>
      <c r="G1368" s="181"/>
      <c r="H1368" s="181"/>
      <c r="I1368" s="178"/>
    </row>
    <row r="1369" spans="3:9">
      <c r="C1369" s="178"/>
      <c r="D1369" s="178"/>
      <c r="E1369" s="178"/>
      <c r="F1369" s="178"/>
      <c r="G1369" s="181"/>
      <c r="H1369" s="181"/>
      <c r="I1369" s="178"/>
    </row>
    <row r="1370" spans="3:9">
      <c r="C1370" s="178"/>
      <c r="D1370" s="178"/>
      <c r="E1370" s="178"/>
      <c r="F1370" s="178"/>
      <c r="G1370" s="181"/>
      <c r="H1370" s="181"/>
      <c r="I1370" s="178"/>
    </row>
    <row r="1371" spans="3:9">
      <c r="C1371" s="178"/>
      <c r="D1371" s="178"/>
      <c r="E1371" s="178"/>
      <c r="F1371" s="178"/>
      <c r="G1371" s="181"/>
      <c r="H1371" s="181"/>
      <c r="I1371" s="178"/>
    </row>
    <row r="1372" spans="3:9">
      <c r="C1372" s="178"/>
      <c r="D1372" s="178"/>
      <c r="E1372" s="178"/>
      <c r="F1372" s="178"/>
      <c r="G1372" s="181"/>
      <c r="H1372" s="181"/>
      <c r="I1372" s="178"/>
    </row>
    <row r="1373" spans="3:9">
      <c r="C1373" s="178"/>
      <c r="D1373" s="178"/>
      <c r="E1373" s="178"/>
      <c r="F1373" s="178"/>
      <c r="G1373" s="181"/>
      <c r="H1373" s="181"/>
      <c r="I1373" s="178"/>
    </row>
    <row r="1374" spans="3:9">
      <c r="C1374" s="178"/>
      <c r="D1374" s="178"/>
      <c r="E1374" s="178"/>
      <c r="F1374" s="178"/>
      <c r="G1374" s="181"/>
      <c r="H1374" s="181"/>
      <c r="I1374" s="178"/>
    </row>
    <row r="1375" spans="3:9">
      <c r="C1375" s="178"/>
      <c r="D1375" s="178"/>
      <c r="E1375" s="178"/>
      <c r="F1375" s="178"/>
      <c r="G1375" s="181"/>
      <c r="H1375" s="181"/>
      <c r="I1375" s="178"/>
    </row>
    <row r="1376" spans="3:9">
      <c r="C1376" s="178"/>
      <c r="D1376" s="178"/>
      <c r="E1376" s="178"/>
      <c r="F1376" s="178"/>
      <c r="G1376" s="181"/>
      <c r="H1376" s="181"/>
      <c r="I1376" s="178"/>
    </row>
    <row r="1377" spans="3:9">
      <c r="C1377" s="178"/>
      <c r="D1377" s="178"/>
      <c r="E1377" s="178"/>
      <c r="F1377" s="178"/>
      <c r="G1377" s="181"/>
      <c r="H1377" s="181"/>
      <c r="I1377" s="178"/>
    </row>
    <row r="1378" spans="3:9">
      <c r="C1378" s="178"/>
      <c r="D1378" s="178"/>
      <c r="E1378" s="178"/>
      <c r="F1378" s="178"/>
      <c r="G1378" s="181"/>
      <c r="H1378" s="181"/>
      <c r="I1378" s="178"/>
    </row>
    <row r="1379" spans="3:9">
      <c r="C1379" s="178"/>
      <c r="D1379" s="178"/>
      <c r="E1379" s="178"/>
      <c r="F1379" s="178"/>
      <c r="G1379" s="181"/>
      <c r="H1379" s="181"/>
      <c r="I1379" s="178"/>
    </row>
    <row r="1380" spans="3:9">
      <c r="C1380" s="178"/>
      <c r="D1380" s="178"/>
      <c r="E1380" s="178"/>
      <c r="F1380" s="178"/>
      <c r="G1380" s="181"/>
      <c r="H1380" s="181"/>
      <c r="I1380" s="178"/>
    </row>
    <row r="1381" spans="3:9">
      <c r="C1381" s="178"/>
      <c r="D1381" s="178"/>
      <c r="E1381" s="178"/>
      <c r="F1381" s="178"/>
      <c r="G1381" s="181"/>
      <c r="H1381" s="181"/>
      <c r="I1381" s="178"/>
    </row>
    <row r="1382" spans="3:9">
      <c r="C1382" s="178"/>
      <c r="D1382" s="178"/>
      <c r="E1382" s="178"/>
      <c r="F1382" s="178"/>
      <c r="G1382" s="181"/>
      <c r="H1382" s="181"/>
      <c r="I1382" s="178"/>
    </row>
    <row r="1383" spans="3:9">
      <c r="C1383" s="178"/>
      <c r="D1383" s="178"/>
      <c r="E1383" s="178"/>
      <c r="F1383" s="178"/>
      <c r="G1383" s="181"/>
      <c r="H1383" s="181"/>
      <c r="I1383" s="178"/>
    </row>
    <row r="1384" spans="3:9">
      <c r="C1384" s="178"/>
      <c r="D1384" s="178"/>
      <c r="E1384" s="178"/>
      <c r="F1384" s="178"/>
      <c r="G1384" s="181"/>
      <c r="H1384" s="181"/>
      <c r="I1384" s="178"/>
    </row>
    <row r="1385" spans="3:9">
      <c r="C1385" s="178"/>
      <c r="D1385" s="178"/>
      <c r="E1385" s="178"/>
      <c r="F1385" s="178"/>
      <c r="G1385" s="181"/>
      <c r="H1385" s="181"/>
      <c r="I1385" s="178"/>
    </row>
    <row r="1386" spans="3:9">
      <c r="C1386" s="178"/>
      <c r="D1386" s="178"/>
      <c r="E1386" s="178"/>
      <c r="F1386" s="178"/>
      <c r="G1386" s="181"/>
      <c r="H1386" s="181"/>
      <c r="I1386" s="178"/>
    </row>
    <row r="1387" spans="3:9">
      <c r="C1387" s="178"/>
      <c r="D1387" s="178"/>
      <c r="E1387" s="178"/>
      <c r="F1387" s="178"/>
      <c r="G1387" s="181"/>
      <c r="H1387" s="181"/>
      <c r="I1387" s="178"/>
    </row>
    <row r="1388" spans="3:9">
      <c r="C1388" s="178"/>
      <c r="D1388" s="178"/>
      <c r="E1388" s="178"/>
      <c r="F1388" s="178"/>
      <c r="G1388" s="181"/>
      <c r="H1388" s="181"/>
      <c r="I1388" s="178"/>
    </row>
    <row r="1389" spans="3:9">
      <c r="C1389" s="178"/>
      <c r="D1389" s="178"/>
      <c r="E1389" s="178"/>
      <c r="F1389" s="178"/>
      <c r="G1389" s="181"/>
      <c r="H1389" s="181"/>
      <c r="I1389" s="178"/>
    </row>
    <row r="1390" spans="3:9">
      <c r="C1390" s="178"/>
      <c r="D1390" s="178"/>
      <c r="E1390" s="178"/>
      <c r="F1390" s="178"/>
      <c r="G1390" s="181"/>
      <c r="H1390" s="181"/>
      <c r="I1390" s="178"/>
    </row>
    <row r="1391" spans="3:9">
      <c r="C1391" s="178"/>
      <c r="D1391" s="178"/>
      <c r="E1391" s="178"/>
      <c r="F1391" s="178"/>
      <c r="G1391" s="181"/>
      <c r="H1391" s="181"/>
      <c r="I1391" s="178"/>
    </row>
    <row r="1392" spans="3:9">
      <c r="C1392" s="178"/>
      <c r="D1392" s="178"/>
      <c r="E1392" s="178"/>
      <c r="F1392" s="178"/>
      <c r="G1392" s="181"/>
      <c r="H1392" s="181"/>
      <c r="I1392" s="178"/>
    </row>
    <row r="1393" spans="3:9">
      <c r="C1393" s="178"/>
      <c r="D1393" s="178"/>
      <c r="E1393" s="178"/>
      <c r="F1393" s="178"/>
      <c r="G1393" s="181"/>
      <c r="H1393" s="181"/>
      <c r="I1393" s="178"/>
    </row>
    <row r="1394" spans="3:9">
      <c r="C1394" s="178"/>
      <c r="D1394" s="178"/>
      <c r="E1394" s="178"/>
      <c r="F1394" s="178"/>
      <c r="G1394" s="181"/>
      <c r="H1394" s="181"/>
      <c r="I1394" s="178"/>
    </row>
    <row r="1395" spans="3:9">
      <c r="C1395" s="178"/>
      <c r="D1395" s="178"/>
      <c r="E1395" s="178"/>
      <c r="F1395" s="178"/>
      <c r="G1395" s="181"/>
      <c r="H1395" s="181"/>
      <c r="I1395" s="178"/>
    </row>
    <row r="1396" spans="3:9">
      <c r="C1396" s="178"/>
      <c r="D1396" s="178"/>
      <c r="E1396" s="178"/>
      <c r="F1396" s="178"/>
      <c r="G1396" s="181"/>
      <c r="H1396" s="181"/>
      <c r="I1396" s="178"/>
    </row>
    <row r="1397" spans="3:9">
      <c r="C1397" s="178"/>
      <c r="D1397" s="178"/>
      <c r="E1397" s="178"/>
      <c r="F1397" s="178"/>
      <c r="G1397" s="181"/>
      <c r="H1397" s="181"/>
      <c r="I1397" s="178"/>
    </row>
    <row r="1398" spans="3:9">
      <c r="C1398" s="178"/>
      <c r="D1398" s="178"/>
      <c r="E1398" s="178"/>
      <c r="F1398" s="178"/>
      <c r="G1398" s="181"/>
      <c r="H1398" s="181"/>
      <c r="I1398" s="178"/>
    </row>
    <row r="1399" spans="3:9">
      <c r="C1399" s="178"/>
      <c r="D1399" s="178"/>
      <c r="E1399" s="178"/>
      <c r="F1399" s="178"/>
      <c r="G1399" s="181"/>
      <c r="H1399" s="181"/>
      <c r="I1399" s="178"/>
    </row>
    <row r="1400" spans="3:9">
      <c r="C1400" s="178"/>
      <c r="D1400" s="178"/>
      <c r="E1400" s="178"/>
      <c r="F1400" s="178"/>
      <c r="G1400" s="181"/>
      <c r="H1400" s="181"/>
      <c r="I1400" s="178"/>
    </row>
    <row r="1401" spans="3:9">
      <c r="C1401" s="178"/>
      <c r="D1401" s="178"/>
      <c r="E1401" s="178"/>
      <c r="F1401" s="178"/>
      <c r="G1401" s="181"/>
      <c r="H1401" s="181"/>
      <c r="I1401" s="178"/>
    </row>
    <row r="1402" spans="3:9">
      <c r="C1402" s="178"/>
      <c r="D1402" s="178"/>
      <c r="E1402" s="178"/>
      <c r="F1402" s="178"/>
      <c r="G1402" s="181"/>
      <c r="H1402" s="181"/>
      <c r="I1402" s="178"/>
    </row>
    <row r="1403" spans="3:9">
      <c r="C1403" s="178"/>
      <c r="D1403" s="178"/>
      <c r="E1403" s="178"/>
      <c r="F1403" s="178"/>
      <c r="G1403" s="181"/>
      <c r="H1403" s="181"/>
      <c r="I1403" s="178"/>
    </row>
    <row r="1404" spans="3:9">
      <c r="C1404" s="178"/>
      <c r="D1404" s="178"/>
      <c r="E1404" s="178"/>
      <c r="F1404" s="178"/>
      <c r="G1404" s="181"/>
      <c r="H1404" s="181"/>
      <c r="I1404" s="178"/>
    </row>
    <row r="1405" spans="3:9">
      <c r="C1405" s="178"/>
      <c r="D1405" s="178"/>
      <c r="E1405" s="178"/>
      <c r="F1405" s="178"/>
      <c r="G1405" s="181"/>
      <c r="H1405" s="181"/>
      <c r="I1405" s="178"/>
    </row>
    <row r="1406" spans="3:9">
      <c r="C1406" s="178"/>
      <c r="D1406" s="178"/>
      <c r="E1406" s="178"/>
      <c r="F1406" s="178"/>
      <c r="G1406" s="181"/>
      <c r="H1406" s="181"/>
      <c r="I1406" s="178"/>
    </row>
    <row r="1407" spans="3:9">
      <c r="C1407" s="178"/>
      <c r="D1407" s="178"/>
      <c r="E1407" s="178"/>
      <c r="F1407" s="178"/>
      <c r="G1407" s="181"/>
      <c r="H1407" s="181"/>
      <c r="I1407" s="178"/>
    </row>
    <row r="1408" spans="3:9">
      <c r="C1408" s="178"/>
      <c r="D1408" s="178"/>
      <c r="E1408" s="178"/>
      <c r="F1408" s="178"/>
      <c r="G1408" s="181"/>
      <c r="H1408" s="181"/>
      <c r="I1408" s="178"/>
    </row>
    <row r="1409" spans="3:9">
      <c r="C1409" s="178"/>
      <c r="D1409" s="178"/>
      <c r="E1409" s="178"/>
      <c r="F1409" s="178"/>
      <c r="G1409" s="181"/>
      <c r="H1409" s="181"/>
      <c r="I1409" s="178"/>
    </row>
    <row r="1410" spans="3:9">
      <c r="C1410" s="178"/>
      <c r="D1410" s="178"/>
      <c r="E1410" s="178"/>
      <c r="F1410" s="178"/>
      <c r="G1410" s="181"/>
      <c r="H1410" s="181"/>
      <c r="I1410" s="178"/>
    </row>
    <row r="1411" spans="3:9">
      <c r="C1411" s="178"/>
      <c r="D1411" s="178"/>
      <c r="E1411" s="178"/>
      <c r="F1411" s="178"/>
      <c r="G1411" s="181"/>
      <c r="H1411" s="181"/>
      <c r="I1411" s="178"/>
    </row>
    <row r="1412" spans="3:9">
      <c r="C1412" s="178"/>
      <c r="D1412" s="178"/>
      <c r="E1412" s="178"/>
      <c r="F1412" s="178"/>
      <c r="G1412" s="181"/>
      <c r="H1412" s="181"/>
      <c r="I1412" s="178"/>
    </row>
    <row r="1413" spans="3:9">
      <c r="C1413" s="178"/>
      <c r="D1413" s="178"/>
      <c r="E1413" s="178"/>
      <c r="F1413" s="178"/>
      <c r="G1413" s="181"/>
      <c r="H1413" s="181"/>
      <c r="I1413" s="178"/>
    </row>
    <row r="1414" spans="3:9">
      <c r="C1414" s="178"/>
      <c r="D1414" s="178"/>
      <c r="E1414" s="178"/>
      <c r="F1414" s="178"/>
      <c r="G1414" s="181"/>
      <c r="H1414" s="181"/>
      <c r="I1414" s="178"/>
    </row>
    <row r="1415" spans="3:9">
      <c r="C1415" s="178"/>
      <c r="D1415" s="178"/>
      <c r="E1415" s="178"/>
      <c r="F1415" s="178"/>
      <c r="G1415" s="181"/>
      <c r="H1415" s="181"/>
      <c r="I1415" s="178"/>
    </row>
    <row r="1416" spans="3:9">
      <c r="C1416" s="178"/>
      <c r="D1416" s="178"/>
      <c r="E1416" s="178"/>
      <c r="F1416" s="178"/>
      <c r="G1416" s="181"/>
      <c r="H1416" s="181"/>
      <c r="I1416" s="178"/>
    </row>
    <row r="1417" spans="3:9">
      <c r="C1417" s="178"/>
      <c r="D1417" s="178"/>
      <c r="E1417" s="178"/>
      <c r="F1417" s="178"/>
      <c r="G1417" s="181"/>
      <c r="H1417" s="181"/>
      <c r="I1417" s="178"/>
    </row>
    <row r="1418" spans="3:9">
      <c r="C1418" s="178"/>
      <c r="D1418" s="178"/>
      <c r="E1418" s="178"/>
      <c r="F1418" s="178"/>
      <c r="G1418" s="181"/>
      <c r="H1418" s="181"/>
      <c r="I1418" s="178"/>
    </row>
    <row r="1419" spans="3:9">
      <c r="C1419" s="178"/>
      <c r="D1419" s="178"/>
      <c r="E1419" s="178"/>
      <c r="F1419" s="178"/>
      <c r="G1419" s="181"/>
      <c r="H1419" s="181"/>
      <c r="I1419" s="178"/>
    </row>
    <row r="1420" spans="3:9">
      <c r="C1420" s="178"/>
      <c r="D1420" s="178"/>
      <c r="E1420" s="178"/>
      <c r="F1420" s="178"/>
      <c r="G1420" s="181"/>
      <c r="H1420" s="181"/>
      <c r="I1420" s="178"/>
    </row>
    <row r="1421" spans="3:9">
      <c r="C1421" s="178"/>
      <c r="D1421" s="178"/>
      <c r="E1421" s="178"/>
      <c r="F1421" s="178"/>
      <c r="G1421" s="181"/>
      <c r="H1421" s="181"/>
      <c r="I1421" s="178"/>
    </row>
    <row r="1422" spans="3:9">
      <c r="C1422" s="178"/>
      <c r="D1422" s="178"/>
      <c r="E1422" s="178"/>
      <c r="F1422" s="178"/>
      <c r="G1422" s="181"/>
      <c r="H1422" s="181"/>
      <c r="I1422" s="178"/>
    </row>
    <row r="1423" spans="3:9">
      <c r="C1423" s="178"/>
      <c r="D1423" s="178"/>
      <c r="E1423" s="178"/>
      <c r="F1423" s="178"/>
      <c r="G1423" s="181"/>
      <c r="H1423" s="181"/>
      <c r="I1423" s="178"/>
    </row>
    <row r="1424" spans="3:9">
      <c r="C1424" s="178"/>
      <c r="D1424" s="178"/>
      <c r="E1424" s="178"/>
      <c r="F1424" s="178"/>
      <c r="G1424" s="181"/>
      <c r="H1424" s="181"/>
      <c r="I1424" s="178"/>
    </row>
    <row r="1425" spans="3:9">
      <c r="C1425" s="178"/>
      <c r="D1425" s="178"/>
      <c r="E1425" s="178"/>
      <c r="F1425" s="178"/>
      <c r="G1425" s="181"/>
      <c r="H1425" s="181"/>
      <c r="I1425" s="178"/>
    </row>
    <row r="1426" spans="3:9">
      <c r="C1426" s="178"/>
      <c r="D1426" s="178"/>
      <c r="E1426" s="178"/>
      <c r="F1426" s="178"/>
      <c r="G1426" s="181"/>
      <c r="H1426" s="181"/>
      <c r="I1426" s="178"/>
    </row>
    <row r="1427" spans="3:9">
      <c r="C1427" s="178"/>
      <c r="D1427" s="178"/>
      <c r="E1427" s="178"/>
      <c r="F1427" s="178"/>
      <c r="G1427" s="181"/>
      <c r="H1427" s="181"/>
      <c r="I1427" s="178"/>
    </row>
    <row r="1428" spans="3:9">
      <c r="C1428" s="178"/>
      <c r="D1428" s="178"/>
      <c r="E1428" s="178"/>
      <c r="F1428" s="178"/>
      <c r="G1428" s="181"/>
      <c r="H1428" s="181"/>
      <c r="I1428" s="178"/>
    </row>
    <row r="1429" spans="3:9">
      <c r="C1429" s="178"/>
      <c r="D1429" s="178"/>
      <c r="E1429" s="178"/>
      <c r="F1429" s="178"/>
      <c r="G1429" s="181"/>
      <c r="H1429" s="181"/>
      <c r="I1429" s="178"/>
    </row>
    <row r="1430" spans="3:9">
      <c r="C1430" s="178"/>
      <c r="D1430" s="178"/>
      <c r="E1430" s="178"/>
      <c r="F1430" s="178"/>
      <c r="G1430" s="181"/>
      <c r="H1430" s="181"/>
      <c r="I1430" s="178"/>
    </row>
    <row r="1431" spans="3:9">
      <c r="C1431" s="178"/>
      <c r="D1431" s="178"/>
      <c r="E1431" s="178"/>
      <c r="F1431" s="178"/>
      <c r="G1431" s="181"/>
      <c r="H1431" s="181"/>
      <c r="I1431" s="178"/>
    </row>
    <row r="1432" spans="3:9">
      <c r="C1432" s="178"/>
      <c r="D1432" s="178"/>
      <c r="E1432" s="178"/>
      <c r="F1432" s="178"/>
      <c r="G1432" s="181"/>
      <c r="H1432" s="181"/>
      <c r="I1432" s="178"/>
    </row>
    <row r="1433" spans="3:9">
      <c r="C1433" s="178"/>
      <c r="D1433" s="178"/>
      <c r="E1433" s="178"/>
      <c r="F1433" s="178"/>
      <c r="G1433" s="181"/>
      <c r="H1433" s="181"/>
      <c r="I1433" s="178"/>
    </row>
    <row r="1434" spans="3:9">
      <c r="C1434" s="178"/>
      <c r="D1434" s="178"/>
      <c r="E1434" s="178"/>
      <c r="F1434" s="178"/>
      <c r="G1434" s="181"/>
      <c r="H1434" s="181"/>
      <c r="I1434" s="178"/>
    </row>
    <row r="1435" spans="3:9">
      <c r="C1435" s="178"/>
      <c r="D1435" s="178"/>
      <c r="E1435" s="178"/>
      <c r="F1435" s="178"/>
      <c r="G1435" s="181"/>
      <c r="H1435" s="181"/>
      <c r="I1435" s="178"/>
    </row>
    <row r="1436" spans="3:9">
      <c r="C1436" s="178"/>
      <c r="D1436" s="178"/>
      <c r="E1436" s="178"/>
      <c r="F1436" s="178"/>
      <c r="G1436" s="181"/>
      <c r="H1436" s="181"/>
      <c r="I1436" s="178"/>
    </row>
    <row r="1437" spans="3:9">
      <c r="C1437" s="178"/>
      <c r="D1437" s="178"/>
      <c r="E1437" s="178"/>
      <c r="F1437" s="178"/>
      <c r="G1437" s="181"/>
      <c r="H1437" s="181"/>
      <c r="I1437" s="178"/>
    </row>
    <row r="1438" spans="3:9">
      <c r="C1438" s="178"/>
      <c r="D1438" s="178"/>
      <c r="E1438" s="178"/>
      <c r="F1438" s="178"/>
      <c r="G1438" s="181"/>
      <c r="H1438" s="181"/>
      <c r="I1438" s="178"/>
    </row>
    <row r="1439" spans="3:9">
      <c r="C1439" s="178"/>
      <c r="D1439" s="178"/>
      <c r="E1439" s="178"/>
      <c r="F1439" s="178"/>
      <c r="G1439" s="181"/>
      <c r="H1439" s="181"/>
      <c r="I1439" s="178"/>
    </row>
    <row r="1440" spans="3:9">
      <c r="C1440" s="178"/>
      <c r="D1440" s="178"/>
      <c r="E1440" s="178"/>
      <c r="F1440" s="178"/>
      <c r="G1440" s="181"/>
      <c r="H1440" s="181"/>
      <c r="I1440" s="178"/>
    </row>
    <row r="1441" spans="3:9">
      <c r="C1441" s="178"/>
      <c r="D1441" s="178"/>
      <c r="E1441" s="178"/>
      <c r="F1441" s="178"/>
      <c r="G1441" s="181"/>
      <c r="H1441" s="181"/>
      <c r="I1441" s="178"/>
    </row>
    <row r="1442" spans="3:9">
      <c r="C1442" s="178"/>
      <c r="D1442" s="178"/>
      <c r="E1442" s="178"/>
      <c r="F1442" s="178"/>
      <c r="G1442" s="181"/>
      <c r="H1442" s="181"/>
      <c r="I1442" s="178"/>
    </row>
    <row r="1443" spans="3:9">
      <c r="C1443" s="178"/>
      <c r="D1443" s="178"/>
      <c r="E1443" s="178"/>
      <c r="F1443" s="178"/>
      <c r="G1443" s="181"/>
      <c r="H1443" s="181"/>
      <c r="I1443" s="178"/>
    </row>
    <row r="1444" spans="3:9">
      <c r="C1444" s="178"/>
      <c r="D1444" s="178"/>
      <c r="E1444" s="178"/>
      <c r="F1444" s="178"/>
      <c r="G1444" s="181"/>
      <c r="H1444" s="181"/>
      <c r="I1444" s="178"/>
    </row>
    <row r="1445" spans="3:9">
      <c r="C1445" s="178"/>
      <c r="D1445" s="178"/>
      <c r="E1445" s="178"/>
      <c r="F1445" s="178"/>
      <c r="G1445" s="181"/>
      <c r="H1445" s="181"/>
      <c r="I1445" s="178"/>
    </row>
    <row r="1446" spans="3:9">
      <c r="C1446" s="178"/>
      <c r="D1446" s="178"/>
      <c r="E1446" s="178"/>
      <c r="F1446" s="178"/>
      <c r="G1446" s="181"/>
      <c r="H1446" s="181"/>
      <c r="I1446" s="178"/>
    </row>
    <row r="1447" spans="3:9">
      <c r="C1447" s="178"/>
      <c r="D1447" s="178"/>
      <c r="E1447" s="178"/>
      <c r="F1447" s="178"/>
      <c r="G1447" s="181"/>
      <c r="H1447" s="181"/>
      <c r="I1447" s="178"/>
    </row>
    <row r="1448" spans="3:9">
      <c r="C1448" s="178"/>
      <c r="D1448" s="178"/>
      <c r="E1448" s="178"/>
      <c r="F1448" s="178"/>
      <c r="G1448" s="181"/>
      <c r="H1448" s="181"/>
      <c r="I1448" s="178"/>
    </row>
    <row r="1449" spans="3:9">
      <c r="C1449" s="178"/>
      <c r="D1449" s="178"/>
      <c r="E1449" s="178"/>
      <c r="F1449" s="178"/>
      <c r="G1449" s="181"/>
      <c r="H1449" s="181"/>
      <c r="I1449" s="178"/>
    </row>
    <row r="1450" spans="3:9">
      <c r="C1450" s="178"/>
      <c r="D1450" s="178"/>
      <c r="E1450" s="178"/>
      <c r="F1450" s="178"/>
      <c r="G1450" s="181"/>
      <c r="H1450" s="181"/>
      <c r="I1450" s="178"/>
    </row>
    <row r="1451" spans="3:9">
      <c r="C1451" s="178"/>
      <c r="D1451" s="178"/>
      <c r="E1451" s="178"/>
      <c r="F1451" s="178"/>
      <c r="G1451" s="181"/>
      <c r="H1451" s="181"/>
      <c r="I1451" s="178"/>
    </row>
    <row r="1452" spans="3:9">
      <c r="C1452" s="178"/>
      <c r="D1452" s="178"/>
      <c r="E1452" s="178"/>
      <c r="F1452" s="178"/>
      <c r="G1452" s="181"/>
      <c r="H1452" s="181"/>
      <c r="I1452" s="178"/>
    </row>
    <row r="1453" spans="3:9">
      <c r="C1453" s="178"/>
      <c r="D1453" s="178"/>
      <c r="E1453" s="178"/>
      <c r="F1453" s="178"/>
      <c r="G1453" s="181"/>
      <c r="H1453" s="181"/>
      <c r="I1453" s="178"/>
    </row>
    <row r="1454" spans="3:9">
      <c r="C1454" s="178"/>
      <c r="D1454" s="178"/>
      <c r="E1454" s="178"/>
      <c r="F1454" s="178"/>
      <c r="G1454" s="181"/>
      <c r="H1454" s="181"/>
      <c r="I1454" s="178"/>
    </row>
    <row r="1455" spans="3:9">
      <c r="C1455" s="178"/>
      <c r="D1455" s="178"/>
      <c r="E1455" s="178"/>
      <c r="F1455" s="178"/>
      <c r="G1455" s="181"/>
      <c r="H1455" s="181"/>
      <c r="I1455" s="178"/>
    </row>
    <row r="1456" spans="3:9">
      <c r="C1456" s="178"/>
      <c r="D1456" s="178"/>
      <c r="E1456" s="178"/>
      <c r="F1456" s="178"/>
      <c r="G1456" s="181"/>
      <c r="H1456" s="181"/>
      <c r="I1456" s="178"/>
    </row>
    <row r="1457" spans="3:9">
      <c r="C1457" s="178"/>
      <c r="D1457" s="178"/>
      <c r="E1457" s="178"/>
      <c r="F1457" s="178"/>
      <c r="G1457" s="181"/>
      <c r="H1457" s="181"/>
      <c r="I1457" s="178"/>
    </row>
    <row r="1458" spans="3:9">
      <c r="C1458" s="178"/>
      <c r="D1458" s="178"/>
      <c r="E1458" s="178"/>
      <c r="F1458" s="178"/>
      <c r="G1458" s="181"/>
      <c r="H1458" s="181"/>
      <c r="I1458" s="178"/>
    </row>
    <row r="1459" spans="3:9">
      <c r="C1459" s="178"/>
      <c r="D1459" s="178"/>
      <c r="E1459" s="178"/>
      <c r="F1459" s="178"/>
      <c r="G1459" s="181"/>
      <c r="H1459" s="181"/>
      <c r="I1459" s="178"/>
    </row>
    <row r="1460" spans="3:9">
      <c r="C1460" s="178"/>
      <c r="D1460" s="178"/>
      <c r="E1460" s="178"/>
      <c r="F1460" s="178"/>
      <c r="G1460" s="181"/>
      <c r="H1460" s="181"/>
      <c r="I1460" s="178"/>
    </row>
    <row r="1461" spans="3:9">
      <c r="C1461" s="178"/>
      <c r="D1461" s="178"/>
      <c r="E1461" s="178"/>
      <c r="F1461" s="178"/>
      <c r="G1461" s="181"/>
      <c r="H1461" s="181"/>
      <c r="I1461" s="178"/>
    </row>
    <row r="1462" spans="3:9">
      <c r="C1462" s="178"/>
      <c r="D1462" s="178"/>
      <c r="E1462" s="178"/>
      <c r="F1462" s="178"/>
      <c r="G1462" s="181"/>
      <c r="H1462" s="181"/>
      <c r="I1462" s="178"/>
    </row>
    <row r="1463" spans="3:9">
      <c r="C1463" s="178"/>
      <c r="D1463" s="178"/>
      <c r="E1463" s="178"/>
      <c r="F1463" s="178"/>
      <c r="G1463" s="181"/>
      <c r="H1463" s="181"/>
      <c r="I1463" s="178"/>
    </row>
    <row r="1464" spans="3:9">
      <c r="C1464" s="178"/>
      <c r="D1464" s="178"/>
      <c r="E1464" s="178"/>
      <c r="F1464" s="178"/>
      <c r="G1464" s="181"/>
      <c r="H1464" s="181"/>
      <c r="I1464" s="178"/>
    </row>
    <row r="1465" spans="3:9">
      <c r="C1465" s="178"/>
      <c r="D1465" s="178"/>
      <c r="E1465" s="178"/>
      <c r="F1465" s="178"/>
      <c r="G1465" s="181"/>
      <c r="H1465" s="181"/>
      <c r="I1465" s="178"/>
    </row>
    <row r="1466" spans="3:9">
      <c r="C1466" s="178"/>
      <c r="D1466" s="178"/>
      <c r="E1466" s="178"/>
      <c r="F1466" s="178"/>
      <c r="G1466" s="181"/>
      <c r="H1466" s="181"/>
      <c r="I1466" s="178"/>
    </row>
    <row r="1467" spans="3:9">
      <c r="C1467" s="178"/>
      <c r="D1467" s="178"/>
      <c r="E1467" s="178"/>
      <c r="F1467" s="178"/>
      <c r="G1467" s="181"/>
      <c r="H1467" s="181"/>
      <c r="I1467" s="178"/>
    </row>
    <row r="1468" spans="3:9">
      <c r="C1468" s="178"/>
      <c r="D1468" s="178"/>
      <c r="E1468" s="178"/>
      <c r="F1468" s="178"/>
      <c r="G1468" s="181"/>
      <c r="H1468" s="181"/>
      <c r="I1468" s="178"/>
    </row>
    <row r="1469" spans="3:9">
      <c r="C1469" s="178"/>
      <c r="D1469" s="178"/>
      <c r="E1469" s="178"/>
      <c r="F1469" s="178"/>
      <c r="G1469" s="181"/>
      <c r="H1469" s="181"/>
      <c r="I1469" s="178"/>
    </row>
    <row r="1470" spans="3:9">
      <c r="C1470" s="178"/>
      <c r="D1470" s="178"/>
      <c r="E1470" s="178"/>
      <c r="F1470" s="178"/>
      <c r="G1470" s="181"/>
      <c r="H1470" s="181"/>
      <c r="I1470" s="178"/>
    </row>
    <row r="1471" spans="3:9">
      <c r="C1471" s="178"/>
      <c r="D1471" s="178"/>
      <c r="E1471" s="178"/>
      <c r="F1471" s="178"/>
      <c r="G1471" s="181"/>
      <c r="H1471" s="181"/>
      <c r="I1471" s="178"/>
    </row>
    <row r="1472" spans="3:9">
      <c r="C1472" s="178"/>
      <c r="D1472" s="178"/>
      <c r="E1472" s="178"/>
      <c r="F1472" s="178"/>
      <c r="G1472" s="181"/>
      <c r="H1472" s="181"/>
      <c r="I1472" s="178"/>
    </row>
    <row r="1473" spans="3:9">
      <c r="C1473" s="178"/>
      <c r="D1473" s="178"/>
      <c r="E1473" s="178"/>
      <c r="F1473" s="178"/>
      <c r="G1473" s="181"/>
      <c r="H1473" s="181"/>
      <c r="I1473" s="178"/>
    </row>
    <row r="1474" spans="3:9">
      <c r="C1474" s="178"/>
      <c r="D1474" s="178"/>
      <c r="E1474" s="178"/>
      <c r="F1474" s="178"/>
      <c r="G1474" s="181"/>
      <c r="H1474" s="181"/>
      <c r="I1474" s="178"/>
    </row>
    <row r="1475" spans="3:9">
      <c r="C1475" s="178"/>
      <c r="D1475" s="178"/>
      <c r="E1475" s="178"/>
      <c r="F1475" s="178"/>
      <c r="G1475" s="181"/>
      <c r="H1475" s="181"/>
      <c r="I1475" s="178"/>
    </row>
    <row r="1476" spans="3:9">
      <c r="C1476" s="178"/>
      <c r="D1476" s="178"/>
      <c r="E1476" s="178"/>
      <c r="F1476" s="178"/>
      <c r="G1476" s="181"/>
      <c r="H1476" s="181"/>
      <c r="I1476" s="178"/>
    </row>
    <row r="1477" spans="3:9">
      <c r="C1477" s="178"/>
      <c r="D1477" s="178"/>
      <c r="E1477" s="178"/>
      <c r="F1477" s="178"/>
      <c r="G1477" s="181"/>
      <c r="H1477" s="181"/>
      <c r="I1477" s="178"/>
    </row>
    <row r="1478" spans="3:9">
      <c r="C1478" s="178"/>
      <c r="D1478" s="178"/>
      <c r="E1478" s="178"/>
      <c r="F1478" s="178"/>
      <c r="G1478" s="181"/>
      <c r="H1478" s="181"/>
      <c r="I1478" s="178"/>
    </row>
    <row r="1479" spans="3:9">
      <c r="C1479" s="178"/>
      <c r="D1479" s="178"/>
      <c r="E1479" s="178"/>
      <c r="F1479" s="178"/>
      <c r="G1479" s="181"/>
      <c r="H1479" s="181"/>
      <c r="I1479" s="178"/>
    </row>
    <row r="1480" spans="3:9">
      <c r="C1480" s="178"/>
      <c r="D1480" s="178"/>
      <c r="E1480" s="178"/>
      <c r="F1480" s="178"/>
      <c r="G1480" s="181"/>
      <c r="H1480" s="181"/>
      <c r="I1480" s="178"/>
    </row>
    <row r="1481" spans="3:9">
      <c r="C1481" s="178"/>
      <c r="D1481" s="178"/>
      <c r="E1481" s="178"/>
      <c r="F1481" s="178"/>
      <c r="G1481" s="181"/>
      <c r="H1481" s="181"/>
      <c r="I1481" s="178"/>
    </row>
    <row r="1482" spans="3:9">
      <c r="C1482" s="178"/>
      <c r="D1482" s="178"/>
      <c r="E1482" s="178"/>
      <c r="F1482" s="178"/>
      <c r="G1482" s="181"/>
      <c r="H1482" s="181"/>
      <c r="I1482" s="178"/>
    </row>
    <row r="1483" spans="3:9">
      <c r="C1483" s="178"/>
      <c r="D1483" s="178"/>
      <c r="E1483" s="178"/>
      <c r="F1483" s="178"/>
      <c r="G1483" s="181"/>
      <c r="H1483" s="181"/>
      <c r="I1483" s="178"/>
    </row>
    <row r="1484" spans="3:9">
      <c r="C1484" s="178"/>
      <c r="D1484" s="178"/>
      <c r="E1484" s="178"/>
      <c r="F1484" s="178"/>
      <c r="G1484" s="181"/>
      <c r="H1484" s="181"/>
      <c r="I1484" s="178"/>
    </row>
    <row r="1485" spans="3:9">
      <c r="C1485" s="178"/>
      <c r="D1485" s="178"/>
      <c r="E1485" s="178"/>
      <c r="F1485" s="178"/>
      <c r="G1485" s="181"/>
      <c r="H1485" s="181"/>
      <c r="I1485" s="178"/>
    </row>
    <row r="1486" spans="3:9">
      <c r="C1486" s="178"/>
      <c r="D1486" s="178"/>
      <c r="E1486" s="178"/>
      <c r="F1486" s="178"/>
      <c r="G1486" s="181"/>
      <c r="H1486" s="181"/>
      <c r="I1486" s="178"/>
    </row>
    <row r="1487" spans="3:9">
      <c r="C1487" s="178"/>
      <c r="D1487" s="178"/>
      <c r="E1487" s="178"/>
      <c r="F1487" s="178"/>
      <c r="G1487" s="181"/>
      <c r="H1487" s="181"/>
      <c r="I1487" s="178"/>
    </row>
    <row r="1488" spans="3:9">
      <c r="C1488" s="178"/>
      <c r="D1488" s="178"/>
      <c r="E1488" s="178"/>
      <c r="F1488" s="178"/>
      <c r="G1488" s="181"/>
      <c r="H1488" s="181"/>
      <c r="I1488" s="178"/>
    </row>
    <row r="1489" spans="3:9">
      <c r="C1489" s="178"/>
      <c r="D1489" s="178"/>
      <c r="E1489" s="178"/>
      <c r="F1489" s="178"/>
      <c r="G1489" s="181"/>
      <c r="H1489" s="181"/>
      <c r="I1489" s="178"/>
    </row>
    <row r="1490" spans="3:9">
      <c r="C1490" s="178"/>
      <c r="D1490" s="178"/>
      <c r="E1490" s="178"/>
      <c r="F1490" s="178"/>
      <c r="G1490" s="181"/>
      <c r="H1490" s="181"/>
      <c r="I1490" s="178"/>
    </row>
    <row r="1491" spans="3:9">
      <c r="C1491" s="178"/>
      <c r="D1491" s="178"/>
      <c r="E1491" s="178"/>
      <c r="F1491" s="178"/>
      <c r="G1491" s="181"/>
      <c r="H1491" s="181"/>
      <c r="I1491" s="178"/>
    </row>
    <row r="1492" spans="3:9">
      <c r="C1492" s="178"/>
      <c r="D1492" s="178"/>
      <c r="E1492" s="178"/>
      <c r="F1492" s="178"/>
      <c r="G1492" s="181"/>
      <c r="H1492" s="181"/>
      <c r="I1492" s="178"/>
    </row>
    <row r="1493" spans="3:9">
      <c r="C1493" s="178"/>
      <c r="D1493" s="178"/>
      <c r="E1493" s="178"/>
      <c r="F1493" s="178"/>
      <c r="G1493" s="181"/>
      <c r="H1493" s="181"/>
      <c r="I1493" s="178"/>
    </row>
    <row r="1494" spans="3:9">
      <c r="C1494" s="178"/>
      <c r="D1494" s="178"/>
      <c r="E1494" s="178"/>
      <c r="F1494" s="178"/>
      <c r="G1494" s="181"/>
      <c r="H1494" s="181"/>
      <c r="I1494" s="178"/>
    </row>
    <row r="1495" spans="3:9">
      <c r="C1495" s="178"/>
      <c r="D1495" s="178"/>
      <c r="E1495" s="178"/>
      <c r="F1495" s="178"/>
      <c r="G1495" s="181"/>
      <c r="H1495" s="181"/>
      <c r="I1495" s="178"/>
    </row>
    <row r="1496" spans="3:9">
      <c r="C1496" s="178"/>
      <c r="D1496" s="178"/>
      <c r="E1496" s="178"/>
      <c r="F1496" s="178"/>
      <c r="G1496" s="181"/>
      <c r="H1496" s="181"/>
      <c r="I1496" s="178"/>
    </row>
    <row r="1497" spans="3:9">
      <c r="C1497" s="178"/>
      <c r="D1497" s="178"/>
      <c r="E1497" s="178"/>
      <c r="F1497" s="178"/>
      <c r="G1497" s="181"/>
      <c r="H1497" s="181"/>
      <c r="I1497" s="178"/>
    </row>
    <row r="1498" spans="3:9">
      <c r="C1498" s="178"/>
      <c r="D1498" s="178"/>
      <c r="E1498" s="178"/>
      <c r="F1498" s="178"/>
      <c r="G1498" s="181"/>
      <c r="H1498" s="181"/>
      <c r="I1498" s="178"/>
    </row>
    <row r="1499" spans="3:9">
      <c r="C1499" s="178"/>
      <c r="D1499" s="178"/>
      <c r="E1499" s="178"/>
      <c r="F1499" s="178"/>
      <c r="G1499" s="181"/>
      <c r="H1499" s="181"/>
      <c r="I1499" s="178"/>
    </row>
    <row r="1500" spans="3:9">
      <c r="C1500" s="178"/>
      <c r="D1500" s="178"/>
      <c r="E1500" s="178"/>
      <c r="F1500" s="178"/>
      <c r="G1500" s="181"/>
      <c r="H1500" s="181"/>
      <c r="I1500" s="178"/>
    </row>
    <row r="1501" spans="3:9">
      <c r="C1501" s="178"/>
      <c r="D1501" s="178"/>
      <c r="E1501" s="178"/>
      <c r="F1501" s="178"/>
      <c r="G1501" s="181"/>
      <c r="H1501" s="181"/>
      <c r="I1501" s="178"/>
    </row>
    <row r="1502" spans="3:9">
      <c r="C1502" s="178"/>
      <c r="D1502" s="178"/>
      <c r="E1502" s="178"/>
      <c r="F1502" s="178"/>
      <c r="G1502" s="181"/>
      <c r="H1502" s="181"/>
      <c r="I1502" s="178"/>
    </row>
    <row r="1503" spans="3:9">
      <c r="C1503" s="178"/>
      <c r="D1503" s="178"/>
      <c r="E1503" s="178"/>
      <c r="F1503" s="178"/>
      <c r="G1503" s="181"/>
      <c r="H1503" s="181"/>
      <c r="I1503" s="178"/>
    </row>
    <row r="1504" spans="3:9">
      <c r="C1504" s="178"/>
      <c r="D1504" s="178"/>
      <c r="E1504" s="178"/>
      <c r="F1504" s="178"/>
      <c r="G1504" s="181"/>
      <c r="H1504" s="181"/>
      <c r="I1504" s="178"/>
    </row>
    <row r="1505" spans="3:9">
      <c r="C1505" s="178"/>
      <c r="D1505" s="178"/>
      <c r="E1505" s="178"/>
      <c r="F1505" s="178"/>
      <c r="G1505" s="181"/>
      <c r="H1505" s="181"/>
      <c r="I1505" s="178"/>
    </row>
    <row r="1506" spans="3:9">
      <c r="C1506" s="178"/>
      <c r="D1506" s="178"/>
      <c r="E1506" s="178"/>
      <c r="F1506" s="178"/>
      <c r="G1506" s="181"/>
      <c r="H1506" s="181"/>
      <c r="I1506" s="178"/>
    </row>
    <row r="1507" spans="3:9">
      <c r="C1507" s="178"/>
      <c r="D1507" s="178"/>
      <c r="E1507" s="178"/>
      <c r="F1507" s="178"/>
      <c r="G1507" s="181"/>
      <c r="H1507" s="181"/>
      <c r="I1507" s="178"/>
    </row>
    <row r="1508" spans="3:9">
      <c r="C1508" s="178"/>
      <c r="D1508" s="178"/>
      <c r="E1508" s="178"/>
      <c r="F1508" s="178"/>
      <c r="G1508" s="181"/>
      <c r="H1508" s="181"/>
      <c r="I1508" s="178"/>
    </row>
    <row r="1509" spans="3:9">
      <c r="C1509" s="178"/>
      <c r="D1509" s="178"/>
      <c r="E1509" s="178"/>
      <c r="F1509" s="178"/>
      <c r="G1509" s="181"/>
      <c r="H1509" s="181"/>
      <c r="I1509" s="178"/>
    </row>
    <row r="1510" spans="3:9">
      <c r="C1510" s="178"/>
      <c r="D1510" s="178"/>
      <c r="E1510" s="178"/>
      <c r="F1510" s="178"/>
      <c r="G1510" s="181"/>
      <c r="H1510" s="181"/>
      <c r="I1510" s="178"/>
    </row>
    <row r="1511" spans="3:9">
      <c r="C1511" s="178"/>
      <c r="D1511" s="178"/>
      <c r="E1511" s="178"/>
      <c r="F1511" s="178"/>
      <c r="G1511" s="181"/>
      <c r="H1511" s="181"/>
      <c r="I1511" s="178"/>
    </row>
    <row r="1512" spans="3:9">
      <c r="C1512" s="178"/>
      <c r="D1512" s="178"/>
      <c r="E1512" s="178"/>
      <c r="F1512" s="178"/>
      <c r="G1512" s="181"/>
      <c r="H1512" s="181"/>
      <c r="I1512" s="178"/>
    </row>
    <row r="1513" spans="3:9">
      <c r="C1513" s="178"/>
      <c r="D1513" s="178"/>
      <c r="E1513" s="178"/>
      <c r="F1513" s="178"/>
      <c r="G1513" s="181"/>
      <c r="H1513" s="181"/>
      <c r="I1513" s="178"/>
    </row>
    <row r="1514" spans="3:9">
      <c r="C1514" s="178"/>
      <c r="D1514" s="178"/>
      <c r="E1514" s="178"/>
      <c r="F1514" s="178"/>
      <c r="G1514" s="181"/>
      <c r="H1514" s="181"/>
      <c r="I1514" s="178"/>
    </row>
    <row r="1515" spans="3:9">
      <c r="C1515" s="178"/>
      <c r="D1515" s="178"/>
      <c r="E1515" s="178"/>
      <c r="F1515" s="178"/>
      <c r="G1515" s="181"/>
      <c r="H1515" s="181"/>
      <c r="I1515" s="178"/>
    </row>
    <row r="1516" spans="3:9">
      <c r="C1516" s="178"/>
      <c r="D1516" s="178"/>
      <c r="E1516" s="178"/>
      <c r="F1516" s="178"/>
      <c r="G1516" s="181"/>
      <c r="H1516" s="181"/>
      <c r="I1516" s="178"/>
    </row>
    <row r="1517" spans="3:9">
      <c r="C1517" s="178"/>
      <c r="D1517" s="178"/>
      <c r="E1517" s="178"/>
      <c r="F1517" s="178"/>
      <c r="G1517" s="181"/>
      <c r="H1517" s="181"/>
      <c r="I1517" s="178"/>
    </row>
    <row r="1518" spans="3:9">
      <c r="C1518" s="178"/>
      <c r="D1518" s="178"/>
      <c r="E1518" s="178"/>
      <c r="F1518" s="178"/>
      <c r="G1518" s="181"/>
      <c r="H1518" s="181"/>
      <c r="I1518" s="178"/>
    </row>
    <row r="1519" spans="3:9">
      <c r="C1519" s="178"/>
      <c r="D1519" s="178"/>
      <c r="E1519" s="178"/>
      <c r="F1519" s="178"/>
      <c r="G1519" s="181"/>
      <c r="H1519" s="181"/>
      <c r="I1519" s="178"/>
    </row>
    <row r="1520" spans="3:9">
      <c r="C1520" s="178"/>
      <c r="D1520" s="178"/>
      <c r="E1520" s="178"/>
      <c r="F1520" s="178"/>
      <c r="G1520" s="181"/>
      <c r="H1520" s="181"/>
      <c r="I1520" s="178"/>
    </row>
    <row r="1521" spans="3:9">
      <c r="C1521" s="178"/>
      <c r="D1521" s="178"/>
      <c r="E1521" s="178"/>
      <c r="F1521" s="178"/>
      <c r="G1521" s="181"/>
      <c r="H1521" s="181"/>
      <c r="I1521" s="178"/>
    </row>
    <row r="1522" spans="3:9">
      <c r="C1522" s="178"/>
      <c r="D1522" s="178"/>
      <c r="E1522" s="178"/>
      <c r="F1522" s="178"/>
      <c r="G1522" s="181"/>
      <c r="H1522" s="181"/>
      <c r="I1522" s="178"/>
    </row>
    <row r="1523" spans="3:9">
      <c r="C1523" s="178"/>
      <c r="D1523" s="178"/>
      <c r="E1523" s="178"/>
      <c r="F1523" s="178"/>
      <c r="G1523" s="181"/>
      <c r="H1523" s="181"/>
      <c r="I1523" s="178"/>
    </row>
    <row r="1524" spans="3:9">
      <c r="C1524" s="178"/>
      <c r="D1524" s="178"/>
      <c r="E1524" s="178"/>
      <c r="F1524" s="178"/>
      <c r="G1524" s="181"/>
      <c r="H1524" s="181"/>
      <c r="I1524" s="178"/>
    </row>
    <row r="1525" spans="3:9">
      <c r="C1525" s="178"/>
      <c r="D1525" s="178"/>
      <c r="E1525" s="178"/>
      <c r="F1525" s="178"/>
      <c r="G1525" s="181"/>
      <c r="H1525" s="181"/>
      <c r="I1525" s="178"/>
    </row>
    <row r="1526" spans="3:9">
      <c r="C1526" s="178"/>
      <c r="D1526" s="178"/>
      <c r="E1526" s="178"/>
      <c r="F1526" s="178"/>
      <c r="G1526" s="181"/>
      <c r="H1526" s="181"/>
      <c r="I1526" s="178"/>
    </row>
    <row r="1527" spans="3:9">
      <c r="C1527" s="178"/>
      <c r="D1527" s="178"/>
      <c r="E1527" s="178"/>
      <c r="F1527" s="178"/>
      <c r="G1527" s="181"/>
      <c r="H1527" s="181"/>
      <c r="I1527" s="178"/>
    </row>
    <row r="1528" spans="3:9">
      <c r="C1528" s="178"/>
      <c r="D1528" s="178"/>
      <c r="E1528" s="178"/>
      <c r="F1528" s="178"/>
      <c r="G1528" s="181"/>
      <c r="H1528" s="181"/>
      <c r="I1528" s="178"/>
    </row>
    <row r="1529" spans="3:9">
      <c r="C1529" s="178"/>
      <c r="D1529" s="178"/>
      <c r="E1529" s="178"/>
      <c r="F1529" s="178"/>
      <c r="G1529" s="181"/>
      <c r="H1529" s="181"/>
      <c r="I1529" s="178"/>
    </row>
    <row r="1530" spans="3:9">
      <c r="C1530" s="178"/>
      <c r="D1530" s="178"/>
      <c r="E1530" s="178"/>
      <c r="F1530" s="178"/>
      <c r="G1530" s="181"/>
      <c r="H1530" s="181"/>
      <c r="I1530" s="178"/>
    </row>
    <row r="1531" spans="3:9">
      <c r="C1531" s="178"/>
      <c r="D1531" s="178"/>
      <c r="E1531" s="178"/>
      <c r="F1531" s="178"/>
      <c r="G1531" s="181"/>
      <c r="H1531" s="181"/>
      <c r="I1531" s="178"/>
    </row>
    <row r="1532" spans="3:9">
      <c r="C1532" s="178"/>
      <c r="D1532" s="178"/>
      <c r="E1532" s="178"/>
      <c r="F1532" s="178"/>
      <c r="G1532" s="181"/>
      <c r="H1532" s="181"/>
      <c r="I1532" s="178"/>
    </row>
    <row r="1533" spans="3:9">
      <c r="C1533" s="178"/>
      <c r="D1533" s="178"/>
      <c r="E1533" s="178"/>
      <c r="F1533" s="178"/>
      <c r="G1533" s="181"/>
      <c r="H1533" s="181"/>
      <c r="I1533" s="178"/>
    </row>
    <row r="1534" spans="3:9">
      <c r="C1534" s="178"/>
      <c r="D1534" s="178"/>
      <c r="E1534" s="178"/>
      <c r="F1534" s="178"/>
      <c r="G1534" s="181"/>
      <c r="H1534" s="181"/>
      <c r="I1534" s="178"/>
    </row>
    <row r="1535" spans="3:9">
      <c r="C1535" s="178"/>
      <c r="D1535" s="178"/>
      <c r="E1535" s="178"/>
      <c r="F1535" s="178"/>
      <c r="G1535" s="181"/>
      <c r="H1535" s="181"/>
      <c r="I1535" s="178"/>
    </row>
    <row r="1536" spans="3:9">
      <c r="C1536" s="178"/>
      <c r="D1536" s="178"/>
      <c r="E1536" s="178"/>
      <c r="F1536" s="178"/>
      <c r="G1536" s="181"/>
      <c r="H1536" s="181"/>
      <c r="I1536" s="178"/>
    </row>
    <row r="1537" spans="3:9">
      <c r="C1537" s="178"/>
      <c r="D1537" s="178"/>
      <c r="E1537" s="178"/>
      <c r="F1537" s="178"/>
      <c r="G1537" s="181"/>
      <c r="H1537" s="181"/>
      <c r="I1537" s="178"/>
    </row>
    <row r="1538" spans="3:9">
      <c r="C1538" s="178"/>
      <c r="D1538" s="178"/>
      <c r="E1538" s="178"/>
      <c r="F1538" s="178"/>
      <c r="G1538" s="181"/>
      <c r="H1538" s="181"/>
      <c r="I1538" s="178"/>
    </row>
    <row r="1539" spans="3:9">
      <c r="C1539" s="178"/>
      <c r="D1539" s="178"/>
      <c r="E1539" s="178"/>
      <c r="F1539" s="178"/>
      <c r="G1539" s="181"/>
      <c r="H1539" s="181"/>
      <c r="I1539" s="178"/>
    </row>
    <row r="1540" spans="3:9">
      <c r="C1540" s="178"/>
      <c r="D1540" s="178"/>
      <c r="E1540" s="178"/>
      <c r="F1540" s="178"/>
      <c r="G1540" s="181"/>
      <c r="H1540" s="181"/>
      <c r="I1540" s="178"/>
    </row>
    <row r="1541" spans="3:9">
      <c r="C1541" s="178"/>
      <c r="D1541" s="178"/>
      <c r="E1541" s="178"/>
      <c r="F1541" s="178"/>
      <c r="G1541" s="181"/>
      <c r="H1541" s="181"/>
      <c r="I1541" s="178"/>
    </row>
    <row r="1542" spans="3:9">
      <c r="C1542" s="178"/>
      <c r="D1542" s="178"/>
      <c r="E1542" s="178"/>
      <c r="F1542" s="178"/>
      <c r="G1542" s="181"/>
      <c r="H1542" s="181"/>
      <c r="I1542" s="178"/>
    </row>
    <row r="1543" spans="3:9">
      <c r="C1543" s="178"/>
      <c r="D1543" s="178"/>
      <c r="E1543" s="178"/>
      <c r="F1543" s="178"/>
      <c r="G1543" s="181"/>
      <c r="H1543" s="181"/>
      <c r="I1543" s="178"/>
    </row>
    <row r="1544" spans="3:9">
      <c r="C1544" s="178"/>
      <c r="D1544" s="178"/>
      <c r="E1544" s="178"/>
      <c r="F1544" s="178"/>
      <c r="G1544" s="181"/>
      <c r="H1544" s="181"/>
      <c r="I1544" s="178"/>
    </row>
    <row r="1545" spans="3:9">
      <c r="C1545" s="178"/>
      <c r="D1545" s="178"/>
      <c r="E1545" s="178"/>
      <c r="F1545" s="178"/>
      <c r="G1545" s="181"/>
      <c r="H1545" s="181"/>
      <c r="I1545" s="178"/>
    </row>
    <row r="1546" spans="3:9">
      <c r="C1546" s="178"/>
      <c r="D1546" s="178"/>
      <c r="E1546" s="178"/>
      <c r="F1546" s="178"/>
      <c r="G1546" s="181"/>
      <c r="H1546" s="181"/>
      <c r="I1546" s="178"/>
    </row>
    <row r="1547" spans="3:9">
      <c r="C1547" s="178"/>
      <c r="D1547" s="178"/>
      <c r="E1547" s="178"/>
      <c r="F1547" s="178"/>
      <c r="G1547" s="181"/>
      <c r="H1547" s="181"/>
      <c r="I1547" s="178"/>
    </row>
    <row r="1548" spans="3:9">
      <c r="C1548" s="178"/>
      <c r="D1548" s="178"/>
      <c r="E1548" s="178"/>
      <c r="F1548" s="178"/>
      <c r="G1548" s="181"/>
      <c r="H1548" s="181"/>
      <c r="I1548" s="178"/>
    </row>
    <row r="1549" spans="3:9">
      <c r="C1549" s="178"/>
      <c r="D1549" s="178"/>
      <c r="E1549" s="178"/>
      <c r="F1549" s="178"/>
      <c r="G1549" s="181"/>
      <c r="H1549" s="181"/>
      <c r="I1549" s="178"/>
    </row>
    <row r="1550" spans="3:9">
      <c r="C1550" s="178"/>
      <c r="D1550" s="178"/>
      <c r="E1550" s="178"/>
      <c r="F1550" s="178"/>
      <c r="G1550" s="181"/>
      <c r="H1550" s="181"/>
      <c r="I1550" s="178"/>
    </row>
    <row r="1551" spans="3:9">
      <c r="C1551" s="178"/>
      <c r="D1551" s="178"/>
      <c r="E1551" s="178"/>
      <c r="F1551" s="178"/>
      <c r="G1551" s="181"/>
      <c r="H1551" s="181"/>
      <c r="I1551" s="178"/>
    </row>
    <row r="1552" spans="3:9">
      <c r="C1552" s="178"/>
      <c r="D1552" s="178"/>
      <c r="E1552" s="178"/>
      <c r="F1552" s="178"/>
      <c r="G1552" s="181"/>
      <c r="H1552" s="181"/>
      <c r="I1552" s="178"/>
    </row>
    <row r="1553" spans="3:9">
      <c r="C1553" s="178"/>
      <c r="D1553" s="178"/>
      <c r="E1553" s="178"/>
      <c r="F1553" s="178"/>
      <c r="G1553" s="181"/>
      <c r="H1553" s="181"/>
      <c r="I1553" s="178"/>
    </row>
    <row r="1554" spans="3:9">
      <c r="C1554" s="178"/>
      <c r="D1554" s="178"/>
      <c r="E1554" s="178"/>
      <c r="F1554" s="178"/>
      <c r="G1554" s="181"/>
      <c r="H1554" s="181"/>
      <c r="I1554" s="178"/>
    </row>
    <row r="1555" spans="3:9">
      <c r="C1555" s="178"/>
      <c r="D1555" s="178"/>
      <c r="E1555" s="178"/>
      <c r="F1555" s="178"/>
      <c r="G1555" s="181"/>
      <c r="H1555" s="181"/>
      <c r="I1555" s="178"/>
    </row>
    <row r="1556" spans="3:9">
      <c r="C1556" s="178"/>
      <c r="D1556" s="178"/>
      <c r="E1556" s="178"/>
      <c r="F1556" s="178"/>
      <c r="G1556" s="181"/>
      <c r="H1556" s="181"/>
      <c r="I1556" s="178"/>
    </row>
    <row r="1557" spans="3:9">
      <c r="C1557" s="178"/>
      <c r="D1557" s="178"/>
      <c r="E1557" s="178"/>
      <c r="F1557" s="178"/>
      <c r="G1557" s="181"/>
      <c r="H1557" s="181"/>
      <c r="I1557" s="178"/>
    </row>
    <row r="1558" spans="3:9">
      <c r="C1558" s="178"/>
      <c r="D1558" s="178"/>
      <c r="E1558" s="178"/>
      <c r="F1558" s="178"/>
      <c r="G1558" s="181"/>
      <c r="H1558" s="181"/>
      <c r="I1558" s="178"/>
    </row>
    <row r="1559" spans="3:9">
      <c r="C1559" s="178"/>
      <c r="D1559" s="178"/>
      <c r="E1559" s="178"/>
      <c r="F1559" s="178"/>
      <c r="G1559" s="181"/>
      <c r="H1559" s="181"/>
      <c r="I1559" s="178"/>
    </row>
    <row r="1560" spans="3:9">
      <c r="C1560" s="178"/>
      <c r="D1560" s="178"/>
      <c r="E1560" s="178"/>
      <c r="F1560" s="178"/>
      <c r="G1560" s="181"/>
      <c r="H1560" s="181"/>
      <c r="I1560" s="178"/>
    </row>
    <row r="1561" spans="3:9">
      <c r="C1561" s="178"/>
      <c r="D1561" s="178"/>
      <c r="E1561" s="178"/>
      <c r="F1561" s="178"/>
      <c r="G1561" s="181"/>
      <c r="H1561" s="181"/>
      <c r="I1561" s="178"/>
    </row>
    <row r="1562" spans="3:9">
      <c r="C1562" s="178"/>
      <c r="D1562" s="178"/>
      <c r="E1562" s="178"/>
      <c r="F1562" s="178"/>
      <c r="G1562" s="181"/>
      <c r="H1562" s="181"/>
      <c r="I1562" s="178"/>
    </row>
    <row r="1563" spans="3:9">
      <c r="C1563" s="178"/>
      <c r="D1563" s="178"/>
      <c r="E1563" s="178"/>
      <c r="F1563" s="178"/>
      <c r="G1563" s="181"/>
      <c r="H1563" s="181"/>
      <c r="I1563" s="178"/>
    </row>
    <row r="1564" spans="3:9">
      <c r="C1564" s="178"/>
      <c r="D1564" s="178"/>
      <c r="E1564" s="178"/>
      <c r="F1564" s="178"/>
      <c r="G1564" s="181"/>
      <c r="H1564" s="181"/>
      <c r="I1564" s="178"/>
    </row>
    <row r="1565" spans="3:9">
      <c r="C1565" s="178"/>
      <c r="D1565" s="178"/>
      <c r="E1565" s="178"/>
      <c r="F1565" s="178"/>
      <c r="G1565" s="181"/>
      <c r="H1565" s="181"/>
      <c r="I1565" s="178"/>
    </row>
    <row r="1566" spans="3:9">
      <c r="C1566" s="178"/>
      <c r="D1566" s="178"/>
      <c r="E1566" s="178"/>
      <c r="F1566" s="178"/>
      <c r="G1566" s="181"/>
      <c r="H1566" s="181"/>
      <c r="I1566" s="178"/>
    </row>
    <row r="1567" spans="3:9">
      <c r="C1567" s="178"/>
      <c r="D1567" s="178"/>
      <c r="E1567" s="178"/>
      <c r="F1567" s="178"/>
      <c r="G1567" s="181"/>
      <c r="H1567" s="181"/>
      <c r="I1567" s="178"/>
    </row>
    <row r="1568" spans="3:9">
      <c r="C1568" s="178"/>
      <c r="D1568" s="178"/>
      <c r="E1568" s="178"/>
      <c r="F1568" s="178"/>
      <c r="G1568" s="181"/>
      <c r="H1568" s="181"/>
      <c r="I1568" s="178"/>
    </row>
    <row r="1569" spans="3:9">
      <c r="C1569" s="178"/>
      <c r="D1569" s="178"/>
      <c r="E1569" s="178"/>
      <c r="F1569" s="178"/>
      <c r="G1569" s="181"/>
      <c r="H1569" s="181"/>
      <c r="I1569" s="178"/>
    </row>
    <row r="1570" spans="3:9">
      <c r="C1570" s="178"/>
      <c r="D1570" s="178"/>
      <c r="E1570" s="178"/>
      <c r="F1570" s="178"/>
      <c r="G1570" s="181"/>
      <c r="H1570" s="181"/>
      <c r="I1570" s="178"/>
    </row>
    <row r="1571" spans="3:9">
      <c r="C1571" s="178"/>
      <c r="D1571" s="178"/>
      <c r="E1571" s="178"/>
      <c r="F1571" s="178"/>
      <c r="G1571" s="181"/>
      <c r="H1571" s="181"/>
      <c r="I1571" s="178"/>
    </row>
    <row r="1572" spans="3:9">
      <c r="C1572" s="178"/>
      <c r="D1572" s="178"/>
      <c r="E1572" s="178"/>
      <c r="F1572" s="178"/>
      <c r="G1572" s="181"/>
      <c r="H1572" s="181"/>
      <c r="I1572" s="178"/>
    </row>
    <row r="1573" spans="3:9">
      <c r="C1573" s="178"/>
      <c r="D1573" s="178"/>
      <c r="E1573" s="178"/>
      <c r="F1573" s="178"/>
      <c r="G1573" s="181"/>
      <c r="H1573" s="181"/>
      <c r="I1573" s="178"/>
    </row>
    <row r="1574" spans="3:9">
      <c r="C1574" s="178"/>
      <c r="D1574" s="178"/>
      <c r="E1574" s="178"/>
      <c r="F1574" s="178"/>
      <c r="G1574" s="181"/>
      <c r="H1574" s="181"/>
      <c r="I1574" s="178"/>
    </row>
    <row r="1575" spans="3:9">
      <c r="C1575" s="178"/>
      <c r="D1575" s="178"/>
      <c r="E1575" s="178"/>
      <c r="F1575" s="178"/>
      <c r="G1575" s="181"/>
      <c r="H1575" s="181"/>
      <c r="I1575" s="178"/>
    </row>
    <row r="1576" spans="3:9">
      <c r="C1576" s="178"/>
      <c r="D1576" s="178"/>
      <c r="E1576" s="178"/>
      <c r="F1576" s="178"/>
      <c r="G1576" s="181"/>
      <c r="H1576" s="181"/>
      <c r="I1576" s="178"/>
    </row>
    <row r="1577" spans="3:9">
      <c r="C1577" s="178"/>
      <c r="D1577" s="178"/>
      <c r="E1577" s="178"/>
      <c r="F1577" s="178"/>
      <c r="G1577" s="181"/>
      <c r="H1577" s="181"/>
      <c r="I1577" s="178"/>
    </row>
    <row r="1578" spans="3:9">
      <c r="C1578" s="178"/>
      <c r="D1578" s="178"/>
      <c r="E1578" s="178"/>
      <c r="F1578" s="178"/>
      <c r="G1578" s="181"/>
      <c r="H1578" s="181"/>
      <c r="I1578" s="178"/>
    </row>
    <row r="1579" spans="3:9">
      <c r="C1579" s="178"/>
      <c r="D1579" s="178"/>
      <c r="E1579" s="178"/>
      <c r="F1579" s="178"/>
      <c r="G1579" s="181"/>
      <c r="H1579" s="181"/>
      <c r="I1579" s="178"/>
    </row>
    <row r="1580" spans="3:9">
      <c r="C1580" s="178"/>
      <c r="D1580" s="178"/>
      <c r="E1580" s="178"/>
      <c r="F1580" s="178"/>
      <c r="G1580" s="181"/>
      <c r="H1580" s="181"/>
      <c r="I1580" s="178"/>
    </row>
    <row r="1581" spans="3:9">
      <c r="C1581" s="178"/>
      <c r="D1581" s="178"/>
      <c r="E1581" s="178"/>
      <c r="F1581" s="178"/>
      <c r="G1581" s="181"/>
      <c r="H1581" s="181"/>
      <c r="I1581" s="178"/>
    </row>
    <row r="1582" spans="3:9">
      <c r="C1582" s="178"/>
      <c r="D1582" s="178"/>
      <c r="E1582" s="178"/>
      <c r="F1582" s="178"/>
      <c r="G1582" s="181"/>
      <c r="H1582" s="181"/>
      <c r="I1582" s="178"/>
    </row>
    <row r="1583" spans="3:9">
      <c r="C1583" s="178"/>
      <c r="D1583" s="178"/>
      <c r="E1583" s="178"/>
      <c r="F1583" s="178"/>
      <c r="G1583" s="181"/>
      <c r="H1583" s="181"/>
      <c r="I1583" s="178"/>
    </row>
    <row r="1584" spans="3:9">
      <c r="C1584" s="178"/>
      <c r="D1584" s="178"/>
      <c r="E1584" s="178"/>
      <c r="F1584" s="178"/>
      <c r="G1584" s="181"/>
      <c r="H1584" s="181"/>
      <c r="I1584" s="178"/>
    </row>
    <row r="1585" spans="3:9">
      <c r="C1585" s="178"/>
      <c r="D1585" s="178"/>
      <c r="E1585" s="178"/>
      <c r="F1585" s="178"/>
      <c r="G1585" s="181"/>
      <c r="H1585" s="181"/>
      <c r="I1585" s="178"/>
    </row>
    <row r="1586" spans="3:9">
      <c r="C1586" s="178"/>
      <c r="D1586" s="178"/>
      <c r="E1586" s="178"/>
      <c r="F1586" s="178"/>
      <c r="G1586" s="181"/>
      <c r="H1586" s="181"/>
      <c r="I1586" s="178"/>
    </row>
    <row r="1587" spans="3:9">
      <c r="C1587" s="178"/>
      <c r="D1587" s="178"/>
      <c r="E1587" s="178"/>
      <c r="F1587" s="178"/>
      <c r="G1587" s="181"/>
      <c r="H1587" s="181"/>
      <c r="I1587" s="178"/>
    </row>
    <row r="1588" spans="3:9">
      <c r="C1588" s="178"/>
      <c r="D1588" s="178"/>
      <c r="E1588" s="178"/>
      <c r="F1588" s="178"/>
      <c r="G1588" s="181"/>
      <c r="H1588" s="181"/>
      <c r="I1588" s="178"/>
    </row>
    <row r="1589" spans="3:9">
      <c r="C1589" s="178"/>
      <c r="D1589" s="178"/>
      <c r="E1589" s="178"/>
      <c r="F1589" s="178"/>
      <c r="G1589" s="181"/>
      <c r="H1589" s="181"/>
      <c r="I1589" s="178"/>
    </row>
    <row r="1590" spans="3:9">
      <c r="C1590" s="178"/>
      <c r="D1590" s="178"/>
      <c r="E1590" s="178"/>
      <c r="F1590" s="178"/>
      <c r="G1590" s="181"/>
      <c r="H1590" s="181"/>
      <c r="I1590" s="178"/>
    </row>
    <row r="1591" spans="3:9">
      <c r="C1591" s="178"/>
      <c r="D1591" s="178"/>
      <c r="E1591" s="178"/>
      <c r="F1591" s="178"/>
      <c r="G1591" s="181"/>
      <c r="H1591" s="181"/>
      <c r="I1591" s="178"/>
    </row>
    <row r="1592" spans="3:9">
      <c r="C1592" s="178"/>
      <c r="D1592" s="178"/>
      <c r="E1592" s="178"/>
      <c r="F1592" s="178"/>
      <c r="G1592" s="181"/>
      <c r="H1592" s="181"/>
      <c r="I1592" s="178"/>
    </row>
    <row r="1593" spans="3:9">
      <c r="C1593" s="178"/>
      <c r="D1593" s="178"/>
      <c r="E1593" s="178"/>
      <c r="F1593" s="178"/>
      <c r="G1593" s="181"/>
      <c r="H1593" s="181"/>
      <c r="I1593" s="178"/>
    </row>
    <row r="1594" spans="3:9">
      <c r="C1594" s="178"/>
      <c r="D1594" s="178"/>
      <c r="E1594" s="178"/>
      <c r="F1594" s="178"/>
      <c r="G1594" s="181"/>
      <c r="H1594" s="181"/>
      <c r="I1594" s="178"/>
    </row>
    <row r="1595" spans="3:9">
      <c r="C1595" s="178"/>
      <c r="D1595" s="178"/>
      <c r="E1595" s="178"/>
      <c r="F1595" s="178"/>
      <c r="G1595" s="181"/>
      <c r="H1595" s="181"/>
      <c r="I1595" s="178"/>
    </row>
    <row r="1596" spans="3:9">
      <c r="C1596" s="178"/>
      <c r="D1596" s="178"/>
      <c r="E1596" s="178"/>
      <c r="F1596" s="178"/>
      <c r="G1596" s="181"/>
      <c r="H1596" s="181"/>
      <c r="I1596" s="178"/>
    </row>
    <row r="1597" spans="3:9">
      <c r="C1597" s="178"/>
      <c r="D1597" s="178"/>
      <c r="E1597" s="178"/>
      <c r="F1597" s="178"/>
      <c r="G1597" s="181"/>
      <c r="H1597" s="181"/>
      <c r="I1597" s="178"/>
    </row>
    <row r="1598" spans="3:9">
      <c r="C1598" s="178"/>
      <c r="D1598" s="178"/>
      <c r="E1598" s="178"/>
      <c r="F1598" s="178"/>
      <c r="G1598" s="181"/>
      <c r="H1598" s="181"/>
      <c r="I1598" s="178"/>
    </row>
    <row r="1599" spans="3:9">
      <c r="C1599" s="178"/>
      <c r="D1599" s="178"/>
      <c r="E1599" s="178"/>
      <c r="F1599" s="178"/>
      <c r="G1599" s="181"/>
      <c r="H1599" s="181"/>
      <c r="I1599" s="178"/>
    </row>
    <row r="1600" spans="3:9">
      <c r="C1600" s="178"/>
      <c r="D1600" s="178"/>
      <c r="E1600" s="178"/>
      <c r="F1600" s="178"/>
      <c r="G1600" s="181"/>
      <c r="H1600" s="181"/>
      <c r="I1600" s="178"/>
    </row>
    <row r="1601" spans="3:9">
      <c r="C1601" s="178"/>
      <c r="D1601" s="178"/>
      <c r="E1601" s="178"/>
      <c r="F1601" s="178"/>
      <c r="G1601" s="181"/>
      <c r="H1601" s="181"/>
      <c r="I1601" s="178"/>
    </row>
    <row r="1602" spans="3:9">
      <c r="C1602" s="178"/>
      <c r="D1602" s="178"/>
      <c r="E1602" s="178"/>
      <c r="F1602" s="178"/>
      <c r="G1602" s="181"/>
      <c r="H1602" s="181"/>
      <c r="I1602" s="178"/>
    </row>
    <row r="1603" spans="3:9">
      <c r="C1603" s="178"/>
      <c r="D1603" s="178"/>
      <c r="E1603" s="178"/>
      <c r="F1603" s="178"/>
      <c r="G1603" s="181"/>
      <c r="H1603" s="181"/>
      <c r="I1603" s="178"/>
    </row>
    <row r="1604" spans="3:9">
      <c r="C1604" s="178"/>
      <c r="D1604" s="178"/>
      <c r="E1604" s="178"/>
      <c r="F1604" s="178"/>
      <c r="G1604" s="181"/>
      <c r="H1604" s="181"/>
      <c r="I1604" s="178"/>
    </row>
    <row r="1605" spans="3:9">
      <c r="C1605" s="178"/>
      <c r="D1605" s="178"/>
      <c r="E1605" s="178"/>
      <c r="F1605" s="178"/>
      <c r="G1605" s="181"/>
      <c r="H1605" s="181"/>
      <c r="I1605" s="178"/>
    </row>
    <row r="1606" spans="3:9">
      <c r="C1606" s="178"/>
      <c r="D1606" s="178"/>
      <c r="E1606" s="178"/>
      <c r="F1606" s="178"/>
      <c r="G1606" s="181"/>
      <c r="H1606" s="181"/>
      <c r="I1606" s="178"/>
    </row>
    <row r="1607" spans="3:9">
      <c r="C1607" s="178"/>
      <c r="D1607" s="178"/>
      <c r="E1607" s="178"/>
      <c r="F1607" s="178"/>
      <c r="G1607" s="181"/>
      <c r="H1607" s="181"/>
      <c r="I1607" s="178"/>
    </row>
    <row r="1608" spans="3:9">
      <c r="C1608" s="178"/>
      <c r="D1608" s="178"/>
      <c r="E1608" s="178"/>
      <c r="F1608" s="178"/>
      <c r="G1608" s="181"/>
      <c r="H1608" s="181"/>
      <c r="I1608" s="178"/>
    </row>
    <row r="1609" spans="3:9">
      <c r="C1609" s="178"/>
      <c r="D1609" s="178"/>
      <c r="E1609" s="178"/>
      <c r="F1609" s="178"/>
      <c r="G1609" s="181"/>
      <c r="H1609" s="181"/>
      <c r="I1609" s="178"/>
    </row>
    <row r="1610" spans="3:9">
      <c r="C1610" s="178"/>
      <c r="D1610" s="178"/>
      <c r="E1610" s="178"/>
      <c r="F1610" s="178"/>
      <c r="G1610" s="181"/>
      <c r="H1610" s="181"/>
      <c r="I1610" s="178"/>
    </row>
    <row r="1611" spans="3:9">
      <c r="C1611" s="178"/>
      <c r="D1611" s="178"/>
      <c r="E1611" s="178"/>
      <c r="F1611" s="178"/>
      <c r="G1611" s="181"/>
      <c r="H1611" s="181"/>
      <c r="I1611" s="178"/>
    </row>
    <row r="1612" spans="3:9">
      <c r="C1612" s="178"/>
      <c r="D1612" s="178"/>
      <c r="E1612" s="178"/>
      <c r="F1612" s="178"/>
      <c r="G1612" s="181"/>
      <c r="H1612" s="181"/>
      <c r="I1612" s="178"/>
    </row>
    <row r="1613" spans="3:9">
      <c r="C1613" s="178"/>
      <c r="D1613" s="178"/>
      <c r="E1613" s="178"/>
      <c r="F1613" s="178"/>
      <c r="G1613" s="181"/>
      <c r="H1613" s="181"/>
      <c r="I1613" s="178"/>
    </row>
    <row r="1614" spans="3:9">
      <c r="C1614" s="178"/>
      <c r="D1614" s="178"/>
      <c r="E1614" s="178"/>
      <c r="F1614" s="178"/>
      <c r="G1614" s="181"/>
      <c r="H1614" s="181"/>
      <c r="I1614" s="178"/>
    </row>
    <row r="1615" spans="3:9">
      <c r="C1615" s="178"/>
      <c r="D1615" s="178"/>
      <c r="E1615" s="178"/>
      <c r="F1615" s="178"/>
      <c r="G1615" s="181"/>
      <c r="H1615" s="181"/>
      <c r="I1615" s="178"/>
    </row>
    <row r="1616" spans="3:9">
      <c r="C1616" s="178"/>
      <c r="D1616" s="178"/>
      <c r="E1616" s="178"/>
      <c r="F1616" s="178"/>
      <c r="G1616" s="181"/>
      <c r="H1616" s="181"/>
      <c r="I1616" s="178"/>
    </row>
    <row r="1617" spans="3:9">
      <c r="C1617" s="178"/>
      <c r="D1617" s="178"/>
      <c r="E1617" s="178"/>
      <c r="F1617" s="178"/>
      <c r="G1617" s="181"/>
      <c r="H1617" s="181"/>
      <c r="I1617" s="178"/>
    </row>
    <row r="1618" spans="3:9">
      <c r="C1618" s="178"/>
      <c r="D1618" s="178"/>
      <c r="E1618" s="178"/>
      <c r="F1618" s="178"/>
      <c r="G1618" s="181"/>
      <c r="H1618" s="181"/>
      <c r="I1618" s="178"/>
    </row>
    <row r="1619" spans="3:9">
      <c r="C1619" s="178"/>
      <c r="D1619" s="178"/>
      <c r="E1619" s="178"/>
      <c r="F1619" s="178"/>
      <c r="G1619" s="181"/>
      <c r="H1619" s="181"/>
      <c r="I1619" s="178"/>
    </row>
    <row r="1620" spans="3:9">
      <c r="C1620" s="178"/>
      <c r="D1620" s="178"/>
      <c r="E1620" s="178"/>
      <c r="F1620" s="178"/>
      <c r="G1620" s="181"/>
      <c r="H1620" s="181"/>
      <c r="I1620" s="178"/>
    </row>
    <row r="1621" spans="3:9">
      <c r="C1621" s="178"/>
      <c r="D1621" s="178"/>
      <c r="E1621" s="178"/>
      <c r="F1621" s="178"/>
      <c r="G1621" s="181"/>
      <c r="H1621" s="181"/>
      <c r="I1621" s="178"/>
    </row>
    <row r="1622" spans="3:9">
      <c r="C1622" s="178"/>
      <c r="D1622" s="178"/>
      <c r="E1622" s="178"/>
      <c r="F1622" s="178"/>
      <c r="G1622" s="181"/>
      <c r="H1622" s="181"/>
      <c r="I1622" s="178"/>
    </row>
    <row r="1623" spans="3:9">
      <c r="C1623" s="178"/>
      <c r="D1623" s="178"/>
      <c r="E1623" s="178"/>
      <c r="F1623" s="178"/>
      <c r="G1623" s="181"/>
      <c r="H1623" s="181"/>
      <c r="I1623" s="178"/>
    </row>
    <row r="1624" spans="3:9">
      <c r="C1624" s="178"/>
      <c r="D1624" s="178"/>
      <c r="E1624" s="178"/>
      <c r="F1624" s="178"/>
      <c r="G1624" s="181"/>
      <c r="H1624" s="181"/>
      <c r="I1624" s="178"/>
    </row>
    <row r="1625" spans="3:9">
      <c r="C1625" s="178"/>
      <c r="D1625" s="178"/>
      <c r="E1625" s="178"/>
      <c r="F1625" s="178"/>
      <c r="G1625" s="181"/>
      <c r="H1625" s="181"/>
      <c r="I1625" s="178"/>
    </row>
    <row r="1626" spans="3:9">
      <c r="C1626" s="178"/>
      <c r="D1626" s="178"/>
      <c r="E1626" s="178"/>
      <c r="F1626" s="178"/>
      <c r="G1626" s="181"/>
      <c r="H1626" s="181"/>
      <c r="I1626" s="178"/>
    </row>
    <row r="1627" spans="3:9">
      <c r="C1627" s="178"/>
      <c r="D1627" s="178"/>
      <c r="E1627" s="178"/>
      <c r="F1627" s="178"/>
      <c r="G1627" s="181"/>
      <c r="H1627" s="181"/>
      <c r="I1627" s="178"/>
    </row>
    <row r="1628" spans="3:9">
      <c r="C1628" s="178"/>
      <c r="D1628" s="178"/>
      <c r="E1628" s="178"/>
      <c r="F1628" s="178"/>
      <c r="G1628" s="181"/>
      <c r="H1628" s="181"/>
      <c r="I1628" s="178"/>
    </row>
    <row r="1629" spans="3:9">
      <c r="C1629" s="178"/>
      <c r="D1629" s="178"/>
      <c r="E1629" s="178"/>
      <c r="F1629" s="178"/>
      <c r="G1629" s="181"/>
      <c r="H1629" s="181"/>
      <c r="I1629" s="178"/>
    </row>
    <row r="1630" spans="3:9">
      <c r="C1630" s="178"/>
      <c r="D1630" s="178"/>
      <c r="E1630" s="178"/>
      <c r="F1630" s="178"/>
      <c r="G1630" s="181"/>
      <c r="H1630" s="181"/>
      <c r="I1630" s="178"/>
    </row>
    <row r="1631" spans="3:9">
      <c r="C1631" s="178"/>
      <c r="D1631" s="178"/>
      <c r="E1631" s="178"/>
      <c r="F1631" s="178"/>
      <c r="G1631" s="181"/>
      <c r="H1631" s="181"/>
      <c r="I1631" s="178"/>
    </row>
    <row r="1632" spans="3:9">
      <c r="C1632" s="178"/>
      <c r="D1632" s="178"/>
      <c r="E1632" s="178"/>
      <c r="F1632" s="178"/>
      <c r="G1632" s="181"/>
      <c r="H1632" s="181"/>
      <c r="I1632" s="178"/>
    </row>
    <row r="1633" spans="3:9">
      <c r="C1633" s="178"/>
      <c r="D1633" s="178"/>
      <c r="E1633" s="178"/>
      <c r="F1633" s="178"/>
      <c r="G1633" s="181"/>
      <c r="H1633" s="181"/>
      <c r="I1633" s="178"/>
    </row>
    <row r="1634" spans="3:9">
      <c r="C1634" s="178"/>
      <c r="D1634" s="178"/>
      <c r="E1634" s="178"/>
      <c r="F1634" s="178"/>
      <c r="G1634" s="181"/>
      <c r="H1634" s="181"/>
      <c r="I1634" s="178"/>
    </row>
    <row r="1635" spans="3:9">
      <c r="C1635" s="178"/>
      <c r="D1635" s="178"/>
      <c r="E1635" s="178"/>
      <c r="F1635" s="178"/>
      <c r="G1635" s="181"/>
      <c r="H1635" s="181"/>
      <c r="I1635" s="178"/>
    </row>
    <row r="1636" spans="3:9">
      <c r="C1636" s="178"/>
      <c r="D1636" s="178"/>
      <c r="E1636" s="178"/>
      <c r="F1636" s="178"/>
      <c r="G1636" s="181"/>
      <c r="H1636" s="181"/>
      <c r="I1636" s="178"/>
    </row>
    <row r="1637" spans="3:9">
      <c r="C1637" s="178"/>
      <c r="D1637" s="178"/>
      <c r="E1637" s="178"/>
      <c r="F1637" s="178"/>
      <c r="G1637" s="181"/>
      <c r="H1637" s="181"/>
      <c r="I1637" s="178"/>
    </row>
    <row r="1638" spans="3:9">
      <c r="C1638" s="178"/>
      <c r="D1638" s="178"/>
      <c r="E1638" s="178"/>
      <c r="F1638" s="178"/>
      <c r="G1638" s="181"/>
      <c r="H1638" s="181"/>
      <c r="I1638" s="178"/>
    </row>
    <row r="1639" spans="3:9">
      <c r="C1639" s="178"/>
      <c r="D1639" s="178"/>
      <c r="E1639" s="178"/>
      <c r="F1639" s="178"/>
      <c r="G1639" s="181"/>
      <c r="H1639" s="181"/>
      <c r="I1639" s="178"/>
    </row>
    <row r="1640" spans="3:9">
      <c r="C1640" s="178"/>
      <c r="D1640" s="178"/>
      <c r="E1640" s="178"/>
      <c r="F1640" s="178"/>
      <c r="G1640" s="181"/>
      <c r="H1640" s="181"/>
      <c r="I1640" s="178"/>
    </row>
    <row r="1641" spans="3:9">
      <c r="C1641" s="178"/>
      <c r="D1641" s="178"/>
      <c r="E1641" s="178"/>
      <c r="F1641" s="178"/>
      <c r="G1641" s="181"/>
      <c r="H1641" s="181"/>
      <c r="I1641" s="178"/>
    </row>
    <row r="1642" spans="3:9">
      <c r="C1642" s="178"/>
      <c r="D1642" s="178"/>
      <c r="E1642" s="178"/>
      <c r="F1642" s="178"/>
      <c r="G1642" s="181"/>
      <c r="H1642" s="181"/>
      <c r="I1642" s="178"/>
    </row>
    <row r="1643" spans="3:9">
      <c r="C1643" s="178"/>
      <c r="D1643" s="178"/>
      <c r="E1643" s="178"/>
      <c r="F1643" s="178"/>
      <c r="G1643" s="181"/>
      <c r="H1643" s="181"/>
      <c r="I1643" s="178"/>
    </row>
    <row r="1644" spans="3:9">
      <c r="C1644" s="178"/>
      <c r="D1644" s="178"/>
      <c r="E1644" s="178"/>
      <c r="F1644" s="178"/>
      <c r="G1644" s="181"/>
      <c r="H1644" s="181"/>
      <c r="I1644" s="178"/>
    </row>
    <row r="1645" spans="3:9">
      <c r="C1645" s="178"/>
      <c r="D1645" s="178"/>
      <c r="E1645" s="178"/>
      <c r="F1645" s="178"/>
      <c r="G1645" s="181"/>
      <c r="H1645" s="181"/>
      <c r="I1645" s="178"/>
    </row>
    <row r="1646" spans="3:9">
      <c r="C1646" s="178"/>
      <c r="D1646" s="178"/>
      <c r="E1646" s="178"/>
      <c r="F1646" s="178"/>
      <c r="G1646" s="181"/>
      <c r="H1646" s="181"/>
      <c r="I1646" s="178"/>
    </row>
    <row r="1647" spans="3:9">
      <c r="C1647" s="178"/>
      <c r="D1647" s="178"/>
      <c r="E1647" s="178"/>
      <c r="F1647" s="178"/>
      <c r="G1647" s="181"/>
      <c r="H1647" s="181"/>
      <c r="I1647" s="178"/>
    </row>
    <row r="1648" spans="3:9">
      <c r="C1648" s="178"/>
      <c r="D1648" s="178"/>
      <c r="E1648" s="178"/>
      <c r="F1648" s="178"/>
      <c r="G1648" s="181"/>
      <c r="H1648" s="181"/>
      <c r="I1648" s="178"/>
    </row>
    <row r="1649" spans="3:9">
      <c r="C1649" s="178"/>
      <c r="D1649" s="178"/>
      <c r="E1649" s="178"/>
      <c r="F1649" s="178"/>
      <c r="G1649" s="181"/>
      <c r="H1649" s="181"/>
      <c r="I1649" s="178"/>
    </row>
    <row r="1650" spans="3:9">
      <c r="C1650" s="178"/>
      <c r="D1650" s="178"/>
      <c r="E1650" s="178"/>
      <c r="F1650" s="178"/>
      <c r="G1650" s="181"/>
      <c r="H1650" s="181"/>
      <c r="I1650" s="178"/>
    </row>
    <row r="1651" spans="3:9">
      <c r="C1651" s="178"/>
      <c r="D1651" s="178"/>
      <c r="E1651" s="178"/>
      <c r="F1651" s="178"/>
      <c r="G1651" s="181"/>
      <c r="H1651" s="181"/>
      <c r="I1651" s="178"/>
    </row>
    <row r="1652" spans="3:9">
      <c r="C1652" s="178"/>
      <c r="D1652" s="178"/>
      <c r="E1652" s="178"/>
      <c r="F1652" s="178"/>
      <c r="G1652" s="181"/>
      <c r="H1652" s="181"/>
      <c r="I1652" s="178"/>
    </row>
    <row r="1653" spans="3:9">
      <c r="C1653" s="178"/>
      <c r="D1653" s="178"/>
      <c r="E1653" s="178"/>
      <c r="F1653" s="178"/>
      <c r="G1653" s="181"/>
      <c r="H1653" s="181"/>
      <c r="I1653" s="178"/>
    </row>
    <row r="1654" spans="3:9">
      <c r="C1654" s="178"/>
      <c r="D1654" s="178"/>
      <c r="E1654" s="178"/>
      <c r="F1654" s="178"/>
      <c r="G1654" s="181"/>
      <c r="H1654" s="181"/>
      <c r="I1654" s="178"/>
    </row>
    <row r="1655" spans="3:9">
      <c r="C1655" s="178"/>
      <c r="D1655" s="178"/>
      <c r="E1655" s="178"/>
      <c r="F1655" s="178"/>
      <c r="G1655" s="181"/>
      <c r="H1655" s="181"/>
      <c r="I1655" s="178"/>
    </row>
    <row r="1656" spans="3:9">
      <c r="C1656" s="178"/>
      <c r="D1656" s="178"/>
      <c r="E1656" s="178"/>
      <c r="F1656" s="178"/>
      <c r="G1656" s="181"/>
      <c r="H1656" s="181"/>
      <c r="I1656" s="178"/>
    </row>
    <row r="1657" spans="3:9">
      <c r="C1657" s="178"/>
      <c r="D1657" s="178"/>
      <c r="E1657" s="178"/>
      <c r="F1657" s="178"/>
      <c r="G1657" s="181"/>
      <c r="H1657" s="181"/>
      <c r="I1657" s="178"/>
    </row>
    <row r="1658" spans="3:9">
      <c r="C1658" s="178"/>
      <c r="D1658" s="178"/>
      <c r="E1658" s="178"/>
      <c r="F1658" s="178"/>
      <c r="G1658" s="181"/>
      <c r="H1658" s="181"/>
      <c r="I1658" s="178"/>
    </row>
    <row r="1659" spans="3:9">
      <c r="C1659" s="178"/>
      <c r="D1659" s="178"/>
      <c r="E1659" s="178"/>
      <c r="F1659" s="178"/>
      <c r="G1659" s="181"/>
      <c r="H1659" s="181"/>
      <c r="I1659" s="178"/>
    </row>
    <row r="1660" spans="3:9">
      <c r="C1660" s="178"/>
      <c r="D1660" s="178"/>
      <c r="E1660" s="178"/>
      <c r="F1660" s="178"/>
      <c r="G1660" s="181"/>
      <c r="H1660" s="181"/>
      <c r="I1660" s="178"/>
    </row>
    <row r="1661" spans="3:9">
      <c r="C1661" s="178"/>
      <c r="D1661" s="178"/>
      <c r="E1661" s="178"/>
      <c r="F1661" s="178"/>
      <c r="G1661" s="181"/>
      <c r="H1661" s="181"/>
      <c r="I1661" s="178"/>
    </row>
    <row r="1662" spans="3:9">
      <c r="C1662" s="178"/>
      <c r="D1662" s="178"/>
      <c r="E1662" s="178"/>
      <c r="F1662" s="178"/>
      <c r="G1662" s="181"/>
      <c r="H1662" s="181"/>
      <c r="I1662" s="178"/>
    </row>
    <row r="1663" spans="3:9">
      <c r="C1663" s="178"/>
      <c r="D1663" s="178"/>
      <c r="E1663" s="178"/>
      <c r="F1663" s="178"/>
      <c r="G1663" s="181"/>
      <c r="H1663" s="181"/>
      <c r="I1663" s="178"/>
    </row>
    <row r="1664" spans="3:9">
      <c r="C1664" s="178"/>
      <c r="D1664" s="178"/>
      <c r="E1664" s="178"/>
      <c r="F1664" s="178"/>
      <c r="G1664" s="181"/>
      <c r="H1664" s="181"/>
      <c r="I1664" s="178"/>
    </row>
    <row r="1665" spans="3:9">
      <c r="C1665" s="178"/>
      <c r="D1665" s="178"/>
      <c r="E1665" s="178"/>
      <c r="F1665" s="178"/>
      <c r="G1665" s="181"/>
      <c r="H1665" s="181"/>
      <c r="I1665" s="178"/>
    </row>
    <row r="1666" spans="3:9">
      <c r="C1666" s="178"/>
      <c r="D1666" s="178"/>
      <c r="E1666" s="178"/>
      <c r="F1666" s="178"/>
      <c r="G1666" s="181"/>
      <c r="H1666" s="181"/>
      <c r="I1666" s="178"/>
    </row>
    <row r="1667" spans="3:9">
      <c r="C1667" s="178"/>
      <c r="D1667" s="178"/>
      <c r="E1667" s="178"/>
      <c r="F1667" s="178"/>
      <c r="G1667" s="181"/>
      <c r="H1667" s="181"/>
      <c r="I1667" s="178"/>
    </row>
    <row r="1668" spans="3:9">
      <c r="C1668" s="178"/>
      <c r="D1668" s="178"/>
      <c r="E1668" s="178"/>
      <c r="F1668" s="178"/>
      <c r="G1668" s="181"/>
      <c r="H1668" s="181"/>
      <c r="I1668" s="178"/>
    </row>
    <row r="1669" spans="3:9">
      <c r="C1669" s="178"/>
      <c r="D1669" s="178"/>
      <c r="E1669" s="178"/>
      <c r="F1669" s="178"/>
      <c r="G1669" s="181"/>
      <c r="H1669" s="181"/>
      <c r="I1669" s="178"/>
    </row>
    <row r="1670" spans="3:9">
      <c r="C1670" s="178"/>
      <c r="D1670" s="178"/>
      <c r="E1670" s="178"/>
      <c r="F1670" s="178"/>
      <c r="G1670" s="181"/>
      <c r="H1670" s="181"/>
      <c r="I1670" s="178"/>
    </row>
    <row r="1671" spans="3:9">
      <c r="C1671" s="178"/>
      <c r="D1671" s="178"/>
      <c r="E1671" s="178"/>
      <c r="F1671" s="178"/>
      <c r="G1671" s="181"/>
      <c r="H1671" s="181"/>
      <c r="I1671" s="178"/>
    </row>
    <row r="1672" spans="3:9">
      <c r="C1672" s="178"/>
      <c r="D1672" s="178"/>
      <c r="E1672" s="178"/>
      <c r="F1672" s="178"/>
      <c r="G1672" s="181"/>
      <c r="H1672" s="181"/>
      <c r="I1672" s="178"/>
    </row>
    <row r="1673" spans="3:9">
      <c r="C1673" s="178"/>
      <c r="D1673" s="178"/>
      <c r="E1673" s="178"/>
      <c r="F1673" s="178"/>
      <c r="G1673" s="181"/>
      <c r="H1673" s="181"/>
      <c r="I1673" s="178"/>
    </row>
    <row r="1674" spans="3:9">
      <c r="C1674" s="178"/>
      <c r="D1674" s="178"/>
      <c r="E1674" s="178"/>
      <c r="F1674" s="178"/>
      <c r="G1674" s="181"/>
      <c r="H1674" s="181"/>
      <c r="I1674" s="178"/>
    </row>
    <row r="1675" spans="3:9">
      <c r="C1675" s="178"/>
      <c r="D1675" s="178"/>
      <c r="E1675" s="178"/>
      <c r="F1675" s="178"/>
      <c r="G1675" s="181"/>
      <c r="H1675" s="181"/>
      <c r="I1675" s="178"/>
    </row>
    <row r="1676" spans="3:9">
      <c r="C1676" s="178"/>
      <c r="D1676" s="178"/>
      <c r="E1676" s="178"/>
      <c r="F1676" s="178"/>
      <c r="G1676" s="181"/>
      <c r="H1676" s="181"/>
      <c r="I1676" s="178"/>
    </row>
    <row r="1677" spans="3:9">
      <c r="C1677" s="178"/>
      <c r="D1677" s="178"/>
      <c r="E1677" s="178"/>
      <c r="F1677" s="178"/>
      <c r="G1677" s="181"/>
      <c r="H1677" s="181"/>
      <c r="I1677" s="178"/>
    </row>
    <row r="1678" spans="3:9">
      <c r="C1678" s="178"/>
      <c r="D1678" s="178"/>
      <c r="E1678" s="178"/>
      <c r="F1678" s="178"/>
      <c r="G1678" s="181"/>
      <c r="H1678" s="181"/>
      <c r="I1678" s="178"/>
    </row>
    <row r="1679" spans="3:9">
      <c r="C1679" s="178"/>
      <c r="D1679" s="178"/>
      <c r="E1679" s="178"/>
      <c r="F1679" s="178"/>
      <c r="G1679" s="181"/>
      <c r="H1679" s="181"/>
      <c r="I1679" s="178"/>
    </row>
    <row r="1680" spans="3:9">
      <c r="C1680" s="178"/>
      <c r="D1680" s="178"/>
      <c r="E1680" s="178"/>
      <c r="F1680" s="178"/>
      <c r="G1680" s="181"/>
      <c r="H1680" s="181"/>
      <c r="I1680" s="178"/>
    </row>
    <row r="1681" spans="3:9">
      <c r="C1681" s="178"/>
      <c r="D1681" s="178"/>
      <c r="E1681" s="178"/>
      <c r="F1681" s="178"/>
      <c r="G1681" s="181"/>
      <c r="H1681" s="181"/>
      <c r="I1681" s="178"/>
    </row>
    <row r="1682" spans="3:9">
      <c r="C1682" s="178"/>
      <c r="D1682" s="178"/>
      <c r="E1682" s="178"/>
      <c r="F1682" s="178"/>
      <c r="G1682" s="181"/>
      <c r="H1682" s="181"/>
      <c r="I1682" s="178"/>
    </row>
    <row r="1683" spans="3:9">
      <c r="C1683" s="178"/>
      <c r="D1683" s="178"/>
      <c r="E1683" s="178"/>
      <c r="F1683" s="178"/>
      <c r="G1683" s="181"/>
      <c r="H1683" s="181"/>
      <c r="I1683" s="178"/>
    </row>
    <row r="1684" spans="3:9">
      <c r="C1684" s="178"/>
      <c r="D1684" s="178"/>
      <c r="E1684" s="178"/>
      <c r="F1684" s="178"/>
      <c r="G1684" s="181"/>
      <c r="H1684" s="181"/>
      <c r="I1684" s="178"/>
    </row>
    <row r="1685" spans="3:9">
      <c r="C1685" s="178"/>
      <c r="D1685" s="178"/>
      <c r="E1685" s="178"/>
      <c r="F1685" s="178"/>
      <c r="G1685" s="181"/>
      <c r="H1685" s="181"/>
      <c r="I1685" s="178"/>
    </row>
    <row r="1686" spans="3:9">
      <c r="C1686" s="178"/>
      <c r="D1686" s="178"/>
      <c r="E1686" s="178"/>
      <c r="F1686" s="178"/>
      <c r="G1686" s="181"/>
      <c r="H1686" s="181"/>
      <c r="I1686" s="178"/>
    </row>
    <row r="1687" spans="3:9">
      <c r="C1687" s="178"/>
      <c r="D1687" s="178"/>
      <c r="E1687" s="178"/>
      <c r="F1687" s="178"/>
      <c r="G1687" s="181"/>
      <c r="H1687" s="181"/>
      <c r="I1687" s="178"/>
    </row>
    <row r="1688" spans="3:9">
      <c r="C1688" s="178"/>
      <c r="D1688" s="178"/>
      <c r="E1688" s="178"/>
      <c r="F1688" s="178"/>
      <c r="G1688" s="181"/>
      <c r="H1688" s="181"/>
      <c r="I1688" s="178"/>
    </row>
    <row r="1689" spans="3:9">
      <c r="C1689" s="178"/>
      <c r="D1689" s="178"/>
      <c r="E1689" s="178"/>
      <c r="F1689" s="178"/>
      <c r="G1689" s="181"/>
      <c r="H1689" s="181"/>
      <c r="I1689" s="178"/>
    </row>
    <row r="1690" spans="3:9">
      <c r="C1690" s="178"/>
      <c r="D1690" s="178"/>
      <c r="E1690" s="178"/>
      <c r="F1690" s="178"/>
      <c r="G1690" s="181"/>
      <c r="H1690" s="181"/>
      <c r="I1690" s="178"/>
    </row>
    <row r="1691" spans="3:9">
      <c r="C1691" s="178"/>
      <c r="D1691" s="178"/>
      <c r="E1691" s="178"/>
      <c r="F1691" s="178"/>
      <c r="G1691" s="181"/>
      <c r="H1691" s="181"/>
      <c r="I1691" s="178"/>
    </row>
    <row r="1692" spans="3:9">
      <c r="C1692" s="178"/>
      <c r="D1692" s="178"/>
      <c r="E1692" s="178"/>
      <c r="F1692" s="178"/>
      <c r="G1692" s="181"/>
      <c r="H1692" s="181"/>
      <c r="I1692" s="178"/>
    </row>
    <row r="1693" spans="3:9">
      <c r="C1693" s="178"/>
      <c r="D1693" s="178"/>
      <c r="E1693" s="178"/>
      <c r="F1693" s="178"/>
      <c r="G1693" s="181"/>
      <c r="H1693" s="181"/>
      <c r="I1693" s="178"/>
    </row>
    <row r="1694" spans="3:9">
      <c r="C1694" s="178"/>
      <c r="D1694" s="178"/>
      <c r="E1694" s="178"/>
      <c r="F1694" s="178"/>
      <c r="G1694" s="181"/>
      <c r="H1694" s="181"/>
      <c r="I1694" s="178"/>
    </row>
    <row r="1695" spans="3:9">
      <c r="C1695" s="178"/>
      <c r="D1695" s="178"/>
      <c r="E1695" s="178"/>
      <c r="F1695" s="178"/>
      <c r="G1695" s="181"/>
      <c r="H1695" s="181"/>
      <c r="I1695" s="178"/>
    </row>
    <row r="1696" spans="3:9">
      <c r="C1696" s="178"/>
      <c r="D1696" s="178"/>
      <c r="E1696" s="178"/>
      <c r="F1696" s="178"/>
      <c r="G1696" s="181"/>
      <c r="H1696" s="181"/>
      <c r="I1696" s="178"/>
    </row>
    <row r="1697" spans="3:9">
      <c r="C1697" s="178"/>
      <c r="D1697" s="178"/>
      <c r="E1697" s="178"/>
      <c r="F1697" s="178"/>
      <c r="G1697" s="181"/>
      <c r="H1697" s="181"/>
      <c r="I1697" s="178"/>
    </row>
    <row r="1698" spans="3:9">
      <c r="C1698" s="178"/>
      <c r="D1698" s="178"/>
      <c r="E1698" s="178"/>
      <c r="F1698" s="178"/>
      <c r="G1698" s="181"/>
      <c r="H1698" s="181"/>
      <c r="I1698" s="178"/>
    </row>
    <row r="1699" spans="3:9">
      <c r="C1699" s="178"/>
      <c r="D1699" s="178"/>
      <c r="E1699" s="178"/>
      <c r="F1699" s="178"/>
      <c r="G1699" s="181"/>
      <c r="H1699" s="181"/>
      <c r="I1699" s="178"/>
    </row>
    <row r="1700" spans="3:9">
      <c r="C1700" s="178"/>
      <c r="D1700" s="178"/>
      <c r="E1700" s="178"/>
      <c r="F1700" s="178"/>
      <c r="G1700" s="181"/>
      <c r="H1700" s="181"/>
      <c r="I1700" s="178"/>
    </row>
    <row r="1701" spans="3:9">
      <c r="C1701" s="178"/>
      <c r="D1701" s="178"/>
      <c r="E1701" s="178"/>
      <c r="F1701" s="178"/>
      <c r="G1701" s="181"/>
      <c r="H1701" s="181"/>
      <c r="I1701" s="178"/>
    </row>
    <row r="1702" spans="3:9">
      <c r="C1702" s="178"/>
      <c r="D1702" s="178"/>
      <c r="E1702" s="178"/>
      <c r="F1702" s="178"/>
      <c r="G1702" s="181"/>
      <c r="H1702" s="181"/>
      <c r="I1702" s="178"/>
    </row>
    <row r="1703" spans="3:9">
      <c r="C1703" s="178"/>
      <c r="D1703" s="178"/>
      <c r="E1703" s="178"/>
      <c r="F1703" s="178"/>
      <c r="G1703" s="181"/>
      <c r="H1703" s="181"/>
      <c r="I1703" s="178"/>
    </row>
    <row r="1704" spans="3:9">
      <c r="C1704" s="178"/>
      <c r="D1704" s="178"/>
      <c r="E1704" s="178"/>
      <c r="F1704" s="178"/>
      <c r="G1704" s="181"/>
      <c r="H1704" s="181"/>
      <c r="I1704" s="178"/>
    </row>
    <row r="1705" spans="3:9">
      <c r="C1705" s="178"/>
      <c r="D1705" s="178"/>
      <c r="E1705" s="178"/>
      <c r="F1705" s="178"/>
      <c r="G1705" s="181"/>
      <c r="H1705" s="181"/>
      <c r="I1705" s="178"/>
    </row>
    <row r="1706" spans="3:9">
      <c r="C1706" s="178"/>
      <c r="D1706" s="178"/>
      <c r="E1706" s="178"/>
      <c r="F1706" s="178"/>
      <c r="G1706" s="181"/>
      <c r="H1706" s="181"/>
      <c r="I1706" s="178"/>
    </row>
    <row r="1707" spans="3:9">
      <c r="C1707" s="178"/>
      <c r="D1707" s="178"/>
      <c r="E1707" s="178"/>
      <c r="F1707" s="178"/>
      <c r="G1707" s="181"/>
      <c r="H1707" s="181"/>
      <c r="I1707" s="178"/>
    </row>
    <row r="1708" spans="3:9">
      <c r="C1708" s="178"/>
      <c r="D1708" s="178"/>
      <c r="E1708" s="178"/>
      <c r="F1708" s="178"/>
      <c r="G1708" s="181"/>
      <c r="H1708" s="181"/>
      <c r="I1708" s="178"/>
    </row>
    <row r="1709" spans="3:9">
      <c r="C1709" s="178"/>
      <c r="D1709" s="178"/>
      <c r="E1709" s="178"/>
      <c r="F1709" s="178"/>
      <c r="G1709" s="181"/>
      <c r="H1709" s="181"/>
      <c r="I1709" s="178"/>
    </row>
    <row r="1710" spans="3:9">
      <c r="C1710" s="178"/>
      <c r="D1710" s="178"/>
      <c r="E1710" s="178"/>
      <c r="F1710" s="178"/>
      <c r="G1710" s="181"/>
      <c r="H1710" s="181"/>
      <c r="I1710" s="178"/>
    </row>
    <row r="1711" spans="3:9">
      <c r="C1711" s="178"/>
      <c r="D1711" s="178"/>
      <c r="E1711" s="178"/>
      <c r="F1711" s="178"/>
      <c r="G1711" s="181"/>
      <c r="H1711" s="181"/>
      <c r="I1711" s="178"/>
    </row>
    <row r="1712" spans="3:9">
      <c r="C1712" s="178"/>
      <c r="D1712" s="178"/>
      <c r="E1712" s="178"/>
      <c r="F1712" s="178"/>
      <c r="G1712" s="181"/>
      <c r="H1712" s="181"/>
      <c r="I1712" s="178"/>
    </row>
    <row r="1713" spans="3:9">
      <c r="C1713" s="178"/>
      <c r="D1713" s="178"/>
      <c r="E1713" s="178"/>
      <c r="F1713" s="178"/>
      <c r="G1713" s="181"/>
      <c r="H1713" s="181"/>
      <c r="I1713" s="178"/>
    </row>
    <row r="1714" spans="3:9">
      <c r="C1714" s="178"/>
      <c r="D1714" s="178"/>
      <c r="E1714" s="178"/>
      <c r="F1714" s="178"/>
      <c r="G1714" s="181"/>
      <c r="H1714" s="181"/>
      <c r="I1714" s="178"/>
    </row>
    <row r="1715" spans="3:9">
      <c r="C1715" s="178"/>
      <c r="D1715" s="178"/>
      <c r="E1715" s="178"/>
      <c r="F1715" s="178"/>
      <c r="G1715" s="181"/>
      <c r="H1715" s="181"/>
      <c r="I1715" s="178"/>
    </row>
    <row r="1716" spans="3:9">
      <c r="C1716" s="178"/>
      <c r="D1716" s="178"/>
      <c r="E1716" s="178"/>
      <c r="F1716" s="178"/>
      <c r="G1716" s="181"/>
      <c r="H1716" s="181"/>
      <c r="I1716" s="178"/>
    </row>
    <row r="1717" spans="3:9">
      <c r="C1717" s="178"/>
      <c r="D1717" s="178"/>
      <c r="E1717" s="178"/>
      <c r="F1717" s="178"/>
      <c r="G1717" s="181"/>
      <c r="H1717" s="181"/>
      <c r="I1717" s="178"/>
    </row>
    <row r="1718" spans="3:9">
      <c r="C1718" s="178"/>
      <c r="D1718" s="178"/>
      <c r="E1718" s="178"/>
      <c r="F1718" s="178"/>
      <c r="G1718" s="181"/>
      <c r="H1718" s="181"/>
      <c r="I1718" s="178"/>
    </row>
    <row r="1719" spans="3:9">
      <c r="C1719" s="178"/>
      <c r="D1719" s="178"/>
      <c r="E1719" s="178"/>
      <c r="F1719" s="178"/>
      <c r="G1719" s="181"/>
      <c r="H1719" s="181"/>
      <c r="I1719" s="178"/>
    </row>
    <row r="1720" spans="3:9">
      <c r="C1720" s="178"/>
      <c r="D1720" s="178"/>
      <c r="E1720" s="178"/>
      <c r="F1720" s="178"/>
      <c r="G1720" s="181"/>
      <c r="H1720" s="181"/>
      <c r="I1720" s="178"/>
    </row>
    <row r="1721" spans="3:9">
      <c r="C1721" s="178"/>
      <c r="D1721" s="178"/>
      <c r="E1721" s="178"/>
      <c r="F1721" s="178"/>
      <c r="G1721" s="181"/>
      <c r="H1721" s="181"/>
      <c r="I1721" s="178"/>
    </row>
    <row r="1722" spans="3:9">
      <c r="C1722" s="178"/>
      <c r="D1722" s="178"/>
      <c r="E1722" s="178"/>
      <c r="F1722" s="178"/>
      <c r="G1722" s="181"/>
      <c r="H1722" s="181"/>
      <c r="I1722" s="178"/>
    </row>
    <row r="1723" spans="3:9">
      <c r="C1723" s="178"/>
      <c r="D1723" s="178"/>
      <c r="E1723" s="178"/>
      <c r="F1723" s="178"/>
      <c r="G1723" s="181"/>
      <c r="H1723" s="181"/>
      <c r="I1723" s="178"/>
    </row>
    <row r="1724" spans="3:9">
      <c r="C1724" s="178"/>
      <c r="D1724" s="178"/>
      <c r="E1724" s="178"/>
      <c r="F1724" s="178"/>
      <c r="G1724" s="181"/>
      <c r="H1724" s="181"/>
      <c r="I1724" s="178"/>
    </row>
    <row r="1725" spans="3:9">
      <c r="C1725" s="178"/>
      <c r="D1725" s="178"/>
      <c r="E1725" s="178"/>
      <c r="F1725" s="178"/>
      <c r="G1725" s="181"/>
      <c r="H1725" s="181"/>
      <c r="I1725" s="178"/>
    </row>
    <row r="1726" spans="3:9">
      <c r="C1726" s="178"/>
      <c r="D1726" s="178"/>
      <c r="E1726" s="178"/>
      <c r="F1726" s="178"/>
      <c r="G1726" s="181"/>
      <c r="H1726" s="181"/>
      <c r="I1726" s="178"/>
    </row>
    <row r="1727" spans="3:9">
      <c r="C1727" s="178"/>
      <c r="D1727" s="178"/>
      <c r="E1727" s="178"/>
      <c r="F1727" s="178"/>
      <c r="G1727" s="181"/>
      <c r="H1727" s="181"/>
      <c r="I1727" s="178"/>
    </row>
    <row r="1728" spans="3:9">
      <c r="C1728" s="178"/>
      <c r="D1728" s="178"/>
      <c r="E1728" s="178"/>
      <c r="F1728" s="178"/>
      <c r="G1728" s="181"/>
      <c r="H1728" s="181"/>
      <c r="I1728" s="178"/>
    </row>
    <row r="1729" spans="3:9">
      <c r="C1729" s="178"/>
      <c r="D1729" s="178"/>
      <c r="E1729" s="178"/>
      <c r="F1729" s="178"/>
      <c r="G1729" s="181"/>
      <c r="H1729" s="181"/>
      <c r="I1729" s="178"/>
    </row>
    <row r="1730" spans="3:9">
      <c r="C1730" s="178"/>
      <c r="D1730" s="178"/>
      <c r="E1730" s="178"/>
      <c r="F1730" s="178"/>
      <c r="G1730" s="181"/>
      <c r="H1730" s="181"/>
      <c r="I1730" s="178"/>
    </row>
    <row r="1731" spans="3:9">
      <c r="C1731" s="178"/>
      <c r="D1731" s="178"/>
      <c r="E1731" s="178"/>
      <c r="F1731" s="178"/>
      <c r="G1731" s="181"/>
      <c r="H1731" s="181"/>
      <c r="I1731" s="178"/>
    </row>
    <row r="1732" spans="3:9">
      <c r="C1732" s="178"/>
      <c r="D1732" s="178"/>
      <c r="E1732" s="178"/>
      <c r="F1732" s="178"/>
      <c r="G1732" s="181"/>
      <c r="H1732" s="181"/>
      <c r="I1732" s="178"/>
    </row>
    <row r="1733" spans="3:9">
      <c r="C1733" s="178"/>
      <c r="D1733" s="178"/>
      <c r="E1733" s="178"/>
      <c r="F1733" s="178"/>
      <c r="G1733" s="181"/>
      <c r="H1733" s="181"/>
      <c r="I1733" s="178"/>
    </row>
    <row r="1734" spans="3:9">
      <c r="C1734" s="178"/>
      <c r="D1734" s="178"/>
      <c r="E1734" s="178"/>
      <c r="F1734" s="178"/>
      <c r="G1734" s="181"/>
      <c r="H1734" s="181"/>
      <c r="I1734" s="178"/>
    </row>
    <row r="1735" spans="3:9">
      <c r="C1735" s="178"/>
      <c r="D1735" s="178"/>
      <c r="E1735" s="178"/>
      <c r="F1735" s="178"/>
      <c r="G1735" s="181"/>
      <c r="H1735" s="181"/>
      <c r="I1735" s="178"/>
    </row>
    <row r="1736" spans="3:9">
      <c r="C1736" s="178"/>
      <c r="D1736" s="178"/>
      <c r="E1736" s="178"/>
      <c r="F1736" s="178"/>
      <c r="G1736" s="181"/>
      <c r="H1736" s="181"/>
      <c r="I1736" s="178"/>
    </row>
    <row r="1737" spans="3:9">
      <c r="C1737" s="178"/>
      <c r="D1737" s="178"/>
      <c r="E1737" s="178"/>
      <c r="F1737" s="178"/>
      <c r="G1737" s="181"/>
      <c r="H1737" s="181"/>
      <c r="I1737" s="178"/>
    </row>
    <row r="1738" spans="3:9">
      <c r="C1738" s="178"/>
      <c r="D1738" s="178"/>
      <c r="E1738" s="178"/>
      <c r="F1738" s="178"/>
      <c r="G1738" s="181"/>
      <c r="H1738" s="181"/>
      <c r="I1738" s="178"/>
    </row>
    <row r="1739" spans="3:9">
      <c r="C1739" s="178"/>
      <c r="D1739" s="178"/>
      <c r="E1739" s="178"/>
      <c r="F1739" s="178"/>
      <c r="G1739" s="181"/>
      <c r="H1739" s="181"/>
      <c r="I1739" s="178"/>
    </row>
    <row r="1740" spans="3:9">
      <c r="C1740" s="178"/>
      <c r="D1740" s="178"/>
      <c r="E1740" s="178"/>
      <c r="F1740" s="178"/>
      <c r="G1740" s="181"/>
      <c r="H1740" s="181"/>
      <c r="I1740" s="178"/>
    </row>
    <row r="1741" spans="3:9">
      <c r="C1741" s="178"/>
      <c r="D1741" s="178"/>
      <c r="E1741" s="178"/>
      <c r="F1741" s="178"/>
      <c r="G1741" s="181"/>
      <c r="H1741" s="181"/>
      <c r="I1741" s="178"/>
    </row>
    <row r="1742" spans="3:9">
      <c r="C1742" s="178"/>
      <c r="D1742" s="178"/>
      <c r="E1742" s="178"/>
      <c r="F1742" s="178"/>
      <c r="G1742" s="181"/>
      <c r="H1742" s="181"/>
      <c r="I1742" s="178"/>
    </row>
    <row r="1743" spans="3:9">
      <c r="C1743" s="178"/>
      <c r="D1743" s="178"/>
      <c r="E1743" s="178"/>
      <c r="F1743" s="178"/>
      <c r="G1743" s="181"/>
      <c r="H1743" s="181"/>
      <c r="I1743" s="178"/>
    </row>
    <row r="1744" spans="3:9">
      <c r="C1744" s="178"/>
      <c r="D1744" s="178"/>
      <c r="E1744" s="178"/>
      <c r="F1744" s="178"/>
      <c r="G1744" s="181"/>
      <c r="H1744" s="181"/>
      <c r="I1744" s="178"/>
    </row>
    <row r="1745" spans="3:9">
      <c r="C1745" s="178"/>
      <c r="D1745" s="178"/>
      <c r="E1745" s="178"/>
      <c r="F1745" s="178"/>
      <c r="G1745" s="181"/>
      <c r="H1745" s="181"/>
      <c r="I1745" s="178"/>
    </row>
    <row r="1746" spans="3:9">
      <c r="C1746" s="178"/>
      <c r="D1746" s="178"/>
      <c r="E1746" s="178"/>
      <c r="F1746" s="178"/>
      <c r="G1746" s="181"/>
      <c r="H1746" s="181"/>
      <c r="I1746" s="178"/>
    </row>
    <row r="1747" spans="3:9">
      <c r="C1747" s="178"/>
      <c r="D1747" s="178"/>
      <c r="E1747" s="178"/>
      <c r="F1747" s="178"/>
      <c r="G1747" s="181"/>
      <c r="H1747" s="181"/>
      <c r="I1747" s="178"/>
    </row>
    <row r="1748" spans="3:9">
      <c r="C1748" s="178"/>
      <c r="D1748" s="178"/>
      <c r="E1748" s="178"/>
      <c r="F1748" s="178"/>
      <c r="G1748" s="181"/>
      <c r="H1748" s="181"/>
      <c r="I1748" s="178"/>
    </row>
    <row r="1749" spans="3:9">
      <c r="C1749" s="178"/>
      <c r="D1749" s="178"/>
      <c r="E1749" s="178"/>
      <c r="F1749" s="178"/>
      <c r="G1749" s="181"/>
      <c r="H1749" s="181"/>
      <c r="I1749" s="178"/>
    </row>
    <row r="1750" spans="3:9">
      <c r="C1750" s="178"/>
      <c r="D1750" s="178"/>
      <c r="E1750" s="178"/>
      <c r="F1750" s="178"/>
      <c r="G1750" s="181"/>
      <c r="H1750" s="181"/>
      <c r="I1750" s="178"/>
    </row>
    <row r="1751" spans="3:9">
      <c r="C1751" s="178"/>
      <c r="D1751" s="178"/>
      <c r="E1751" s="178"/>
      <c r="F1751" s="178"/>
      <c r="G1751" s="181"/>
      <c r="H1751" s="181"/>
      <c r="I1751" s="178"/>
    </row>
    <row r="1752" spans="3:9">
      <c r="C1752" s="178"/>
      <c r="D1752" s="178"/>
      <c r="E1752" s="178"/>
      <c r="F1752" s="178"/>
      <c r="G1752" s="181"/>
      <c r="H1752" s="181"/>
      <c r="I1752" s="178"/>
    </row>
    <row r="1753" spans="3:9">
      <c r="C1753" s="178"/>
      <c r="D1753" s="178"/>
      <c r="E1753" s="178"/>
      <c r="F1753" s="178"/>
      <c r="G1753" s="181"/>
      <c r="H1753" s="181"/>
      <c r="I1753" s="178"/>
    </row>
    <row r="1754" spans="3:9">
      <c r="C1754" s="178"/>
      <c r="D1754" s="178"/>
      <c r="E1754" s="178"/>
      <c r="F1754" s="178"/>
      <c r="G1754" s="181"/>
      <c r="H1754" s="181"/>
      <c r="I1754" s="178"/>
    </row>
    <row r="1755" spans="3:9">
      <c r="C1755" s="178"/>
      <c r="D1755" s="178"/>
      <c r="E1755" s="178"/>
      <c r="F1755" s="178"/>
      <c r="G1755" s="181"/>
      <c r="H1755" s="181"/>
      <c r="I1755" s="178"/>
    </row>
    <row r="1756" spans="3:9">
      <c r="C1756" s="178"/>
      <c r="D1756" s="178"/>
      <c r="E1756" s="178"/>
      <c r="F1756" s="178"/>
      <c r="G1756" s="181"/>
      <c r="H1756" s="181"/>
      <c r="I1756" s="178"/>
    </row>
    <row r="1757" spans="3:9">
      <c r="C1757" s="178"/>
      <c r="D1757" s="178"/>
      <c r="E1757" s="178"/>
      <c r="F1757" s="178"/>
      <c r="G1757" s="181"/>
      <c r="H1757" s="181"/>
      <c r="I1757" s="178"/>
    </row>
    <row r="1758" spans="3:9">
      <c r="C1758" s="178"/>
      <c r="D1758" s="178"/>
      <c r="E1758" s="178"/>
      <c r="F1758" s="178"/>
      <c r="G1758" s="181"/>
      <c r="H1758" s="181"/>
      <c r="I1758" s="178"/>
    </row>
    <row r="1759" spans="3:9">
      <c r="C1759" s="178"/>
      <c r="D1759" s="178"/>
      <c r="E1759" s="178"/>
      <c r="F1759" s="178"/>
      <c r="G1759" s="181"/>
      <c r="H1759" s="181"/>
      <c r="I1759" s="178"/>
    </row>
    <row r="1760" spans="3:9">
      <c r="C1760" s="178"/>
      <c r="D1760" s="178"/>
      <c r="E1760" s="178"/>
      <c r="F1760" s="178"/>
      <c r="G1760" s="181"/>
      <c r="H1760" s="181"/>
      <c r="I1760" s="178"/>
    </row>
    <row r="1761" spans="3:9">
      <c r="C1761" s="178"/>
      <c r="D1761" s="178"/>
      <c r="E1761" s="178"/>
      <c r="F1761" s="178"/>
      <c r="G1761" s="181"/>
      <c r="H1761" s="181"/>
      <c r="I1761" s="178"/>
    </row>
    <row r="1762" spans="3:9">
      <c r="C1762" s="178"/>
      <c r="D1762" s="178"/>
      <c r="E1762" s="178"/>
      <c r="F1762" s="178"/>
      <c r="G1762" s="181"/>
      <c r="H1762" s="181"/>
      <c r="I1762" s="178"/>
    </row>
    <row r="1763" spans="3:9">
      <c r="C1763" s="178"/>
      <c r="D1763" s="178"/>
      <c r="E1763" s="178"/>
      <c r="F1763" s="178"/>
      <c r="G1763" s="181"/>
      <c r="H1763" s="181"/>
      <c r="I1763" s="178"/>
    </row>
    <row r="1764" spans="3:9">
      <c r="C1764" s="178"/>
      <c r="D1764" s="178"/>
      <c r="E1764" s="178"/>
      <c r="F1764" s="178"/>
      <c r="G1764" s="181"/>
      <c r="H1764" s="181"/>
      <c r="I1764" s="178"/>
    </row>
    <row r="1765" spans="3:9">
      <c r="C1765" s="178"/>
      <c r="D1765" s="178"/>
      <c r="E1765" s="178"/>
      <c r="F1765" s="178"/>
      <c r="G1765" s="181"/>
      <c r="H1765" s="181"/>
      <c r="I1765" s="178"/>
    </row>
    <row r="1766" spans="3:9">
      <c r="C1766" s="178"/>
      <c r="D1766" s="178"/>
      <c r="E1766" s="178"/>
      <c r="F1766" s="178"/>
      <c r="G1766" s="181"/>
      <c r="H1766" s="181"/>
      <c r="I1766" s="178"/>
    </row>
    <row r="1767" spans="3:9">
      <c r="C1767" s="178"/>
      <c r="D1767" s="178"/>
      <c r="E1767" s="178"/>
      <c r="F1767" s="178"/>
      <c r="G1767" s="181"/>
      <c r="H1767" s="181"/>
      <c r="I1767" s="178"/>
    </row>
    <row r="1768" spans="3:9">
      <c r="C1768" s="178"/>
      <c r="D1768" s="178"/>
      <c r="E1768" s="178"/>
      <c r="F1768" s="178"/>
      <c r="G1768" s="181"/>
      <c r="H1768" s="181"/>
      <c r="I1768" s="178"/>
    </row>
    <row r="1769" spans="3:9">
      <c r="C1769" s="178"/>
      <c r="D1769" s="178"/>
      <c r="E1769" s="178"/>
      <c r="F1769" s="178"/>
      <c r="G1769" s="181"/>
      <c r="H1769" s="181"/>
      <c r="I1769" s="178"/>
    </row>
    <row r="1770" spans="3:9">
      <c r="C1770" s="178"/>
      <c r="D1770" s="178"/>
      <c r="E1770" s="178"/>
      <c r="F1770" s="178"/>
      <c r="G1770" s="181"/>
      <c r="H1770" s="181"/>
      <c r="I1770" s="178"/>
    </row>
    <row r="1771" spans="3:9">
      <c r="C1771" s="178"/>
      <c r="D1771" s="178"/>
      <c r="E1771" s="178"/>
      <c r="F1771" s="178"/>
      <c r="G1771" s="181"/>
      <c r="H1771" s="181"/>
      <c r="I1771" s="178"/>
    </row>
    <row r="1772" spans="3:9">
      <c r="C1772" s="178"/>
      <c r="D1772" s="178"/>
      <c r="E1772" s="178"/>
      <c r="F1772" s="178"/>
      <c r="G1772" s="181"/>
      <c r="H1772" s="181"/>
      <c r="I1772" s="178"/>
    </row>
    <row r="1773" spans="3:9">
      <c r="C1773" s="178"/>
      <c r="D1773" s="178"/>
      <c r="E1773" s="178"/>
      <c r="F1773" s="178"/>
      <c r="G1773" s="181"/>
      <c r="H1773" s="181"/>
      <c r="I1773" s="178"/>
    </row>
    <row r="1774" spans="3:9">
      <c r="C1774" s="178"/>
      <c r="D1774" s="178"/>
      <c r="E1774" s="178"/>
      <c r="F1774" s="178"/>
      <c r="G1774" s="181"/>
      <c r="H1774" s="181"/>
      <c r="I1774" s="178"/>
    </row>
    <row r="1775" spans="3:9">
      <c r="C1775" s="178"/>
      <c r="D1775" s="178"/>
      <c r="E1775" s="178"/>
      <c r="F1775" s="178"/>
      <c r="G1775" s="181"/>
      <c r="H1775" s="181"/>
      <c r="I1775" s="178"/>
    </row>
    <row r="1776" spans="3:9">
      <c r="C1776" s="178"/>
      <c r="D1776" s="178"/>
      <c r="E1776" s="178"/>
      <c r="F1776" s="178"/>
      <c r="G1776" s="181"/>
      <c r="H1776" s="181"/>
      <c r="I1776" s="178"/>
    </row>
    <row r="1777" spans="3:9">
      <c r="C1777" s="178"/>
      <c r="D1777" s="178"/>
      <c r="E1777" s="178"/>
      <c r="F1777" s="178"/>
      <c r="G1777" s="181"/>
      <c r="H1777" s="181"/>
      <c r="I1777" s="178"/>
    </row>
    <row r="1778" spans="3:9">
      <c r="C1778" s="178"/>
      <c r="D1778" s="178"/>
      <c r="E1778" s="178"/>
      <c r="F1778" s="178"/>
      <c r="G1778" s="181"/>
      <c r="H1778" s="181"/>
      <c r="I1778" s="178"/>
    </row>
    <row r="1779" spans="3:9">
      <c r="C1779" s="178"/>
      <c r="D1779" s="178"/>
      <c r="E1779" s="178"/>
      <c r="F1779" s="178"/>
      <c r="G1779" s="181"/>
      <c r="H1779" s="181"/>
      <c r="I1779" s="178"/>
    </row>
    <row r="1780" spans="3:9">
      <c r="C1780" s="178"/>
      <c r="D1780" s="178"/>
      <c r="E1780" s="178"/>
      <c r="F1780" s="178"/>
      <c r="G1780" s="181"/>
      <c r="H1780" s="181"/>
      <c r="I1780" s="178"/>
    </row>
    <row r="1781" spans="3:9">
      <c r="C1781" s="178"/>
      <c r="D1781" s="178"/>
      <c r="E1781" s="178"/>
      <c r="F1781" s="178"/>
      <c r="G1781" s="181"/>
      <c r="H1781" s="181"/>
      <c r="I1781" s="178"/>
    </row>
    <row r="1782" spans="3:9">
      <c r="C1782" s="178"/>
      <c r="D1782" s="178"/>
      <c r="E1782" s="178"/>
      <c r="F1782" s="178"/>
      <c r="G1782" s="181"/>
      <c r="H1782" s="181"/>
      <c r="I1782" s="178"/>
    </row>
    <row r="1783" spans="3:9">
      <c r="C1783" s="178"/>
      <c r="D1783" s="178"/>
      <c r="E1783" s="178"/>
      <c r="F1783" s="178"/>
      <c r="G1783" s="181"/>
      <c r="H1783" s="181"/>
      <c r="I1783" s="178"/>
    </row>
    <row r="1784" spans="3:9">
      <c r="C1784" s="178"/>
      <c r="D1784" s="178"/>
      <c r="E1784" s="178"/>
      <c r="F1784" s="178"/>
      <c r="G1784" s="181"/>
      <c r="H1784" s="181"/>
      <c r="I1784" s="178"/>
    </row>
    <row r="1785" spans="3:9">
      <c r="C1785" s="178"/>
      <c r="D1785" s="178"/>
      <c r="E1785" s="178"/>
      <c r="F1785" s="178"/>
      <c r="G1785" s="181"/>
      <c r="H1785" s="181"/>
      <c r="I1785" s="178"/>
    </row>
    <row r="1786" spans="3:9">
      <c r="C1786" s="178"/>
      <c r="D1786" s="178"/>
      <c r="E1786" s="178"/>
      <c r="F1786" s="178"/>
      <c r="G1786" s="181"/>
      <c r="H1786" s="181"/>
      <c r="I1786" s="178"/>
    </row>
    <row r="1787" spans="3:9">
      <c r="C1787" s="178"/>
      <c r="D1787" s="178"/>
      <c r="E1787" s="178"/>
      <c r="F1787" s="178"/>
      <c r="G1787" s="181"/>
      <c r="H1787" s="181"/>
      <c r="I1787" s="178"/>
    </row>
    <row r="1788" spans="3:9">
      <c r="C1788" s="178"/>
      <c r="D1788" s="178"/>
      <c r="E1788" s="178"/>
      <c r="F1788" s="178"/>
      <c r="G1788" s="181"/>
      <c r="H1788" s="181"/>
      <c r="I1788" s="178"/>
    </row>
    <row r="1789" spans="3:9">
      <c r="C1789" s="178"/>
      <c r="D1789" s="178"/>
      <c r="E1789" s="178"/>
      <c r="F1789" s="178"/>
      <c r="G1789" s="181"/>
      <c r="H1789" s="181"/>
      <c r="I1789" s="178"/>
    </row>
    <row r="1790" spans="3:9">
      <c r="C1790" s="178"/>
      <c r="D1790" s="178"/>
      <c r="E1790" s="178"/>
      <c r="F1790" s="178"/>
      <c r="G1790" s="181"/>
      <c r="H1790" s="181"/>
      <c r="I1790" s="178"/>
    </row>
    <row r="1791" spans="3:9">
      <c r="C1791" s="178"/>
      <c r="D1791" s="178"/>
      <c r="E1791" s="178"/>
      <c r="F1791" s="178"/>
      <c r="G1791" s="181"/>
      <c r="H1791" s="181"/>
      <c r="I1791" s="178"/>
    </row>
    <row r="1792" spans="3:9">
      <c r="C1792" s="178"/>
      <c r="D1792" s="178"/>
      <c r="E1792" s="178"/>
      <c r="F1792" s="178"/>
      <c r="G1792" s="181"/>
      <c r="H1792" s="181"/>
      <c r="I1792" s="178"/>
    </row>
    <row r="1793" spans="3:9">
      <c r="C1793" s="178"/>
      <c r="D1793" s="178"/>
      <c r="E1793" s="178"/>
      <c r="F1793" s="178"/>
      <c r="G1793" s="181"/>
      <c r="H1793" s="181"/>
      <c r="I1793" s="178"/>
    </row>
    <row r="1794" spans="3:9">
      <c r="C1794" s="178"/>
      <c r="D1794" s="178"/>
      <c r="E1794" s="178"/>
      <c r="F1794" s="178"/>
      <c r="G1794" s="181"/>
      <c r="H1794" s="181"/>
      <c r="I1794" s="178"/>
    </row>
    <row r="1795" spans="3:9">
      <c r="C1795" s="178"/>
      <c r="D1795" s="178"/>
      <c r="E1795" s="178"/>
      <c r="F1795" s="178"/>
      <c r="G1795" s="181"/>
      <c r="H1795" s="181"/>
      <c r="I1795" s="178"/>
    </row>
    <row r="1796" spans="3:9">
      <c r="C1796" s="178"/>
      <c r="D1796" s="178"/>
      <c r="E1796" s="178"/>
      <c r="F1796" s="178"/>
      <c r="G1796" s="181"/>
      <c r="H1796" s="181"/>
      <c r="I1796" s="178"/>
    </row>
    <row r="1797" spans="3:9">
      <c r="C1797" s="178"/>
      <c r="D1797" s="178"/>
      <c r="E1797" s="178"/>
      <c r="F1797" s="178"/>
      <c r="G1797" s="181"/>
      <c r="H1797" s="181"/>
      <c r="I1797" s="178"/>
    </row>
    <row r="1798" spans="3:9">
      <c r="C1798" s="178"/>
      <c r="D1798" s="178"/>
      <c r="E1798" s="178"/>
      <c r="F1798" s="178"/>
      <c r="G1798" s="181"/>
      <c r="H1798" s="181"/>
      <c r="I1798" s="178"/>
    </row>
    <row r="1799" spans="3:9">
      <c r="C1799" s="178"/>
      <c r="D1799" s="178"/>
      <c r="E1799" s="178"/>
      <c r="F1799" s="178"/>
      <c r="G1799" s="181"/>
      <c r="H1799" s="181"/>
      <c r="I1799" s="178"/>
    </row>
    <row r="1800" spans="3:9">
      <c r="C1800" s="178"/>
      <c r="D1800" s="178"/>
      <c r="E1800" s="178"/>
      <c r="F1800" s="178"/>
      <c r="G1800" s="181"/>
      <c r="H1800" s="181"/>
      <c r="I1800" s="178"/>
    </row>
    <row r="1801" spans="3:9">
      <c r="C1801" s="178"/>
      <c r="D1801" s="178"/>
      <c r="E1801" s="178"/>
      <c r="F1801" s="178"/>
      <c r="G1801" s="181"/>
      <c r="H1801" s="181"/>
      <c r="I1801" s="178"/>
    </row>
    <row r="1802" spans="3:9">
      <c r="C1802" s="178"/>
      <c r="D1802" s="178"/>
      <c r="E1802" s="178"/>
      <c r="F1802" s="178"/>
      <c r="G1802" s="181"/>
      <c r="H1802" s="181"/>
      <c r="I1802" s="178"/>
    </row>
    <row r="1803" spans="3:9">
      <c r="C1803" s="178"/>
      <c r="D1803" s="178"/>
      <c r="E1803" s="178"/>
      <c r="F1803" s="178"/>
      <c r="G1803" s="181"/>
      <c r="H1803" s="181"/>
      <c r="I1803" s="178"/>
    </row>
    <row r="1804" spans="3:9">
      <c r="C1804" s="178"/>
      <c r="D1804" s="178"/>
      <c r="E1804" s="178"/>
      <c r="F1804" s="178"/>
      <c r="G1804" s="181"/>
      <c r="H1804" s="181"/>
      <c r="I1804" s="178"/>
    </row>
    <row r="1805" spans="3:9">
      <c r="C1805" s="178"/>
      <c r="D1805" s="178"/>
      <c r="E1805" s="178"/>
      <c r="F1805" s="178"/>
      <c r="G1805" s="181"/>
      <c r="H1805" s="181"/>
      <c r="I1805" s="178"/>
    </row>
    <row r="1806" spans="3:9">
      <c r="C1806" s="178"/>
      <c r="D1806" s="178"/>
      <c r="E1806" s="178"/>
      <c r="F1806" s="178"/>
      <c r="G1806" s="181"/>
      <c r="H1806" s="181"/>
      <c r="I1806" s="178"/>
    </row>
    <row r="1807" spans="3:9">
      <c r="C1807" s="178"/>
      <c r="D1807" s="178"/>
      <c r="E1807" s="178"/>
      <c r="F1807" s="178"/>
      <c r="G1807" s="181"/>
      <c r="H1807" s="181"/>
      <c r="I1807" s="178"/>
    </row>
    <row r="1808" spans="3:9">
      <c r="C1808" s="178"/>
      <c r="D1808" s="178"/>
      <c r="E1808" s="178"/>
      <c r="F1808" s="178"/>
      <c r="G1808" s="181"/>
      <c r="H1808" s="181"/>
      <c r="I1808" s="178"/>
    </row>
    <row r="1809" spans="3:9">
      <c r="C1809" s="178"/>
      <c r="D1809" s="178"/>
      <c r="E1809" s="178"/>
      <c r="F1809" s="178"/>
      <c r="G1809" s="181"/>
      <c r="H1809" s="181"/>
      <c r="I1809" s="178"/>
    </row>
    <row r="1810" spans="3:9">
      <c r="C1810" s="178"/>
      <c r="D1810" s="178"/>
      <c r="E1810" s="178"/>
      <c r="F1810" s="178"/>
      <c r="G1810" s="181"/>
      <c r="H1810" s="181"/>
      <c r="I1810" s="178"/>
    </row>
    <row r="1811" spans="3:9">
      <c r="C1811" s="178"/>
      <c r="D1811" s="178"/>
      <c r="E1811" s="178"/>
      <c r="F1811" s="178"/>
      <c r="G1811" s="181"/>
      <c r="H1811" s="181"/>
      <c r="I1811" s="178"/>
    </row>
    <row r="1812" spans="3:9">
      <c r="C1812" s="178"/>
      <c r="D1812" s="178"/>
      <c r="E1812" s="178"/>
      <c r="F1812" s="178"/>
      <c r="G1812" s="181"/>
      <c r="H1812" s="181"/>
      <c r="I1812" s="178"/>
    </row>
    <row r="1813" spans="3:9">
      <c r="C1813" s="178"/>
      <c r="D1813" s="178"/>
      <c r="E1813" s="178"/>
      <c r="F1813" s="178"/>
      <c r="G1813" s="181"/>
      <c r="H1813" s="181"/>
      <c r="I1813" s="178"/>
    </row>
    <row r="1814" spans="3:9">
      <c r="C1814" s="178"/>
      <c r="D1814" s="178"/>
      <c r="E1814" s="178"/>
      <c r="F1814" s="178"/>
      <c r="G1814" s="181"/>
      <c r="H1814" s="181"/>
      <c r="I1814" s="178"/>
    </row>
    <row r="1815" spans="3:9">
      <c r="C1815" s="178"/>
      <c r="D1815" s="178"/>
      <c r="E1815" s="178"/>
      <c r="F1815" s="178"/>
      <c r="G1815" s="181"/>
      <c r="H1815" s="181"/>
      <c r="I1815" s="178"/>
    </row>
    <row r="1816" spans="3:9">
      <c r="C1816" s="178"/>
      <c r="D1816" s="178"/>
      <c r="E1816" s="178"/>
      <c r="F1816" s="178"/>
      <c r="G1816" s="181"/>
      <c r="H1816" s="181"/>
      <c r="I1816" s="178"/>
    </row>
    <row r="1817" spans="3:9">
      <c r="C1817" s="178"/>
      <c r="D1817" s="178"/>
      <c r="E1817" s="178"/>
      <c r="F1817" s="178"/>
      <c r="G1817" s="181"/>
      <c r="H1817" s="181"/>
      <c r="I1817" s="178"/>
    </row>
    <row r="1818" spans="3:9">
      <c r="C1818" s="178"/>
      <c r="D1818" s="178"/>
      <c r="E1818" s="178"/>
      <c r="F1818" s="178"/>
      <c r="G1818" s="181"/>
      <c r="H1818" s="181"/>
      <c r="I1818" s="178"/>
    </row>
    <row r="1819" spans="3:9">
      <c r="C1819" s="178"/>
      <c r="D1819" s="178"/>
      <c r="E1819" s="178"/>
      <c r="F1819" s="178"/>
      <c r="G1819" s="181"/>
      <c r="H1819" s="181"/>
      <c r="I1819" s="178"/>
    </row>
    <row r="1820" spans="3:9">
      <c r="C1820" s="178"/>
      <c r="D1820" s="178"/>
      <c r="E1820" s="178"/>
      <c r="F1820" s="178"/>
      <c r="G1820" s="181"/>
      <c r="H1820" s="181"/>
      <c r="I1820" s="178"/>
    </row>
    <row r="1821" spans="3:9">
      <c r="C1821" s="178"/>
      <c r="D1821" s="178"/>
      <c r="E1821" s="178"/>
      <c r="F1821" s="178"/>
      <c r="G1821" s="181"/>
      <c r="H1821" s="181"/>
      <c r="I1821" s="178"/>
    </row>
    <row r="1822" spans="3:9">
      <c r="C1822" s="178"/>
      <c r="D1822" s="178"/>
      <c r="E1822" s="178"/>
      <c r="F1822" s="178"/>
      <c r="G1822" s="181"/>
      <c r="H1822" s="181"/>
      <c r="I1822" s="178"/>
    </row>
    <row r="1823" spans="3:9">
      <c r="C1823" s="178"/>
      <c r="D1823" s="178"/>
      <c r="E1823" s="178"/>
      <c r="F1823" s="178"/>
      <c r="G1823" s="181"/>
      <c r="H1823" s="181"/>
      <c r="I1823" s="178"/>
    </row>
    <row r="1824" spans="3:9">
      <c r="C1824" s="178"/>
      <c r="D1824" s="178"/>
      <c r="E1824" s="178"/>
      <c r="F1824" s="178"/>
      <c r="G1824" s="181"/>
      <c r="H1824" s="181"/>
      <c r="I1824" s="178"/>
    </row>
    <row r="1825" spans="3:9">
      <c r="C1825" s="178"/>
      <c r="D1825" s="178"/>
      <c r="E1825" s="178"/>
      <c r="F1825" s="178"/>
      <c r="G1825" s="181"/>
      <c r="H1825" s="181"/>
      <c r="I1825" s="178"/>
    </row>
    <row r="1826" spans="3:9">
      <c r="C1826" s="178"/>
      <c r="D1826" s="178"/>
      <c r="E1826" s="178"/>
      <c r="F1826" s="178"/>
      <c r="G1826" s="181"/>
      <c r="H1826" s="181"/>
      <c r="I1826" s="178"/>
    </row>
    <row r="1827" spans="3:9">
      <c r="C1827" s="178"/>
      <c r="D1827" s="178"/>
      <c r="E1827" s="178"/>
      <c r="F1827" s="178"/>
      <c r="G1827" s="181"/>
      <c r="H1827" s="181"/>
      <c r="I1827" s="178"/>
    </row>
    <row r="1828" spans="3:9">
      <c r="C1828" s="178"/>
      <c r="D1828" s="178"/>
      <c r="E1828" s="178"/>
      <c r="F1828" s="178"/>
      <c r="G1828" s="181"/>
      <c r="H1828" s="181"/>
      <c r="I1828" s="178"/>
    </row>
    <row r="1829" spans="3:9">
      <c r="C1829" s="178"/>
      <c r="D1829" s="178"/>
      <c r="E1829" s="178"/>
      <c r="F1829" s="178"/>
      <c r="G1829" s="181"/>
      <c r="H1829" s="181"/>
      <c r="I1829" s="178"/>
    </row>
    <row r="1830" spans="3:9">
      <c r="C1830" s="178"/>
      <c r="D1830" s="178"/>
      <c r="E1830" s="178"/>
      <c r="F1830" s="178"/>
      <c r="G1830" s="181"/>
      <c r="H1830" s="181"/>
      <c r="I1830" s="178"/>
    </row>
    <row r="1831" spans="3:9">
      <c r="C1831" s="178"/>
      <c r="D1831" s="178"/>
      <c r="E1831" s="178"/>
      <c r="F1831" s="178"/>
      <c r="G1831" s="181"/>
      <c r="H1831" s="181"/>
      <c r="I1831" s="178"/>
    </row>
    <row r="1832" spans="3:9">
      <c r="C1832" s="178"/>
      <c r="D1832" s="178"/>
      <c r="E1832" s="178"/>
      <c r="F1832" s="178"/>
      <c r="G1832" s="181"/>
      <c r="H1832" s="181"/>
      <c r="I1832" s="178"/>
    </row>
    <row r="1833" spans="3:9">
      <c r="C1833" s="178"/>
      <c r="D1833" s="178"/>
      <c r="E1833" s="178"/>
      <c r="F1833" s="178"/>
      <c r="G1833" s="181"/>
      <c r="H1833" s="181"/>
      <c r="I1833" s="178"/>
    </row>
    <row r="1834" spans="3:9">
      <c r="C1834" s="178"/>
      <c r="D1834" s="178"/>
      <c r="E1834" s="178"/>
      <c r="F1834" s="178"/>
      <c r="G1834" s="181"/>
      <c r="H1834" s="181"/>
      <c r="I1834" s="178"/>
    </row>
    <row r="1835" spans="3:9">
      <c r="C1835" s="178"/>
      <c r="D1835" s="178"/>
      <c r="E1835" s="178"/>
      <c r="F1835" s="178"/>
      <c r="G1835" s="181"/>
      <c r="H1835" s="181"/>
      <c r="I1835" s="178"/>
    </row>
    <row r="1836" spans="3:9">
      <c r="C1836" s="178"/>
      <c r="D1836" s="178"/>
      <c r="E1836" s="178"/>
      <c r="F1836" s="178"/>
      <c r="G1836" s="181"/>
      <c r="H1836" s="181"/>
      <c r="I1836" s="178"/>
    </row>
    <row r="1837" spans="3:9">
      <c r="C1837" s="178"/>
      <c r="D1837" s="178"/>
      <c r="E1837" s="178"/>
      <c r="F1837" s="178"/>
      <c r="G1837" s="181"/>
      <c r="H1837" s="181"/>
      <c r="I1837" s="178"/>
    </row>
    <row r="1838" spans="3:9">
      <c r="C1838" s="178"/>
      <c r="D1838" s="178"/>
      <c r="E1838" s="178"/>
      <c r="F1838" s="178"/>
      <c r="G1838" s="181"/>
      <c r="H1838" s="181"/>
      <c r="I1838" s="178"/>
    </row>
    <row r="1839" spans="3:9">
      <c r="C1839" s="178"/>
      <c r="D1839" s="178"/>
      <c r="E1839" s="178"/>
      <c r="F1839" s="178"/>
      <c r="G1839" s="181"/>
      <c r="H1839" s="181"/>
      <c r="I1839" s="178"/>
    </row>
    <row r="1840" spans="3:9">
      <c r="C1840" s="178"/>
      <c r="D1840" s="178"/>
      <c r="E1840" s="178"/>
      <c r="F1840" s="178"/>
      <c r="G1840" s="181"/>
      <c r="H1840" s="181"/>
      <c r="I1840" s="178"/>
    </row>
    <row r="1841" spans="3:9">
      <c r="C1841" s="178"/>
      <c r="D1841" s="178"/>
      <c r="E1841" s="178"/>
      <c r="F1841" s="178"/>
      <c r="G1841" s="181"/>
      <c r="H1841" s="181"/>
      <c r="I1841" s="178"/>
    </row>
    <row r="1842" spans="3:9">
      <c r="C1842" s="178"/>
      <c r="D1842" s="178"/>
      <c r="E1842" s="178"/>
      <c r="F1842" s="178"/>
      <c r="G1842" s="181"/>
      <c r="H1842" s="181"/>
      <c r="I1842" s="178"/>
    </row>
    <row r="1843" spans="3:9">
      <c r="C1843" s="178"/>
      <c r="D1843" s="178"/>
      <c r="E1843" s="178"/>
      <c r="F1843" s="178"/>
      <c r="G1843" s="181"/>
      <c r="H1843" s="181"/>
      <c r="I1843" s="178"/>
    </row>
    <row r="1844" spans="3:9">
      <c r="C1844" s="178"/>
      <c r="D1844" s="178"/>
      <c r="E1844" s="178"/>
      <c r="F1844" s="178"/>
      <c r="G1844" s="181"/>
      <c r="H1844" s="181"/>
      <c r="I1844" s="178"/>
    </row>
    <row r="1845" spans="3:9">
      <c r="C1845" s="178"/>
      <c r="D1845" s="178"/>
      <c r="E1845" s="178"/>
      <c r="F1845" s="178"/>
      <c r="G1845" s="181"/>
      <c r="H1845" s="181"/>
      <c r="I1845" s="178"/>
    </row>
    <row r="1846" spans="3:9">
      <c r="C1846" s="178"/>
      <c r="D1846" s="178"/>
      <c r="E1846" s="178"/>
      <c r="F1846" s="178"/>
      <c r="G1846" s="181"/>
      <c r="H1846" s="181"/>
      <c r="I1846" s="178"/>
    </row>
    <row r="1847" spans="3:9">
      <c r="C1847" s="178"/>
      <c r="D1847" s="178"/>
      <c r="E1847" s="178"/>
      <c r="F1847" s="178"/>
      <c r="G1847" s="181"/>
      <c r="H1847" s="181"/>
      <c r="I1847" s="178"/>
    </row>
    <row r="1848" spans="3:9">
      <c r="C1848" s="178"/>
      <c r="D1848" s="178"/>
      <c r="E1848" s="178"/>
      <c r="F1848" s="178"/>
      <c r="G1848" s="181"/>
      <c r="H1848" s="181"/>
      <c r="I1848" s="178"/>
    </row>
    <row r="1849" spans="3:9">
      <c r="C1849" s="178"/>
      <c r="D1849" s="178"/>
      <c r="E1849" s="178"/>
      <c r="F1849" s="178"/>
      <c r="G1849" s="181"/>
      <c r="H1849" s="181"/>
      <c r="I1849" s="178"/>
    </row>
    <row r="1850" spans="3:9">
      <c r="C1850" s="178"/>
      <c r="D1850" s="178"/>
      <c r="E1850" s="178"/>
      <c r="F1850" s="178"/>
      <c r="G1850" s="181"/>
      <c r="H1850" s="181"/>
      <c r="I1850" s="178"/>
    </row>
    <row r="1851" spans="3:9">
      <c r="C1851" s="178"/>
      <c r="D1851" s="178"/>
      <c r="E1851" s="178"/>
      <c r="F1851" s="178"/>
      <c r="G1851" s="181"/>
      <c r="H1851" s="181"/>
      <c r="I1851" s="178"/>
    </row>
    <row r="1852" spans="3:9">
      <c r="C1852" s="178"/>
      <c r="D1852" s="178"/>
      <c r="E1852" s="178"/>
      <c r="F1852" s="178"/>
      <c r="G1852" s="181"/>
      <c r="H1852" s="181"/>
      <c r="I1852" s="178"/>
    </row>
    <row r="1853" spans="3:9">
      <c r="C1853" s="178"/>
      <c r="D1853" s="178"/>
      <c r="E1853" s="178"/>
      <c r="F1853" s="178"/>
      <c r="G1853" s="181"/>
      <c r="H1853" s="181"/>
      <c r="I1853" s="178"/>
    </row>
    <row r="1854" spans="3:9">
      <c r="C1854" s="178"/>
      <c r="D1854" s="178"/>
      <c r="E1854" s="178"/>
      <c r="F1854" s="178"/>
      <c r="G1854" s="181"/>
      <c r="H1854" s="181"/>
      <c r="I1854" s="178"/>
    </row>
    <row r="1855" spans="3:9">
      <c r="C1855" s="178"/>
      <c r="D1855" s="178"/>
      <c r="E1855" s="178"/>
      <c r="F1855" s="178"/>
      <c r="G1855" s="181"/>
      <c r="H1855" s="181"/>
      <c r="I1855" s="178"/>
    </row>
    <row r="1856" spans="3:9">
      <c r="C1856" s="178"/>
      <c r="D1856" s="178"/>
      <c r="E1856" s="178"/>
      <c r="F1856" s="178"/>
      <c r="G1856" s="181"/>
      <c r="H1856" s="181"/>
      <c r="I1856" s="178"/>
    </row>
    <row r="1857" spans="3:9">
      <c r="C1857" s="178"/>
      <c r="D1857" s="178"/>
      <c r="E1857" s="178"/>
      <c r="F1857" s="178"/>
      <c r="G1857" s="181"/>
      <c r="H1857" s="181"/>
      <c r="I1857" s="178"/>
    </row>
    <row r="1858" spans="3:9">
      <c r="C1858" s="178"/>
      <c r="D1858" s="178"/>
      <c r="E1858" s="178"/>
      <c r="F1858" s="178"/>
      <c r="G1858" s="181"/>
      <c r="H1858" s="181"/>
      <c r="I1858" s="178"/>
    </row>
    <row r="1859" spans="3:9">
      <c r="C1859" s="178"/>
      <c r="D1859" s="178"/>
      <c r="E1859" s="178"/>
      <c r="F1859" s="178"/>
      <c r="G1859" s="181"/>
      <c r="H1859" s="181"/>
      <c r="I1859" s="178"/>
    </row>
    <row r="1860" spans="3:9">
      <c r="C1860" s="178"/>
      <c r="D1860" s="178"/>
      <c r="E1860" s="178"/>
      <c r="F1860" s="178"/>
      <c r="G1860" s="181"/>
      <c r="H1860" s="181"/>
      <c r="I1860" s="178"/>
    </row>
    <row r="1861" spans="3:9">
      <c r="C1861" s="178"/>
      <c r="D1861" s="178"/>
      <c r="E1861" s="178"/>
      <c r="F1861" s="178"/>
      <c r="G1861" s="181"/>
      <c r="H1861" s="181"/>
      <c r="I1861" s="178"/>
    </row>
    <row r="1862" spans="3:9">
      <c r="C1862" s="178"/>
      <c r="D1862" s="178"/>
      <c r="E1862" s="178"/>
      <c r="F1862" s="178"/>
      <c r="G1862" s="181"/>
      <c r="H1862" s="181"/>
      <c r="I1862" s="178"/>
    </row>
    <row r="1863" spans="3:9">
      <c r="C1863" s="178"/>
      <c r="D1863" s="178"/>
      <c r="E1863" s="178"/>
      <c r="F1863" s="178"/>
      <c r="G1863" s="181"/>
      <c r="H1863" s="181"/>
      <c r="I1863" s="178"/>
    </row>
    <row r="1864" spans="3:9">
      <c r="C1864" s="178"/>
      <c r="D1864" s="178"/>
      <c r="E1864" s="178"/>
      <c r="F1864" s="178"/>
      <c r="G1864" s="181"/>
      <c r="H1864" s="181"/>
      <c r="I1864" s="178"/>
    </row>
    <row r="1865" spans="3:9">
      <c r="C1865" s="178"/>
      <c r="D1865" s="178"/>
      <c r="E1865" s="178"/>
      <c r="F1865" s="178"/>
      <c r="G1865" s="181"/>
      <c r="H1865" s="181"/>
      <c r="I1865" s="178"/>
    </row>
    <row r="1866" spans="3:9">
      <c r="C1866" s="178"/>
      <c r="D1866" s="178"/>
      <c r="E1866" s="178"/>
      <c r="F1866" s="178"/>
      <c r="G1866" s="181"/>
      <c r="H1866" s="181"/>
      <c r="I1866" s="178"/>
    </row>
    <row r="1867" spans="3:9">
      <c r="C1867" s="178"/>
      <c r="D1867" s="178"/>
      <c r="E1867" s="178"/>
      <c r="F1867" s="178"/>
      <c r="G1867" s="181"/>
      <c r="H1867" s="181"/>
      <c r="I1867" s="178"/>
    </row>
    <row r="1868" spans="3:9">
      <c r="C1868" s="178"/>
      <c r="D1868" s="178"/>
      <c r="E1868" s="178"/>
      <c r="F1868" s="178"/>
      <c r="G1868" s="181"/>
      <c r="H1868" s="181"/>
      <c r="I1868" s="178"/>
    </row>
    <row r="1869" spans="3:9">
      <c r="C1869" s="178"/>
      <c r="D1869" s="178"/>
      <c r="E1869" s="178"/>
      <c r="F1869" s="178"/>
      <c r="G1869" s="181"/>
      <c r="H1869" s="181"/>
      <c r="I1869" s="178"/>
    </row>
    <row r="1870" spans="3:9">
      <c r="C1870" s="178"/>
      <c r="D1870" s="178"/>
      <c r="E1870" s="178"/>
      <c r="F1870" s="178"/>
      <c r="G1870" s="181"/>
      <c r="H1870" s="181"/>
      <c r="I1870" s="178"/>
    </row>
    <row r="1871" spans="3:9">
      <c r="C1871" s="178"/>
      <c r="D1871" s="178"/>
      <c r="E1871" s="178"/>
      <c r="F1871" s="178"/>
      <c r="G1871" s="181"/>
      <c r="H1871" s="181"/>
      <c r="I1871" s="178"/>
    </row>
    <row r="1872" spans="3:9">
      <c r="C1872" s="178"/>
      <c r="D1872" s="178"/>
      <c r="E1872" s="178"/>
      <c r="F1872" s="178"/>
      <c r="G1872" s="181"/>
      <c r="H1872" s="181"/>
      <c r="I1872" s="178"/>
    </row>
    <row r="1873" spans="3:9">
      <c r="C1873" s="178"/>
      <c r="D1873" s="178"/>
      <c r="E1873" s="178"/>
      <c r="F1873" s="178"/>
      <c r="G1873" s="181"/>
      <c r="H1873" s="181"/>
      <c r="I1873" s="178"/>
    </row>
    <row r="1874" spans="3:9">
      <c r="C1874" s="178"/>
      <c r="D1874" s="178"/>
      <c r="E1874" s="178"/>
      <c r="F1874" s="178"/>
      <c r="G1874" s="181"/>
      <c r="H1874" s="181"/>
      <c r="I1874" s="178"/>
    </row>
    <row r="1875" spans="3:9">
      <c r="C1875" s="178"/>
      <c r="D1875" s="178"/>
      <c r="E1875" s="178"/>
      <c r="F1875" s="178"/>
      <c r="G1875" s="181"/>
      <c r="H1875" s="181"/>
      <c r="I1875" s="178"/>
    </row>
    <row r="1876" spans="3:9">
      <c r="C1876" s="178"/>
      <c r="D1876" s="178"/>
      <c r="E1876" s="178"/>
      <c r="F1876" s="178"/>
      <c r="G1876" s="181"/>
      <c r="H1876" s="181"/>
      <c r="I1876" s="178"/>
    </row>
    <row r="1877" spans="3:9">
      <c r="C1877" s="178"/>
      <c r="D1877" s="178"/>
      <c r="E1877" s="178"/>
      <c r="F1877" s="178"/>
      <c r="G1877" s="181"/>
      <c r="H1877" s="181"/>
      <c r="I1877" s="178"/>
    </row>
    <row r="1878" spans="3:9">
      <c r="C1878" s="178"/>
      <c r="D1878" s="178"/>
      <c r="E1878" s="178"/>
      <c r="F1878" s="178"/>
      <c r="G1878" s="181"/>
      <c r="H1878" s="181"/>
      <c r="I1878" s="178"/>
    </row>
    <row r="1879" spans="3:9">
      <c r="C1879" s="178"/>
      <c r="D1879" s="178"/>
      <c r="E1879" s="178"/>
      <c r="F1879" s="178"/>
      <c r="G1879" s="181"/>
      <c r="H1879" s="181"/>
      <c r="I1879" s="178"/>
    </row>
    <row r="1880" spans="3:9">
      <c r="C1880" s="178"/>
      <c r="D1880" s="178"/>
      <c r="E1880" s="178"/>
      <c r="F1880" s="178"/>
      <c r="G1880" s="181"/>
      <c r="H1880" s="181"/>
      <c r="I1880" s="178"/>
    </row>
    <row r="1881" spans="3:9">
      <c r="C1881" s="178"/>
      <c r="D1881" s="178"/>
      <c r="E1881" s="178"/>
      <c r="F1881" s="178"/>
      <c r="G1881" s="181"/>
      <c r="H1881" s="181"/>
      <c r="I1881" s="178"/>
    </row>
    <row r="1882" spans="3:9">
      <c r="C1882" s="178"/>
      <c r="D1882" s="178"/>
      <c r="E1882" s="178"/>
      <c r="F1882" s="178"/>
      <c r="G1882" s="181"/>
      <c r="H1882" s="181"/>
      <c r="I1882" s="178"/>
    </row>
    <row r="1883" spans="3:9">
      <c r="C1883" s="178"/>
      <c r="D1883" s="178"/>
      <c r="E1883" s="178"/>
      <c r="F1883" s="178"/>
      <c r="G1883" s="181"/>
      <c r="H1883" s="181"/>
      <c r="I1883" s="178"/>
    </row>
    <row r="1884" spans="3:9">
      <c r="C1884" s="178"/>
      <c r="D1884" s="178"/>
      <c r="E1884" s="178"/>
      <c r="F1884" s="178"/>
      <c r="G1884" s="181"/>
      <c r="H1884" s="181"/>
      <c r="I1884" s="178"/>
    </row>
    <row r="1885" spans="3:9">
      <c r="C1885" s="178"/>
      <c r="D1885" s="178"/>
      <c r="E1885" s="178"/>
      <c r="F1885" s="178"/>
      <c r="G1885" s="181"/>
      <c r="H1885" s="181"/>
      <c r="I1885" s="178"/>
    </row>
    <row r="1886" spans="3:9">
      <c r="C1886" s="178"/>
      <c r="D1886" s="178"/>
      <c r="E1886" s="178"/>
      <c r="F1886" s="178"/>
      <c r="G1886" s="181"/>
      <c r="H1886" s="181"/>
      <c r="I1886" s="178"/>
    </row>
    <row r="1887" spans="3:9">
      <c r="C1887" s="178"/>
      <c r="D1887" s="178"/>
      <c r="E1887" s="178"/>
      <c r="F1887" s="178"/>
      <c r="G1887" s="181"/>
      <c r="H1887" s="181"/>
      <c r="I1887" s="178"/>
    </row>
    <row r="1888" spans="3:9">
      <c r="C1888" s="178"/>
      <c r="D1888" s="178"/>
      <c r="E1888" s="178"/>
      <c r="F1888" s="178"/>
      <c r="G1888" s="181"/>
      <c r="H1888" s="181"/>
      <c r="I1888" s="178"/>
    </row>
    <row r="1889" spans="3:9">
      <c r="C1889" s="178"/>
      <c r="D1889" s="178"/>
      <c r="E1889" s="178"/>
      <c r="F1889" s="178"/>
      <c r="G1889" s="181"/>
      <c r="H1889" s="181"/>
      <c r="I1889" s="178"/>
    </row>
    <row r="1890" spans="3:9">
      <c r="C1890" s="178"/>
      <c r="D1890" s="178"/>
      <c r="E1890" s="178"/>
      <c r="F1890" s="178"/>
      <c r="G1890" s="181"/>
      <c r="H1890" s="181"/>
      <c r="I1890" s="178"/>
    </row>
    <row r="1891" spans="3:9">
      <c r="C1891" s="178"/>
      <c r="D1891" s="178"/>
      <c r="E1891" s="178"/>
      <c r="F1891" s="178"/>
      <c r="G1891" s="181"/>
      <c r="H1891" s="181"/>
      <c r="I1891" s="178"/>
    </row>
    <row r="1892" spans="3:9">
      <c r="C1892" s="178"/>
      <c r="D1892" s="178"/>
      <c r="E1892" s="178"/>
      <c r="F1892" s="178"/>
      <c r="G1892" s="181"/>
      <c r="H1892" s="181"/>
      <c r="I1892" s="178"/>
    </row>
    <row r="1893" spans="3:9">
      <c r="C1893" s="178"/>
      <c r="D1893" s="178"/>
      <c r="E1893" s="178"/>
      <c r="F1893" s="178"/>
      <c r="G1893" s="181"/>
      <c r="H1893" s="181"/>
      <c r="I1893" s="178"/>
    </row>
    <row r="1894" spans="3:9">
      <c r="C1894" s="178"/>
      <c r="D1894" s="178"/>
      <c r="E1894" s="178"/>
      <c r="F1894" s="178"/>
      <c r="G1894" s="181"/>
      <c r="H1894" s="181"/>
      <c r="I1894" s="178"/>
    </row>
    <row r="1895" spans="3:9">
      <c r="C1895" s="178"/>
      <c r="D1895" s="178"/>
      <c r="E1895" s="178"/>
      <c r="F1895" s="178"/>
      <c r="G1895" s="181"/>
      <c r="H1895" s="181"/>
      <c r="I1895" s="178"/>
    </row>
    <row r="1896" spans="3:9">
      <c r="C1896" s="178"/>
      <c r="D1896" s="178"/>
      <c r="E1896" s="178"/>
      <c r="F1896" s="178"/>
      <c r="G1896" s="181"/>
      <c r="H1896" s="181"/>
      <c r="I1896" s="178"/>
    </row>
    <row r="1897" spans="3:9">
      <c r="C1897" s="178"/>
      <c r="D1897" s="178"/>
      <c r="E1897" s="178"/>
      <c r="F1897" s="178"/>
      <c r="G1897" s="181"/>
      <c r="H1897" s="181"/>
      <c r="I1897" s="178"/>
    </row>
    <row r="1898" spans="3:9">
      <c r="C1898" s="178"/>
      <c r="D1898" s="178"/>
      <c r="E1898" s="178"/>
      <c r="F1898" s="178"/>
      <c r="G1898" s="181"/>
      <c r="H1898" s="181"/>
      <c r="I1898" s="178"/>
    </row>
    <row r="1899" spans="3:9">
      <c r="C1899" s="178"/>
      <c r="D1899" s="178"/>
      <c r="E1899" s="178"/>
      <c r="F1899" s="178"/>
      <c r="G1899" s="181"/>
      <c r="H1899" s="181"/>
      <c r="I1899" s="178"/>
    </row>
    <row r="1900" spans="3:9">
      <c r="C1900" s="178"/>
      <c r="D1900" s="178"/>
      <c r="E1900" s="178"/>
      <c r="F1900" s="178"/>
      <c r="G1900" s="181"/>
      <c r="H1900" s="181"/>
      <c r="I1900" s="178"/>
    </row>
    <row r="1901" spans="3:9">
      <c r="C1901" s="178"/>
      <c r="D1901" s="178"/>
      <c r="E1901" s="178"/>
      <c r="F1901" s="178"/>
      <c r="G1901" s="181"/>
      <c r="H1901" s="181"/>
      <c r="I1901" s="178"/>
    </row>
    <row r="1902" spans="3:9">
      <c r="C1902" s="178"/>
      <c r="D1902" s="178"/>
      <c r="E1902" s="178"/>
      <c r="F1902" s="178"/>
      <c r="G1902" s="181"/>
      <c r="H1902" s="181"/>
      <c r="I1902" s="178"/>
    </row>
    <row r="1903" spans="3:9">
      <c r="C1903" s="178"/>
      <c r="D1903" s="178"/>
      <c r="E1903" s="178"/>
      <c r="F1903" s="178"/>
      <c r="G1903" s="181"/>
      <c r="H1903" s="181"/>
      <c r="I1903" s="178"/>
    </row>
    <row r="1904" spans="3:9">
      <c r="C1904" s="178"/>
      <c r="D1904" s="178"/>
      <c r="E1904" s="178"/>
      <c r="F1904" s="178"/>
      <c r="G1904" s="181"/>
      <c r="H1904" s="181"/>
      <c r="I1904" s="178"/>
    </row>
    <row r="1905" spans="3:9">
      <c r="C1905" s="178"/>
      <c r="D1905" s="178"/>
      <c r="E1905" s="178"/>
      <c r="F1905" s="178"/>
      <c r="G1905" s="181"/>
      <c r="H1905" s="181"/>
      <c r="I1905" s="178"/>
    </row>
    <row r="1906" spans="3:9">
      <c r="C1906" s="178"/>
      <c r="D1906" s="178"/>
      <c r="E1906" s="178"/>
      <c r="F1906" s="178"/>
      <c r="G1906" s="181"/>
      <c r="H1906" s="181"/>
      <c r="I1906" s="178"/>
    </row>
    <row r="1907" spans="3:9">
      <c r="C1907" s="178"/>
      <c r="D1907" s="178"/>
      <c r="E1907" s="178"/>
      <c r="F1907" s="178"/>
      <c r="G1907" s="181"/>
      <c r="H1907" s="181"/>
      <c r="I1907" s="178"/>
    </row>
    <row r="1908" spans="3:9">
      <c r="C1908" s="178"/>
      <c r="D1908" s="178"/>
      <c r="E1908" s="178"/>
      <c r="F1908" s="178"/>
      <c r="G1908" s="181"/>
      <c r="H1908" s="181"/>
      <c r="I1908" s="178"/>
    </row>
    <row r="1909" spans="3:9">
      <c r="C1909" s="178"/>
      <c r="D1909" s="178"/>
      <c r="E1909" s="178"/>
      <c r="F1909" s="178"/>
      <c r="G1909" s="181"/>
      <c r="H1909" s="181"/>
      <c r="I1909" s="178"/>
    </row>
    <row r="1910" spans="3:9">
      <c r="C1910" s="178"/>
      <c r="D1910" s="178"/>
      <c r="E1910" s="178"/>
      <c r="F1910" s="178"/>
      <c r="G1910" s="181"/>
      <c r="H1910" s="181"/>
      <c r="I1910" s="178"/>
    </row>
    <row r="1911" spans="3:9">
      <c r="C1911" s="178"/>
      <c r="D1911" s="178"/>
      <c r="E1911" s="178"/>
      <c r="F1911" s="178"/>
      <c r="G1911" s="181"/>
      <c r="H1911" s="181"/>
      <c r="I1911" s="178"/>
    </row>
    <row r="1912" spans="3:9">
      <c r="C1912" s="178"/>
      <c r="D1912" s="178"/>
      <c r="E1912" s="178"/>
      <c r="F1912" s="178"/>
      <c r="G1912" s="181"/>
      <c r="H1912" s="181"/>
      <c r="I1912" s="178"/>
    </row>
    <row r="1913" spans="3:9">
      <c r="C1913" s="178"/>
      <c r="D1913" s="178"/>
      <c r="E1913" s="178"/>
      <c r="F1913" s="178"/>
      <c r="G1913" s="181"/>
      <c r="H1913" s="181"/>
      <c r="I1913" s="178"/>
    </row>
    <row r="1914" spans="3:9">
      <c r="C1914" s="178"/>
      <c r="D1914" s="178"/>
      <c r="E1914" s="178"/>
      <c r="F1914" s="178"/>
      <c r="G1914" s="181"/>
      <c r="H1914" s="181"/>
      <c r="I1914" s="178"/>
    </row>
    <row r="1915" spans="3:9">
      <c r="C1915" s="178"/>
      <c r="D1915" s="178"/>
      <c r="E1915" s="178"/>
      <c r="F1915" s="178"/>
      <c r="G1915" s="181"/>
      <c r="H1915" s="181"/>
      <c r="I1915" s="178"/>
    </row>
    <row r="1916" spans="3:9">
      <c r="C1916" s="178"/>
      <c r="D1916" s="178"/>
      <c r="E1916" s="178"/>
      <c r="F1916" s="178"/>
      <c r="G1916" s="181"/>
      <c r="H1916" s="181"/>
      <c r="I1916" s="178"/>
    </row>
    <row r="1917" spans="3:9">
      <c r="C1917" s="178"/>
      <c r="D1917" s="178"/>
      <c r="E1917" s="178"/>
      <c r="F1917" s="178"/>
      <c r="G1917" s="181"/>
      <c r="H1917" s="181"/>
      <c r="I1917" s="178"/>
    </row>
    <row r="1918" spans="3:9">
      <c r="C1918" s="178"/>
      <c r="D1918" s="178"/>
      <c r="E1918" s="178"/>
      <c r="F1918" s="178"/>
      <c r="G1918" s="181"/>
      <c r="H1918" s="181"/>
      <c r="I1918" s="178"/>
    </row>
    <row r="1919" spans="3:9">
      <c r="C1919" s="178"/>
      <c r="D1919" s="178"/>
      <c r="E1919" s="178"/>
      <c r="F1919" s="178"/>
      <c r="G1919" s="181"/>
      <c r="H1919" s="181"/>
      <c r="I1919" s="178"/>
    </row>
    <row r="1920" spans="3:9">
      <c r="C1920" s="178"/>
      <c r="D1920" s="178"/>
      <c r="E1920" s="178"/>
      <c r="F1920" s="178"/>
      <c r="G1920" s="181"/>
      <c r="H1920" s="181"/>
      <c r="I1920" s="178"/>
    </row>
    <row r="1921" spans="3:9">
      <c r="C1921" s="178"/>
      <c r="D1921" s="178"/>
      <c r="E1921" s="178"/>
      <c r="F1921" s="178"/>
      <c r="G1921" s="181"/>
      <c r="H1921" s="181"/>
      <c r="I1921" s="178"/>
    </row>
    <row r="1922" spans="3:9">
      <c r="C1922" s="178"/>
      <c r="D1922" s="178"/>
      <c r="E1922" s="178"/>
      <c r="F1922" s="178"/>
      <c r="G1922" s="181"/>
      <c r="H1922" s="181"/>
      <c r="I1922" s="178"/>
    </row>
    <row r="1923" spans="3:9">
      <c r="C1923" s="178"/>
      <c r="D1923" s="178"/>
      <c r="E1923" s="178"/>
      <c r="F1923" s="178"/>
      <c r="G1923" s="181"/>
      <c r="H1923" s="181"/>
      <c r="I1923" s="178"/>
    </row>
    <row r="1924" spans="3:9">
      <c r="C1924" s="178"/>
      <c r="D1924" s="178"/>
      <c r="E1924" s="178"/>
      <c r="F1924" s="178"/>
      <c r="G1924" s="181"/>
      <c r="H1924" s="181"/>
      <c r="I1924" s="178"/>
    </row>
    <row r="1925" spans="3:9">
      <c r="C1925" s="178"/>
      <c r="D1925" s="178"/>
      <c r="E1925" s="178"/>
      <c r="F1925" s="178"/>
      <c r="G1925" s="181"/>
      <c r="H1925" s="181"/>
      <c r="I1925" s="178"/>
    </row>
    <row r="1926" spans="3:9">
      <c r="C1926" s="178"/>
      <c r="D1926" s="178"/>
      <c r="E1926" s="178"/>
      <c r="F1926" s="178"/>
      <c r="G1926" s="181"/>
      <c r="H1926" s="181"/>
      <c r="I1926" s="178"/>
    </row>
    <row r="1927" spans="3:9">
      <c r="C1927" s="178"/>
      <c r="D1927" s="178"/>
      <c r="E1927" s="178"/>
      <c r="F1927" s="178"/>
      <c r="G1927" s="181"/>
      <c r="H1927" s="181"/>
      <c r="I1927" s="178"/>
    </row>
    <row r="1928" spans="3:9">
      <c r="C1928" s="178"/>
      <c r="D1928" s="178"/>
      <c r="E1928" s="178"/>
      <c r="F1928" s="178"/>
      <c r="G1928" s="181"/>
      <c r="H1928" s="181"/>
      <c r="I1928" s="178"/>
    </row>
    <row r="1929" spans="3:9">
      <c r="C1929" s="178"/>
      <c r="D1929" s="178"/>
      <c r="E1929" s="178"/>
      <c r="F1929" s="178"/>
      <c r="G1929" s="181"/>
      <c r="H1929" s="181"/>
      <c r="I1929" s="178"/>
    </row>
    <row r="1930" spans="3:9">
      <c r="C1930" s="178"/>
      <c r="D1930" s="178"/>
      <c r="E1930" s="178"/>
      <c r="F1930" s="178"/>
      <c r="G1930" s="181"/>
      <c r="H1930" s="181"/>
      <c r="I1930" s="178"/>
    </row>
    <row r="1931" spans="3:9">
      <c r="C1931" s="178"/>
      <c r="D1931" s="178"/>
      <c r="E1931" s="178"/>
      <c r="F1931" s="178"/>
      <c r="G1931" s="181"/>
      <c r="H1931" s="181"/>
      <c r="I1931" s="178"/>
    </row>
    <row r="1932" spans="3:9">
      <c r="C1932" s="178"/>
      <c r="D1932" s="178"/>
      <c r="E1932" s="178"/>
      <c r="F1932" s="178"/>
      <c r="G1932" s="181"/>
      <c r="H1932" s="181"/>
      <c r="I1932" s="178"/>
    </row>
    <row r="1933" spans="3:9">
      <c r="C1933" s="178"/>
      <c r="D1933" s="178"/>
      <c r="E1933" s="178"/>
      <c r="F1933" s="178"/>
      <c r="G1933" s="181"/>
      <c r="H1933" s="181"/>
      <c r="I1933" s="178"/>
    </row>
    <row r="1934" spans="3:9">
      <c r="C1934" s="178"/>
      <c r="D1934" s="178"/>
      <c r="E1934" s="178"/>
      <c r="F1934" s="178"/>
      <c r="G1934" s="181"/>
      <c r="H1934" s="181"/>
      <c r="I1934" s="178"/>
    </row>
    <row r="1935" spans="3:9">
      <c r="C1935" s="178"/>
      <c r="D1935" s="178"/>
      <c r="E1935" s="178"/>
      <c r="F1935" s="178"/>
      <c r="G1935" s="181"/>
      <c r="H1935" s="181"/>
      <c r="I1935" s="178"/>
    </row>
    <row r="1936" spans="3:9">
      <c r="C1936" s="178"/>
      <c r="D1936" s="178"/>
      <c r="E1936" s="178"/>
      <c r="F1936" s="178"/>
      <c r="G1936" s="181"/>
      <c r="H1936" s="181"/>
      <c r="I1936" s="178"/>
    </row>
    <row r="1937" spans="3:9">
      <c r="C1937" s="178"/>
      <c r="D1937" s="178"/>
      <c r="E1937" s="178"/>
      <c r="F1937" s="178"/>
      <c r="G1937" s="181"/>
      <c r="H1937" s="181"/>
      <c r="I1937" s="178"/>
    </row>
    <row r="1938" spans="3:9">
      <c r="C1938" s="178"/>
      <c r="D1938" s="178"/>
      <c r="E1938" s="178"/>
      <c r="F1938" s="178"/>
      <c r="G1938" s="181"/>
      <c r="H1938" s="181"/>
      <c r="I1938" s="178"/>
    </row>
    <row r="1939" spans="3:9">
      <c r="C1939" s="178"/>
      <c r="D1939" s="178"/>
      <c r="E1939" s="178"/>
      <c r="F1939" s="178"/>
      <c r="G1939" s="181"/>
      <c r="H1939" s="181"/>
      <c r="I1939" s="178"/>
    </row>
    <row r="1940" spans="3:9">
      <c r="C1940" s="178"/>
      <c r="D1940" s="178"/>
      <c r="E1940" s="178"/>
      <c r="F1940" s="178"/>
      <c r="G1940" s="181"/>
      <c r="H1940" s="181"/>
      <c r="I1940" s="178"/>
    </row>
    <row r="1941" spans="3:9">
      <c r="C1941" s="178"/>
      <c r="D1941" s="178"/>
      <c r="E1941" s="178"/>
      <c r="F1941" s="178"/>
      <c r="G1941" s="181"/>
      <c r="H1941" s="181"/>
      <c r="I1941" s="178"/>
    </row>
    <row r="1942" spans="3:9">
      <c r="C1942" s="178"/>
      <c r="D1942" s="178"/>
      <c r="E1942" s="178"/>
      <c r="F1942" s="178"/>
      <c r="G1942" s="181"/>
      <c r="H1942" s="181"/>
      <c r="I1942" s="178"/>
    </row>
    <row r="1943" spans="3:9">
      <c r="C1943" s="178"/>
      <c r="D1943" s="178"/>
      <c r="E1943" s="178"/>
      <c r="F1943" s="178"/>
      <c r="G1943" s="181"/>
      <c r="H1943" s="181"/>
      <c r="I1943" s="178"/>
    </row>
    <row r="1944" spans="3:9">
      <c r="C1944" s="178"/>
      <c r="D1944" s="178"/>
      <c r="E1944" s="178"/>
      <c r="F1944" s="178"/>
      <c r="G1944" s="181"/>
      <c r="H1944" s="181"/>
      <c r="I1944" s="178"/>
    </row>
    <row r="1945" spans="3:9">
      <c r="C1945" s="178"/>
      <c r="D1945" s="178"/>
      <c r="E1945" s="178"/>
      <c r="F1945" s="178"/>
      <c r="G1945" s="181"/>
      <c r="H1945" s="181"/>
      <c r="I1945" s="178"/>
    </row>
    <row r="1946" spans="3:9">
      <c r="C1946" s="178"/>
      <c r="D1946" s="178"/>
      <c r="E1946" s="178"/>
      <c r="F1946" s="178"/>
      <c r="G1946" s="181"/>
      <c r="H1946" s="181"/>
      <c r="I1946" s="178"/>
    </row>
    <row r="1947" spans="3:9">
      <c r="C1947" s="178"/>
      <c r="D1947" s="178"/>
      <c r="E1947" s="178"/>
      <c r="F1947" s="178"/>
      <c r="G1947" s="181"/>
      <c r="H1947" s="181"/>
      <c r="I1947" s="178"/>
    </row>
    <row r="1948" spans="3:9">
      <c r="C1948" s="178"/>
      <c r="D1948" s="178"/>
      <c r="E1948" s="178"/>
      <c r="F1948" s="178"/>
      <c r="G1948" s="181"/>
      <c r="H1948" s="181"/>
      <c r="I1948" s="178"/>
    </row>
    <row r="1949" spans="3:9">
      <c r="C1949" s="178"/>
      <c r="D1949" s="178"/>
      <c r="E1949" s="178"/>
      <c r="F1949" s="178"/>
      <c r="G1949" s="181"/>
      <c r="H1949" s="181"/>
      <c r="I1949" s="178"/>
    </row>
    <row r="1950" spans="3:9">
      <c r="C1950" s="178"/>
      <c r="D1950" s="178"/>
      <c r="E1950" s="178"/>
      <c r="F1950" s="178"/>
      <c r="G1950" s="181"/>
      <c r="H1950" s="181"/>
      <c r="I1950" s="178"/>
    </row>
    <row r="1951" spans="3:9">
      <c r="C1951" s="178"/>
      <c r="D1951" s="178"/>
      <c r="E1951" s="178"/>
      <c r="F1951" s="178"/>
      <c r="G1951" s="181"/>
      <c r="H1951" s="181"/>
      <c r="I1951" s="178"/>
    </row>
    <row r="1952" spans="3:9">
      <c r="C1952" s="178"/>
      <c r="D1952" s="178"/>
      <c r="E1952" s="178"/>
      <c r="F1952" s="178"/>
      <c r="G1952" s="181"/>
      <c r="H1952" s="181"/>
      <c r="I1952" s="178"/>
    </row>
    <row r="1953" spans="3:9">
      <c r="C1953" s="178"/>
      <c r="D1953" s="178"/>
      <c r="E1953" s="178"/>
      <c r="F1953" s="178"/>
      <c r="G1953" s="181"/>
      <c r="H1953" s="181"/>
      <c r="I1953" s="178"/>
    </row>
    <row r="1954" spans="3:9">
      <c r="C1954" s="178"/>
      <c r="D1954" s="178"/>
      <c r="E1954" s="178"/>
      <c r="F1954" s="178"/>
      <c r="G1954" s="181"/>
      <c r="H1954" s="181"/>
      <c r="I1954" s="178"/>
    </row>
    <row r="1955" spans="3:9">
      <c r="C1955" s="178"/>
      <c r="D1955" s="178"/>
      <c r="E1955" s="178"/>
      <c r="F1955" s="178"/>
      <c r="G1955" s="181"/>
      <c r="H1955" s="181"/>
      <c r="I1955" s="178"/>
    </row>
    <row r="1956" spans="3:9">
      <c r="C1956" s="178"/>
      <c r="D1956" s="178"/>
      <c r="E1956" s="178"/>
      <c r="F1956" s="178"/>
      <c r="G1956" s="181"/>
      <c r="H1956" s="181"/>
      <c r="I1956" s="178"/>
    </row>
    <row r="1957" spans="3:9">
      <c r="C1957" s="178"/>
      <c r="D1957" s="178"/>
      <c r="E1957" s="178"/>
      <c r="F1957" s="178"/>
      <c r="G1957" s="181"/>
      <c r="H1957" s="181"/>
      <c r="I1957" s="178"/>
    </row>
    <row r="1958" spans="3:9">
      <c r="C1958" s="178"/>
      <c r="D1958" s="178"/>
      <c r="E1958" s="178"/>
      <c r="F1958" s="178"/>
      <c r="G1958" s="181"/>
      <c r="H1958" s="181"/>
      <c r="I1958" s="178"/>
    </row>
    <row r="1959" spans="3:9">
      <c r="C1959" s="178"/>
      <c r="D1959" s="178"/>
      <c r="E1959" s="178"/>
      <c r="F1959" s="178"/>
      <c r="G1959" s="181"/>
      <c r="H1959" s="181"/>
      <c r="I1959" s="178"/>
    </row>
    <row r="1960" spans="3:9">
      <c r="C1960" s="178"/>
      <c r="D1960" s="178"/>
      <c r="E1960" s="178"/>
      <c r="F1960" s="178"/>
      <c r="G1960" s="181"/>
      <c r="H1960" s="181"/>
      <c r="I1960" s="178"/>
    </row>
    <row r="1961" spans="3:9">
      <c r="C1961" s="178"/>
      <c r="D1961" s="178"/>
      <c r="E1961" s="178"/>
      <c r="F1961" s="178"/>
      <c r="G1961" s="181"/>
      <c r="H1961" s="181"/>
      <c r="I1961" s="178"/>
    </row>
    <row r="1962" spans="3:9">
      <c r="C1962" s="178"/>
      <c r="D1962" s="178"/>
      <c r="E1962" s="178"/>
      <c r="F1962" s="178"/>
      <c r="G1962" s="181"/>
      <c r="H1962" s="181"/>
      <c r="I1962" s="178"/>
    </row>
    <row r="1963" spans="3:9">
      <c r="C1963" s="178"/>
      <c r="D1963" s="178"/>
      <c r="E1963" s="178"/>
      <c r="F1963" s="178"/>
      <c r="G1963" s="181"/>
      <c r="H1963" s="181"/>
      <c r="I1963" s="178"/>
    </row>
    <row r="1964" spans="3:9">
      <c r="C1964" s="178"/>
      <c r="D1964" s="178"/>
      <c r="E1964" s="178"/>
      <c r="F1964" s="178"/>
      <c r="G1964" s="181"/>
      <c r="H1964" s="181"/>
      <c r="I1964" s="178"/>
    </row>
    <row r="1965" spans="3:9">
      <c r="C1965" s="178"/>
      <c r="D1965" s="178"/>
      <c r="E1965" s="178"/>
      <c r="F1965" s="178"/>
      <c r="G1965" s="181"/>
      <c r="H1965" s="181"/>
      <c r="I1965" s="178"/>
    </row>
    <row r="1966" spans="3:9">
      <c r="C1966" s="178"/>
      <c r="D1966" s="178"/>
      <c r="E1966" s="178"/>
      <c r="F1966" s="178"/>
      <c r="G1966" s="181"/>
      <c r="H1966" s="181"/>
      <c r="I1966" s="178"/>
    </row>
    <row r="1967" spans="3:9">
      <c r="C1967" s="178"/>
      <c r="D1967" s="178"/>
      <c r="E1967" s="178"/>
      <c r="F1967" s="178"/>
      <c r="G1967" s="181"/>
      <c r="H1967" s="181"/>
      <c r="I1967" s="178"/>
    </row>
    <row r="1968" spans="3:9">
      <c r="C1968" s="178"/>
      <c r="D1968" s="178"/>
      <c r="E1968" s="178"/>
      <c r="F1968" s="178"/>
      <c r="G1968" s="181"/>
      <c r="H1968" s="181"/>
      <c r="I1968" s="178"/>
    </row>
    <row r="1969" spans="3:9">
      <c r="C1969" s="178"/>
      <c r="D1969" s="178"/>
      <c r="E1969" s="178"/>
      <c r="F1969" s="178"/>
      <c r="G1969" s="181"/>
      <c r="H1969" s="181"/>
      <c r="I1969" s="178"/>
    </row>
    <row r="1970" spans="3:9">
      <c r="C1970" s="178"/>
      <c r="D1970" s="178"/>
      <c r="E1970" s="178"/>
      <c r="F1970" s="178"/>
      <c r="G1970" s="181"/>
      <c r="H1970" s="181"/>
      <c r="I1970" s="178"/>
    </row>
    <row r="1971" spans="3:9">
      <c r="C1971" s="178"/>
      <c r="D1971" s="178"/>
      <c r="E1971" s="178"/>
      <c r="F1971" s="178"/>
      <c r="G1971" s="181"/>
      <c r="H1971" s="181"/>
      <c r="I1971" s="178"/>
    </row>
    <row r="1972" spans="3:9">
      <c r="C1972" s="178"/>
      <c r="D1972" s="178"/>
      <c r="E1972" s="178"/>
      <c r="F1972" s="178"/>
      <c r="G1972" s="181"/>
      <c r="H1972" s="181"/>
      <c r="I1972" s="178"/>
    </row>
    <row r="1973" spans="3:9">
      <c r="C1973" s="178"/>
      <c r="D1973" s="178"/>
      <c r="E1973" s="178"/>
      <c r="F1973" s="178"/>
      <c r="G1973" s="181"/>
      <c r="H1973" s="181"/>
      <c r="I1973" s="178"/>
    </row>
    <row r="1974" spans="3:9">
      <c r="C1974" s="178"/>
      <c r="D1974" s="178"/>
      <c r="E1974" s="178"/>
      <c r="F1974" s="178"/>
      <c r="G1974" s="181"/>
      <c r="H1974" s="181"/>
      <c r="I1974" s="178"/>
    </row>
    <row r="1975" spans="3:9">
      <c r="C1975" s="178"/>
      <c r="D1975" s="178"/>
      <c r="E1975" s="178"/>
      <c r="F1975" s="178"/>
      <c r="G1975" s="181"/>
      <c r="H1975" s="181"/>
      <c r="I1975" s="178"/>
    </row>
    <row r="1976" spans="3:9">
      <c r="C1976" s="178"/>
      <c r="D1976" s="178"/>
      <c r="E1976" s="178"/>
      <c r="F1976" s="178"/>
      <c r="G1976" s="181"/>
      <c r="H1976" s="181"/>
      <c r="I1976" s="178"/>
    </row>
    <row r="1977" spans="3:9">
      <c r="C1977" s="178"/>
      <c r="D1977" s="178"/>
      <c r="E1977" s="178"/>
      <c r="F1977" s="178"/>
      <c r="G1977" s="181"/>
      <c r="H1977" s="181"/>
      <c r="I1977" s="178"/>
    </row>
    <row r="1978" spans="3:9">
      <c r="C1978" s="178"/>
      <c r="D1978" s="178"/>
      <c r="E1978" s="178"/>
      <c r="F1978" s="178"/>
      <c r="G1978" s="181"/>
      <c r="H1978" s="181"/>
      <c r="I1978" s="178"/>
    </row>
    <row r="1979" spans="3:9">
      <c r="C1979" s="178"/>
      <c r="D1979" s="178"/>
      <c r="E1979" s="178"/>
      <c r="F1979" s="178"/>
      <c r="G1979" s="181"/>
      <c r="H1979" s="181"/>
      <c r="I1979" s="178"/>
    </row>
    <row r="1980" spans="3:9">
      <c r="C1980" s="178"/>
      <c r="D1980" s="178"/>
      <c r="E1980" s="178"/>
      <c r="F1980" s="178"/>
      <c r="G1980" s="181"/>
      <c r="H1980" s="181"/>
      <c r="I1980" s="178"/>
    </row>
    <row r="1981" spans="3:9">
      <c r="C1981" s="178"/>
      <c r="D1981" s="178"/>
      <c r="E1981" s="178"/>
      <c r="F1981" s="178"/>
      <c r="G1981" s="181"/>
      <c r="H1981" s="181"/>
      <c r="I1981" s="178"/>
    </row>
    <row r="1982" spans="3:9">
      <c r="C1982" s="178"/>
      <c r="D1982" s="178"/>
      <c r="E1982" s="178"/>
      <c r="F1982" s="178"/>
      <c r="G1982" s="181"/>
      <c r="H1982" s="181"/>
      <c r="I1982" s="178"/>
    </row>
    <row r="1983" spans="3:9">
      <c r="C1983" s="178"/>
      <c r="D1983" s="178"/>
      <c r="E1983" s="178"/>
      <c r="F1983" s="178"/>
      <c r="G1983" s="181"/>
      <c r="H1983" s="181"/>
      <c r="I1983" s="178"/>
    </row>
    <row r="1984" spans="3:9">
      <c r="C1984" s="178"/>
      <c r="D1984" s="178"/>
      <c r="E1984" s="178"/>
      <c r="F1984" s="178"/>
      <c r="G1984" s="181"/>
      <c r="H1984" s="181"/>
      <c r="I1984" s="178"/>
    </row>
    <row r="1985" spans="3:9">
      <c r="C1985" s="178"/>
      <c r="D1985" s="178"/>
      <c r="E1985" s="178"/>
      <c r="F1985" s="178"/>
      <c r="G1985" s="181"/>
      <c r="H1985" s="181"/>
      <c r="I1985" s="178"/>
    </row>
    <row r="1986" spans="3:9">
      <c r="C1986" s="178"/>
      <c r="D1986" s="178"/>
      <c r="E1986" s="178"/>
      <c r="F1986" s="178"/>
      <c r="G1986" s="181"/>
      <c r="H1986" s="181"/>
      <c r="I1986" s="178"/>
    </row>
    <row r="1987" spans="3:9">
      <c r="C1987" s="178"/>
      <c r="D1987" s="178"/>
      <c r="E1987" s="178"/>
      <c r="F1987" s="178"/>
      <c r="G1987" s="181"/>
      <c r="H1987" s="181"/>
      <c r="I1987" s="178"/>
    </row>
    <row r="1988" spans="3:9">
      <c r="C1988" s="178"/>
      <c r="D1988" s="178"/>
      <c r="E1988" s="178"/>
      <c r="F1988" s="178"/>
      <c r="G1988" s="181"/>
      <c r="H1988" s="181"/>
      <c r="I1988" s="178"/>
    </row>
    <row r="1989" spans="3:9">
      <c r="C1989" s="178"/>
      <c r="D1989" s="178"/>
      <c r="E1989" s="178"/>
      <c r="F1989" s="178"/>
      <c r="G1989" s="181"/>
      <c r="H1989" s="181"/>
      <c r="I1989" s="178"/>
    </row>
    <row r="1990" spans="3:9">
      <c r="C1990" s="178"/>
      <c r="D1990" s="178"/>
      <c r="E1990" s="178"/>
      <c r="F1990" s="178"/>
      <c r="G1990" s="181"/>
      <c r="H1990" s="181"/>
      <c r="I1990" s="178"/>
    </row>
    <row r="1991" spans="3:9">
      <c r="C1991" s="178"/>
      <c r="D1991" s="178"/>
      <c r="E1991" s="178"/>
      <c r="F1991" s="178"/>
      <c r="G1991" s="181"/>
      <c r="H1991" s="181"/>
      <c r="I1991" s="178"/>
    </row>
    <row r="1992" spans="3:9">
      <c r="C1992" s="178"/>
      <c r="D1992" s="178"/>
      <c r="E1992" s="178"/>
      <c r="F1992" s="178"/>
      <c r="G1992" s="181"/>
      <c r="H1992" s="181"/>
      <c r="I1992" s="178"/>
    </row>
    <row r="1993" spans="3:9">
      <c r="C1993" s="178"/>
      <c r="D1993" s="178"/>
      <c r="E1993" s="178"/>
      <c r="F1993" s="178"/>
      <c r="G1993" s="181"/>
      <c r="H1993" s="181"/>
      <c r="I1993" s="178"/>
    </row>
    <row r="1994" spans="3:9">
      <c r="C1994" s="178"/>
      <c r="D1994" s="178"/>
      <c r="E1994" s="178"/>
      <c r="F1994" s="178"/>
      <c r="G1994" s="181"/>
      <c r="H1994" s="181"/>
      <c r="I1994" s="178"/>
    </row>
    <row r="1995" spans="3:9">
      <c r="C1995" s="178"/>
      <c r="D1995" s="178"/>
      <c r="E1995" s="178"/>
      <c r="F1995" s="178"/>
      <c r="G1995" s="181"/>
      <c r="H1995" s="181"/>
      <c r="I1995" s="178"/>
    </row>
    <row r="1996" spans="3:9">
      <c r="C1996" s="178"/>
      <c r="D1996" s="178"/>
      <c r="E1996" s="178"/>
      <c r="F1996" s="178"/>
      <c r="G1996" s="181"/>
      <c r="H1996" s="181"/>
      <c r="I1996" s="178"/>
    </row>
    <row r="1997" spans="3:9">
      <c r="C1997" s="178"/>
      <c r="D1997" s="178"/>
      <c r="E1997" s="178"/>
      <c r="F1997" s="178"/>
      <c r="G1997" s="181"/>
      <c r="H1997" s="181"/>
      <c r="I1997" s="178"/>
    </row>
    <row r="1998" spans="3:9">
      <c r="C1998" s="178"/>
      <c r="D1998" s="178"/>
      <c r="E1998" s="178"/>
      <c r="F1998" s="178"/>
      <c r="G1998" s="181"/>
      <c r="H1998" s="181"/>
      <c r="I1998" s="178"/>
    </row>
    <row r="1999" spans="3:9">
      <c r="C1999" s="178"/>
      <c r="D1999" s="178"/>
      <c r="E1999" s="178"/>
      <c r="F1999" s="178"/>
      <c r="G1999" s="181"/>
      <c r="H1999" s="181"/>
      <c r="I1999" s="178"/>
    </row>
    <row r="2000" spans="3:9">
      <c r="C2000" s="178"/>
      <c r="D2000" s="178"/>
      <c r="E2000" s="178"/>
      <c r="F2000" s="178"/>
      <c r="G2000" s="181"/>
      <c r="H2000" s="181"/>
      <c r="I2000" s="178"/>
    </row>
    <row r="2001" spans="3:9">
      <c r="C2001" s="178"/>
      <c r="D2001" s="178"/>
      <c r="E2001" s="178"/>
      <c r="F2001" s="178"/>
      <c r="G2001" s="181"/>
      <c r="H2001" s="181"/>
      <c r="I2001" s="178"/>
    </row>
    <row r="2002" spans="3:9">
      <c r="C2002" s="178"/>
      <c r="D2002" s="178"/>
      <c r="E2002" s="178"/>
      <c r="F2002" s="178"/>
      <c r="G2002" s="181"/>
      <c r="H2002" s="181"/>
      <c r="I2002" s="178"/>
    </row>
    <row r="2003" spans="3:9">
      <c r="C2003" s="178"/>
      <c r="D2003" s="178"/>
      <c r="E2003" s="178"/>
      <c r="F2003" s="178"/>
      <c r="G2003" s="181"/>
      <c r="H2003" s="181"/>
      <c r="I2003" s="178"/>
    </row>
    <row r="2004" spans="3:9">
      <c r="C2004" s="178"/>
      <c r="D2004" s="178"/>
      <c r="E2004" s="178"/>
      <c r="F2004" s="178"/>
      <c r="G2004" s="181"/>
      <c r="H2004" s="181"/>
      <c r="I2004" s="178"/>
    </row>
    <row r="2005" spans="3:9">
      <c r="C2005" s="178"/>
      <c r="D2005" s="178"/>
      <c r="E2005" s="178"/>
      <c r="F2005" s="178"/>
      <c r="G2005" s="181"/>
      <c r="H2005" s="181"/>
      <c r="I2005" s="178"/>
    </row>
    <row r="2006" spans="3:9">
      <c r="C2006" s="178"/>
      <c r="D2006" s="178"/>
      <c r="E2006" s="178"/>
      <c r="F2006" s="178"/>
      <c r="G2006" s="181"/>
      <c r="H2006" s="181"/>
      <c r="I2006" s="178"/>
    </row>
    <row r="2007" spans="3:9">
      <c r="C2007" s="178"/>
      <c r="D2007" s="178"/>
      <c r="E2007" s="178"/>
      <c r="F2007" s="178"/>
      <c r="G2007" s="181"/>
      <c r="H2007" s="181"/>
      <c r="I2007" s="178"/>
    </row>
    <row r="2008" spans="3:9">
      <c r="C2008" s="178"/>
      <c r="D2008" s="178"/>
      <c r="E2008" s="178"/>
      <c r="F2008" s="178"/>
      <c r="G2008" s="181"/>
      <c r="H2008" s="181"/>
      <c r="I2008" s="178"/>
    </row>
    <row r="2009" spans="3:9">
      <c r="C2009" s="178"/>
      <c r="D2009" s="178"/>
      <c r="E2009" s="178"/>
      <c r="F2009" s="178"/>
      <c r="G2009" s="181"/>
      <c r="H2009" s="181"/>
      <c r="I2009" s="178"/>
    </row>
    <row r="2010" spans="3:9">
      <c r="C2010" s="178"/>
      <c r="D2010" s="178"/>
      <c r="E2010" s="178"/>
      <c r="F2010" s="178"/>
      <c r="G2010" s="181"/>
      <c r="H2010" s="181"/>
      <c r="I2010" s="178"/>
    </row>
    <row r="2011" spans="3:9">
      <c r="C2011" s="178"/>
      <c r="D2011" s="178"/>
      <c r="E2011" s="178"/>
      <c r="F2011" s="178"/>
      <c r="G2011" s="181"/>
      <c r="H2011" s="181"/>
      <c r="I2011" s="178"/>
    </row>
    <row r="2012" spans="3:9">
      <c r="C2012" s="178"/>
      <c r="D2012" s="178"/>
      <c r="E2012" s="178"/>
      <c r="F2012" s="178"/>
      <c r="G2012" s="181"/>
      <c r="H2012" s="181"/>
      <c r="I2012" s="178"/>
    </row>
    <row r="2013" spans="3:9">
      <c r="C2013" s="178"/>
      <c r="D2013" s="178"/>
      <c r="E2013" s="178"/>
      <c r="F2013" s="178"/>
      <c r="G2013" s="181"/>
      <c r="H2013" s="181"/>
      <c r="I2013" s="178"/>
    </row>
    <row r="2014" spans="3:9">
      <c r="C2014" s="178"/>
      <c r="D2014" s="178"/>
      <c r="E2014" s="178"/>
      <c r="F2014" s="178"/>
      <c r="G2014" s="181"/>
      <c r="H2014" s="181"/>
      <c r="I2014" s="178"/>
    </row>
    <row r="2015" spans="3:9">
      <c r="C2015" s="178"/>
      <c r="D2015" s="178"/>
      <c r="E2015" s="178"/>
      <c r="F2015" s="178"/>
      <c r="G2015" s="181"/>
      <c r="H2015" s="181"/>
      <c r="I2015" s="178"/>
    </row>
    <row r="2016" spans="3:9">
      <c r="C2016" s="178"/>
      <c r="D2016" s="178"/>
      <c r="E2016" s="178"/>
      <c r="F2016" s="178"/>
      <c r="G2016" s="181"/>
      <c r="H2016" s="181"/>
      <c r="I2016" s="178"/>
    </row>
    <row r="2017" spans="3:9">
      <c r="C2017" s="178"/>
      <c r="D2017" s="178"/>
      <c r="E2017" s="178"/>
      <c r="F2017" s="178"/>
      <c r="G2017" s="181"/>
      <c r="H2017" s="181"/>
      <c r="I2017" s="178"/>
    </row>
    <row r="2018" spans="3:9">
      <c r="C2018" s="178"/>
      <c r="D2018" s="178"/>
      <c r="E2018" s="178"/>
      <c r="F2018" s="178"/>
      <c r="G2018" s="181"/>
      <c r="H2018" s="181"/>
      <c r="I2018" s="178"/>
    </row>
    <row r="2019" spans="3:9">
      <c r="C2019" s="178"/>
      <c r="D2019" s="178"/>
      <c r="E2019" s="178"/>
      <c r="F2019" s="178"/>
      <c r="G2019" s="181"/>
      <c r="H2019" s="181"/>
      <c r="I2019" s="178"/>
    </row>
    <row r="2020" spans="3:9">
      <c r="C2020" s="178"/>
      <c r="D2020" s="178"/>
      <c r="E2020" s="178"/>
      <c r="F2020" s="178"/>
      <c r="G2020" s="181"/>
      <c r="H2020" s="181"/>
      <c r="I2020" s="178"/>
    </row>
    <row r="2021" spans="3:9">
      <c r="C2021" s="178"/>
      <c r="D2021" s="178"/>
      <c r="E2021" s="178"/>
      <c r="F2021" s="178"/>
      <c r="G2021" s="181"/>
      <c r="H2021" s="181"/>
      <c r="I2021" s="178"/>
    </row>
    <row r="2022" spans="3:9">
      <c r="C2022" s="178"/>
      <c r="D2022" s="178"/>
      <c r="E2022" s="178"/>
      <c r="F2022" s="178"/>
      <c r="G2022" s="181"/>
      <c r="H2022" s="181"/>
      <c r="I2022" s="178"/>
    </row>
    <row r="2023" spans="3:9">
      <c r="C2023" s="178"/>
      <c r="D2023" s="178"/>
      <c r="E2023" s="178"/>
      <c r="F2023" s="178"/>
      <c r="G2023" s="181"/>
      <c r="H2023" s="181"/>
      <c r="I2023" s="178"/>
    </row>
    <row r="2024" spans="3:9">
      <c r="C2024" s="178"/>
      <c r="D2024" s="178"/>
      <c r="E2024" s="178"/>
      <c r="F2024" s="178"/>
      <c r="G2024" s="181"/>
      <c r="H2024" s="181"/>
      <c r="I2024" s="178"/>
    </row>
    <row r="2025" spans="3:9">
      <c r="C2025" s="178"/>
      <c r="D2025" s="178"/>
      <c r="E2025" s="178"/>
      <c r="F2025" s="178"/>
      <c r="G2025" s="181"/>
      <c r="H2025" s="181"/>
      <c r="I2025" s="178"/>
    </row>
    <row r="2026" spans="3:9">
      <c r="C2026" s="178"/>
      <c r="D2026" s="178"/>
      <c r="E2026" s="178"/>
      <c r="F2026" s="178"/>
      <c r="G2026" s="181"/>
      <c r="H2026" s="181"/>
      <c r="I2026" s="178"/>
    </row>
    <row r="2027" spans="3:9">
      <c r="C2027" s="178"/>
      <c r="D2027" s="178"/>
      <c r="E2027" s="178"/>
      <c r="F2027" s="178"/>
      <c r="G2027" s="181"/>
      <c r="H2027" s="181"/>
      <c r="I2027" s="178"/>
    </row>
    <row r="2028" spans="3:9">
      <c r="C2028" s="178"/>
      <c r="D2028" s="178"/>
      <c r="E2028" s="178"/>
      <c r="F2028" s="178"/>
      <c r="G2028" s="181"/>
      <c r="H2028" s="181"/>
      <c r="I2028" s="178"/>
    </row>
    <row r="2029" spans="3:9">
      <c r="C2029" s="178"/>
      <c r="D2029" s="178"/>
      <c r="E2029" s="178"/>
      <c r="F2029" s="178"/>
      <c r="G2029" s="181"/>
      <c r="H2029" s="181"/>
      <c r="I2029" s="178"/>
    </row>
    <row r="2030" spans="3:9">
      <c r="C2030" s="178"/>
      <c r="D2030" s="178"/>
      <c r="E2030" s="178"/>
      <c r="F2030" s="178"/>
      <c r="G2030" s="181"/>
      <c r="H2030" s="181"/>
      <c r="I2030" s="178"/>
    </row>
    <row r="2031" spans="3:9">
      <c r="C2031" s="178"/>
      <c r="D2031" s="178"/>
      <c r="E2031" s="178"/>
      <c r="F2031" s="178"/>
      <c r="G2031" s="181"/>
      <c r="H2031" s="181"/>
      <c r="I2031" s="178"/>
    </row>
    <row r="2032" spans="3:9">
      <c r="C2032" s="178"/>
      <c r="D2032" s="178"/>
      <c r="E2032" s="178"/>
      <c r="F2032" s="178"/>
      <c r="G2032" s="181"/>
      <c r="H2032" s="181"/>
      <c r="I2032" s="178"/>
    </row>
    <row r="2033" spans="3:9">
      <c r="C2033" s="178"/>
      <c r="D2033" s="178"/>
      <c r="E2033" s="178"/>
      <c r="F2033" s="178"/>
      <c r="G2033" s="181"/>
      <c r="H2033" s="181"/>
      <c r="I2033" s="178"/>
    </row>
    <row r="2034" spans="3:9">
      <c r="C2034" s="178"/>
      <c r="D2034" s="178"/>
      <c r="E2034" s="178"/>
      <c r="F2034" s="178"/>
      <c r="G2034" s="181"/>
      <c r="H2034" s="181"/>
      <c r="I2034" s="178"/>
    </row>
    <row r="2035" spans="3:9">
      <c r="C2035" s="178"/>
      <c r="D2035" s="178"/>
      <c r="E2035" s="178"/>
      <c r="F2035" s="178"/>
      <c r="G2035" s="181"/>
      <c r="H2035" s="181"/>
      <c r="I2035" s="178"/>
    </row>
    <row r="2036" spans="3:9">
      <c r="C2036" s="178"/>
      <c r="D2036" s="178"/>
      <c r="E2036" s="178"/>
      <c r="F2036" s="178"/>
      <c r="G2036" s="181"/>
      <c r="H2036" s="181"/>
      <c r="I2036" s="178"/>
    </row>
    <row r="2037" spans="3:9">
      <c r="C2037" s="178"/>
      <c r="D2037" s="178"/>
      <c r="E2037" s="178"/>
      <c r="F2037" s="178"/>
      <c r="G2037" s="181"/>
      <c r="H2037" s="181"/>
      <c r="I2037" s="178"/>
    </row>
    <row r="2038" spans="3:9">
      <c r="C2038" s="178"/>
      <c r="D2038" s="178"/>
      <c r="E2038" s="178"/>
      <c r="F2038" s="178"/>
      <c r="G2038" s="181"/>
      <c r="H2038" s="181"/>
      <c r="I2038" s="178"/>
    </row>
    <row r="2039" spans="3:9">
      <c r="C2039" s="178"/>
      <c r="D2039" s="178"/>
      <c r="E2039" s="178"/>
      <c r="F2039" s="178"/>
      <c r="G2039" s="181"/>
      <c r="H2039" s="181"/>
      <c r="I2039" s="178"/>
    </row>
    <row r="2040" spans="3:9">
      <c r="C2040" s="178"/>
      <c r="D2040" s="178"/>
      <c r="E2040" s="178"/>
      <c r="F2040" s="178"/>
      <c r="G2040" s="181"/>
      <c r="H2040" s="181"/>
      <c r="I2040" s="178"/>
    </row>
    <row r="2041" spans="3:9">
      <c r="C2041" s="178"/>
      <c r="D2041" s="178"/>
      <c r="E2041" s="178"/>
      <c r="F2041" s="178"/>
      <c r="G2041" s="181"/>
      <c r="H2041" s="181"/>
      <c r="I2041" s="178"/>
    </row>
    <row r="2042" spans="3:9">
      <c r="C2042" s="178"/>
      <c r="D2042" s="178"/>
      <c r="E2042" s="178"/>
      <c r="F2042" s="178"/>
      <c r="G2042" s="181"/>
      <c r="H2042" s="181"/>
      <c r="I2042" s="178"/>
    </row>
    <row r="2043" spans="3:9">
      <c r="C2043" s="178"/>
      <c r="D2043" s="178"/>
      <c r="E2043" s="178"/>
      <c r="F2043" s="178"/>
      <c r="G2043" s="181"/>
      <c r="H2043" s="181"/>
      <c r="I2043" s="178"/>
    </row>
    <row r="2044" spans="3:9">
      <c r="C2044" s="178"/>
      <c r="D2044" s="178"/>
      <c r="E2044" s="178"/>
      <c r="F2044" s="178"/>
      <c r="G2044" s="181"/>
      <c r="H2044" s="181"/>
      <c r="I2044" s="178"/>
    </row>
    <row r="2045" spans="3:9">
      <c r="C2045" s="178"/>
      <c r="D2045" s="178"/>
      <c r="E2045" s="178"/>
      <c r="F2045" s="178"/>
      <c r="G2045" s="181"/>
      <c r="H2045" s="181"/>
      <c r="I2045" s="178"/>
    </row>
    <row r="2046" spans="3:9">
      <c r="C2046" s="178"/>
      <c r="D2046" s="178"/>
      <c r="E2046" s="178"/>
      <c r="F2046" s="178"/>
      <c r="G2046" s="181"/>
      <c r="H2046" s="181"/>
      <c r="I2046" s="178"/>
    </row>
    <row r="2047" spans="3:9">
      <c r="C2047" s="178"/>
      <c r="D2047" s="178"/>
      <c r="E2047" s="178"/>
      <c r="F2047" s="178"/>
      <c r="G2047" s="181"/>
      <c r="H2047" s="181"/>
      <c r="I2047" s="178"/>
    </row>
    <row r="2048" spans="3:9">
      <c r="C2048" s="178"/>
      <c r="D2048" s="178"/>
      <c r="E2048" s="178"/>
      <c r="F2048" s="178"/>
      <c r="G2048" s="181"/>
      <c r="H2048" s="181"/>
      <c r="I2048" s="178"/>
    </row>
    <row r="2049" spans="3:9">
      <c r="C2049" s="178"/>
      <c r="D2049" s="178"/>
      <c r="E2049" s="178"/>
      <c r="F2049" s="178"/>
      <c r="G2049" s="181"/>
      <c r="H2049" s="181"/>
      <c r="I2049" s="178"/>
    </row>
    <row r="2050" spans="3:9">
      <c r="C2050" s="178"/>
      <c r="D2050" s="178"/>
      <c r="E2050" s="178"/>
      <c r="F2050" s="178"/>
      <c r="G2050" s="181"/>
      <c r="H2050" s="181"/>
      <c r="I2050" s="178"/>
    </row>
    <row r="2051" spans="3:9">
      <c r="C2051" s="178"/>
      <c r="D2051" s="178"/>
      <c r="E2051" s="178"/>
      <c r="F2051" s="178"/>
      <c r="G2051" s="181"/>
      <c r="H2051" s="181"/>
      <c r="I2051" s="178"/>
    </row>
    <row r="2052" spans="3:9">
      <c r="C2052" s="178"/>
      <c r="D2052" s="178"/>
      <c r="E2052" s="178"/>
      <c r="F2052" s="178"/>
      <c r="G2052" s="181"/>
      <c r="H2052" s="181"/>
      <c r="I2052" s="178"/>
    </row>
    <row r="2053" spans="3:9">
      <c r="C2053" s="178"/>
      <c r="D2053" s="178"/>
      <c r="E2053" s="178"/>
      <c r="F2053" s="178"/>
      <c r="G2053" s="181"/>
      <c r="H2053" s="181"/>
      <c r="I2053" s="178"/>
    </row>
    <row r="2054" spans="3:9">
      <c r="C2054" s="178"/>
      <c r="D2054" s="178"/>
      <c r="E2054" s="178"/>
      <c r="F2054" s="178"/>
      <c r="G2054" s="181"/>
      <c r="H2054" s="181"/>
      <c r="I2054" s="178"/>
    </row>
    <row r="2055" spans="3:9">
      <c r="C2055" s="178"/>
      <c r="D2055" s="178"/>
      <c r="E2055" s="178"/>
      <c r="F2055" s="178"/>
      <c r="G2055" s="181"/>
      <c r="H2055" s="181"/>
      <c r="I2055" s="178"/>
    </row>
    <row r="2056" spans="3:9">
      <c r="C2056" s="178"/>
      <c r="D2056" s="178"/>
      <c r="E2056" s="178"/>
      <c r="F2056" s="178"/>
      <c r="G2056" s="181"/>
      <c r="H2056" s="181"/>
      <c r="I2056" s="178"/>
    </row>
    <row r="2057" spans="3:9">
      <c r="C2057" s="178"/>
      <c r="D2057" s="178"/>
      <c r="E2057" s="178"/>
      <c r="F2057" s="178"/>
      <c r="G2057" s="181"/>
      <c r="H2057" s="181"/>
      <c r="I2057" s="178"/>
    </row>
    <row r="2058" spans="3:9">
      <c r="C2058" s="178"/>
      <c r="D2058" s="178"/>
      <c r="E2058" s="178"/>
      <c r="F2058" s="178"/>
      <c r="G2058" s="181"/>
      <c r="H2058" s="181"/>
      <c r="I2058" s="178"/>
    </row>
    <row r="2059" spans="3:9">
      <c r="C2059" s="178"/>
      <c r="D2059" s="178"/>
      <c r="E2059" s="178"/>
      <c r="F2059" s="178"/>
      <c r="G2059" s="181"/>
      <c r="H2059" s="181"/>
      <c r="I2059" s="178"/>
    </row>
    <row r="2060" spans="3:9">
      <c r="C2060" s="178"/>
      <c r="D2060" s="178"/>
      <c r="E2060" s="178"/>
      <c r="F2060" s="178"/>
      <c r="G2060" s="181"/>
      <c r="H2060" s="181"/>
      <c r="I2060" s="178"/>
    </row>
    <row r="2061" spans="3:9">
      <c r="C2061" s="178"/>
      <c r="D2061" s="178"/>
      <c r="E2061" s="178"/>
      <c r="F2061" s="178"/>
      <c r="G2061" s="181"/>
      <c r="H2061" s="181"/>
      <c r="I2061" s="178"/>
    </row>
    <row r="2062" spans="3:9">
      <c r="C2062" s="178"/>
      <c r="D2062" s="178"/>
      <c r="E2062" s="178"/>
      <c r="F2062" s="178"/>
      <c r="G2062" s="181"/>
      <c r="H2062" s="181"/>
      <c r="I2062" s="178"/>
    </row>
    <row r="2063" spans="3:9">
      <c r="C2063" s="178"/>
      <c r="D2063" s="178"/>
      <c r="E2063" s="178"/>
      <c r="F2063" s="178"/>
      <c r="G2063" s="181"/>
      <c r="H2063" s="181"/>
      <c r="I2063" s="178"/>
    </row>
    <row r="2064" spans="3:9">
      <c r="C2064" s="178"/>
      <c r="D2064" s="178"/>
      <c r="E2064" s="178"/>
      <c r="F2064" s="178"/>
      <c r="G2064" s="181"/>
      <c r="H2064" s="181"/>
      <c r="I2064" s="178"/>
    </row>
    <row r="2065" spans="3:9">
      <c r="C2065" s="178"/>
      <c r="D2065" s="178"/>
      <c r="E2065" s="178"/>
      <c r="F2065" s="178"/>
      <c r="G2065" s="181"/>
      <c r="H2065" s="181"/>
      <c r="I2065" s="178"/>
    </row>
    <row r="2066" spans="3:9">
      <c r="C2066" s="178"/>
      <c r="D2066" s="178"/>
      <c r="E2066" s="178"/>
      <c r="F2066" s="178"/>
      <c r="G2066" s="181"/>
      <c r="H2066" s="181"/>
      <c r="I2066" s="178"/>
    </row>
    <row r="2067" spans="3:9">
      <c r="C2067" s="178"/>
      <c r="D2067" s="178"/>
      <c r="E2067" s="178"/>
      <c r="F2067" s="178"/>
      <c r="G2067" s="181"/>
      <c r="H2067" s="181"/>
      <c r="I2067" s="178"/>
    </row>
    <row r="2068" spans="3:9">
      <c r="C2068" s="178"/>
      <c r="D2068" s="178"/>
      <c r="E2068" s="178"/>
      <c r="F2068" s="178"/>
      <c r="G2068" s="181"/>
      <c r="H2068" s="181"/>
      <c r="I2068" s="178"/>
    </row>
    <row r="2069" spans="3:9">
      <c r="C2069" s="178"/>
      <c r="D2069" s="178"/>
      <c r="E2069" s="178"/>
      <c r="F2069" s="178"/>
      <c r="G2069" s="181"/>
      <c r="H2069" s="181"/>
      <c r="I2069" s="178"/>
    </row>
    <row r="2070" spans="3:9">
      <c r="C2070" s="178"/>
      <c r="D2070" s="178"/>
      <c r="E2070" s="178"/>
      <c r="F2070" s="178"/>
      <c r="G2070" s="181"/>
      <c r="H2070" s="181"/>
      <c r="I2070" s="178"/>
    </row>
    <row r="2071" spans="3:9">
      <c r="C2071" s="178"/>
      <c r="D2071" s="178"/>
      <c r="E2071" s="178"/>
      <c r="F2071" s="178"/>
      <c r="G2071" s="181"/>
      <c r="H2071" s="181"/>
      <c r="I2071" s="178"/>
    </row>
    <row r="2072" spans="3:9">
      <c r="C2072" s="178"/>
      <c r="D2072" s="178"/>
      <c r="E2072" s="178"/>
      <c r="F2072" s="178"/>
      <c r="G2072" s="181"/>
      <c r="H2072" s="181"/>
      <c r="I2072" s="178"/>
    </row>
    <row r="2073" spans="3:9">
      <c r="C2073" s="178"/>
      <c r="D2073" s="178"/>
      <c r="E2073" s="178"/>
      <c r="F2073" s="178"/>
      <c r="G2073" s="181"/>
      <c r="H2073" s="181"/>
      <c r="I2073" s="178"/>
    </row>
    <row r="2074" spans="3:9">
      <c r="C2074" s="178"/>
      <c r="D2074" s="178"/>
      <c r="E2074" s="178"/>
      <c r="F2074" s="178"/>
      <c r="G2074" s="181"/>
      <c r="H2074" s="181"/>
      <c r="I2074" s="178"/>
    </row>
    <row r="2075" spans="3:9">
      <c r="C2075" s="178"/>
      <c r="D2075" s="178"/>
      <c r="E2075" s="178"/>
      <c r="F2075" s="178"/>
      <c r="G2075" s="181"/>
      <c r="H2075" s="181"/>
      <c r="I2075" s="178"/>
    </row>
    <row r="2076" spans="3:9">
      <c r="C2076" s="178"/>
      <c r="D2076" s="178"/>
      <c r="E2076" s="178"/>
      <c r="F2076" s="178"/>
      <c r="G2076" s="181"/>
      <c r="H2076" s="181"/>
      <c r="I2076" s="178"/>
    </row>
    <row r="2077" spans="3:9">
      <c r="C2077" s="178"/>
      <c r="D2077" s="178"/>
      <c r="E2077" s="178"/>
      <c r="F2077" s="178"/>
      <c r="G2077" s="181"/>
      <c r="H2077" s="181"/>
      <c r="I2077" s="178"/>
    </row>
    <row r="2078" spans="3:9">
      <c r="C2078" s="178"/>
      <c r="D2078" s="178"/>
      <c r="E2078" s="178"/>
      <c r="F2078" s="178"/>
      <c r="G2078" s="181"/>
      <c r="H2078" s="181"/>
      <c r="I2078" s="178"/>
    </row>
    <row r="2079" spans="3:9">
      <c r="C2079" s="178"/>
      <c r="D2079" s="178"/>
      <c r="E2079" s="178"/>
      <c r="F2079" s="178"/>
      <c r="G2079" s="181"/>
      <c r="H2079" s="181"/>
      <c r="I2079" s="178"/>
    </row>
    <row r="2080" spans="3:9">
      <c r="C2080" s="178"/>
      <c r="D2080" s="178"/>
      <c r="E2080" s="178"/>
      <c r="F2080" s="178"/>
      <c r="G2080" s="181"/>
      <c r="H2080" s="181"/>
      <c r="I2080" s="178"/>
    </row>
    <row r="2081" spans="3:9">
      <c r="C2081" s="178"/>
      <c r="D2081" s="178"/>
      <c r="E2081" s="178"/>
      <c r="F2081" s="178"/>
      <c r="G2081" s="181"/>
      <c r="H2081" s="181"/>
      <c r="I2081" s="178"/>
    </row>
    <row r="2082" spans="3:9">
      <c r="C2082" s="178"/>
      <c r="D2082" s="178"/>
      <c r="E2082" s="178"/>
      <c r="F2082" s="178"/>
      <c r="G2082" s="181"/>
      <c r="H2082" s="181"/>
      <c r="I2082" s="178"/>
    </row>
    <row r="2083" spans="3:9">
      <c r="C2083" s="178"/>
      <c r="D2083" s="178"/>
      <c r="E2083" s="178"/>
      <c r="F2083" s="178"/>
      <c r="G2083" s="181"/>
      <c r="H2083" s="181"/>
      <c r="I2083" s="178"/>
    </row>
    <row r="2084" spans="3:9">
      <c r="C2084" s="178"/>
      <c r="D2084" s="178"/>
      <c r="E2084" s="178"/>
      <c r="F2084" s="178"/>
      <c r="G2084" s="181"/>
      <c r="H2084" s="181"/>
      <c r="I2084" s="178"/>
    </row>
    <row r="2085" spans="3:9">
      <c r="C2085" s="178"/>
      <c r="D2085" s="178"/>
      <c r="E2085" s="178"/>
      <c r="F2085" s="178"/>
      <c r="G2085" s="181"/>
      <c r="H2085" s="181"/>
      <c r="I2085" s="178"/>
    </row>
    <row r="2086" spans="3:9">
      <c r="C2086" s="178"/>
      <c r="D2086" s="178"/>
      <c r="E2086" s="178"/>
      <c r="F2086" s="178"/>
      <c r="G2086" s="181"/>
      <c r="H2086" s="181"/>
      <c r="I2086" s="178"/>
    </row>
    <row r="2087" spans="3:9">
      <c r="C2087" s="178"/>
      <c r="D2087" s="178"/>
      <c r="E2087" s="178"/>
      <c r="F2087" s="178"/>
      <c r="G2087" s="181"/>
      <c r="H2087" s="181"/>
      <c r="I2087" s="178"/>
    </row>
    <row r="2088" spans="3:9">
      <c r="C2088" s="178"/>
      <c r="D2088" s="178"/>
      <c r="E2088" s="178"/>
      <c r="F2088" s="178"/>
      <c r="G2088" s="181"/>
      <c r="H2088" s="181"/>
      <c r="I2088" s="178"/>
    </row>
    <row r="2089" spans="3:9">
      <c r="C2089" s="178"/>
      <c r="D2089" s="178"/>
      <c r="E2089" s="178"/>
      <c r="F2089" s="178"/>
      <c r="G2089" s="181"/>
      <c r="H2089" s="181"/>
      <c r="I2089" s="178"/>
    </row>
    <row r="2090" spans="3:9">
      <c r="C2090" s="178"/>
      <c r="D2090" s="178"/>
      <c r="E2090" s="178"/>
      <c r="F2090" s="178"/>
      <c r="G2090" s="181"/>
      <c r="H2090" s="181"/>
      <c r="I2090" s="178"/>
    </row>
    <row r="2091" spans="3:9">
      <c r="C2091" s="178"/>
      <c r="D2091" s="178"/>
      <c r="E2091" s="178"/>
      <c r="F2091" s="178"/>
      <c r="G2091" s="181"/>
      <c r="H2091" s="181"/>
      <c r="I2091" s="178"/>
    </row>
    <row r="2092" spans="3:9">
      <c r="C2092" s="178"/>
      <c r="D2092" s="178"/>
      <c r="E2092" s="178"/>
      <c r="F2092" s="178"/>
      <c r="G2092" s="181"/>
      <c r="H2092" s="181"/>
      <c r="I2092" s="178"/>
    </row>
    <row r="2093" spans="3:9">
      <c r="C2093" s="178"/>
      <c r="D2093" s="178"/>
      <c r="E2093" s="178"/>
      <c r="F2093" s="178"/>
      <c r="G2093" s="181"/>
      <c r="H2093" s="181"/>
      <c r="I2093" s="178"/>
    </row>
    <row r="2094" spans="3:9">
      <c r="C2094" s="178"/>
      <c r="D2094" s="178"/>
      <c r="E2094" s="178"/>
      <c r="F2094" s="178"/>
      <c r="G2094" s="181"/>
      <c r="H2094" s="181"/>
      <c r="I2094" s="178"/>
    </row>
    <row r="2095" spans="3:9">
      <c r="C2095" s="178"/>
      <c r="D2095" s="178"/>
      <c r="E2095" s="178"/>
      <c r="F2095" s="178"/>
      <c r="G2095" s="181"/>
      <c r="H2095" s="181"/>
      <c r="I2095" s="178"/>
    </row>
    <row r="2096" spans="3:9">
      <c r="C2096" s="178"/>
      <c r="D2096" s="178"/>
      <c r="E2096" s="178"/>
      <c r="F2096" s="178"/>
      <c r="G2096" s="181"/>
      <c r="H2096" s="181"/>
      <c r="I2096" s="178"/>
    </row>
    <row r="2097" spans="3:9">
      <c r="C2097" s="178"/>
      <c r="D2097" s="178"/>
      <c r="E2097" s="178"/>
      <c r="F2097" s="178"/>
      <c r="G2097" s="181"/>
      <c r="H2097" s="181"/>
      <c r="I2097" s="178"/>
    </row>
    <row r="2098" spans="3:9">
      <c r="C2098" s="178"/>
      <c r="D2098" s="178"/>
      <c r="E2098" s="178"/>
      <c r="F2098" s="178"/>
      <c r="G2098" s="181"/>
      <c r="H2098" s="181"/>
      <c r="I2098" s="178"/>
    </row>
    <row r="2099" spans="3:9">
      <c r="C2099" s="178"/>
      <c r="D2099" s="178"/>
      <c r="E2099" s="178"/>
      <c r="F2099" s="178"/>
      <c r="G2099" s="181"/>
      <c r="H2099" s="181"/>
      <c r="I2099" s="178"/>
    </row>
    <row r="2100" spans="3:9">
      <c r="C2100" s="178"/>
      <c r="D2100" s="178"/>
      <c r="E2100" s="178"/>
      <c r="F2100" s="178"/>
      <c r="G2100" s="181"/>
      <c r="H2100" s="181"/>
      <c r="I2100" s="178"/>
    </row>
    <row r="2101" spans="3:9">
      <c r="C2101" s="178"/>
      <c r="D2101" s="178"/>
      <c r="E2101" s="178"/>
      <c r="F2101" s="178"/>
      <c r="G2101" s="181"/>
      <c r="H2101" s="181"/>
      <c r="I2101" s="178"/>
    </row>
    <row r="2102" spans="3:9">
      <c r="C2102" s="178"/>
      <c r="D2102" s="178"/>
      <c r="E2102" s="178"/>
      <c r="F2102" s="178"/>
      <c r="G2102" s="181"/>
      <c r="H2102" s="181"/>
      <c r="I2102" s="178"/>
    </row>
    <row r="2103" spans="3:9">
      <c r="C2103" s="178"/>
      <c r="D2103" s="178"/>
      <c r="E2103" s="178"/>
      <c r="F2103" s="178"/>
      <c r="G2103" s="181"/>
      <c r="H2103" s="181"/>
      <c r="I2103" s="178"/>
    </row>
    <row r="2104" spans="3:9">
      <c r="C2104" s="178"/>
      <c r="D2104" s="178"/>
      <c r="E2104" s="178"/>
      <c r="F2104" s="178"/>
      <c r="G2104" s="181"/>
      <c r="H2104" s="181"/>
      <c r="I2104" s="178"/>
    </row>
    <row r="2105" spans="3:9">
      <c r="C2105" s="178"/>
      <c r="D2105" s="178"/>
      <c r="E2105" s="178"/>
      <c r="F2105" s="178"/>
      <c r="G2105" s="181"/>
      <c r="H2105" s="181"/>
      <c r="I2105" s="178"/>
    </row>
    <row r="2106" spans="3:9">
      <c r="C2106" s="178"/>
      <c r="D2106" s="178"/>
      <c r="E2106" s="178"/>
      <c r="F2106" s="178"/>
      <c r="G2106" s="181"/>
      <c r="H2106" s="181"/>
      <c r="I2106" s="178"/>
    </row>
    <row r="2107" spans="3:9">
      <c r="C2107" s="178"/>
      <c r="D2107" s="178"/>
      <c r="E2107" s="178"/>
      <c r="F2107" s="178"/>
      <c r="G2107" s="181"/>
      <c r="H2107" s="181"/>
      <c r="I2107" s="178"/>
    </row>
    <row r="2108" spans="3:9">
      <c r="C2108" s="178"/>
      <c r="D2108" s="178"/>
      <c r="E2108" s="178"/>
      <c r="F2108" s="178"/>
      <c r="G2108" s="181"/>
      <c r="H2108" s="181"/>
      <c r="I2108" s="178"/>
    </row>
    <row r="2109" spans="3:9">
      <c r="C2109" s="178"/>
      <c r="D2109" s="178"/>
      <c r="E2109" s="178"/>
      <c r="F2109" s="178"/>
      <c r="G2109" s="181"/>
      <c r="H2109" s="181"/>
      <c r="I2109" s="178"/>
    </row>
    <row r="2110" spans="3:9">
      <c r="C2110" s="178"/>
      <c r="D2110" s="178"/>
      <c r="E2110" s="178"/>
      <c r="F2110" s="178"/>
      <c r="G2110" s="181"/>
      <c r="H2110" s="181"/>
      <c r="I2110" s="178"/>
    </row>
    <row r="2111" spans="3:9">
      <c r="C2111" s="178"/>
      <c r="D2111" s="178"/>
      <c r="E2111" s="178"/>
      <c r="F2111" s="178"/>
      <c r="G2111" s="181"/>
      <c r="H2111" s="181"/>
      <c r="I2111" s="178"/>
    </row>
    <row r="2112" spans="3:9">
      <c r="C2112" s="178"/>
      <c r="D2112" s="178"/>
      <c r="E2112" s="178"/>
      <c r="F2112" s="178"/>
      <c r="G2112" s="181"/>
      <c r="H2112" s="181"/>
      <c r="I2112" s="178"/>
    </row>
    <row r="2113" spans="3:9">
      <c r="C2113" s="178"/>
      <c r="D2113" s="178"/>
      <c r="E2113" s="178"/>
      <c r="F2113" s="178"/>
      <c r="G2113" s="181"/>
      <c r="H2113" s="181"/>
      <c r="I2113" s="178"/>
    </row>
    <row r="2114" spans="3:9">
      <c r="C2114" s="178"/>
      <c r="D2114" s="178"/>
      <c r="E2114" s="178"/>
      <c r="F2114" s="178"/>
      <c r="G2114" s="181"/>
      <c r="H2114" s="181"/>
      <c r="I2114" s="178"/>
    </row>
    <row r="2115" spans="3:9">
      <c r="C2115" s="178"/>
      <c r="D2115" s="178"/>
      <c r="E2115" s="178"/>
      <c r="F2115" s="178"/>
      <c r="G2115" s="181"/>
      <c r="H2115" s="181"/>
      <c r="I2115" s="178"/>
    </row>
    <row r="2116" spans="3:9">
      <c r="C2116" s="178"/>
      <c r="D2116" s="178"/>
      <c r="E2116" s="178"/>
      <c r="F2116" s="178"/>
      <c r="G2116" s="181"/>
      <c r="H2116" s="181"/>
      <c r="I2116" s="178"/>
    </row>
    <row r="2117" spans="3:9">
      <c r="C2117" s="178"/>
      <c r="D2117" s="178"/>
      <c r="E2117" s="178"/>
      <c r="F2117" s="178"/>
      <c r="G2117" s="181"/>
      <c r="H2117" s="181"/>
      <c r="I2117" s="178"/>
    </row>
    <row r="2118" spans="3:9">
      <c r="C2118" s="178"/>
      <c r="D2118" s="178"/>
      <c r="E2118" s="178"/>
      <c r="F2118" s="178"/>
      <c r="G2118" s="181"/>
      <c r="H2118" s="181"/>
      <c r="I2118" s="178"/>
    </row>
    <row r="2119" spans="3:9">
      <c r="C2119" s="178"/>
      <c r="D2119" s="178"/>
      <c r="E2119" s="178"/>
      <c r="F2119" s="178"/>
      <c r="G2119" s="181"/>
      <c r="H2119" s="181"/>
      <c r="I2119" s="178"/>
    </row>
    <row r="2120" spans="3:9">
      <c r="C2120" s="178"/>
      <c r="D2120" s="178"/>
      <c r="E2120" s="178"/>
      <c r="F2120" s="178"/>
      <c r="G2120" s="181"/>
      <c r="H2120" s="181"/>
      <c r="I2120" s="178"/>
    </row>
    <row r="2121" spans="3:9">
      <c r="C2121" s="178"/>
      <c r="D2121" s="178"/>
      <c r="E2121" s="178"/>
      <c r="F2121" s="178"/>
      <c r="G2121" s="181"/>
      <c r="H2121" s="181"/>
      <c r="I2121" s="178"/>
    </row>
    <row r="2122" spans="3:9">
      <c r="C2122" s="178"/>
      <c r="D2122" s="178"/>
      <c r="E2122" s="178"/>
      <c r="F2122" s="178"/>
      <c r="G2122" s="181"/>
      <c r="H2122" s="181"/>
      <c r="I2122" s="178"/>
    </row>
    <row r="2123" spans="3:9">
      <c r="C2123" s="178"/>
      <c r="D2123" s="178"/>
      <c r="E2123" s="178"/>
      <c r="F2123" s="178"/>
      <c r="G2123" s="181"/>
      <c r="H2123" s="181"/>
      <c r="I2123" s="178"/>
    </row>
    <row r="2124" spans="3:9">
      <c r="C2124" s="178"/>
      <c r="D2124" s="178"/>
      <c r="E2124" s="178"/>
      <c r="F2124" s="178"/>
      <c r="G2124" s="181"/>
      <c r="H2124" s="181"/>
      <c r="I2124" s="178"/>
    </row>
    <row r="2125" spans="3:9">
      <c r="C2125" s="178"/>
      <c r="D2125" s="178"/>
      <c r="E2125" s="178"/>
      <c r="F2125" s="178"/>
      <c r="G2125" s="181"/>
      <c r="H2125" s="181"/>
      <c r="I2125" s="178"/>
    </row>
    <row r="2126" spans="3:9">
      <c r="C2126" s="178"/>
      <c r="D2126" s="178"/>
      <c r="E2126" s="178"/>
      <c r="F2126" s="178"/>
      <c r="G2126" s="181"/>
      <c r="H2126" s="181"/>
      <c r="I2126" s="178"/>
    </row>
    <row r="2127" spans="3:9">
      <c r="C2127" s="178"/>
      <c r="D2127" s="178"/>
      <c r="E2127" s="178"/>
      <c r="F2127" s="178"/>
      <c r="G2127" s="181"/>
      <c r="H2127" s="181"/>
      <c r="I2127" s="178"/>
    </row>
    <row r="2128" spans="3:9">
      <c r="C2128" s="178"/>
      <c r="D2128" s="178"/>
      <c r="E2128" s="178"/>
      <c r="F2128" s="178"/>
      <c r="G2128" s="181"/>
      <c r="H2128" s="181"/>
      <c r="I2128" s="178"/>
    </row>
    <row r="2129" spans="3:9">
      <c r="C2129" s="178"/>
      <c r="D2129" s="178"/>
      <c r="E2129" s="178"/>
      <c r="F2129" s="178"/>
      <c r="G2129" s="181"/>
      <c r="H2129" s="181"/>
      <c r="I2129" s="178"/>
    </row>
    <row r="2130" spans="3:9">
      <c r="C2130" s="178"/>
      <c r="D2130" s="178"/>
      <c r="E2130" s="178"/>
      <c r="F2130" s="178"/>
      <c r="G2130" s="181"/>
      <c r="H2130" s="181"/>
      <c r="I2130" s="178"/>
    </row>
    <row r="2131" spans="3:9">
      <c r="C2131" s="178"/>
      <c r="D2131" s="178"/>
      <c r="E2131" s="178"/>
      <c r="F2131" s="178"/>
      <c r="G2131" s="181"/>
      <c r="H2131" s="181"/>
      <c r="I2131" s="178"/>
    </row>
    <row r="2132" spans="3:9">
      <c r="C2132" s="178"/>
      <c r="D2132" s="178"/>
      <c r="E2132" s="178"/>
      <c r="F2132" s="178"/>
      <c r="G2132" s="181"/>
      <c r="H2132" s="181"/>
      <c r="I2132" s="178"/>
    </row>
    <row r="2133" spans="3:9">
      <c r="C2133" s="178"/>
      <c r="D2133" s="178"/>
      <c r="E2133" s="178"/>
      <c r="F2133" s="178"/>
      <c r="G2133" s="181"/>
      <c r="H2133" s="181"/>
      <c r="I2133" s="178"/>
    </row>
    <row r="2134" spans="3:9">
      <c r="C2134" s="178"/>
      <c r="D2134" s="178"/>
      <c r="E2134" s="178"/>
      <c r="F2134" s="178"/>
      <c r="G2134" s="181"/>
      <c r="H2134" s="181"/>
      <c r="I2134" s="178"/>
    </row>
    <row r="2135" spans="3:9">
      <c r="C2135" s="178"/>
      <c r="D2135" s="178"/>
      <c r="E2135" s="178"/>
      <c r="F2135" s="178"/>
      <c r="G2135" s="181"/>
      <c r="H2135" s="181"/>
      <c r="I2135" s="178"/>
    </row>
    <row r="2136" spans="3:9">
      <c r="C2136" s="178"/>
      <c r="D2136" s="178"/>
      <c r="E2136" s="178"/>
      <c r="F2136" s="178"/>
      <c r="G2136" s="181"/>
      <c r="H2136" s="181"/>
      <c r="I2136" s="178"/>
    </row>
    <row r="2137" spans="3:9">
      <c r="C2137" s="178"/>
      <c r="D2137" s="178"/>
      <c r="E2137" s="178"/>
      <c r="F2137" s="178"/>
      <c r="G2137" s="181"/>
      <c r="H2137" s="181"/>
      <c r="I2137" s="178"/>
    </row>
    <row r="2138" spans="3:9">
      <c r="C2138" s="178"/>
      <c r="D2138" s="178"/>
      <c r="E2138" s="178"/>
      <c r="F2138" s="178"/>
      <c r="G2138" s="181"/>
      <c r="H2138" s="181"/>
      <c r="I2138" s="178"/>
    </row>
    <row r="2139" spans="3:9">
      <c r="C2139" s="178"/>
      <c r="D2139" s="178"/>
      <c r="E2139" s="178"/>
      <c r="F2139" s="178"/>
      <c r="G2139" s="181"/>
      <c r="H2139" s="181"/>
      <c r="I2139" s="178"/>
    </row>
    <row r="2140" spans="3:9">
      <c r="C2140" s="178"/>
      <c r="D2140" s="178"/>
      <c r="E2140" s="178"/>
      <c r="F2140" s="178"/>
      <c r="G2140" s="181"/>
      <c r="H2140" s="181"/>
      <c r="I2140" s="178"/>
    </row>
    <row r="2141" spans="3:9">
      <c r="C2141" s="178"/>
      <c r="D2141" s="178"/>
      <c r="E2141" s="178"/>
      <c r="F2141" s="178"/>
      <c r="G2141" s="181"/>
      <c r="H2141" s="181"/>
      <c r="I2141" s="178"/>
    </row>
    <row r="2142" spans="3:9">
      <c r="C2142" s="178"/>
      <c r="D2142" s="178"/>
      <c r="E2142" s="178"/>
      <c r="F2142" s="178"/>
      <c r="G2142" s="181"/>
      <c r="H2142" s="181"/>
      <c r="I2142" s="178"/>
    </row>
    <row r="2143" spans="3:9">
      <c r="C2143" s="178"/>
      <c r="D2143" s="178"/>
      <c r="E2143" s="178"/>
      <c r="F2143" s="178"/>
      <c r="G2143" s="181"/>
      <c r="H2143" s="181"/>
      <c r="I2143" s="178"/>
    </row>
    <row r="2144" spans="3:9">
      <c r="C2144" s="178"/>
      <c r="D2144" s="178"/>
      <c r="E2144" s="178"/>
      <c r="F2144" s="178"/>
      <c r="G2144" s="181"/>
      <c r="H2144" s="181"/>
      <c r="I2144" s="178"/>
    </row>
    <row r="2145" spans="3:9">
      <c r="C2145" s="178"/>
      <c r="D2145" s="178"/>
      <c r="E2145" s="178"/>
      <c r="F2145" s="178"/>
      <c r="G2145" s="181"/>
      <c r="H2145" s="181"/>
      <c r="I2145" s="178"/>
    </row>
    <row r="2146" spans="3:9">
      <c r="C2146" s="178"/>
      <c r="D2146" s="178"/>
      <c r="E2146" s="178"/>
      <c r="F2146" s="178"/>
      <c r="G2146" s="181"/>
      <c r="H2146" s="181"/>
      <c r="I2146" s="178"/>
    </row>
    <row r="2147" spans="3:9">
      <c r="C2147" s="178"/>
      <c r="D2147" s="178"/>
      <c r="E2147" s="178"/>
      <c r="F2147" s="178"/>
      <c r="G2147" s="181"/>
      <c r="H2147" s="181"/>
      <c r="I2147" s="178"/>
    </row>
    <row r="2148" spans="3:9">
      <c r="C2148" s="178"/>
      <c r="D2148" s="178"/>
      <c r="E2148" s="178"/>
      <c r="F2148" s="178"/>
      <c r="G2148" s="181"/>
      <c r="H2148" s="181"/>
      <c r="I2148" s="178"/>
    </row>
    <row r="2149" spans="3:9">
      <c r="C2149" s="178"/>
      <c r="D2149" s="178"/>
      <c r="E2149" s="178"/>
      <c r="F2149" s="178"/>
      <c r="G2149" s="181"/>
      <c r="H2149" s="181"/>
      <c r="I2149" s="178"/>
    </row>
    <row r="2150" spans="3:9">
      <c r="C2150" s="178"/>
      <c r="D2150" s="178"/>
      <c r="E2150" s="178"/>
      <c r="F2150" s="178"/>
      <c r="G2150" s="181"/>
      <c r="H2150" s="181"/>
      <c r="I2150" s="178"/>
    </row>
    <row r="2151" spans="3:9">
      <c r="C2151" s="178"/>
      <c r="D2151" s="178"/>
      <c r="E2151" s="178"/>
      <c r="F2151" s="178"/>
      <c r="G2151" s="181"/>
      <c r="H2151" s="181"/>
      <c r="I2151" s="178"/>
    </row>
    <row r="2152" spans="3:9">
      <c r="C2152" s="178"/>
      <c r="D2152" s="178"/>
      <c r="E2152" s="178"/>
      <c r="F2152" s="178"/>
      <c r="G2152" s="181"/>
      <c r="H2152" s="181"/>
      <c r="I2152" s="178"/>
    </row>
    <row r="2153" spans="3:9">
      <c r="C2153" s="178"/>
      <c r="D2153" s="178"/>
      <c r="E2153" s="178"/>
      <c r="F2153" s="178"/>
      <c r="G2153" s="181"/>
      <c r="H2153" s="181"/>
      <c r="I2153" s="178"/>
    </row>
    <row r="2154" spans="3:9">
      <c r="C2154" s="178"/>
      <c r="D2154" s="178"/>
      <c r="E2154" s="178"/>
      <c r="F2154" s="178"/>
      <c r="G2154" s="181"/>
      <c r="H2154" s="181"/>
      <c r="I2154" s="178"/>
    </row>
    <row r="2155" spans="3:9">
      <c r="C2155" s="178"/>
      <c r="D2155" s="178"/>
      <c r="E2155" s="178"/>
      <c r="F2155" s="178"/>
      <c r="G2155" s="181"/>
      <c r="H2155" s="181"/>
      <c r="I2155" s="178"/>
    </row>
    <row r="2156" spans="3:9">
      <c r="C2156" s="178"/>
      <c r="D2156" s="178"/>
      <c r="E2156" s="178"/>
      <c r="F2156" s="178"/>
      <c r="G2156" s="181"/>
      <c r="H2156" s="181"/>
      <c r="I2156" s="178"/>
    </row>
    <row r="2157" spans="3:9">
      <c r="C2157" s="178"/>
      <c r="D2157" s="178"/>
      <c r="E2157" s="178"/>
      <c r="F2157" s="178"/>
      <c r="G2157" s="181"/>
      <c r="H2157" s="181"/>
      <c r="I2157" s="178"/>
    </row>
    <row r="2158" spans="3:9">
      <c r="C2158" s="178"/>
      <c r="D2158" s="178"/>
      <c r="E2158" s="178"/>
      <c r="F2158" s="178"/>
      <c r="G2158" s="181"/>
      <c r="H2158" s="181"/>
      <c r="I2158" s="178"/>
    </row>
    <row r="2159" spans="3:9">
      <c r="C2159" s="178"/>
      <c r="D2159" s="178"/>
      <c r="E2159" s="178"/>
      <c r="F2159" s="178"/>
      <c r="G2159" s="181"/>
      <c r="H2159" s="181"/>
      <c r="I2159" s="178"/>
    </row>
    <row r="2160" spans="3:9">
      <c r="C2160" s="178"/>
      <c r="D2160" s="178"/>
      <c r="E2160" s="178"/>
      <c r="F2160" s="178"/>
      <c r="G2160" s="181"/>
      <c r="H2160" s="181"/>
      <c r="I2160" s="178"/>
    </row>
    <row r="2161" spans="3:9">
      <c r="C2161" s="178"/>
      <c r="D2161" s="178"/>
      <c r="E2161" s="178"/>
      <c r="F2161" s="178"/>
      <c r="G2161" s="181"/>
      <c r="H2161" s="181"/>
      <c r="I2161" s="178"/>
    </row>
    <row r="2162" spans="3:9">
      <c r="C2162" s="178"/>
      <c r="D2162" s="178"/>
      <c r="E2162" s="178"/>
      <c r="F2162" s="178"/>
      <c r="G2162" s="181"/>
      <c r="H2162" s="181"/>
      <c r="I2162" s="178"/>
    </row>
    <row r="2163" spans="3:9">
      <c r="C2163" s="178"/>
      <c r="D2163" s="178"/>
      <c r="E2163" s="178"/>
      <c r="F2163" s="178"/>
      <c r="G2163" s="181"/>
      <c r="H2163" s="181"/>
      <c r="I2163" s="178"/>
    </row>
    <row r="2164" spans="3:9">
      <c r="C2164" s="178"/>
      <c r="D2164" s="178"/>
      <c r="E2164" s="178"/>
      <c r="F2164" s="178"/>
      <c r="G2164" s="181"/>
      <c r="H2164" s="181"/>
      <c r="I2164" s="178"/>
    </row>
    <row r="2165" spans="3:9">
      <c r="C2165" s="178"/>
      <c r="D2165" s="178"/>
      <c r="E2165" s="178"/>
      <c r="F2165" s="178"/>
      <c r="G2165" s="181"/>
      <c r="H2165" s="181"/>
      <c r="I2165" s="178"/>
    </row>
    <row r="2166" spans="3:9">
      <c r="C2166" s="178"/>
      <c r="D2166" s="178"/>
      <c r="E2166" s="178"/>
      <c r="F2166" s="178"/>
      <c r="G2166" s="181"/>
      <c r="H2166" s="181"/>
      <c r="I2166" s="178"/>
    </row>
    <row r="2167" spans="3:9">
      <c r="C2167" s="178"/>
      <c r="D2167" s="178"/>
      <c r="E2167" s="178"/>
      <c r="F2167" s="178"/>
      <c r="G2167" s="181"/>
      <c r="H2167" s="181"/>
      <c r="I2167" s="178"/>
    </row>
    <row r="2168" spans="3:9">
      <c r="C2168" s="178"/>
      <c r="D2168" s="178"/>
      <c r="E2168" s="178"/>
      <c r="F2168" s="178"/>
      <c r="G2168" s="181"/>
      <c r="H2168" s="181"/>
      <c r="I2168" s="178"/>
    </row>
    <row r="2169" spans="3:9">
      <c r="C2169" s="178"/>
      <c r="D2169" s="178"/>
      <c r="E2169" s="178"/>
      <c r="F2169" s="178"/>
      <c r="G2169" s="181"/>
      <c r="H2169" s="181"/>
      <c r="I2169" s="178"/>
    </row>
    <row r="2170" spans="3:9">
      <c r="C2170" s="178"/>
      <c r="D2170" s="178"/>
      <c r="E2170" s="178"/>
      <c r="F2170" s="178"/>
      <c r="G2170" s="181"/>
      <c r="H2170" s="181"/>
      <c r="I2170" s="178"/>
    </row>
    <row r="2171" spans="3:9">
      <c r="C2171" s="178"/>
      <c r="D2171" s="178"/>
      <c r="E2171" s="178"/>
      <c r="F2171" s="178"/>
      <c r="G2171" s="181"/>
      <c r="H2171" s="181"/>
      <c r="I2171" s="178"/>
    </row>
    <row r="2172" spans="3:9">
      <c r="C2172" s="178"/>
      <c r="D2172" s="178"/>
      <c r="E2172" s="178"/>
      <c r="F2172" s="178"/>
      <c r="G2172" s="181"/>
      <c r="H2172" s="181"/>
      <c r="I2172" s="178"/>
    </row>
    <row r="2173" spans="3:9">
      <c r="C2173" s="178"/>
      <c r="D2173" s="178"/>
      <c r="E2173" s="178"/>
      <c r="F2173" s="178"/>
      <c r="G2173" s="181"/>
      <c r="H2173" s="181"/>
      <c r="I2173" s="178"/>
    </row>
    <row r="2174" spans="3:9">
      <c r="C2174" s="178"/>
      <c r="D2174" s="178"/>
      <c r="E2174" s="178"/>
      <c r="F2174" s="178"/>
      <c r="G2174" s="181"/>
      <c r="H2174" s="181"/>
      <c r="I2174" s="178"/>
    </row>
    <row r="2175" spans="3:9">
      <c r="C2175" s="178"/>
      <c r="D2175" s="178"/>
      <c r="E2175" s="178"/>
      <c r="F2175" s="178"/>
      <c r="G2175" s="181"/>
      <c r="H2175" s="181"/>
      <c r="I2175" s="178"/>
    </row>
    <row r="2176" spans="3:9">
      <c r="C2176" s="178"/>
      <c r="D2176" s="178"/>
      <c r="E2176" s="178"/>
      <c r="F2176" s="178"/>
      <c r="G2176" s="181"/>
      <c r="H2176" s="181"/>
      <c r="I2176" s="178"/>
    </row>
    <row r="2177" spans="3:9">
      <c r="C2177" s="178"/>
      <c r="D2177" s="178"/>
      <c r="E2177" s="178"/>
      <c r="F2177" s="178"/>
      <c r="G2177" s="181"/>
      <c r="H2177" s="181"/>
      <c r="I2177" s="178"/>
    </row>
    <row r="2178" spans="3:9">
      <c r="C2178" s="178"/>
      <c r="D2178" s="178"/>
      <c r="E2178" s="178"/>
      <c r="F2178" s="178"/>
      <c r="G2178" s="181"/>
      <c r="H2178" s="181"/>
      <c r="I2178" s="178"/>
    </row>
    <row r="2179" spans="3:9">
      <c r="C2179" s="178"/>
      <c r="D2179" s="178"/>
      <c r="E2179" s="178"/>
      <c r="F2179" s="178"/>
      <c r="G2179" s="181"/>
      <c r="H2179" s="181"/>
      <c r="I2179" s="178"/>
    </row>
    <row r="2180" spans="3:9">
      <c r="C2180" s="178"/>
      <c r="D2180" s="178"/>
      <c r="E2180" s="178"/>
      <c r="F2180" s="178"/>
      <c r="G2180" s="181"/>
      <c r="H2180" s="181"/>
      <c r="I2180" s="178"/>
    </row>
    <row r="2181" spans="3:9">
      <c r="C2181" s="178"/>
      <c r="D2181" s="178"/>
      <c r="E2181" s="178"/>
      <c r="F2181" s="178"/>
      <c r="G2181" s="181"/>
      <c r="H2181" s="181"/>
      <c r="I2181" s="178"/>
    </row>
    <row r="2182" spans="3:9">
      <c r="C2182" s="178"/>
      <c r="D2182" s="178"/>
      <c r="E2182" s="178"/>
      <c r="F2182" s="178"/>
      <c r="G2182" s="181"/>
      <c r="H2182" s="181"/>
      <c r="I2182" s="178"/>
    </row>
    <row r="2183" spans="3:9">
      <c r="C2183" s="178"/>
      <c r="D2183" s="178"/>
      <c r="E2183" s="178"/>
      <c r="F2183" s="178"/>
      <c r="G2183" s="181"/>
      <c r="H2183" s="181"/>
      <c r="I2183" s="178"/>
    </row>
    <row r="2184" spans="3:9">
      <c r="C2184" s="178"/>
      <c r="D2184" s="178"/>
      <c r="E2184" s="178"/>
      <c r="F2184" s="178"/>
      <c r="G2184" s="181"/>
      <c r="H2184" s="181"/>
      <c r="I2184" s="178"/>
    </row>
    <row r="2185" spans="3:9">
      <c r="C2185" s="178"/>
      <c r="D2185" s="178"/>
      <c r="E2185" s="178"/>
      <c r="F2185" s="178"/>
      <c r="G2185" s="181"/>
      <c r="H2185" s="181"/>
      <c r="I2185" s="178"/>
    </row>
    <row r="2186" spans="3:9">
      <c r="C2186" s="178"/>
      <c r="D2186" s="178"/>
      <c r="E2186" s="178"/>
      <c r="F2186" s="178"/>
      <c r="G2186" s="181"/>
      <c r="H2186" s="181"/>
      <c r="I2186" s="178"/>
    </row>
    <row r="2187" spans="3:9">
      <c r="C2187" s="178"/>
      <c r="D2187" s="178"/>
      <c r="E2187" s="178"/>
      <c r="F2187" s="178"/>
      <c r="G2187" s="181"/>
      <c r="H2187" s="181"/>
      <c r="I2187" s="178"/>
    </row>
    <row r="2188" spans="3:9">
      <c r="C2188" s="178"/>
      <c r="D2188" s="178"/>
      <c r="E2188" s="178"/>
      <c r="F2188" s="178"/>
      <c r="G2188" s="181"/>
      <c r="H2188" s="181"/>
      <c r="I2188" s="178"/>
    </row>
    <row r="2189" spans="3:9">
      <c r="C2189" s="178"/>
      <c r="D2189" s="178"/>
      <c r="E2189" s="178"/>
      <c r="F2189" s="178"/>
      <c r="G2189" s="181"/>
      <c r="H2189" s="181"/>
      <c r="I2189" s="178"/>
    </row>
    <row r="2190" spans="3:9">
      <c r="C2190" s="178"/>
      <c r="D2190" s="178"/>
      <c r="E2190" s="178"/>
      <c r="F2190" s="178"/>
      <c r="G2190" s="181"/>
      <c r="H2190" s="181"/>
      <c r="I2190" s="178"/>
    </row>
    <row r="2191" spans="3:9">
      <c r="C2191" s="178"/>
      <c r="D2191" s="178"/>
      <c r="E2191" s="178"/>
      <c r="F2191" s="178"/>
      <c r="G2191" s="181"/>
      <c r="H2191" s="181"/>
      <c r="I2191" s="178"/>
    </row>
    <row r="2192" spans="3:9">
      <c r="C2192" s="178"/>
      <c r="D2192" s="178"/>
      <c r="E2192" s="178"/>
      <c r="F2192" s="178"/>
      <c r="G2192" s="181"/>
      <c r="H2192" s="181"/>
      <c r="I2192" s="178"/>
    </row>
    <row r="2193" spans="3:9">
      <c r="C2193" s="178"/>
      <c r="D2193" s="178"/>
      <c r="E2193" s="178"/>
      <c r="F2193" s="178"/>
      <c r="G2193" s="181"/>
      <c r="H2193" s="181"/>
      <c r="I2193" s="178"/>
    </row>
    <row r="2194" spans="3:9">
      <c r="C2194" s="178"/>
      <c r="D2194" s="178"/>
      <c r="E2194" s="178"/>
      <c r="F2194" s="178"/>
      <c r="G2194" s="181"/>
      <c r="H2194" s="181"/>
      <c r="I2194" s="178"/>
    </row>
    <row r="2195" spans="3:9">
      <c r="C2195" s="178"/>
      <c r="D2195" s="178"/>
      <c r="E2195" s="178"/>
      <c r="F2195" s="178"/>
      <c r="G2195" s="181"/>
      <c r="H2195" s="181"/>
      <c r="I2195" s="178"/>
    </row>
    <row r="2196" spans="3:9">
      <c r="C2196" s="178"/>
      <c r="D2196" s="178"/>
      <c r="E2196" s="178"/>
      <c r="F2196" s="178"/>
      <c r="G2196" s="181"/>
      <c r="H2196" s="181"/>
      <c r="I2196" s="178"/>
    </row>
    <row r="2197" spans="3:9">
      <c r="C2197" s="178"/>
      <c r="D2197" s="178"/>
      <c r="E2197" s="178"/>
      <c r="F2197" s="178"/>
      <c r="G2197" s="181"/>
      <c r="H2197" s="181"/>
      <c r="I2197" s="178"/>
    </row>
    <row r="2198" spans="3:9">
      <c r="C2198" s="178"/>
      <c r="D2198" s="178"/>
      <c r="E2198" s="178"/>
      <c r="F2198" s="178"/>
      <c r="G2198" s="181"/>
      <c r="H2198" s="181"/>
      <c r="I2198" s="178"/>
    </row>
    <row r="2199" spans="3:9">
      <c r="C2199" s="178"/>
      <c r="D2199" s="178"/>
      <c r="E2199" s="178"/>
      <c r="F2199" s="178"/>
      <c r="G2199" s="181"/>
      <c r="H2199" s="181"/>
      <c r="I2199" s="178"/>
    </row>
    <row r="2200" spans="3:9">
      <c r="C2200" s="178"/>
      <c r="D2200" s="178"/>
      <c r="E2200" s="178"/>
      <c r="F2200" s="178"/>
      <c r="G2200" s="181"/>
      <c r="H2200" s="181"/>
      <c r="I2200" s="178"/>
    </row>
    <row r="2201" spans="3:9">
      <c r="C2201" s="178"/>
      <c r="D2201" s="178"/>
      <c r="E2201" s="178"/>
      <c r="F2201" s="178"/>
      <c r="G2201" s="181"/>
      <c r="H2201" s="181"/>
      <c r="I2201" s="178"/>
    </row>
    <row r="2202" spans="3:9">
      <c r="C2202" s="178"/>
      <c r="D2202" s="178"/>
      <c r="E2202" s="178"/>
      <c r="F2202" s="178"/>
      <c r="G2202" s="181"/>
      <c r="H2202" s="181"/>
      <c r="I2202" s="178"/>
    </row>
    <row r="2203" spans="3:9">
      <c r="C2203" s="178"/>
      <c r="D2203" s="178"/>
      <c r="E2203" s="178"/>
      <c r="F2203" s="178"/>
      <c r="G2203" s="181"/>
      <c r="H2203" s="181"/>
      <c r="I2203" s="178"/>
    </row>
    <row r="2204" spans="3:9">
      <c r="C2204" s="178"/>
      <c r="D2204" s="178"/>
      <c r="E2204" s="178"/>
      <c r="F2204" s="178"/>
      <c r="G2204" s="181"/>
      <c r="H2204" s="181"/>
      <c r="I2204" s="178"/>
    </row>
    <row r="2205" spans="3:9">
      <c r="C2205" s="178"/>
      <c r="D2205" s="178"/>
      <c r="E2205" s="178"/>
      <c r="F2205" s="178"/>
      <c r="G2205" s="181"/>
      <c r="H2205" s="181"/>
      <c r="I2205" s="178"/>
    </row>
    <row r="2206" spans="3:9">
      <c r="C2206" s="178"/>
      <c r="D2206" s="178"/>
      <c r="E2206" s="178"/>
      <c r="F2206" s="178"/>
      <c r="G2206" s="181"/>
      <c r="H2206" s="181"/>
      <c r="I2206" s="178"/>
    </row>
    <row r="2207" spans="3:9">
      <c r="C2207" s="178"/>
      <c r="D2207" s="178"/>
      <c r="E2207" s="178"/>
      <c r="F2207" s="178"/>
      <c r="G2207" s="181"/>
      <c r="H2207" s="181"/>
      <c r="I2207" s="178"/>
    </row>
    <row r="2208" spans="3:9">
      <c r="C2208" s="178"/>
      <c r="D2208" s="178"/>
      <c r="E2208" s="178"/>
      <c r="F2208" s="178"/>
      <c r="G2208" s="181"/>
      <c r="H2208" s="181"/>
      <c r="I2208" s="178"/>
    </row>
    <row r="2209" spans="3:9">
      <c r="C2209" s="178"/>
      <c r="D2209" s="178"/>
      <c r="E2209" s="178"/>
      <c r="F2209" s="178"/>
      <c r="G2209" s="181"/>
      <c r="H2209" s="181"/>
      <c r="I2209" s="178"/>
    </row>
    <row r="2210" spans="3:9">
      <c r="C2210" s="178"/>
      <c r="D2210" s="178"/>
      <c r="E2210" s="178"/>
      <c r="F2210" s="178"/>
      <c r="G2210" s="181"/>
      <c r="H2210" s="181"/>
      <c r="I2210" s="178"/>
    </row>
    <row r="2211" spans="3:9">
      <c r="C2211" s="178"/>
      <c r="D2211" s="178"/>
      <c r="E2211" s="178"/>
      <c r="F2211" s="178"/>
      <c r="G2211" s="181"/>
      <c r="H2211" s="181"/>
      <c r="I2211" s="178"/>
    </row>
    <row r="2212" spans="3:9">
      <c r="C2212" s="178"/>
      <c r="D2212" s="178"/>
      <c r="E2212" s="178"/>
      <c r="F2212" s="178"/>
      <c r="G2212" s="181"/>
      <c r="H2212" s="181"/>
      <c r="I2212" s="178"/>
    </row>
    <row r="2213" spans="3:9">
      <c r="C2213" s="178"/>
      <c r="D2213" s="178"/>
      <c r="E2213" s="178"/>
      <c r="F2213" s="178"/>
      <c r="G2213" s="181"/>
      <c r="H2213" s="181"/>
      <c r="I2213" s="178"/>
    </row>
    <row r="2214" spans="3:9">
      <c r="C2214" s="178"/>
      <c r="D2214" s="178"/>
      <c r="E2214" s="178"/>
      <c r="F2214" s="178"/>
      <c r="G2214" s="181"/>
      <c r="H2214" s="181"/>
      <c r="I2214" s="178"/>
    </row>
    <row r="2215" spans="3:9">
      <c r="C2215" s="178"/>
      <c r="D2215" s="178"/>
      <c r="E2215" s="178"/>
      <c r="F2215" s="178"/>
      <c r="G2215" s="181"/>
      <c r="H2215" s="181"/>
      <c r="I2215" s="178"/>
    </row>
    <row r="2216" spans="3:9">
      <c r="C2216" s="178"/>
      <c r="D2216" s="178"/>
      <c r="E2216" s="178"/>
      <c r="F2216" s="178"/>
      <c r="G2216" s="181"/>
      <c r="H2216" s="181"/>
      <c r="I2216" s="178"/>
    </row>
    <row r="2217" spans="3:9">
      <c r="C2217" s="178"/>
      <c r="D2217" s="178"/>
      <c r="E2217" s="178"/>
      <c r="F2217" s="178"/>
      <c r="G2217" s="181"/>
      <c r="H2217" s="181"/>
      <c r="I2217" s="178"/>
    </row>
    <row r="2218" spans="3:9">
      <c r="C2218" s="178"/>
      <c r="D2218" s="178"/>
      <c r="E2218" s="178"/>
      <c r="F2218" s="178"/>
      <c r="G2218" s="181"/>
      <c r="H2218" s="181"/>
      <c r="I2218" s="178"/>
    </row>
    <row r="2219" spans="3:9">
      <c r="C2219" s="178"/>
      <c r="D2219" s="178"/>
      <c r="E2219" s="178"/>
      <c r="F2219" s="178"/>
      <c r="G2219" s="181"/>
      <c r="H2219" s="181"/>
      <c r="I2219" s="178"/>
    </row>
    <row r="2220" spans="3:9">
      <c r="C2220" s="178"/>
      <c r="D2220" s="178"/>
      <c r="E2220" s="178"/>
      <c r="F2220" s="178"/>
      <c r="G2220" s="181"/>
      <c r="H2220" s="181"/>
      <c r="I2220" s="178"/>
    </row>
    <row r="2221" spans="3:9">
      <c r="C2221" s="178"/>
      <c r="D2221" s="178"/>
      <c r="E2221" s="178"/>
      <c r="F2221" s="178"/>
      <c r="G2221" s="181"/>
      <c r="H2221" s="181"/>
      <c r="I2221" s="178"/>
    </row>
    <row r="2222" spans="3:9">
      <c r="C2222" s="178"/>
      <c r="D2222" s="178"/>
      <c r="E2222" s="178"/>
      <c r="F2222" s="178"/>
      <c r="G2222" s="181"/>
      <c r="H2222" s="181"/>
      <c r="I2222" s="178"/>
    </row>
    <row r="2223" spans="3:9">
      <c r="C2223" s="178"/>
      <c r="D2223" s="178"/>
      <c r="E2223" s="178"/>
      <c r="F2223" s="178"/>
      <c r="G2223" s="181"/>
      <c r="H2223" s="181"/>
      <c r="I2223" s="178"/>
    </row>
    <row r="2224" spans="3:9">
      <c r="C2224" s="178"/>
      <c r="D2224" s="178"/>
      <c r="E2224" s="178"/>
      <c r="F2224" s="178"/>
      <c r="G2224" s="181"/>
      <c r="H2224" s="181"/>
      <c r="I2224" s="178"/>
    </row>
    <row r="2225" spans="3:9">
      <c r="C2225" s="178"/>
      <c r="D2225" s="178"/>
      <c r="E2225" s="178"/>
      <c r="F2225" s="178"/>
      <c r="G2225" s="181"/>
      <c r="H2225" s="181"/>
      <c r="I2225" s="178"/>
    </row>
    <row r="2226" spans="3:9">
      <c r="C2226" s="178"/>
      <c r="D2226" s="178"/>
      <c r="E2226" s="178"/>
      <c r="F2226" s="178"/>
      <c r="G2226" s="181"/>
      <c r="H2226" s="181"/>
      <c r="I2226" s="178"/>
    </row>
    <row r="2227" spans="3:9">
      <c r="C2227" s="178"/>
      <c r="D2227" s="178"/>
      <c r="E2227" s="178"/>
      <c r="F2227" s="178"/>
      <c r="G2227" s="181"/>
      <c r="H2227" s="181"/>
      <c r="I2227" s="178"/>
    </row>
    <row r="2228" spans="3:9">
      <c r="C2228" s="178"/>
      <c r="D2228" s="178"/>
      <c r="E2228" s="178"/>
      <c r="F2228" s="178"/>
      <c r="G2228" s="181"/>
      <c r="H2228" s="181"/>
      <c r="I2228" s="178"/>
    </row>
    <row r="2229" spans="3:9">
      <c r="C2229" s="178"/>
      <c r="D2229" s="178"/>
      <c r="E2229" s="178"/>
      <c r="F2229" s="178"/>
      <c r="G2229" s="181"/>
      <c r="H2229" s="181"/>
      <c r="I2229" s="178"/>
    </row>
    <row r="2230" spans="3:9">
      <c r="C2230" s="178"/>
      <c r="D2230" s="178"/>
      <c r="E2230" s="178"/>
      <c r="F2230" s="178"/>
      <c r="G2230" s="181"/>
      <c r="H2230" s="181"/>
      <c r="I2230" s="178"/>
    </row>
    <row r="2231" spans="3:9">
      <c r="C2231" s="178"/>
      <c r="D2231" s="178"/>
      <c r="E2231" s="178"/>
      <c r="F2231" s="178"/>
      <c r="G2231" s="181"/>
      <c r="H2231" s="181"/>
      <c r="I2231" s="178"/>
    </row>
    <row r="2232" spans="3:9">
      <c r="C2232" s="178"/>
      <c r="D2232" s="178"/>
      <c r="E2232" s="178"/>
      <c r="F2232" s="178"/>
      <c r="G2232" s="181"/>
      <c r="H2232" s="181"/>
      <c r="I2232" s="178"/>
    </row>
    <row r="2233" spans="3:9">
      <c r="C2233" s="178"/>
      <c r="D2233" s="178"/>
      <c r="E2233" s="178"/>
      <c r="F2233" s="178"/>
      <c r="G2233" s="181"/>
      <c r="H2233" s="181"/>
      <c r="I2233" s="178"/>
    </row>
    <row r="2234" spans="3:9">
      <c r="C2234" s="178"/>
      <c r="D2234" s="178"/>
      <c r="E2234" s="178"/>
      <c r="F2234" s="178"/>
      <c r="G2234" s="181"/>
      <c r="H2234" s="181"/>
      <c r="I2234" s="178"/>
    </row>
    <row r="2235" spans="3:9">
      <c r="C2235" s="178"/>
      <c r="D2235" s="178"/>
      <c r="E2235" s="178"/>
      <c r="F2235" s="178"/>
      <c r="G2235" s="181"/>
      <c r="H2235" s="181"/>
      <c r="I2235" s="178"/>
    </row>
    <row r="2236" spans="3:9">
      <c r="C2236" s="178"/>
      <c r="D2236" s="178"/>
      <c r="E2236" s="178"/>
      <c r="F2236" s="178"/>
      <c r="G2236" s="181"/>
      <c r="H2236" s="181"/>
      <c r="I2236" s="178"/>
    </row>
    <row r="2237" spans="3:9">
      <c r="C2237" s="178"/>
      <c r="D2237" s="178"/>
      <c r="E2237" s="178"/>
      <c r="F2237" s="178"/>
      <c r="G2237" s="181"/>
      <c r="H2237" s="181"/>
      <c r="I2237" s="178"/>
    </row>
    <row r="2238" spans="3:9">
      <c r="C2238" s="178"/>
      <c r="D2238" s="178"/>
      <c r="E2238" s="178"/>
      <c r="F2238" s="178"/>
      <c r="G2238" s="181"/>
      <c r="H2238" s="181"/>
      <c r="I2238" s="178"/>
    </row>
    <row r="2239" spans="3:9">
      <c r="C2239" s="178"/>
      <c r="D2239" s="178"/>
      <c r="E2239" s="178"/>
      <c r="F2239" s="178"/>
      <c r="G2239" s="181"/>
      <c r="H2239" s="181"/>
      <c r="I2239" s="178"/>
    </row>
    <row r="2240" spans="3:9">
      <c r="C2240" s="178"/>
      <c r="D2240" s="178"/>
      <c r="E2240" s="178"/>
      <c r="F2240" s="178"/>
      <c r="G2240" s="181"/>
      <c r="H2240" s="181"/>
      <c r="I2240" s="178"/>
    </row>
    <row r="2241" spans="3:9">
      <c r="C2241" s="178"/>
      <c r="D2241" s="178"/>
      <c r="E2241" s="178"/>
      <c r="F2241" s="178"/>
      <c r="G2241" s="181"/>
      <c r="H2241" s="181"/>
      <c r="I2241" s="178"/>
    </row>
    <row r="2242" spans="3:9">
      <c r="C2242" s="178"/>
      <c r="D2242" s="178"/>
      <c r="E2242" s="178"/>
      <c r="F2242" s="178"/>
      <c r="G2242" s="181"/>
      <c r="H2242" s="181"/>
      <c r="I2242" s="178"/>
    </row>
    <row r="2243" spans="3:9">
      <c r="C2243" s="178"/>
      <c r="D2243" s="178"/>
      <c r="E2243" s="178"/>
      <c r="F2243" s="178"/>
      <c r="G2243" s="181"/>
      <c r="H2243" s="181"/>
      <c r="I2243" s="178"/>
    </row>
    <row r="2244" spans="3:9">
      <c r="C2244" s="178"/>
      <c r="D2244" s="178"/>
      <c r="E2244" s="178"/>
      <c r="F2244" s="178"/>
      <c r="G2244" s="181"/>
      <c r="H2244" s="181"/>
      <c r="I2244" s="178"/>
    </row>
    <row r="2245" spans="3:9">
      <c r="C2245" s="178"/>
      <c r="D2245" s="178"/>
      <c r="E2245" s="178"/>
      <c r="F2245" s="178"/>
      <c r="G2245" s="181"/>
      <c r="H2245" s="181"/>
      <c r="I2245" s="178"/>
    </row>
    <row r="2246" spans="3:9">
      <c r="C2246" s="178"/>
      <c r="D2246" s="178"/>
      <c r="E2246" s="178"/>
      <c r="F2246" s="178"/>
      <c r="G2246" s="181"/>
      <c r="H2246" s="181"/>
      <c r="I2246" s="178"/>
    </row>
    <row r="2247" spans="3:9">
      <c r="C2247" s="178"/>
      <c r="D2247" s="178"/>
      <c r="E2247" s="178"/>
      <c r="F2247" s="178"/>
      <c r="G2247" s="181"/>
      <c r="H2247" s="181"/>
      <c r="I2247" s="178"/>
    </row>
    <row r="2248" spans="3:9">
      <c r="C2248" s="178"/>
      <c r="D2248" s="178"/>
      <c r="E2248" s="178"/>
      <c r="F2248" s="178"/>
      <c r="G2248" s="181"/>
      <c r="H2248" s="181"/>
      <c r="I2248" s="178"/>
    </row>
    <row r="2249" spans="3:9">
      <c r="C2249" s="178"/>
      <c r="D2249" s="178"/>
      <c r="E2249" s="178"/>
      <c r="F2249" s="178"/>
      <c r="G2249" s="181"/>
      <c r="H2249" s="181"/>
      <c r="I2249" s="178"/>
    </row>
    <row r="2250" spans="3:9">
      <c r="C2250" s="178"/>
      <c r="D2250" s="178"/>
      <c r="E2250" s="178"/>
      <c r="F2250" s="178"/>
      <c r="G2250" s="181"/>
      <c r="H2250" s="181"/>
      <c r="I2250" s="178"/>
    </row>
    <row r="2251" spans="3:9">
      <c r="C2251" s="178"/>
      <c r="D2251" s="178"/>
      <c r="E2251" s="178"/>
      <c r="F2251" s="178"/>
      <c r="G2251" s="181"/>
      <c r="H2251" s="181"/>
      <c r="I2251" s="178"/>
    </row>
    <row r="2252" spans="3:9">
      <c r="C2252" s="178"/>
      <c r="D2252" s="178"/>
      <c r="E2252" s="178"/>
      <c r="F2252" s="178"/>
      <c r="G2252" s="181"/>
      <c r="H2252" s="181"/>
      <c r="I2252" s="178"/>
    </row>
    <row r="2253" spans="3:9">
      <c r="C2253" s="178"/>
      <c r="D2253" s="178"/>
      <c r="E2253" s="178"/>
      <c r="F2253" s="178"/>
      <c r="G2253" s="181"/>
      <c r="H2253" s="181"/>
      <c r="I2253" s="178"/>
    </row>
    <row r="2254" spans="3:9">
      <c r="C2254" s="178"/>
      <c r="D2254" s="178"/>
      <c r="E2254" s="178"/>
      <c r="F2254" s="178"/>
      <c r="G2254" s="181"/>
      <c r="H2254" s="181"/>
      <c r="I2254" s="178"/>
    </row>
    <row r="2255" spans="3:9">
      <c r="C2255" s="178"/>
      <c r="D2255" s="178"/>
      <c r="E2255" s="178"/>
      <c r="F2255" s="178"/>
      <c r="G2255" s="181"/>
      <c r="H2255" s="181"/>
      <c r="I2255" s="178"/>
    </row>
    <row r="2256" spans="3:9">
      <c r="C2256" s="178"/>
      <c r="D2256" s="178"/>
      <c r="E2256" s="178"/>
      <c r="F2256" s="178"/>
      <c r="G2256" s="181"/>
      <c r="H2256" s="181"/>
      <c r="I2256" s="178"/>
    </row>
    <row r="2257" spans="3:9">
      <c r="C2257" s="178"/>
      <c r="D2257" s="178"/>
      <c r="E2257" s="178"/>
      <c r="F2257" s="178"/>
      <c r="G2257" s="181"/>
      <c r="H2257" s="181"/>
      <c r="I2257" s="178"/>
    </row>
    <row r="2258" spans="3:9">
      <c r="C2258" s="178"/>
      <c r="D2258" s="178"/>
      <c r="E2258" s="178"/>
      <c r="F2258" s="178"/>
      <c r="G2258" s="181"/>
      <c r="H2258" s="181"/>
      <c r="I2258" s="178"/>
    </row>
    <row r="2259" spans="3:9">
      <c r="C2259" s="178"/>
      <c r="D2259" s="178"/>
      <c r="E2259" s="178"/>
      <c r="F2259" s="178"/>
      <c r="G2259" s="181"/>
      <c r="H2259" s="181"/>
      <c r="I2259" s="178"/>
    </row>
  </sheetData>
  <sheetProtection formatCells="0"/>
  <mergeCells count="2">
    <mergeCell ref="A1:I1"/>
    <mergeCell ref="A2:I2"/>
  </mergeCells>
  <phoneticPr fontId="0" type="noConversion"/>
  <printOptions horizontalCentered="1"/>
  <pageMargins left="0.75" right="0.75" top="1" bottom="1" header="0.5" footer="0.5"/>
  <pageSetup scale="71" orientation="portrait" r:id="rId1"/>
  <headerFooter alignWithMargins="0">
    <oddHeader>&amp;CIDAHO POWER COMPANY
Transmission Cost of Service Rate Development
12 Months Ended 12/31/2014</oddHeader>
  </headerFooter>
</worksheet>
</file>

<file path=xl/worksheets/sheet14.xml><?xml version="1.0" encoding="utf-8"?>
<worksheet xmlns="http://schemas.openxmlformats.org/spreadsheetml/2006/main" xmlns:r="http://schemas.openxmlformats.org/officeDocument/2006/relationships">
  <sheetPr codeName="Sheet14">
    <pageSetUpPr fitToPage="1"/>
  </sheetPr>
  <dimension ref="A1:G86"/>
  <sheetViews>
    <sheetView zoomScaleNormal="100" zoomScaleSheetLayoutView="100" workbookViewId="0">
      <selection sqref="A1:G1"/>
    </sheetView>
  </sheetViews>
  <sheetFormatPr defaultRowHeight="12.75"/>
  <cols>
    <col min="1" max="1" width="31.42578125" style="266" customWidth="1"/>
    <col min="2" max="2" width="10.28515625" style="269" customWidth="1"/>
    <col min="3" max="3" width="8.85546875" style="266" bestFit="1" customWidth="1"/>
    <col min="4" max="4" width="8.42578125" style="266" customWidth="1"/>
    <col min="5" max="5" width="12.28515625" style="501" bestFit="1" customWidth="1"/>
    <col min="6" max="6" width="14.140625" style="501" bestFit="1" customWidth="1"/>
    <col min="7" max="7" width="14.5703125" style="501" customWidth="1"/>
    <col min="8" max="16384" width="9.140625" style="266"/>
  </cols>
  <sheetData>
    <row r="1" spans="1:7">
      <c r="A1" s="654" t="s">
        <v>189</v>
      </c>
      <c r="B1" s="654"/>
      <c r="C1" s="654"/>
      <c r="D1" s="654"/>
      <c r="E1" s="654"/>
      <c r="F1" s="654"/>
      <c r="G1" s="654"/>
    </row>
    <row r="2" spans="1:7">
      <c r="A2" s="645" t="s">
        <v>723</v>
      </c>
      <c r="B2" s="645"/>
      <c r="C2" s="645"/>
      <c r="D2" s="645"/>
      <c r="E2" s="645"/>
      <c r="F2" s="645"/>
      <c r="G2" s="645"/>
    </row>
    <row r="3" spans="1:7">
      <c r="A3" s="654" t="s">
        <v>730</v>
      </c>
      <c r="B3" s="654"/>
      <c r="C3" s="654"/>
      <c r="D3" s="654"/>
      <c r="E3" s="654"/>
      <c r="F3" s="654"/>
      <c r="G3" s="654"/>
    </row>
    <row r="4" spans="1:7">
      <c r="A4" s="654" t="s">
        <v>726</v>
      </c>
      <c r="B4" s="654"/>
      <c r="C4" s="654"/>
      <c r="D4" s="654"/>
      <c r="E4" s="654"/>
      <c r="F4" s="654"/>
      <c r="G4" s="654"/>
    </row>
    <row r="5" spans="1:7">
      <c r="A5" s="645"/>
      <c r="B5" s="645"/>
      <c r="C5" s="645"/>
      <c r="D5" s="645"/>
      <c r="E5" s="645"/>
      <c r="F5" s="645"/>
      <c r="G5" s="645"/>
    </row>
    <row r="6" spans="1:7">
      <c r="A6" s="572"/>
      <c r="B6" s="572"/>
      <c r="C6" s="572"/>
      <c r="D6" s="572"/>
      <c r="E6" s="493"/>
      <c r="F6" s="493"/>
      <c r="G6" s="493"/>
    </row>
    <row r="7" spans="1:7" ht="42" customHeight="1" thickBot="1">
      <c r="A7" s="413" t="s">
        <v>190</v>
      </c>
      <c r="B7" s="494" t="s">
        <v>110</v>
      </c>
      <c r="C7" s="413" t="s">
        <v>160</v>
      </c>
      <c r="D7" s="413" t="s">
        <v>161</v>
      </c>
      <c r="E7" s="495" t="s">
        <v>571</v>
      </c>
      <c r="F7" s="496" t="s">
        <v>162</v>
      </c>
      <c r="G7" s="497" t="s">
        <v>208</v>
      </c>
    </row>
    <row r="8" spans="1:7">
      <c r="A8" s="188" t="str">
        <f>'Schedule 7 Workpaper'!B9</f>
        <v>American Falls Power Plant</v>
      </c>
      <c r="B8" s="276">
        <f>'Schedule 7 Workpaper'!C9</f>
        <v>353</v>
      </c>
      <c r="C8" s="276">
        <f>'Schedule 7 Workpaper'!D9</f>
        <v>1978</v>
      </c>
      <c r="D8" s="498">
        <f>'Schedule 7 Workpaper'!G9 + 'Schedule 7 Workpaper'!J9+'Schedule 7 Workpaper'!M9</f>
        <v>37</v>
      </c>
      <c r="E8" s="499">
        <f>'Schedule 7 Workpaper'!E9</f>
        <v>647894.37</v>
      </c>
      <c r="F8" s="499">
        <f>'Schedule 7 Workpaper'!O9</f>
        <v>503038.15</v>
      </c>
      <c r="G8" s="500">
        <f>'Schedule 7 Workpaper'!Q9</f>
        <v>12309.99</v>
      </c>
    </row>
    <row r="9" spans="1:7">
      <c r="A9" s="188" t="str">
        <f>'Schedule 7 Workpaper'!B10</f>
        <v>Brownlee Power Plant Adams</v>
      </c>
      <c r="B9" s="276">
        <f>'Schedule 7 Workpaper'!C10</f>
        <v>353</v>
      </c>
      <c r="C9" s="276">
        <f>'Schedule 7 Workpaper'!D10</f>
        <v>1959</v>
      </c>
      <c r="D9" s="498">
        <f>'Schedule 7 Workpaper'!G10 + 'Schedule 7 Workpaper'!J10+'Schedule 7 Workpaper'!M10</f>
        <v>56</v>
      </c>
      <c r="E9" s="499">
        <f>'Schedule 7 Workpaper'!E10</f>
        <v>747897.47</v>
      </c>
      <c r="F9" s="499">
        <f>'Schedule 7 Workpaper'!O10</f>
        <v>881935.65000000014</v>
      </c>
      <c r="G9" s="500">
        <f>'Schedule 7 Workpaper'!Q10</f>
        <v>14210.05</v>
      </c>
    </row>
    <row r="10" spans="1:7">
      <c r="A10" s="188" t="str">
        <f>'Schedule 7 Workpaper'!B11</f>
        <v>Brownlee Power Plant Adams</v>
      </c>
      <c r="B10" s="276">
        <f>'Schedule 7 Workpaper'!C11</f>
        <v>353</v>
      </c>
      <c r="C10" s="276">
        <f>'Schedule 7 Workpaper'!D11</f>
        <v>1980</v>
      </c>
      <c r="D10" s="498">
        <f>'Schedule 7 Workpaper'!G11 + 'Schedule 7 Workpaper'!J11+'Schedule 7 Workpaper'!M11</f>
        <v>35</v>
      </c>
      <c r="E10" s="499">
        <f>'Schedule 7 Workpaper'!E11</f>
        <v>1541721.69</v>
      </c>
      <c r="F10" s="499">
        <f>'Schedule 7 Workpaper'!O11</f>
        <v>1131654.56</v>
      </c>
      <c r="G10" s="500">
        <f>'Schedule 7 Workpaper'!Q11</f>
        <v>29292.71</v>
      </c>
    </row>
    <row r="11" spans="1:7">
      <c r="A11" s="188" t="str">
        <f>'Schedule 7 Workpaper'!B12</f>
        <v>Brownlee Power Plant Adams</v>
      </c>
      <c r="B11" s="276">
        <f>'Schedule 7 Workpaper'!C12</f>
        <v>353</v>
      </c>
      <c r="C11" s="276">
        <f>'Schedule 7 Workpaper'!D12</f>
        <v>2000</v>
      </c>
      <c r="D11" s="498">
        <f>'Schedule 7 Workpaper'!G12 + 'Schedule 7 Workpaper'!J12+'Schedule 7 Workpaper'!M12</f>
        <v>15</v>
      </c>
      <c r="E11" s="499">
        <f>'Schedule 7 Workpaper'!E12</f>
        <v>11284.55</v>
      </c>
      <c r="F11" s="499">
        <f>'Schedule 7 Workpaper'!O12</f>
        <v>3498.4300000000003</v>
      </c>
      <c r="G11" s="500">
        <f>'Schedule 7 Workpaper'!Q12</f>
        <v>214.41</v>
      </c>
    </row>
    <row r="12" spans="1:7">
      <c r="A12" s="188" t="str">
        <f>'Schedule 7 Workpaper'!B13</f>
        <v>Brownlee Power Plant Adams</v>
      </c>
      <c r="B12" s="276">
        <f>'Schedule 7 Workpaper'!C13</f>
        <v>353</v>
      </c>
      <c r="C12" s="276">
        <f>'Schedule 7 Workpaper'!D13</f>
        <v>2003</v>
      </c>
      <c r="D12" s="498">
        <f>'Schedule 7 Workpaper'!G13 + 'Schedule 7 Workpaper'!J13+'Schedule 7 Workpaper'!M13</f>
        <v>12</v>
      </c>
      <c r="E12" s="499">
        <f>'Schedule 7 Workpaper'!E13</f>
        <v>15167.15</v>
      </c>
      <c r="F12" s="499">
        <f>'Schedule 7 Workpaper'!O13</f>
        <v>3737.4799999999996</v>
      </c>
      <c r="G12" s="500">
        <f>'Schedule 7 Workpaper'!Q13</f>
        <v>288.18</v>
      </c>
    </row>
    <row r="13" spans="1:7">
      <c r="A13" s="188" t="str">
        <f>'Schedule 7 Workpaper'!B14</f>
        <v>Brownlee Power Plant Adams</v>
      </c>
      <c r="B13" s="276">
        <f>'Schedule 7 Workpaper'!C14</f>
        <v>353</v>
      </c>
      <c r="C13" s="276">
        <f>'Schedule 7 Workpaper'!D14</f>
        <v>2012</v>
      </c>
      <c r="D13" s="498">
        <f>'Schedule 7 Workpaper'!G14 + 'Schedule 7 Workpaper'!J14+'Schedule 7 Workpaper'!M14</f>
        <v>3</v>
      </c>
      <c r="E13" s="499">
        <f>'Schedule 7 Workpaper'!E14</f>
        <v>1855783.59</v>
      </c>
      <c r="F13" s="499">
        <f>'Schedule 7 Workpaper'!O14</f>
        <v>107026.75</v>
      </c>
      <c r="G13" s="500">
        <f>'Schedule 7 Workpaper'!Q14</f>
        <v>35259.89</v>
      </c>
    </row>
    <row r="14" spans="1:7">
      <c r="A14" s="188" t="str">
        <f>'Schedule 7 Workpaper'!B15</f>
        <v>Bliss Power Plant Gooding</v>
      </c>
      <c r="B14" s="276">
        <f>'Schedule 7 Workpaper'!C15</f>
        <v>353</v>
      </c>
      <c r="C14" s="276">
        <f>'Schedule 7 Workpaper'!D15</f>
        <v>1950</v>
      </c>
      <c r="D14" s="498">
        <f>'Schedule 7 Workpaper'!G15 + 'Schedule 7 Workpaper'!J15+'Schedule 7 Workpaper'!M15</f>
        <v>65</v>
      </c>
      <c r="E14" s="499">
        <f>'Schedule 7 Workpaper'!E15</f>
        <v>316403.89</v>
      </c>
      <c r="F14" s="499">
        <f>'Schedule 7 Workpaper'!O15</f>
        <v>433479.66</v>
      </c>
      <c r="G14" s="500">
        <f>'Schedule 7 Workpaper'!Q15</f>
        <v>6011.67</v>
      </c>
    </row>
    <row r="15" spans="1:7">
      <c r="A15" s="188" t="str">
        <f>'Schedule 7 Workpaper'!B16</f>
        <v>Bliss Power Plant Gooding</v>
      </c>
      <c r="B15" s="276">
        <f>'Schedule 7 Workpaper'!C16</f>
        <v>353</v>
      </c>
      <c r="C15" s="276">
        <f>'Schedule 7 Workpaper'!D16</f>
        <v>1964</v>
      </c>
      <c r="D15" s="498">
        <f>'Schedule 7 Workpaper'!G16 + 'Schedule 7 Workpaper'!J16+'Schedule 7 Workpaper'!M16</f>
        <v>51</v>
      </c>
      <c r="E15" s="499">
        <f>'Schedule 7 Workpaper'!E16</f>
        <v>1416.21</v>
      </c>
      <c r="F15" s="499">
        <f>'Schedule 7 Workpaper'!O16</f>
        <v>1519.9</v>
      </c>
      <c r="G15" s="500">
        <f>'Schedule 7 Workpaper'!Q16</f>
        <v>26.91</v>
      </c>
    </row>
    <row r="16" spans="1:7">
      <c r="A16" s="188" t="str">
        <f>'Schedule 7 Workpaper'!B17</f>
        <v>Cascade Power Plant</v>
      </c>
      <c r="B16" s="276">
        <f>'Schedule 7 Workpaper'!C17</f>
        <v>353</v>
      </c>
      <c r="C16" s="276">
        <f>'Schedule 7 Workpaper'!D17</f>
        <v>1983</v>
      </c>
      <c r="D16" s="498">
        <f>'Schedule 7 Workpaper'!G17 + 'Schedule 7 Workpaper'!J17+'Schedule 7 Workpaper'!M17</f>
        <v>32</v>
      </c>
      <c r="E16" s="499">
        <f>'Schedule 7 Workpaper'!E17</f>
        <v>257772.45</v>
      </c>
      <c r="F16" s="499">
        <f>'Schedule 7 Workpaper'!O17</f>
        <v>172815.81</v>
      </c>
      <c r="G16" s="500">
        <f>'Schedule 7 Workpaper'!Q17</f>
        <v>4897.68</v>
      </c>
    </row>
    <row r="17" spans="1:7">
      <c r="A17" s="188" t="str">
        <f>'Schedule 7 Workpaper'!B18</f>
        <v>Clear Lake Power Plant</v>
      </c>
      <c r="B17" s="276">
        <f>'Schedule 7 Workpaper'!C18</f>
        <v>353</v>
      </c>
      <c r="C17" s="276">
        <f>'Schedule 7 Workpaper'!D18</f>
        <v>1965</v>
      </c>
      <c r="D17" s="498">
        <f>'Schedule 7 Workpaper'!G18 + 'Schedule 7 Workpaper'!J18+'Schedule 7 Workpaper'!M18</f>
        <v>50</v>
      </c>
      <c r="E17" s="499">
        <f>'Schedule 7 Workpaper'!E18</f>
        <v>19807.669999999998</v>
      </c>
      <c r="F17" s="499">
        <f>'Schedule 7 Workpaper'!O18</f>
        <v>20838.07</v>
      </c>
      <c r="G17" s="500">
        <f>'Schedule 7 Workpaper'!Q18</f>
        <v>376.35</v>
      </c>
    </row>
    <row r="18" spans="1:7">
      <c r="A18" s="188" t="str">
        <f>'Schedule 7 Workpaper'!B19</f>
        <v>Danskin Power Plant</v>
      </c>
      <c r="B18" s="276">
        <f>'Schedule 7 Workpaper'!C19</f>
        <v>353</v>
      </c>
      <c r="C18" s="276">
        <f>'Schedule 7 Workpaper'!D19</f>
        <v>2001</v>
      </c>
      <c r="D18" s="498">
        <f>'Schedule 7 Workpaper'!G19 + 'Schedule 7 Workpaper'!J19+'Schedule 7 Workpaper'!M19</f>
        <v>14</v>
      </c>
      <c r="E18" s="499">
        <f>'Schedule 7 Workpaper'!E19</f>
        <v>259219.44</v>
      </c>
      <c r="F18" s="499">
        <f>'Schedule 7 Workpaper'!O19</f>
        <v>74867.759999999995</v>
      </c>
      <c r="G18" s="500">
        <f>'Schedule 7 Workpaper'!Q19</f>
        <v>4925.17</v>
      </c>
    </row>
    <row r="19" spans="1:7">
      <c r="A19" s="188" t="str">
        <f>'Schedule 7 Workpaper'!B20</f>
        <v>Danskin Power Plant</v>
      </c>
      <c r="B19" s="276">
        <f>'Schedule 7 Workpaper'!C20</f>
        <v>353</v>
      </c>
      <c r="C19" s="276">
        <f>'Schedule 7 Workpaper'!D20</f>
        <v>2008</v>
      </c>
      <c r="D19" s="498">
        <f>'Schedule 7 Workpaper'!G20 + 'Schedule 7 Workpaper'!J20+'Schedule 7 Workpaper'!M20</f>
        <v>7</v>
      </c>
      <c r="E19" s="499">
        <f>'Schedule 7 Workpaper'!E20</f>
        <v>7041.17</v>
      </c>
      <c r="F19" s="499">
        <f>'Schedule 7 Workpaper'!O20</f>
        <v>988.72</v>
      </c>
      <c r="G19" s="500">
        <f>'Schedule 7 Workpaper'!Q20</f>
        <v>133.78</v>
      </c>
    </row>
    <row r="20" spans="1:7">
      <c r="A20" s="188" t="str">
        <f>'Schedule 7 Workpaper'!B21</f>
        <v>Danskin Power Plant</v>
      </c>
      <c r="B20" s="276">
        <f>'Schedule 7 Workpaper'!C21</f>
        <v>353</v>
      </c>
      <c r="C20" s="276">
        <f>'Schedule 7 Workpaper'!D21</f>
        <v>2009</v>
      </c>
      <c r="D20" s="498">
        <f>'Schedule 7 Workpaper'!G21 + 'Schedule 7 Workpaper'!J21+'Schedule 7 Workpaper'!M21</f>
        <v>6</v>
      </c>
      <c r="E20" s="499">
        <f>'Schedule 7 Workpaper'!E21</f>
        <v>3878240.38</v>
      </c>
      <c r="F20" s="499">
        <f>'Schedule 7 Workpaper'!O21</f>
        <v>463341.13</v>
      </c>
      <c r="G20" s="500">
        <f>'Schedule 7 Workpaper'!Q21</f>
        <v>73686.570000000007</v>
      </c>
    </row>
    <row r="21" spans="1:7">
      <c r="A21" s="188" t="str">
        <f>'Schedule 7 Workpaper'!B22</f>
        <v>Hells Canyon Power Plant Wallo</v>
      </c>
      <c r="B21" s="276">
        <f>'Schedule 7 Workpaper'!C22</f>
        <v>353</v>
      </c>
      <c r="C21" s="276">
        <f>'Schedule 7 Workpaper'!D22</f>
        <v>1967</v>
      </c>
      <c r="D21" s="498">
        <f>'Schedule 7 Workpaper'!G22 + 'Schedule 7 Workpaper'!J22+'Schedule 7 Workpaper'!M22</f>
        <v>48</v>
      </c>
      <c r="E21" s="499">
        <f>'Schedule 7 Workpaper'!E22</f>
        <v>945897.18</v>
      </c>
      <c r="F21" s="499">
        <f>'Schedule 7 Workpaper'!O22</f>
        <v>954996.71</v>
      </c>
      <c r="G21" s="500">
        <f>'Schedule 7 Workpaper'!Q22</f>
        <v>17972.05</v>
      </c>
    </row>
    <row r="22" spans="1:7">
      <c r="A22" s="188" t="str">
        <f>'Schedule 7 Workpaper'!B23</f>
        <v>Hells Canyon Power Plant Wallo</v>
      </c>
      <c r="B22" s="276">
        <f>'Schedule 7 Workpaper'!C23</f>
        <v>353</v>
      </c>
      <c r="C22" s="276">
        <f>'Schedule 7 Workpaper'!D23</f>
        <v>2000</v>
      </c>
      <c r="D22" s="498">
        <f>'Schedule 7 Workpaper'!G23 + 'Schedule 7 Workpaper'!J23+'Schedule 7 Workpaper'!M23</f>
        <v>15</v>
      </c>
      <c r="E22" s="499">
        <f>'Schedule 7 Workpaper'!E23</f>
        <v>2680.97</v>
      </c>
      <c r="F22" s="499">
        <f>'Schedule 7 Workpaper'!O23</f>
        <v>831.16</v>
      </c>
      <c r="G22" s="500">
        <f>'Schedule 7 Workpaper'!Q23</f>
        <v>50.94</v>
      </c>
    </row>
    <row r="23" spans="1:7">
      <c r="A23" s="188" t="str">
        <f>'Schedule 7 Workpaper'!B24</f>
        <v>Lower Malad Power Plant</v>
      </c>
      <c r="B23" s="276">
        <f>'Schedule 7 Workpaper'!C24</f>
        <v>353</v>
      </c>
      <c r="C23" s="276">
        <f>'Schedule 7 Workpaper'!D24</f>
        <v>1948</v>
      </c>
      <c r="D23" s="498">
        <f>'Schedule 7 Workpaper'!G24 + 'Schedule 7 Workpaper'!J24+'Schedule 7 Workpaper'!M24</f>
        <v>67</v>
      </c>
      <c r="E23" s="499">
        <f>'Schedule 7 Workpaper'!E24</f>
        <v>81118.75</v>
      </c>
      <c r="F23" s="499">
        <f>'Schedule 7 Workpaper'!O24</f>
        <v>114573.75</v>
      </c>
      <c r="G23" s="500">
        <f>'Schedule 7 Workpaper'!Q24</f>
        <v>1541.26</v>
      </c>
    </row>
    <row r="24" spans="1:7">
      <c r="A24" s="188" t="str">
        <f>'Schedule 7 Workpaper'!B25</f>
        <v>Lower Malad Power Plant</v>
      </c>
      <c r="B24" s="276">
        <f>'Schedule 7 Workpaper'!C25</f>
        <v>353</v>
      </c>
      <c r="C24" s="276">
        <f>'Schedule 7 Workpaper'!D25</f>
        <v>1958</v>
      </c>
      <c r="D24" s="498">
        <f>'Schedule 7 Workpaper'!G25 + 'Schedule 7 Workpaper'!J25+'Schedule 7 Workpaper'!M25</f>
        <v>57</v>
      </c>
      <c r="E24" s="499">
        <f>'Schedule 7 Workpaper'!E25</f>
        <v>1551.05</v>
      </c>
      <c r="F24" s="499">
        <f>'Schedule 7 Workpaper'!O25</f>
        <v>1861.9</v>
      </c>
      <c r="G24" s="500">
        <f>'Schedule 7 Workpaper'!Q25</f>
        <v>29.47</v>
      </c>
    </row>
    <row r="25" spans="1:7">
      <c r="A25" s="188" t="str">
        <f>'Schedule 7 Workpaper'!B26</f>
        <v>Lower Salmon Power Plant Goodi</v>
      </c>
      <c r="B25" s="276">
        <f>'Schedule 7 Workpaper'!C26</f>
        <v>353</v>
      </c>
      <c r="C25" s="276">
        <f>'Schedule 7 Workpaper'!D26</f>
        <v>1949</v>
      </c>
      <c r="D25" s="498">
        <f>'Schedule 7 Workpaper'!G26 + 'Schedule 7 Workpaper'!J26+'Schedule 7 Workpaper'!M26</f>
        <v>66</v>
      </c>
      <c r="E25" s="499">
        <f>'Schedule 7 Workpaper'!E26</f>
        <v>303512.28999999998</v>
      </c>
      <c r="F25" s="499">
        <f>'Schedule 7 Workpaper'!O26</f>
        <v>422252.36999999994</v>
      </c>
      <c r="G25" s="500">
        <f>'Schedule 7 Workpaper'!Q26</f>
        <v>5766.73</v>
      </c>
    </row>
    <row r="26" spans="1:7">
      <c r="A26" s="188" t="str">
        <f>'Schedule 7 Workpaper'!B27</f>
        <v>Milner Power Plant</v>
      </c>
      <c r="B26" s="276">
        <f>'Schedule 7 Workpaper'!C27</f>
        <v>353</v>
      </c>
      <c r="C26" s="276">
        <f>'Schedule 7 Workpaper'!D27</f>
        <v>1992</v>
      </c>
      <c r="D26" s="498">
        <f>'Schedule 7 Workpaper'!G27 + 'Schedule 7 Workpaper'!J27+'Schedule 7 Workpaper'!M27</f>
        <v>23</v>
      </c>
      <c r="E26" s="499">
        <f>'Schedule 7 Workpaper'!E27</f>
        <v>664293.88</v>
      </c>
      <c r="F26" s="499">
        <f>'Schedule 7 Workpaper'!O27</f>
        <v>318608.63</v>
      </c>
      <c r="G26" s="500">
        <f>'Schedule 7 Workpaper'!Q27</f>
        <v>12621.58</v>
      </c>
    </row>
    <row r="27" spans="1:7">
      <c r="A27" s="188" t="str">
        <f>'Schedule 7 Workpaper'!B28</f>
        <v>Oxbow Power Plant Baker</v>
      </c>
      <c r="B27" s="276">
        <f>'Schedule 7 Workpaper'!C28</f>
        <v>353</v>
      </c>
      <c r="C27" s="276">
        <f>'Schedule 7 Workpaper'!D28</f>
        <v>1949</v>
      </c>
      <c r="D27" s="498">
        <f>'Schedule 7 Workpaper'!G28 + 'Schedule 7 Workpaper'!J28+'Schedule 7 Workpaper'!M28</f>
        <v>66</v>
      </c>
      <c r="E27" s="499">
        <f>'Schedule 7 Workpaper'!E28</f>
        <v>100827.22</v>
      </c>
      <c r="F27" s="499">
        <f>'Schedule 7 Workpaper'!O28</f>
        <v>140272.85</v>
      </c>
      <c r="G27" s="500">
        <f>'Schedule 7 Workpaper'!Q28</f>
        <v>1915.72</v>
      </c>
    </row>
    <row r="28" spans="1:7">
      <c r="A28" s="188" t="str">
        <f>'Schedule 7 Workpaper'!B29</f>
        <v>Oxbow Power Plant Baker</v>
      </c>
      <c r="B28" s="276">
        <f>'Schedule 7 Workpaper'!C29</f>
        <v>353</v>
      </c>
      <c r="C28" s="276">
        <f>'Schedule 7 Workpaper'!D29</f>
        <v>1951</v>
      </c>
      <c r="D28" s="498">
        <f>'Schedule 7 Workpaper'!G29 + 'Schedule 7 Workpaper'!J29+'Schedule 7 Workpaper'!M29</f>
        <v>64</v>
      </c>
      <c r="E28" s="499">
        <f>'Schedule 7 Workpaper'!E29</f>
        <v>43216.23</v>
      </c>
      <c r="F28" s="499">
        <f>'Schedule 7 Workpaper'!O29</f>
        <v>58290.92</v>
      </c>
      <c r="G28" s="500">
        <f>'Schedule 7 Workpaper'!Q29</f>
        <v>821.11</v>
      </c>
    </row>
    <row r="29" spans="1:7">
      <c r="A29" s="188" t="str">
        <f>'Schedule 7 Workpaper'!B30</f>
        <v>Oxbow Power Plant Baker</v>
      </c>
      <c r="B29" s="276">
        <f>'Schedule 7 Workpaper'!C30</f>
        <v>353</v>
      </c>
      <c r="C29" s="276">
        <f>'Schedule 7 Workpaper'!D30</f>
        <v>1957</v>
      </c>
      <c r="D29" s="498">
        <f>'Schedule 7 Workpaper'!G30 + 'Schedule 7 Workpaper'!J30+'Schedule 7 Workpaper'!M30</f>
        <v>58</v>
      </c>
      <c r="E29" s="499">
        <f>'Schedule 7 Workpaper'!E30</f>
        <v>208866.2</v>
      </c>
      <c r="F29" s="499">
        <f>'Schedule 7 Workpaper'!O30</f>
        <v>255155.12</v>
      </c>
      <c r="G29" s="500">
        <f>'Schedule 7 Workpaper'!Q30</f>
        <v>3968.46</v>
      </c>
    </row>
    <row r="30" spans="1:7">
      <c r="A30" s="188" t="str">
        <f>'Schedule 7 Workpaper'!B31</f>
        <v>Oxbow Power Plant Baker</v>
      </c>
      <c r="B30" s="276">
        <f>'Schedule 7 Workpaper'!C31</f>
        <v>353</v>
      </c>
      <c r="C30" s="276">
        <f>'Schedule 7 Workpaper'!D31</f>
        <v>1961</v>
      </c>
      <c r="D30" s="498">
        <f>'Schedule 7 Workpaper'!G31 + 'Schedule 7 Workpaper'!J31+'Schedule 7 Workpaper'!M31</f>
        <v>54</v>
      </c>
      <c r="E30" s="499">
        <f>'Schedule 7 Workpaper'!E31</f>
        <v>423845.86</v>
      </c>
      <c r="F30" s="499">
        <f>'Schedule 7 Workpaper'!O31</f>
        <v>481836.44</v>
      </c>
      <c r="G30" s="500">
        <f>'Schedule 7 Workpaper'!Q31</f>
        <v>8053.07</v>
      </c>
    </row>
    <row r="31" spans="1:7">
      <c r="A31" s="188" t="str">
        <f>'Schedule 7 Workpaper'!B32</f>
        <v>Oxbow Power Plant Baker</v>
      </c>
      <c r="B31" s="276">
        <f>'Schedule 7 Workpaper'!C32</f>
        <v>353</v>
      </c>
      <c r="C31" s="276">
        <f>'Schedule 7 Workpaper'!D32</f>
        <v>1979</v>
      </c>
      <c r="D31" s="498">
        <f>'Schedule 7 Workpaper'!G32 + 'Schedule 7 Workpaper'!J32+'Schedule 7 Workpaper'!M32</f>
        <v>36</v>
      </c>
      <c r="E31" s="499">
        <f>'Schedule 7 Workpaper'!E32</f>
        <v>2963.82</v>
      </c>
      <c r="F31" s="499">
        <f>'Schedule 7 Workpaper'!O32</f>
        <v>2238.3399999999997</v>
      </c>
      <c r="G31" s="500">
        <f>'Schedule 7 Workpaper'!Q32</f>
        <v>56.31</v>
      </c>
    </row>
    <row r="32" spans="1:7">
      <c r="A32" s="188" t="str">
        <f>'Schedule 7 Workpaper'!B33</f>
        <v>Oxbow Power Plant Baker</v>
      </c>
      <c r="B32" s="276">
        <f>'Schedule 7 Workpaper'!C33</f>
        <v>353</v>
      </c>
      <c r="C32" s="276">
        <f>'Schedule 7 Workpaper'!D33</f>
        <v>1980</v>
      </c>
      <c r="D32" s="498">
        <f>'Schedule 7 Workpaper'!G33 + 'Schedule 7 Workpaper'!J33+'Schedule 7 Workpaper'!M33</f>
        <v>35</v>
      </c>
      <c r="E32" s="499">
        <f>'Schedule 7 Workpaper'!E33</f>
        <v>6099.17</v>
      </c>
      <c r="F32" s="499">
        <f>'Schedule 7 Workpaper'!O33</f>
        <v>4476.91</v>
      </c>
      <c r="G32" s="500">
        <f>'Schedule 7 Workpaper'!Q33</f>
        <v>115.88</v>
      </c>
    </row>
    <row r="33" spans="1:7">
      <c r="A33" s="188" t="str">
        <f>'Schedule 7 Workpaper'!B34</f>
        <v>Oxbow Power Plant Baker</v>
      </c>
      <c r="B33" s="276">
        <f>'Schedule 7 Workpaper'!C34</f>
        <v>353</v>
      </c>
      <c r="C33" s="276">
        <f>'Schedule 7 Workpaper'!D34</f>
        <v>2000</v>
      </c>
      <c r="D33" s="498">
        <f>'Schedule 7 Workpaper'!G34 + 'Schedule 7 Workpaper'!J34+'Schedule 7 Workpaper'!M34</f>
        <v>15</v>
      </c>
      <c r="E33" s="499">
        <f>'Schedule 7 Workpaper'!E34</f>
        <v>132897.45000000001</v>
      </c>
      <c r="F33" s="499">
        <f>'Schedule 7 Workpaper'!O34</f>
        <v>41200.859999999993</v>
      </c>
      <c r="G33" s="500">
        <f>'Schedule 7 Workpaper'!Q34</f>
        <v>2525.0500000000002</v>
      </c>
    </row>
    <row r="34" spans="1:7">
      <c r="A34" s="188" t="str">
        <f>'Schedule 7 Workpaper'!B35</f>
        <v>Oxbow Power Plant Baker</v>
      </c>
      <c r="B34" s="276">
        <f>'Schedule 7 Workpaper'!C35</f>
        <v>353</v>
      </c>
      <c r="C34" s="276">
        <f>'Schedule 7 Workpaper'!D35</f>
        <v>2000</v>
      </c>
      <c r="D34" s="498">
        <f>'Schedule 7 Workpaper'!G35 + 'Schedule 7 Workpaper'!J35+'Schedule 7 Workpaper'!M35</f>
        <v>15</v>
      </c>
      <c r="E34" s="499">
        <f>'Schedule 7 Workpaper'!E35</f>
        <v>3395.4</v>
      </c>
      <c r="F34" s="499">
        <f>'Schedule 7 Workpaper'!O35</f>
        <v>1052.6400000000001</v>
      </c>
      <c r="G34" s="500">
        <f>'Schedule 7 Workpaper'!Q35</f>
        <v>64.510000000000005</v>
      </c>
    </row>
    <row r="35" spans="1:7">
      <c r="A35" s="188" t="str">
        <f>'Schedule 7 Workpaper'!B36</f>
        <v>Shoshone Falls Power Plant Jer</v>
      </c>
      <c r="B35" s="276">
        <f>'Schedule 7 Workpaper'!C36</f>
        <v>353</v>
      </c>
      <c r="C35" s="276">
        <f>'Schedule 7 Workpaper'!D36</f>
        <v>1992</v>
      </c>
      <c r="D35" s="498">
        <f>'Schedule 7 Workpaper'!G36 + 'Schedule 7 Workpaper'!J36+'Schedule 7 Workpaper'!M36</f>
        <v>23</v>
      </c>
      <c r="E35" s="499">
        <f>'Schedule 7 Workpaper'!E36</f>
        <v>306659.17</v>
      </c>
      <c r="F35" s="499">
        <f>'Schedule 7 Workpaper'!O36</f>
        <v>147079.87</v>
      </c>
      <c r="G35" s="500">
        <f>'Schedule 7 Workpaper'!Q36</f>
        <v>5826.52</v>
      </c>
    </row>
    <row r="36" spans="1:7">
      <c r="A36" s="188" t="str">
        <f>'Schedule 7 Workpaper'!B37</f>
        <v>Strike C J Power Plant Owyhee</v>
      </c>
      <c r="B36" s="276">
        <f>'Schedule 7 Workpaper'!C37</f>
        <v>353</v>
      </c>
      <c r="C36" s="276">
        <f>'Schedule 7 Workpaper'!D37</f>
        <v>1952</v>
      </c>
      <c r="D36" s="498">
        <f>'Schedule 7 Workpaper'!G37 + 'Schedule 7 Workpaper'!J37+'Schedule 7 Workpaper'!M37</f>
        <v>63</v>
      </c>
      <c r="E36" s="499">
        <f>'Schedule 7 Workpaper'!E37</f>
        <v>344946.87</v>
      </c>
      <c r="F36" s="499">
        <f>'Schedule 7 Workpaper'!O37</f>
        <v>457958.37</v>
      </c>
      <c r="G36" s="500">
        <f>'Schedule 7 Workpaper'!Q37</f>
        <v>6553.99</v>
      </c>
    </row>
    <row r="37" spans="1:7">
      <c r="A37" s="188" t="str">
        <f>'Schedule 7 Workpaper'!B38</f>
        <v>Strike C J Power Plant Owyhee</v>
      </c>
      <c r="B37" s="276">
        <f>'Schedule 7 Workpaper'!C38</f>
        <v>353</v>
      </c>
      <c r="C37" s="276">
        <f>'Schedule 7 Workpaper'!D38</f>
        <v>1965</v>
      </c>
      <c r="D37" s="498">
        <f>'Schedule 7 Workpaper'!G38 + 'Schedule 7 Workpaper'!J38+'Schedule 7 Workpaper'!M38</f>
        <v>50</v>
      </c>
      <c r="E37" s="499">
        <f>'Schedule 7 Workpaper'!E38</f>
        <v>1480.23</v>
      </c>
      <c r="F37" s="499">
        <f>'Schedule 7 Workpaper'!O38</f>
        <v>1557.2299999999998</v>
      </c>
      <c r="G37" s="500">
        <f>'Schedule 7 Workpaper'!Q38</f>
        <v>28.12</v>
      </c>
    </row>
    <row r="38" spans="1:7">
      <c r="A38" s="188" t="str">
        <f>'Schedule 7 Workpaper'!B39</f>
        <v>Strike C J Power Plant Owyhee</v>
      </c>
      <c r="B38" s="276">
        <f>'Schedule 7 Workpaper'!C39</f>
        <v>353</v>
      </c>
      <c r="C38" s="276">
        <f>'Schedule 7 Workpaper'!D39</f>
        <v>1972</v>
      </c>
      <c r="D38" s="498">
        <f>'Schedule 7 Workpaper'!G39 + 'Schedule 7 Workpaper'!J39+'Schedule 7 Workpaper'!M39</f>
        <v>43</v>
      </c>
      <c r="E38" s="499">
        <f>'Schedule 7 Workpaper'!E39</f>
        <v>609.84</v>
      </c>
      <c r="F38" s="499">
        <f>'Schedule 7 Workpaper'!O39</f>
        <v>551.05999999999995</v>
      </c>
      <c r="G38" s="500">
        <f>'Schedule 7 Workpaper'!Q39</f>
        <v>11.59</v>
      </c>
    </row>
    <row r="39" spans="1:7">
      <c r="A39" s="188" t="str">
        <f>'Schedule 7 Workpaper'!B40</f>
        <v>Strike C J Power Plant Owyhee</v>
      </c>
      <c r="B39" s="276">
        <f>'Schedule 7 Workpaper'!C40</f>
        <v>353</v>
      </c>
      <c r="C39" s="276">
        <f>'Schedule 7 Workpaper'!D40</f>
        <v>1973</v>
      </c>
      <c r="D39" s="498">
        <f>'Schedule 7 Workpaper'!G40 + 'Schedule 7 Workpaper'!J40+'Schedule 7 Workpaper'!M40</f>
        <v>42</v>
      </c>
      <c r="E39" s="499">
        <f>'Schedule 7 Workpaper'!E40</f>
        <v>316.68</v>
      </c>
      <c r="F39" s="499">
        <f>'Schedule 7 Workpaper'!O40</f>
        <v>279.44</v>
      </c>
      <c r="G39" s="500">
        <f>'Schedule 7 Workpaper'!Q40</f>
        <v>6.02</v>
      </c>
    </row>
    <row r="40" spans="1:7">
      <c r="A40" s="188" t="str">
        <f>'Schedule 7 Workpaper'!B41</f>
        <v>Strike C J Power Plant Owyhee</v>
      </c>
      <c r="B40" s="276">
        <f>'Schedule 7 Workpaper'!C41</f>
        <v>353</v>
      </c>
      <c r="C40" s="276">
        <f>'Schedule 7 Workpaper'!D41</f>
        <v>1982</v>
      </c>
      <c r="D40" s="498">
        <f>'Schedule 7 Workpaper'!G41 + 'Schedule 7 Workpaper'!J41+'Schedule 7 Workpaper'!M41</f>
        <v>33</v>
      </c>
      <c r="E40" s="499">
        <f>'Schedule 7 Workpaper'!E41</f>
        <v>32437.37</v>
      </c>
      <c r="F40" s="499">
        <f>'Schedule 7 Workpaper'!O41</f>
        <v>22434.340000000004</v>
      </c>
      <c r="G40" s="500">
        <f>'Schedule 7 Workpaper'!Q41</f>
        <v>616.30999999999995</v>
      </c>
    </row>
    <row r="41" spans="1:7">
      <c r="A41" s="188" t="str">
        <f>'Schedule 7 Workpaper'!B42</f>
        <v>Swan Falls Power Plant Ada</v>
      </c>
      <c r="B41" s="276">
        <f>'Schedule 7 Workpaper'!C42</f>
        <v>353</v>
      </c>
      <c r="C41" s="276">
        <f>'Schedule 7 Workpaper'!D42</f>
        <v>1994</v>
      </c>
      <c r="D41" s="498">
        <f>'Schedule 7 Workpaper'!G42 + 'Schedule 7 Workpaper'!J42+'Schedule 7 Workpaper'!M42</f>
        <v>21</v>
      </c>
      <c r="E41" s="499">
        <f>'Schedule 7 Workpaper'!E42</f>
        <v>432054.7</v>
      </c>
      <c r="F41" s="499">
        <f>'Schedule 7 Workpaper'!O42</f>
        <v>188902.95</v>
      </c>
      <c r="G41" s="500">
        <f>'Schedule 7 Workpaper'!Q42</f>
        <v>8209.0400000000009</v>
      </c>
    </row>
    <row r="42" spans="1:7">
      <c r="A42" s="188" t="str">
        <f>'Schedule 7 Workpaper'!B43</f>
        <v>Swan Falls Power Plant Ada</v>
      </c>
      <c r="B42" s="276">
        <f>'Schedule 7 Workpaper'!C43</f>
        <v>353</v>
      </c>
      <c r="C42" s="276">
        <f>'Schedule 7 Workpaper'!D43</f>
        <v>1999</v>
      </c>
      <c r="D42" s="498">
        <f>'Schedule 7 Workpaper'!G43 + 'Schedule 7 Workpaper'!J43+'Schedule 7 Workpaper'!M43</f>
        <v>16</v>
      </c>
      <c r="E42" s="499">
        <f>'Schedule 7 Workpaper'!E43</f>
        <v>3.04</v>
      </c>
      <c r="F42" s="499">
        <f>'Schedule 7 Workpaper'!O43</f>
        <v>1.01</v>
      </c>
      <c r="G42" s="500">
        <f>'Schedule 7 Workpaper'!Q43</f>
        <v>0.06</v>
      </c>
    </row>
    <row r="43" spans="1:7">
      <c r="A43" s="188" t="str">
        <f>'Schedule 7 Workpaper'!B44</f>
        <v>Twin Falls Power Plant Twin Fa</v>
      </c>
      <c r="B43" s="276">
        <f>'Schedule 7 Workpaper'!C44</f>
        <v>353</v>
      </c>
      <c r="C43" s="276">
        <f>'Schedule 7 Workpaper'!D44</f>
        <v>1949</v>
      </c>
      <c r="D43" s="498">
        <f>'Schedule 7 Workpaper'!G44 + 'Schedule 7 Workpaper'!J44+'Schedule 7 Workpaper'!M44</f>
        <v>66</v>
      </c>
      <c r="E43" s="499">
        <f>'Schedule 7 Workpaper'!E44</f>
        <v>39458.78</v>
      </c>
      <c r="F43" s="499">
        <f>'Schedule 7 Workpaper'!O44</f>
        <v>54895.85</v>
      </c>
      <c r="G43" s="500">
        <f>'Schedule 7 Workpaper'!Q44</f>
        <v>749.72</v>
      </c>
    </row>
    <row r="44" spans="1:7">
      <c r="A44" s="188" t="str">
        <f>'Schedule 7 Workpaper'!B45</f>
        <v>Twin Falls Power Plant (New)</v>
      </c>
      <c r="B44" s="276">
        <f>'Schedule 7 Workpaper'!C45</f>
        <v>353</v>
      </c>
      <c r="C44" s="276">
        <f>'Schedule 7 Workpaper'!D45</f>
        <v>1995</v>
      </c>
      <c r="D44" s="498">
        <f>'Schedule 7 Workpaper'!G45 + 'Schedule 7 Workpaper'!J45+'Schedule 7 Workpaper'!M45</f>
        <v>20</v>
      </c>
      <c r="E44" s="499">
        <f>'Schedule 7 Workpaper'!E45</f>
        <v>430708.27</v>
      </c>
      <c r="F44" s="499">
        <f>'Schedule 7 Workpaper'!O45</f>
        <v>179183.26</v>
      </c>
      <c r="G44" s="500">
        <f>'Schedule 7 Workpaper'!Q45</f>
        <v>8183.46</v>
      </c>
    </row>
    <row r="45" spans="1:7">
      <c r="A45" s="188" t="str">
        <f>'Schedule 7 Workpaper'!B46</f>
        <v>Thousand Springs Power Plant</v>
      </c>
      <c r="B45" s="276">
        <f>'Schedule 7 Workpaper'!C46</f>
        <v>353</v>
      </c>
      <c r="C45" s="276">
        <f>'Schedule 7 Workpaper'!D46</f>
        <v>1956</v>
      </c>
      <c r="D45" s="498">
        <f>'Schedule 7 Workpaper'!G46 + 'Schedule 7 Workpaper'!J46+'Schedule 7 Workpaper'!M46</f>
        <v>59</v>
      </c>
      <c r="E45" s="499">
        <f>'Schedule 7 Workpaper'!E46</f>
        <v>36470.01</v>
      </c>
      <c r="F45" s="499">
        <f>'Schedule 7 Workpaper'!O46</f>
        <v>45325.65</v>
      </c>
      <c r="G45" s="500">
        <f>'Schedule 7 Workpaper'!Q46</f>
        <v>692.93</v>
      </c>
    </row>
    <row r="46" spans="1:7">
      <c r="A46" s="188" t="str">
        <f>'Schedule 7 Workpaper'!B47</f>
        <v>Upper Malad Power Plant</v>
      </c>
      <c r="B46" s="276">
        <f>'Schedule 7 Workpaper'!C47</f>
        <v>353</v>
      </c>
      <c r="C46" s="276">
        <f>'Schedule 7 Workpaper'!D47</f>
        <v>1948</v>
      </c>
      <c r="D46" s="498">
        <f>'Schedule 7 Workpaper'!G47 + 'Schedule 7 Workpaper'!J47+'Schedule 7 Workpaper'!M47</f>
        <v>67</v>
      </c>
      <c r="E46" s="499">
        <f>'Schedule 7 Workpaper'!E47</f>
        <v>31129.21</v>
      </c>
      <c r="F46" s="499">
        <f>'Schedule 7 Workpaper'!O47</f>
        <v>43967.519999999997</v>
      </c>
      <c r="G46" s="500">
        <f>'Schedule 7 Workpaper'!Q47</f>
        <v>591.45000000000005</v>
      </c>
    </row>
    <row r="47" spans="1:7">
      <c r="A47" s="188" t="str">
        <f>'Schedule 7 Workpaper'!B48</f>
        <v>Upper Malad Power Plant</v>
      </c>
      <c r="B47" s="276">
        <f>'Schedule 7 Workpaper'!C48</f>
        <v>353</v>
      </c>
      <c r="C47" s="276">
        <f>'Schedule 7 Workpaper'!D48</f>
        <v>1987</v>
      </c>
      <c r="D47" s="498">
        <f>'Schedule 7 Workpaper'!G48 + 'Schedule 7 Workpaper'!J48+'Schedule 7 Workpaper'!M48</f>
        <v>28</v>
      </c>
      <c r="E47" s="499">
        <f>'Schedule 7 Workpaper'!E48</f>
        <v>2109.16</v>
      </c>
      <c r="F47" s="499">
        <f>'Schedule 7 Workpaper'!O48</f>
        <v>1235.1600000000001</v>
      </c>
      <c r="G47" s="500">
        <f>'Schedule 7 Workpaper'!Q48</f>
        <v>40.07</v>
      </c>
    </row>
    <row r="48" spans="1:7">
      <c r="A48" s="188" t="str">
        <f>'Schedule 7 Workpaper'!B49</f>
        <v>Upper Malad Power Plant</v>
      </c>
      <c r="B48" s="276">
        <f>'Schedule 7 Workpaper'!C49</f>
        <v>353</v>
      </c>
      <c r="C48" s="276">
        <f>'Schedule 7 Workpaper'!D49</f>
        <v>1988</v>
      </c>
      <c r="D48" s="498">
        <f>'Schedule 7 Workpaper'!G49 + 'Schedule 7 Workpaper'!J49+'Schedule 7 Workpaper'!M49</f>
        <v>27</v>
      </c>
      <c r="E48" s="499">
        <f>'Schedule 7 Workpaper'!E49</f>
        <v>278.93</v>
      </c>
      <c r="F48" s="499">
        <f>'Schedule 7 Workpaper'!O49</f>
        <v>157.42999999999998</v>
      </c>
      <c r="G48" s="500">
        <f>'Schedule 7 Workpaper'!Q49</f>
        <v>5.3</v>
      </c>
    </row>
    <row r="49" spans="1:7">
      <c r="A49" s="188" t="str">
        <f>'Schedule 7 Workpaper'!B50</f>
        <v>Upper Salmon A Power Plant</v>
      </c>
      <c r="B49" s="276">
        <f>'Schedule 7 Workpaper'!C50</f>
        <v>353</v>
      </c>
      <c r="C49" s="276">
        <f>'Schedule 7 Workpaper'!D50</f>
        <v>1937</v>
      </c>
      <c r="D49" s="498">
        <f>'Schedule 7 Workpaper'!G50 + 'Schedule 7 Workpaper'!J50+'Schedule 7 Workpaper'!M50</f>
        <v>78</v>
      </c>
      <c r="E49" s="499">
        <f>'Schedule 7 Workpaper'!E50</f>
        <v>72167.73</v>
      </c>
      <c r="F49" s="499">
        <f>'Schedule 7 Workpaper'!O50</f>
        <v>118760.66</v>
      </c>
      <c r="G49" s="500">
        <f>'Schedule 7 Workpaper'!Q50</f>
        <v>1371.19</v>
      </c>
    </row>
    <row r="50" spans="1:7">
      <c r="A50" s="188" t="str">
        <f>'Schedule 7 Workpaper'!B51</f>
        <v>Upper Salmon A Power Plant</v>
      </c>
      <c r="B50" s="276">
        <f>'Schedule 7 Workpaper'!C51</f>
        <v>353</v>
      </c>
      <c r="C50" s="276">
        <f>'Schedule 7 Workpaper'!D51</f>
        <v>1954</v>
      </c>
      <c r="D50" s="498">
        <f>'Schedule 7 Workpaper'!G51 + 'Schedule 7 Workpaper'!J51+'Schedule 7 Workpaper'!M51</f>
        <v>61</v>
      </c>
      <c r="E50" s="499">
        <f>'Schedule 7 Workpaper'!E51</f>
        <v>418.06</v>
      </c>
      <c r="F50" s="499">
        <f>'Schedule 7 Workpaper'!O51</f>
        <v>537.30000000000007</v>
      </c>
      <c r="G50" s="500">
        <f>'Schedule 7 Workpaper'!Q51</f>
        <v>7.94</v>
      </c>
    </row>
    <row r="51" spans="1:7">
      <c r="A51" s="188" t="str">
        <f>'Schedule 7 Workpaper'!B52</f>
        <v>Upper Salmon B Power Plant</v>
      </c>
      <c r="B51" s="276">
        <f>'Schedule 7 Workpaper'!C52</f>
        <v>353</v>
      </c>
      <c r="C51" s="276">
        <f>'Schedule 7 Workpaper'!D52</f>
        <v>1947</v>
      </c>
      <c r="D51" s="498">
        <f>'Schedule 7 Workpaper'!G52 + 'Schedule 7 Workpaper'!J52+'Schedule 7 Workpaper'!M52</f>
        <v>68</v>
      </c>
      <c r="E51" s="499">
        <f>'Schedule 7 Workpaper'!E52</f>
        <v>70392.59</v>
      </c>
      <c r="F51" s="499">
        <f>'Schedule 7 Workpaper'!O52</f>
        <v>100916.22</v>
      </c>
      <c r="G51" s="500">
        <f>'Schedule 7 Workpaper'!Q52</f>
        <v>1337.46</v>
      </c>
    </row>
    <row r="52" spans="1:7">
      <c r="A52" s="188" t="str">
        <f>'Schedule 7 Workpaper'!B53</f>
        <v>Boardman</v>
      </c>
      <c r="B52" s="276">
        <f>'Schedule 7 Workpaper'!C53</f>
        <v>353</v>
      </c>
      <c r="C52" s="276">
        <f>'Schedule 7 Workpaper'!D53</f>
        <v>1980</v>
      </c>
      <c r="D52" s="498">
        <f>'Schedule 7 Workpaper'!G53 + 'Schedule 7 Workpaper'!J53+'Schedule 7 Workpaper'!M53</f>
        <v>35</v>
      </c>
      <c r="E52" s="499">
        <f>'Schedule 7 Workpaper'!E53</f>
        <v>373215.24</v>
      </c>
      <c r="F52" s="499">
        <f>'Schedule 7 Workpaper'!O53</f>
        <v>273947.45</v>
      </c>
      <c r="G52" s="500">
        <f>'Schedule 7 Workpaper'!Q53</f>
        <v>7091.09</v>
      </c>
    </row>
    <row r="53" spans="1:7">
      <c r="A53" s="188" t="str">
        <f>'Schedule 7 Workpaper'!B54</f>
        <v>Boardman</v>
      </c>
      <c r="B53" s="276">
        <f>'Schedule 7 Workpaper'!C54</f>
        <v>353</v>
      </c>
      <c r="C53" s="276">
        <f>'Schedule 7 Workpaper'!D54</f>
        <v>1992</v>
      </c>
      <c r="D53" s="498">
        <f>'Schedule 7 Workpaper'!G54 + 'Schedule 7 Workpaper'!J54+'Schedule 7 Workpaper'!M54</f>
        <v>23</v>
      </c>
      <c r="E53" s="499">
        <f>'Schedule 7 Workpaper'!E54</f>
        <v>2010.51</v>
      </c>
      <c r="F53" s="499">
        <f>'Schedule 7 Workpaper'!O54</f>
        <v>964.29</v>
      </c>
      <c r="G53" s="500">
        <f>'Schedule 7 Workpaper'!Q54</f>
        <v>38.200000000000003</v>
      </c>
    </row>
    <row r="54" spans="1:7">
      <c r="A54" s="188" t="str">
        <f>'Schedule 7 Workpaper'!B55</f>
        <v>Boardman</v>
      </c>
      <c r="B54" s="276">
        <f>'Schedule 7 Workpaper'!C55</f>
        <v>353</v>
      </c>
      <c r="C54" s="276">
        <f>'Schedule 7 Workpaper'!D55</f>
        <v>2003</v>
      </c>
      <c r="D54" s="498">
        <f>'Schedule 7 Workpaper'!G55 + 'Schedule 7 Workpaper'!J55+'Schedule 7 Workpaper'!M55</f>
        <v>12</v>
      </c>
      <c r="E54" s="499">
        <f>'Schedule 7 Workpaper'!E55</f>
        <v>64212.69</v>
      </c>
      <c r="F54" s="499">
        <f>'Schedule 7 Workpaper'!O55</f>
        <v>15823.29</v>
      </c>
      <c r="G54" s="500">
        <f>'Schedule 7 Workpaper'!Q55</f>
        <v>1220.04</v>
      </c>
    </row>
    <row r="55" spans="1:7">
      <c r="A55" s="188" t="str">
        <f>'Schedule 7 Workpaper'!B56</f>
        <v>Boardman</v>
      </c>
      <c r="B55" s="276">
        <f>'Schedule 7 Workpaper'!C56</f>
        <v>353</v>
      </c>
      <c r="C55" s="276">
        <f>'Schedule 7 Workpaper'!D56</f>
        <v>2007</v>
      </c>
      <c r="D55" s="498">
        <f>'Schedule 7 Workpaper'!G56 + 'Schedule 7 Workpaper'!J56+'Schedule 7 Workpaper'!M56</f>
        <v>8</v>
      </c>
      <c r="E55" s="499">
        <f>'Schedule 7 Workpaper'!E56</f>
        <v>3243.66</v>
      </c>
      <c r="F55" s="499">
        <f>'Schedule 7 Workpaper'!O56</f>
        <v>524.24</v>
      </c>
      <c r="G55" s="500">
        <f>'Schedule 7 Workpaper'!Q56</f>
        <v>61.63</v>
      </c>
    </row>
    <row r="56" spans="1:7">
      <c r="A56" s="188" t="str">
        <f>'Schedule 7 Workpaper'!B57</f>
        <v>Boardman</v>
      </c>
      <c r="B56" s="276">
        <f>'Schedule 7 Workpaper'!C57</f>
        <v>353</v>
      </c>
      <c r="C56" s="276">
        <f>'Schedule 7 Workpaper'!D57</f>
        <v>2009</v>
      </c>
      <c r="D56" s="498">
        <f>'Schedule 7 Workpaper'!G57 + 'Schedule 7 Workpaper'!J57+'Schedule 7 Workpaper'!M57</f>
        <v>6</v>
      </c>
      <c r="E56" s="499">
        <f>'Schedule 7 Workpaper'!E57</f>
        <v>6429.87</v>
      </c>
      <c r="F56" s="499">
        <f>'Schedule 7 Workpaper'!O57</f>
        <v>768.19</v>
      </c>
      <c r="G56" s="500">
        <f>'Schedule 7 Workpaper'!Q57</f>
        <v>122.17</v>
      </c>
    </row>
    <row r="57" spans="1:7">
      <c r="A57" s="188" t="str">
        <f>'Schedule 7 Workpaper'!B58</f>
        <v>Boardman</v>
      </c>
      <c r="B57" s="276">
        <f>'Schedule 7 Workpaper'!C58</f>
        <v>353</v>
      </c>
      <c r="C57" s="276">
        <f>'Schedule 7 Workpaper'!D58</f>
        <v>2010</v>
      </c>
      <c r="D57" s="498">
        <f>'Schedule 7 Workpaper'!G58 + 'Schedule 7 Workpaper'!J58+'Schedule 7 Workpaper'!M58</f>
        <v>5</v>
      </c>
      <c r="E57" s="499">
        <f>'Schedule 7 Workpaper'!E58</f>
        <v>4030.25</v>
      </c>
      <c r="F57" s="499">
        <f>'Schedule 7 Workpaper'!O58</f>
        <v>398.48</v>
      </c>
      <c r="G57" s="500">
        <f>'Schedule 7 Workpaper'!Q58</f>
        <v>76.569999999999993</v>
      </c>
    </row>
    <row r="58" spans="1:7">
      <c r="A58" s="188" t="str">
        <f>'Schedule 7 Workpaper'!B59</f>
        <v>Jim Bridger</v>
      </c>
      <c r="B58" s="276">
        <f>'Schedule 7 Workpaper'!C59</f>
        <v>353</v>
      </c>
      <c r="C58" s="276">
        <f>'Schedule 7 Workpaper'!D59</f>
        <v>1976</v>
      </c>
      <c r="D58" s="498">
        <f>'Schedule 7 Workpaper'!G59 + 'Schedule 7 Workpaper'!J59+'Schedule 7 Workpaper'!M59</f>
        <v>39</v>
      </c>
      <c r="E58" s="499">
        <f>'Schedule 7 Workpaper'!E59</f>
        <v>268996.22000000003</v>
      </c>
      <c r="F58" s="499">
        <f>'Schedule 7 Workpaper'!O59</f>
        <v>220259.47999999998</v>
      </c>
      <c r="G58" s="500">
        <f>'Schedule 7 Workpaper'!Q59</f>
        <v>5110.93</v>
      </c>
    </row>
    <row r="59" spans="1:7">
      <c r="A59" s="188" t="str">
        <f>'Schedule 7 Workpaper'!B60</f>
        <v>Jim Bridger</v>
      </c>
      <c r="B59" s="276">
        <f>'Schedule 7 Workpaper'!C60</f>
        <v>353</v>
      </c>
      <c r="C59" s="276">
        <f>'Schedule 7 Workpaper'!D60</f>
        <v>1990</v>
      </c>
      <c r="D59" s="498">
        <f>'Schedule 7 Workpaper'!G60 + 'Schedule 7 Workpaper'!J60+'Schedule 7 Workpaper'!M60</f>
        <v>25</v>
      </c>
      <c r="E59" s="499">
        <f>'Schedule 7 Workpaper'!E60</f>
        <v>910055.21</v>
      </c>
      <c r="F59" s="499">
        <f>'Schedule 7 Workpaper'!O60</f>
        <v>475067.03</v>
      </c>
      <c r="G59" s="500">
        <f>'Schedule 7 Workpaper'!Q60</f>
        <v>17291.05</v>
      </c>
    </row>
    <row r="60" spans="1:7">
      <c r="A60" s="188" t="str">
        <f>'Schedule 7 Workpaper'!B61</f>
        <v>Jim Bridger</v>
      </c>
      <c r="B60" s="276">
        <f>'Schedule 7 Workpaper'!C61</f>
        <v>353</v>
      </c>
      <c r="C60" s="276">
        <f>'Schedule 7 Workpaper'!D61</f>
        <v>1995</v>
      </c>
      <c r="D60" s="498">
        <f>'Schedule 7 Workpaper'!G61 + 'Schedule 7 Workpaper'!J61+'Schedule 7 Workpaper'!M61</f>
        <v>20</v>
      </c>
      <c r="E60" s="499">
        <f>'Schedule 7 Workpaper'!E61</f>
        <v>27259</v>
      </c>
      <c r="F60" s="499">
        <f>'Schedule 7 Workpaper'!O61</f>
        <v>11340.300000000001</v>
      </c>
      <c r="G60" s="500">
        <f>'Schedule 7 Workpaper'!Q61</f>
        <v>517.91999999999996</v>
      </c>
    </row>
    <row r="61" spans="1:7">
      <c r="A61" s="188" t="str">
        <f>'Schedule 7 Workpaper'!B62</f>
        <v>Jim Bridger</v>
      </c>
      <c r="B61" s="276">
        <f>'Schedule 7 Workpaper'!C62</f>
        <v>353</v>
      </c>
      <c r="C61" s="276">
        <f>'Schedule 7 Workpaper'!D62</f>
        <v>1996</v>
      </c>
      <c r="D61" s="498">
        <f>'Schedule 7 Workpaper'!G62 + 'Schedule 7 Workpaper'!J62+'Schedule 7 Workpaper'!M62</f>
        <v>19</v>
      </c>
      <c r="E61" s="499">
        <f>'Schedule 7 Workpaper'!E62</f>
        <v>45684</v>
      </c>
      <c r="F61" s="499">
        <f>'Schedule 7 Workpaper'!O62</f>
        <v>18036.96</v>
      </c>
      <c r="G61" s="500">
        <f>'Schedule 7 Workpaper'!Q62</f>
        <v>868</v>
      </c>
    </row>
    <row r="62" spans="1:7">
      <c r="A62" s="188" t="str">
        <f>'Schedule 7 Workpaper'!B63</f>
        <v>Jim Bridger</v>
      </c>
      <c r="B62" s="276">
        <f>'Schedule 7 Workpaper'!C63</f>
        <v>353</v>
      </c>
      <c r="C62" s="276">
        <f>'Schedule 7 Workpaper'!D63</f>
        <v>2000</v>
      </c>
      <c r="D62" s="498">
        <f>'Schedule 7 Workpaper'!G63 + 'Schedule 7 Workpaper'!J63+'Schedule 7 Workpaper'!M63</f>
        <v>15</v>
      </c>
      <c r="E62" s="499">
        <f>'Schedule 7 Workpaper'!E63</f>
        <v>972906</v>
      </c>
      <c r="F62" s="499">
        <f>'Schedule 7 Workpaper'!O63</f>
        <v>301620.31999999995</v>
      </c>
      <c r="G62" s="500">
        <f>'Schedule 7 Workpaper'!Q63</f>
        <v>18485.21</v>
      </c>
    </row>
    <row r="63" spans="1:7">
      <c r="A63" s="188" t="str">
        <f>'Schedule 7 Workpaper'!B64</f>
        <v>Jim Bridger</v>
      </c>
      <c r="B63" s="276">
        <f>'Schedule 7 Workpaper'!C64</f>
        <v>353</v>
      </c>
      <c r="C63" s="276">
        <f>'Schedule 7 Workpaper'!D64</f>
        <v>2008</v>
      </c>
      <c r="D63" s="498">
        <f>'Schedule 7 Workpaper'!G64 + 'Schedule 7 Workpaper'!J64+'Schedule 7 Workpaper'!M64</f>
        <v>7</v>
      </c>
      <c r="E63" s="499">
        <f>'Schedule 7 Workpaper'!E64</f>
        <v>102767.67999999999</v>
      </c>
      <c r="F63" s="499">
        <f>'Schedule 7 Workpaper'!O64</f>
        <v>14430.63</v>
      </c>
      <c r="G63" s="500">
        <f>'Schedule 7 Workpaper'!Q64</f>
        <v>1952.59</v>
      </c>
    </row>
    <row r="64" spans="1:7">
      <c r="A64" s="188" t="str">
        <f>'Schedule 7 Workpaper'!B65</f>
        <v>Jim Bridger</v>
      </c>
      <c r="B64" s="276">
        <f>'Schedule 7 Workpaper'!C65</f>
        <v>353</v>
      </c>
      <c r="C64" s="276">
        <f>'Schedule 7 Workpaper'!D65</f>
        <v>2011</v>
      </c>
      <c r="D64" s="498">
        <f>'Schedule 7 Workpaper'!G65 + 'Schedule 7 Workpaper'!J65+'Schedule 7 Workpaper'!M65</f>
        <v>4</v>
      </c>
      <c r="E64" s="499">
        <f>'Schedule 7 Workpaper'!E65</f>
        <v>404249.54000000004</v>
      </c>
      <c r="F64" s="499">
        <f>'Schedule 7 Workpaper'!O65</f>
        <v>31641.420000000002</v>
      </c>
      <c r="G64" s="500">
        <f>'Schedule 7 Workpaper'!Q65</f>
        <v>7680.74</v>
      </c>
    </row>
    <row r="65" spans="1:7">
      <c r="A65" s="188" t="str">
        <f>'Schedule 7 Workpaper'!B66</f>
        <v>Jim Bridger</v>
      </c>
      <c r="B65" s="276">
        <f>'Schedule 7 Workpaper'!C66</f>
        <v>353</v>
      </c>
      <c r="C65" s="276">
        <f>'Schedule 7 Workpaper'!D66</f>
        <v>2013</v>
      </c>
      <c r="D65" s="498">
        <f>'Schedule 7 Workpaper'!G66 + 'Schedule 7 Workpaper'!J66+'Schedule 7 Workpaper'!M66</f>
        <v>2</v>
      </c>
      <c r="E65" s="499">
        <f>'Schedule 7 Workpaper'!E66</f>
        <v>20629.744999999999</v>
      </c>
      <c r="F65" s="499">
        <f>'Schedule 7 Workpaper'!O66</f>
        <v>783.93</v>
      </c>
      <c r="G65" s="500">
        <f>'Schedule 7 Workpaper'!Q66</f>
        <v>391.97</v>
      </c>
    </row>
    <row r="66" spans="1:7">
      <c r="A66" s="188" t="str">
        <f>'Schedule 7 Workpaper'!B67</f>
        <v>Jim Bridger</v>
      </c>
      <c r="B66" s="276">
        <f>'Schedule 7 Workpaper'!C67</f>
        <v>353</v>
      </c>
      <c r="C66" s="276">
        <f>'Schedule 7 Workpaper'!D67</f>
        <v>2013</v>
      </c>
      <c r="D66" s="498">
        <f>'Schedule 7 Workpaper'!G67 + 'Schedule 7 Workpaper'!J67+'Schedule 7 Workpaper'!M67</f>
        <v>2</v>
      </c>
      <c r="E66" s="499">
        <f>'Schedule 7 Workpaper'!E67</f>
        <v>1564945.2299999997</v>
      </c>
      <c r="F66" s="499">
        <f>'Schedule 7 Workpaper'!O67</f>
        <v>59467.92</v>
      </c>
      <c r="G66" s="500">
        <f>'Schedule 7 Workpaper'!Q67</f>
        <v>29733.96</v>
      </c>
    </row>
    <row r="67" spans="1:7">
      <c r="A67" s="188" t="str">
        <f>'Schedule 7 Workpaper'!B68</f>
        <v>Jim Bridger</v>
      </c>
      <c r="B67" s="276">
        <f>'Schedule 7 Workpaper'!C68</f>
        <v>353</v>
      </c>
      <c r="C67" s="276">
        <f>'Schedule 7 Workpaper'!D68</f>
        <v>2014</v>
      </c>
      <c r="D67" s="498">
        <f>'Schedule 7 Workpaper'!G68 + 'Schedule 7 Workpaper'!J68+'Schedule 7 Workpaper'!M68</f>
        <v>1</v>
      </c>
      <c r="E67" s="499">
        <f>'Schedule 7 Workpaper'!E68</f>
        <v>1663953.15</v>
      </c>
      <c r="F67" s="499">
        <f>'Schedule 7 Workpaper'!O68</f>
        <v>31615.11</v>
      </c>
      <c r="G67" s="500">
        <f>'Schedule 7 Workpaper'!Q68</f>
        <v>31615.11</v>
      </c>
    </row>
    <row r="68" spans="1:7">
      <c r="A68" s="188" t="str">
        <f>'Schedule 7 Workpaper'!B69</f>
        <v>Valmy #1 &amp; Common Non-Steam</v>
      </c>
      <c r="B68" s="276">
        <f>'Schedule 7 Workpaper'!C69</f>
        <v>353</v>
      </c>
      <c r="C68" s="276">
        <f>'Schedule 7 Workpaper'!D69</f>
        <v>2008</v>
      </c>
      <c r="D68" s="498">
        <f>'Schedule 7 Workpaper'!G69 + 'Schedule 7 Workpaper'!J69+'Schedule 7 Workpaper'!M69</f>
        <v>7</v>
      </c>
      <c r="E68" s="499">
        <f>'Schedule 7 Workpaper'!E69</f>
        <v>2223479.04</v>
      </c>
      <c r="F68" s="499">
        <f>'Schedule 7 Workpaper'!O69</f>
        <v>312220.93</v>
      </c>
      <c r="G68" s="500">
        <f>'Schedule 7 Workpaper'!Q69</f>
        <v>42246.1</v>
      </c>
    </row>
    <row r="69" spans="1:7">
      <c r="A69" s="188" t="str">
        <f>'Schedule 7 Workpaper'!B70</f>
        <v>Valmy #1 &amp; Common Non-Steam</v>
      </c>
      <c r="B69" s="276">
        <f>'Schedule 7 Workpaper'!C70</f>
        <v>353</v>
      </c>
      <c r="C69" s="276">
        <f>'Schedule 7 Workpaper'!D70</f>
        <v>2011</v>
      </c>
      <c r="D69" s="498">
        <f>'Schedule 7 Workpaper'!G70 + 'Schedule 7 Workpaper'!J70+'Schedule 7 Workpaper'!M70</f>
        <v>4</v>
      </c>
      <c r="E69" s="499">
        <f>'Schedule 7 Workpaper'!E70</f>
        <v>63402.18</v>
      </c>
      <c r="F69" s="499">
        <f>'Schedule 7 Workpaper'!O70</f>
        <v>4962.6099999999997</v>
      </c>
      <c r="G69" s="500">
        <f>'Schedule 7 Workpaper'!Q70</f>
        <v>1204.6400000000001</v>
      </c>
    </row>
    <row r="70" spans="1:7">
      <c r="A70" s="188" t="str">
        <f>'Schedule 7 Workpaper'!B71</f>
        <v>Valmy Substation</v>
      </c>
      <c r="B70" s="276">
        <f>'Schedule 7 Workpaper'!C71</f>
        <v>353</v>
      </c>
      <c r="C70" s="276">
        <f>'Schedule 7 Workpaper'!D71</f>
        <v>2013</v>
      </c>
      <c r="D70" s="498">
        <f>'Schedule 7 Workpaper'!G71 + 'Schedule 7 Workpaper'!J71+'Schedule 7 Workpaper'!M71</f>
        <v>2</v>
      </c>
      <c r="E70" s="499">
        <f>'Schedule 7 Workpaper'!E71</f>
        <v>138087.56</v>
      </c>
      <c r="F70" s="499">
        <f>'Schedule 7 Workpaper'!O71</f>
        <v>5247.33</v>
      </c>
      <c r="G70" s="500">
        <f>'Schedule 7 Workpaper'!Q71</f>
        <v>2623.66</v>
      </c>
    </row>
    <row r="71" spans="1:7">
      <c r="A71" s="188" t="str">
        <f>'Schedule 7 Workpaper'!B72</f>
        <v>Valmy #2 Substation</v>
      </c>
      <c r="B71" s="276">
        <f>'Schedule 7 Workpaper'!C72</f>
        <v>352</v>
      </c>
      <c r="C71" s="276">
        <f>'Schedule 7 Workpaper'!D72</f>
        <v>1982</v>
      </c>
      <c r="D71" s="498">
        <f>'Schedule 7 Workpaper'!G72 + 'Schedule 7 Workpaper'!J72+'Schedule 7 Workpaper'!M72</f>
        <v>33</v>
      </c>
      <c r="E71" s="499">
        <f>'Schedule 7 Workpaper'!E72</f>
        <v>55381.11</v>
      </c>
      <c r="F71" s="499">
        <f>'Schedule 7 Workpaper'!O72</f>
        <v>25190.989999999998</v>
      </c>
      <c r="G71" s="500">
        <f>'Schedule 7 Workpaper'!Q72</f>
        <v>1019.01</v>
      </c>
    </row>
    <row r="72" spans="1:7">
      <c r="A72" s="188" t="str">
        <f>'Schedule 7 Workpaper'!B79</f>
        <v>Valmy Unit #1 and Common</v>
      </c>
      <c r="B72" s="276">
        <f>'Schedule 7 Workpaper'!C79</f>
        <v>353</v>
      </c>
      <c r="C72" s="276">
        <f>'Schedule 7 Workpaper'!D79</f>
        <v>1981</v>
      </c>
      <c r="D72" s="498">
        <f>'Schedule 7 Workpaper'!G79 + 'Schedule 7 Workpaper'!J79+'Schedule 7 Workpaper'!M79</f>
        <v>34</v>
      </c>
      <c r="E72" s="499">
        <f>'Schedule 7 Workpaper'!E79</f>
        <v>1310787.25</v>
      </c>
      <c r="F72" s="499">
        <f>'Schedule 7 Workpaper'!O79</f>
        <v>934355.3600000001</v>
      </c>
      <c r="G72" s="500">
        <f>'Schedule 7 Workpaper'!Q79</f>
        <v>24904.959999999999</v>
      </c>
    </row>
    <row r="73" spans="1:7">
      <c r="A73" s="188" t="str">
        <f>'Schedule 7 Workpaper'!B80</f>
        <v>Valmy Unit #1 and Common</v>
      </c>
      <c r="B73" s="276">
        <f>'Schedule 7 Workpaper'!C80</f>
        <v>353</v>
      </c>
      <c r="C73" s="276">
        <f>'Schedule 7 Workpaper'!D80</f>
        <v>1982</v>
      </c>
      <c r="D73" s="498">
        <f>'Schedule 7 Workpaper'!G80 + 'Schedule 7 Workpaper'!J80+'Schedule 7 Workpaper'!M80</f>
        <v>33</v>
      </c>
      <c r="E73" s="499">
        <f>'Schedule 7 Workpaper'!E80</f>
        <v>107606.74</v>
      </c>
      <c r="F73" s="499">
        <f>'Schedule 7 Workpaper'!O80</f>
        <v>74422.97</v>
      </c>
      <c r="G73" s="500">
        <f>'Schedule 7 Workpaper'!Q80</f>
        <v>2044.53</v>
      </c>
    </row>
    <row r="74" spans="1:7">
      <c r="A74" s="188" t="str">
        <f>'Schedule 7 Workpaper'!B81</f>
        <v>Valmy Unit #1 and Common</v>
      </c>
      <c r="B74" s="276">
        <f>'Schedule 7 Workpaper'!C81</f>
        <v>353</v>
      </c>
      <c r="C74" s="276">
        <f>'Schedule 7 Workpaper'!D81</f>
        <v>2005</v>
      </c>
      <c r="D74" s="498">
        <f>'Schedule 7 Workpaper'!G81 + 'Schedule 7 Workpaper'!J81+'Schedule 7 Workpaper'!M81</f>
        <v>10</v>
      </c>
      <c r="E74" s="499">
        <f>'Schedule 7 Workpaper'!E81</f>
        <v>38513.699999999997</v>
      </c>
      <c r="F74" s="499">
        <f>'Schedule 7 Workpaper'!O81</f>
        <v>7857.57</v>
      </c>
      <c r="G74" s="500">
        <f>'Schedule 7 Workpaper'!Q81</f>
        <v>731.76</v>
      </c>
    </row>
    <row r="75" spans="1:7">
      <c r="A75" s="188" t="str">
        <f>'Schedule 7 Workpaper'!B77</f>
        <v>Valmy Unit #1 and Common</v>
      </c>
      <c r="B75" s="276">
        <f>'Schedule 7 Workpaper'!C77</f>
        <v>352</v>
      </c>
      <c r="C75" s="276">
        <f>'Schedule 7 Workpaper'!D77</f>
        <v>1977</v>
      </c>
      <c r="D75" s="498">
        <f>'Schedule 7 Workpaper'!G77 + 'Schedule 7 Workpaper'!J77+'Schedule 7 Workpaper'!M77</f>
        <v>38</v>
      </c>
      <c r="E75" s="499">
        <f>'Schedule 7 Workpaper'!E77</f>
        <v>225984.98</v>
      </c>
      <c r="F75" s="499">
        <f>'Schedule 7 Workpaper'!O77</f>
        <v>117368.91</v>
      </c>
      <c r="G75" s="500">
        <f>'Schedule 7 Workpaper'!Q77</f>
        <v>4158.12</v>
      </c>
    </row>
    <row r="76" spans="1:7">
      <c r="A76" s="188" t="str">
        <f>'Schedule 7 Workpaper'!B78</f>
        <v>Valmy Unit #1 and Common</v>
      </c>
      <c r="B76" s="276">
        <f>'Schedule 7 Workpaper'!C78</f>
        <v>352</v>
      </c>
      <c r="C76" s="276">
        <f>'Schedule 7 Workpaper'!D78</f>
        <v>1982</v>
      </c>
      <c r="D76" s="498">
        <f>'Schedule 7 Workpaper'!G78 + 'Schedule 7 Workpaper'!J78+'Schedule 7 Workpaper'!M78</f>
        <v>33</v>
      </c>
      <c r="E76" s="499">
        <f>'Schedule 7 Workpaper'!E78</f>
        <v>130830.17</v>
      </c>
      <c r="F76" s="499">
        <f>'Schedule 7 Workpaper'!O78</f>
        <v>59510.2</v>
      </c>
      <c r="G76" s="500">
        <f>'Schedule 7 Workpaper'!Q78</f>
        <v>2407.2800000000002</v>
      </c>
    </row>
    <row r="77" spans="1:7">
      <c r="A77" s="188" t="str">
        <f>'Schedule 7 Workpaper'!B73</f>
        <v>Valmy #2 Substation</v>
      </c>
      <c r="B77" s="276">
        <f>'Schedule 7 Workpaper'!C73</f>
        <v>353</v>
      </c>
      <c r="C77" s="276">
        <f>'Schedule 7 Workpaper'!D73</f>
        <v>1985</v>
      </c>
      <c r="D77" s="498">
        <f>'Schedule 7 Workpaper'!G73 + 'Schedule 7 Workpaper'!J73+'Schedule 7 Workpaper'!M73</f>
        <v>30</v>
      </c>
      <c r="E77" s="499">
        <f>'Schedule 7 Workpaper'!E73</f>
        <v>847152.74</v>
      </c>
      <c r="F77" s="499">
        <f>'Schedule 7 Workpaper'!O73</f>
        <v>532028.87</v>
      </c>
      <c r="G77" s="500">
        <f>'Schedule 7 Workpaper'!Q73</f>
        <v>16095.9</v>
      </c>
    </row>
    <row r="78" spans="1:7">
      <c r="A78" s="188" t="str">
        <f>'Schedule 7 Workpaper'!B74</f>
        <v>Valmy #2 Substation</v>
      </c>
      <c r="B78" s="276">
        <f>'Schedule 7 Workpaper'!C74</f>
        <v>353</v>
      </c>
      <c r="C78" s="276">
        <f>'Schedule 7 Workpaper'!D74</f>
        <v>1986</v>
      </c>
      <c r="D78" s="498">
        <f>'Schedule 7 Workpaper'!G74 + 'Schedule 7 Workpaper'!J74+'Schedule 7 Workpaper'!M74</f>
        <v>29</v>
      </c>
      <c r="E78" s="499">
        <f>'Schedule 7 Workpaper'!E74</f>
        <v>4161.2299999999996</v>
      </c>
      <c r="F78" s="499">
        <f>'Schedule 7 Workpaper'!O74</f>
        <v>2525.11</v>
      </c>
      <c r="G78" s="500">
        <f>'Schedule 7 Workpaper'!Q74</f>
        <v>79.06</v>
      </c>
    </row>
    <row r="79" spans="1:7">
      <c r="A79" s="188" t="str">
        <f>'Schedule 7 Workpaper'!B75</f>
        <v>Valmy #2 Substation</v>
      </c>
      <c r="B79" s="276">
        <f>'Schedule 7 Workpaper'!C75</f>
        <v>353</v>
      </c>
      <c r="C79" s="276">
        <f>'Schedule 7 Workpaper'!D75</f>
        <v>1987</v>
      </c>
      <c r="D79" s="498">
        <f>'Schedule 7 Workpaper'!G75 + 'Schedule 7 Workpaper'!J75+'Schedule 7 Workpaper'!M75</f>
        <v>28</v>
      </c>
      <c r="E79" s="499">
        <f>'Schedule 7 Workpaper'!E75</f>
        <v>70.08</v>
      </c>
      <c r="F79" s="499">
        <f>'Schedule 7 Workpaper'!O75</f>
        <v>41.04</v>
      </c>
      <c r="G79" s="500">
        <f>'Schedule 7 Workpaper'!Q75</f>
        <v>1.33</v>
      </c>
    </row>
    <row r="80" spans="1:7">
      <c r="A80" s="188" t="str">
        <f>'Schedule 7 Workpaper'!B76</f>
        <v>Valmy #2 Substation</v>
      </c>
      <c r="B80" s="276">
        <f>'Schedule 7 Workpaper'!C76</f>
        <v>353</v>
      </c>
      <c r="C80" s="276">
        <f>'Schedule 7 Workpaper'!D76</f>
        <v>2011</v>
      </c>
      <c r="D80" s="498">
        <f>'Schedule 7 Workpaper'!G76 + 'Schedule 7 Workpaper'!J76+'Schedule 7 Workpaper'!M76</f>
        <v>4</v>
      </c>
      <c r="E80" s="499">
        <f>'Schedule 7 Workpaper'!E76</f>
        <v>22115.47</v>
      </c>
      <c r="F80" s="499">
        <f>'Schedule 7 Workpaper'!O76</f>
        <v>1731.02</v>
      </c>
      <c r="G80" s="500">
        <f>'Schedule 7 Workpaper'!Q76</f>
        <v>420.19</v>
      </c>
    </row>
    <row r="81" spans="1:7">
      <c r="A81" s="153"/>
      <c r="B81" s="233"/>
      <c r="C81" s="568"/>
      <c r="D81" s="568"/>
      <c r="E81" s="314"/>
      <c r="F81" s="314"/>
    </row>
    <row r="82" spans="1:7">
      <c r="A82" s="153" t="s">
        <v>552</v>
      </c>
      <c r="B82" s="233"/>
      <c r="C82" s="568"/>
      <c r="D82" s="568"/>
      <c r="E82" s="502">
        <f>SUM(E8:E81)</f>
        <v>25884616.384999987</v>
      </c>
      <c r="F82" s="502">
        <f>SUM(F8:F81)</f>
        <v>11494285.939999999</v>
      </c>
      <c r="G82" s="502">
        <f>SUM(G8:G81)</f>
        <v>491560.39000000013</v>
      </c>
    </row>
    <row r="84" spans="1:7">
      <c r="E84" s="503">
        <f>'Schedule 7 Workpaper'!E83</f>
        <v>25884616.384999987</v>
      </c>
      <c r="F84" s="503">
        <f>'Schedule 7 Workpaper'!O83</f>
        <v>11494285.939999999</v>
      </c>
      <c r="G84" s="503">
        <f>'Schedule 7 Workpaper'!Q83</f>
        <v>491560.39000000013</v>
      </c>
    </row>
    <row r="85" spans="1:7">
      <c r="E85" s="503">
        <f>E84-E82</f>
        <v>0</v>
      </c>
      <c r="F85" s="503">
        <f t="shared" ref="F85:G85" si="0">F84-F82</f>
        <v>0</v>
      </c>
      <c r="G85" s="503">
        <f t="shared" si="0"/>
        <v>0</v>
      </c>
    </row>
    <row r="86" spans="1:7">
      <c r="E86" s="501" t="str">
        <f>IF(E85=0,"","Error")</f>
        <v/>
      </c>
      <c r="F86" s="501" t="str">
        <f t="shared" ref="F86:G86" si="1">IF(F85=0,"","Error")</f>
        <v/>
      </c>
      <c r="G86" s="501" t="str">
        <f t="shared" si="1"/>
        <v/>
      </c>
    </row>
  </sheetData>
  <mergeCells count="5">
    <mergeCell ref="A5:G5"/>
    <mergeCell ref="A1:G1"/>
    <mergeCell ref="A3:G3"/>
    <mergeCell ref="A4:G4"/>
    <mergeCell ref="A2:G2"/>
  </mergeCells>
  <phoneticPr fontId="20" type="noConversion"/>
  <printOptions horizontalCentered="1"/>
  <pageMargins left="0.75" right="0.75" top="1" bottom="1" header="0.5" footer="0.5"/>
  <pageSetup scale="55" orientation="portrait" r:id="rId1"/>
  <headerFooter alignWithMargins="0">
    <oddHeader>&amp;CIDAHO POWER COMPANY
Transmission Cost of Service Rate Development
12 Months Ended 12/31/2014</oddHeader>
  </headerFooter>
</worksheet>
</file>

<file path=xl/worksheets/sheet15.xml><?xml version="1.0" encoding="utf-8"?>
<worksheet xmlns="http://schemas.openxmlformats.org/spreadsheetml/2006/main" xmlns:r="http://schemas.openxmlformats.org/officeDocument/2006/relationships">
  <sheetPr codeName="Sheet15"/>
  <dimension ref="A1:G56"/>
  <sheetViews>
    <sheetView zoomScaleNormal="100" zoomScaleSheetLayoutView="100" workbookViewId="0">
      <selection sqref="A1:G1"/>
    </sheetView>
  </sheetViews>
  <sheetFormatPr defaultRowHeight="12.75"/>
  <cols>
    <col min="1" max="1" width="4.140625" style="42" customWidth="1"/>
    <col min="2" max="2" width="31.28515625" style="41" customWidth="1"/>
    <col min="3" max="3" width="10.28515625" style="43" customWidth="1"/>
    <col min="4" max="4" width="8.85546875" style="41" bestFit="1" customWidth="1"/>
    <col min="5" max="5" width="14" style="41" customWidth="1"/>
    <col min="6" max="6" width="13.5703125" style="41" bestFit="1" customWidth="1"/>
    <col min="7" max="7" width="17.85546875" style="41" customWidth="1"/>
    <col min="8" max="9" width="28.28515625" style="41" customWidth="1"/>
    <col min="10" max="16384" width="9.140625" style="41"/>
  </cols>
  <sheetData>
    <row r="1" spans="1:7">
      <c r="A1" s="655" t="s">
        <v>585</v>
      </c>
      <c r="B1" s="655"/>
      <c r="C1" s="655"/>
      <c r="D1" s="655"/>
      <c r="E1" s="655"/>
      <c r="F1" s="655"/>
      <c r="G1" s="655"/>
    </row>
    <row r="2" spans="1:7">
      <c r="A2" s="655" t="s">
        <v>586</v>
      </c>
      <c r="B2" s="655"/>
      <c r="C2" s="655"/>
      <c r="D2" s="655"/>
      <c r="E2" s="655"/>
      <c r="F2" s="655"/>
      <c r="G2" s="655"/>
    </row>
    <row r="3" spans="1:7">
      <c r="A3" s="655" t="s">
        <v>587</v>
      </c>
      <c r="B3" s="655"/>
      <c r="C3" s="655"/>
      <c r="D3" s="655"/>
      <c r="E3" s="655"/>
      <c r="F3" s="655"/>
      <c r="G3" s="655"/>
    </row>
    <row r="4" spans="1:7">
      <c r="A4" s="655" t="s">
        <v>209</v>
      </c>
      <c r="B4" s="655"/>
      <c r="C4" s="655"/>
      <c r="D4" s="655"/>
      <c r="E4" s="655"/>
      <c r="F4" s="655"/>
      <c r="G4" s="655"/>
    </row>
    <row r="5" spans="1:7">
      <c r="B5" s="573"/>
      <c r="C5" s="573"/>
      <c r="D5" s="573"/>
      <c r="E5" s="573"/>
      <c r="F5" s="573"/>
    </row>
    <row r="6" spans="1:7">
      <c r="B6" s="573"/>
      <c r="C6" s="573"/>
      <c r="D6" s="573"/>
      <c r="E6" s="573"/>
      <c r="F6" s="573"/>
    </row>
    <row r="7" spans="1:7" ht="42" customHeight="1" thickBot="1">
      <c r="B7" s="119" t="s">
        <v>40</v>
      </c>
      <c r="C7" s="130" t="s">
        <v>41</v>
      </c>
      <c r="D7" s="119" t="s">
        <v>42</v>
      </c>
      <c r="E7" s="119" t="s">
        <v>873</v>
      </c>
      <c r="F7" s="119" t="s">
        <v>10</v>
      </c>
      <c r="G7" s="131" t="s">
        <v>208</v>
      </c>
    </row>
    <row r="8" spans="1:7">
      <c r="A8" s="42">
        <v>1</v>
      </c>
      <c r="B8" s="44" t="s">
        <v>588</v>
      </c>
      <c r="C8" s="45">
        <v>352</v>
      </c>
      <c r="D8" s="46">
        <v>2005</v>
      </c>
      <c r="E8" s="39">
        <f>'Schedule 8 Workpaper'!D10</f>
        <v>59325</v>
      </c>
      <c r="F8" s="49">
        <f>'Schedule 8 Workpaper'!N10</f>
        <v>9383.2000000000007</v>
      </c>
      <c r="G8" s="23">
        <f>'Schedule 8 Workpaper'!P10</f>
        <v>1091.58</v>
      </c>
    </row>
    <row r="9" spans="1:7">
      <c r="A9" s="42">
        <f>A8+1</f>
        <v>2</v>
      </c>
      <c r="B9" s="44" t="s">
        <v>588</v>
      </c>
      <c r="C9" s="45">
        <v>353</v>
      </c>
      <c r="D9" s="46">
        <v>2005</v>
      </c>
      <c r="E9" s="39">
        <f>'Schedule 8 Workpaper'!D11</f>
        <v>49372</v>
      </c>
      <c r="F9" s="49">
        <f>'Schedule 8 Workpaper'!N11</f>
        <v>10072.879999999999</v>
      </c>
      <c r="G9" s="23">
        <f>'Schedule 8 Workpaper'!P11</f>
        <v>938.07</v>
      </c>
    </row>
    <row r="10" spans="1:7">
      <c r="A10" s="42">
        <f t="shared" ref="A10:A17" si="0">A9+1</f>
        <v>3</v>
      </c>
      <c r="B10" s="44" t="s">
        <v>169</v>
      </c>
      <c r="C10" s="45">
        <v>352</v>
      </c>
      <c r="D10" s="46">
        <v>2001</v>
      </c>
      <c r="E10" s="39">
        <f>'Schedule 8 Workpaper'!D12</f>
        <v>89955.44</v>
      </c>
      <c r="F10" s="49">
        <f>'Schedule 8 Workpaper'!N12</f>
        <v>18869.59</v>
      </c>
      <c r="G10" s="23">
        <f>'Schedule 8 Workpaper'!P12</f>
        <v>1655.18</v>
      </c>
    </row>
    <row r="11" spans="1:7">
      <c r="A11" s="42">
        <f t="shared" si="0"/>
        <v>4</v>
      </c>
      <c r="B11" s="44" t="s">
        <v>169</v>
      </c>
      <c r="C11" s="45">
        <v>353</v>
      </c>
      <c r="D11" s="46">
        <v>2001</v>
      </c>
      <c r="E11" s="39">
        <f>'Schedule 8 Workpaper'!D13</f>
        <v>433103.7</v>
      </c>
      <c r="F11" s="49">
        <f>'Schedule 8 Workpaper'!N13</f>
        <v>125089.01</v>
      </c>
      <c r="G11" s="23">
        <f>'Schedule 8 Workpaper'!P13</f>
        <v>8228.9699999999993</v>
      </c>
    </row>
    <row r="12" spans="1:7">
      <c r="A12" s="42">
        <f t="shared" si="0"/>
        <v>5</v>
      </c>
      <c r="B12" s="44" t="s">
        <v>169</v>
      </c>
      <c r="C12" s="45">
        <v>352</v>
      </c>
      <c r="D12" s="564">
        <v>2008</v>
      </c>
      <c r="E12" s="39">
        <f>'Schedule 8 Workpaper'!D14</f>
        <v>63308</v>
      </c>
      <c r="F12" s="49">
        <f>'Schedule 8 Workpaper'!N14</f>
        <v>7563.16</v>
      </c>
      <c r="G12" s="23">
        <f>'Schedule 8 Workpaper'!P14</f>
        <v>1164.8699999999999</v>
      </c>
    </row>
    <row r="13" spans="1:7">
      <c r="A13" s="42">
        <f t="shared" si="0"/>
        <v>6</v>
      </c>
      <c r="B13" s="44" t="s">
        <v>169</v>
      </c>
      <c r="C13" s="45">
        <v>353</v>
      </c>
      <c r="D13" s="564">
        <v>2008</v>
      </c>
      <c r="E13" s="39">
        <f>'Schedule 8 Workpaper'!D15</f>
        <v>126618</v>
      </c>
      <c r="F13" s="49">
        <f>'Schedule 8 Workpaper'!N15</f>
        <v>17779.689999999999</v>
      </c>
      <c r="G13" s="23">
        <f>'Schedule 8 Workpaper'!P15</f>
        <v>2405.7399999999998</v>
      </c>
    </row>
    <row r="14" spans="1:7">
      <c r="A14" s="42">
        <f t="shared" si="0"/>
        <v>7</v>
      </c>
      <c r="B14" s="44" t="s">
        <v>1056</v>
      </c>
      <c r="C14" s="45">
        <v>352</v>
      </c>
      <c r="D14" s="564">
        <v>2012</v>
      </c>
      <c r="E14" s="39">
        <f>'Schedule 8 Workpaper'!D16</f>
        <v>150491.68</v>
      </c>
      <c r="F14" s="49">
        <f>'Schedule 8 Workpaper'!N16</f>
        <v>8206.01</v>
      </c>
      <c r="G14" s="23">
        <f>'Schedule 8 Workpaper'!P16</f>
        <v>2769.05</v>
      </c>
    </row>
    <row r="15" spans="1:7">
      <c r="A15" s="42">
        <f t="shared" si="0"/>
        <v>8</v>
      </c>
      <c r="B15" s="44" t="s">
        <v>1056</v>
      </c>
      <c r="C15" s="45">
        <v>353</v>
      </c>
      <c r="D15" s="564">
        <v>2012</v>
      </c>
      <c r="E15" s="39">
        <f>'Schedule 8 Workpaper'!D17</f>
        <v>68973.52</v>
      </c>
      <c r="F15" s="49">
        <f>'Schedule 8 Workpaper'!N17</f>
        <v>3977.84</v>
      </c>
      <c r="G15" s="23">
        <f>'Schedule 8 Workpaper'!P17</f>
        <v>1310.5</v>
      </c>
    </row>
    <row r="16" spans="1:7">
      <c r="A16" s="42">
        <f t="shared" si="0"/>
        <v>9</v>
      </c>
      <c r="B16" s="198"/>
      <c r="C16" s="45"/>
      <c r="D16" s="564"/>
      <c r="E16" s="47"/>
      <c r="F16" s="47"/>
    </row>
    <row r="17" spans="1:7">
      <c r="A17" s="42">
        <f t="shared" si="0"/>
        <v>10</v>
      </c>
      <c r="B17" s="132" t="s">
        <v>454</v>
      </c>
      <c r="C17" s="45"/>
      <c r="D17" s="46"/>
      <c r="E17" s="124">
        <f>SUM(E8:E15)</f>
        <v>1041147.3400000001</v>
      </c>
      <c r="F17" s="124">
        <f>SUM(F8:F15)</f>
        <v>200941.38</v>
      </c>
      <c r="G17" s="124">
        <f>SUM(G8:G15)</f>
        <v>19563.96</v>
      </c>
    </row>
    <row r="18" spans="1:7">
      <c r="B18" s="44"/>
      <c r="C18" s="45"/>
      <c r="D18" s="46"/>
      <c r="E18" s="46"/>
      <c r="F18" s="48"/>
    </row>
    <row r="19" spans="1:7">
      <c r="B19" s="44"/>
      <c r="C19" s="45"/>
      <c r="D19" s="46"/>
      <c r="E19" s="46"/>
      <c r="F19" s="48"/>
    </row>
    <row r="20" spans="1:7">
      <c r="B20" s="44"/>
      <c r="C20" s="45"/>
      <c r="D20" s="46"/>
      <c r="E20" s="46"/>
      <c r="F20" s="48"/>
    </row>
    <row r="21" spans="1:7">
      <c r="B21" s="44"/>
      <c r="C21" s="45"/>
      <c r="D21" s="46"/>
      <c r="E21" s="48"/>
      <c r="F21" s="22"/>
    </row>
    <row r="22" spans="1:7">
      <c r="B22" s="198" t="s">
        <v>26</v>
      </c>
      <c r="C22" s="45"/>
      <c r="D22" s="564"/>
      <c r="E22" s="48"/>
      <c r="F22" s="22"/>
    </row>
    <row r="23" spans="1:7">
      <c r="B23" s="44"/>
      <c r="C23" s="45"/>
      <c r="D23" s="46"/>
      <c r="E23" s="48"/>
      <c r="F23" s="22"/>
    </row>
    <row r="24" spans="1:7">
      <c r="B24" s="44"/>
      <c r="C24" s="45"/>
      <c r="D24" s="46"/>
      <c r="E24" s="48"/>
      <c r="F24" s="22"/>
    </row>
    <row r="25" spans="1:7">
      <c r="B25" s="44"/>
      <c r="C25" s="45"/>
      <c r="D25" s="46"/>
      <c r="E25" s="48"/>
      <c r="F25" s="22"/>
    </row>
    <row r="26" spans="1:7">
      <c r="B26" s="44"/>
      <c r="C26" s="46"/>
      <c r="D26" s="46"/>
      <c r="E26" s="48"/>
      <c r="F26" s="22"/>
    </row>
    <row r="27" spans="1:7">
      <c r="B27" s="44"/>
      <c r="C27" s="46"/>
      <c r="D27" s="46"/>
      <c r="E27" s="48"/>
      <c r="F27" s="22"/>
    </row>
    <row r="28" spans="1:7">
      <c r="B28" s="44"/>
      <c r="C28" s="46"/>
      <c r="D28" s="46"/>
      <c r="E28" s="48"/>
      <c r="F28" s="22"/>
    </row>
    <row r="29" spans="1:7">
      <c r="B29" s="44"/>
      <c r="C29" s="46"/>
      <c r="D29" s="46"/>
      <c r="E29" s="48"/>
      <c r="F29" s="22"/>
    </row>
    <row r="30" spans="1:7">
      <c r="B30" s="44"/>
      <c r="C30" s="46"/>
      <c r="D30" s="46"/>
      <c r="E30" s="48"/>
      <c r="F30" s="22"/>
    </row>
    <row r="31" spans="1:7">
      <c r="B31" s="44"/>
      <c r="C31" s="46"/>
      <c r="D31" s="46"/>
      <c r="E31" s="48"/>
      <c r="F31" s="22"/>
    </row>
    <row r="32" spans="1:7">
      <c r="B32" s="44"/>
      <c r="C32" s="46"/>
      <c r="D32" s="46"/>
      <c r="E32" s="48"/>
      <c r="F32" s="22"/>
    </row>
    <row r="33" spans="2:6">
      <c r="B33" s="44"/>
      <c r="C33" s="46"/>
      <c r="D33" s="46"/>
      <c r="E33" s="48"/>
      <c r="F33" s="22"/>
    </row>
    <row r="34" spans="2:6">
      <c r="B34" s="44"/>
      <c r="C34" s="46"/>
      <c r="D34" s="46"/>
      <c r="E34" s="48"/>
      <c r="F34" s="22"/>
    </row>
    <row r="35" spans="2:6">
      <c r="B35" s="44"/>
      <c r="C35" s="46"/>
      <c r="D35" s="46"/>
      <c r="E35" s="48"/>
      <c r="F35" s="22"/>
    </row>
    <row r="36" spans="2:6">
      <c r="B36" s="44"/>
      <c r="C36" s="46"/>
      <c r="D36" s="46"/>
      <c r="E36" s="48"/>
      <c r="F36" s="22"/>
    </row>
    <row r="37" spans="2:6">
      <c r="B37" s="44"/>
      <c r="C37" s="46"/>
      <c r="D37" s="46"/>
      <c r="E37" s="48"/>
      <c r="F37" s="22"/>
    </row>
    <row r="38" spans="2:6">
      <c r="B38" s="44"/>
      <c r="C38" s="46"/>
      <c r="D38" s="46"/>
      <c r="E38" s="48"/>
      <c r="F38" s="22"/>
    </row>
    <row r="39" spans="2:6">
      <c r="B39" s="44"/>
      <c r="C39" s="46"/>
      <c r="D39" s="46"/>
      <c r="E39" s="48"/>
      <c r="F39" s="22"/>
    </row>
    <row r="40" spans="2:6">
      <c r="B40" s="44"/>
      <c r="C40" s="46"/>
      <c r="D40" s="46"/>
      <c r="E40" s="48"/>
      <c r="F40" s="22"/>
    </row>
    <row r="41" spans="2:6">
      <c r="B41" s="44"/>
      <c r="C41" s="46"/>
      <c r="D41" s="46"/>
      <c r="E41" s="48"/>
      <c r="F41" s="22"/>
    </row>
    <row r="42" spans="2:6">
      <c r="B42" s="44"/>
      <c r="C42" s="46"/>
      <c r="D42" s="46"/>
      <c r="E42" s="48"/>
      <c r="F42" s="22"/>
    </row>
    <row r="43" spans="2:6">
      <c r="B43" s="44"/>
      <c r="C43" s="45"/>
      <c r="D43" s="46"/>
      <c r="E43" s="48"/>
      <c r="F43" s="22"/>
    </row>
    <row r="44" spans="2:6">
      <c r="B44" s="44"/>
      <c r="C44" s="45"/>
      <c r="D44" s="46"/>
      <c r="E44" s="48"/>
      <c r="F44" s="22"/>
    </row>
    <row r="45" spans="2:6">
      <c r="B45" s="44"/>
      <c r="C45" s="45"/>
      <c r="D45" s="46"/>
      <c r="E45" s="48"/>
      <c r="F45" s="22"/>
    </row>
    <row r="46" spans="2:6">
      <c r="B46" s="44"/>
      <c r="C46" s="45"/>
      <c r="D46" s="46"/>
      <c r="E46" s="48"/>
      <c r="F46" s="22"/>
    </row>
    <row r="47" spans="2:6">
      <c r="B47" s="44"/>
      <c r="C47" s="45"/>
      <c r="D47" s="46"/>
      <c r="E47" s="48"/>
      <c r="F47" s="22"/>
    </row>
    <row r="48" spans="2:6">
      <c r="B48" s="44"/>
      <c r="C48" s="45"/>
      <c r="D48" s="46"/>
      <c r="E48" s="48"/>
      <c r="F48" s="22"/>
    </row>
    <row r="49" spans="2:6">
      <c r="B49" s="44"/>
      <c r="C49" s="45"/>
      <c r="D49" s="46"/>
      <c r="E49" s="48"/>
      <c r="F49" s="22"/>
    </row>
    <row r="50" spans="2:6">
      <c r="B50" s="44"/>
      <c r="C50" s="45"/>
      <c r="D50" s="46"/>
      <c r="E50" s="48"/>
      <c r="F50" s="22"/>
    </row>
    <row r="51" spans="2:6">
      <c r="B51" s="44"/>
      <c r="C51" s="45"/>
      <c r="D51" s="46"/>
      <c r="E51" s="48"/>
      <c r="F51" s="22"/>
    </row>
    <row r="52" spans="2:6">
      <c r="B52" s="44"/>
      <c r="C52" s="45"/>
      <c r="D52" s="46"/>
      <c r="E52" s="48"/>
      <c r="F52" s="22"/>
    </row>
    <row r="53" spans="2:6">
      <c r="B53" s="44"/>
      <c r="C53" s="45"/>
      <c r="D53" s="46"/>
      <c r="E53" s="48"/>
      <c r="F53" s="22"/>
    </row>
    <row r="54" spans="2:6">
      <c r="B54" s="198"/>
      <c r="C54" s="45"/>
      <c r="D54" s="564"/>
      <c r="E54" s="48"/>
      <c r="F54" s="22"/>
    </row>
    <row r="55" spans="2:6">
      <c r="B55" s="198"/>
      <c r="C55" s="45"/>
      <c r="D55" s="564"/>
      <c r="E55" s="48"/>
      <c r="F55" s="22"/>
    </row>
    <row r="56" spans="2:6">
      <c r="B56" s="198"/>
      <c r="C56" s="45"/>
      <c r="D56" s="564"/>
      <c r="E56" s="48"/>
      <c r="F56" s="22"/>
    </row>
  </sheetData>
  <mergeCells count="4">
    <mergeCell ref="A1:G1"/>
    <mergeCell ref="A2:G2"/>
    <mergeCell ref="A3:G3"/>
    <mergeCell ref="A4:G4"/>
  </mergeCells>
  <phoneticPr fontId="16" type="noConversion"/>
  <printOptions horizontalCentered="1"/>
  <pageMargins left="0.75" right="0.75" top="1" bottom="1" header="0.5" footer="0.5"/>
  <pageSetup scale="71" orientation="portrait" r:id="rId1"/>
  <headerFooter alignWithMargins="0">
    <oddHeader>&amp;CIDAHO POWER COMPANY
Transmission Cost of Service Rate Development
12 Months Ended 12/31/2014</oddHeader>
  </headerFooter>
</worksheet>
</file>

<file path=xl/worksheets/sheet16.xml><?xml version="1.0" encoding="utf-8"?>
<worksheet xmlns="http://schemas.openxmlformats.org/spreadsheetml/2006/main" xmlns:r="http://schemas.openxmlformats.org/officeDocument/2006/relationships">
  <sheetPr codeName="Sheet16">
    <pageSetUpPr fitToPage="1"/>
  </sheetPr>
  <dimension ref="A1:O124"/>
  <sheetViews>
    <sheetView zoomScale="90" zoomScaleNormal="90" zoomScaleSheetLayoutView="100" workbookViewId="0">
      <selection sqref="A1:G1"/>
    </sheetView>
  </sheetViews>
  <sheetFormatPr defaultRowHeight="12.75"/>
  <cols>
    <col min="1" max="1" width="5.42578125" style="267" customWidth="1"/>
    <col min="2" max="2" width="4.5703125" style="266" customWidth="1"/>
    <col min="3" max="3" width="35.28515625" style="266" customWidth="1"/>
    <col min="4" max="4" width="8.42578125" style="269" customWidth="1"/>
    <col min="5" max="5" width="10.42578125" style="266" customWidth="1"/>
    <col min="6" max="6" width="13.7109375" style="266" customWidth="1"/>
    <col min="7" max="9" width="15.7109375" style="266" customWidth="1"/>
    <col min="10" max="10" width="13.28515625" style="266" bestFit="1" customWidth="1"/>
    <col min="11" max="11" width="14" style="266" bestFit="1" customWidth="1"/>
    <col min="12" max="12" width="14.85546875" style="266" bestFit="1" customWidth="1"/>
    <col min="13" max="14" width="14.85546875" style="266" customWidth="1"/>
    <col min="15" max="15" width="15.28515625" style="266" customWidth="1"/>
    <col min="16" max="16384" width="9.140625" style="266"/>
  </cols>
  <sheetData>
    <row r="1" spans="1:15">
      <c r="A1" s="656"/>
      <c r="B1" s="656"/>
      <c r="C1" s="656"/>
      <c r="D1" s="656"/>
      <c r="E1" s="656"/>
      <c r="F1" s="656"/>
      <c r="G1" s="656"/>
    </row>
    <row r="2" spans="1:15">
      <c r="A2" s="654" t="s">
        <v>39</v>
      </c>
      <c r="B2" s="654"/>
      <c r="C2" s="654"/>
      <c r="D2" s="654"/>
      <c r="E2" s="654"/>
      <c r="F2" s="654"/>
      <c r="G2" s="654"/>
      <c r="H2" s="654"/>
      <c r="I2" s="654"/>
      <c r="J2" s="654"/>
      <c r="K2" s="626"/>
      <c r="L2" s="626"/>
      <c r="M2" s="626"/>
      <c r="N2" s="626"/>
      <c r="O2" s="626"/>
    </row>
    <row r="3" spans="1:15">
      <c r="A3" s="654" t="s">
        <v>377</v>
      </c>
      <c r="B3" s="654"/>
      <c r="C3" s="654"/>
      <c r="D3" s="654"/>
      <c r="E3" s="654"/>
      <c r="F3" s="654"/>
      <c r="G3" s="654"/>
      <c r="H3" s="654"/>
      <c r="I3" s="654"/>
      <c r="J3" s="654"/>
      <c r="K3" s="626"/>
      <c r="L3" s="626"/>
      <c r="M3" s="626"/>
      <c r="N3" s="626"/>
      <c r="O3" s="626"/>
    </row>
    <row r="4" spans="1:15">
      <c r="C4" s="572"/>
      <c r="D4" s="572"/>
      <c r="E4" s="572"/>
      <c r="F4" s="572"/>
      <c r="G4" s="572"/>
      <c r="H4" s="572"/>
    </row>
    <row r="5" spans="1:15">
      <c r="C5" s="654"/>
      <c r="D5" s="654"/>
      <c r="E5" s="654"/>
      <c r="F5" s="654"/>
      <c r="G5" s="654"/>
      <c r="H5" s="572"/>
    </row>
    <row r="6" spans="1:15">
      <c r="C6" s="654"/>
      <c r="D6" s="654"/>
      <c r="E6" s="654"/>
      <c r="F6" s="654"/>
      <c r="G6" s="654"/>
      <c r="H6" s="572"/>
    </row>
    <row r="7" spans="1:15">
      <c r="A7" s="267">
        <v>1</v>
      </c>
      <c r="B7" s="268" t="s">
        <v>874</v>
      </c>
      <c r="C7" s="268"/>
      <c r="H7" s="572"/>
      <c r="I7" s="572"/>
      <c r="J7" s="572"/>
      <c r="K7" s="572"/>
      <c r="L7" s="572"/>
      <c r="M7" s="572"/>
      <c r="N7" s="572"/>
      <c r="O7" s="572"/>
    </row>
    <row r="8" spans="1:15">
      <c r="A8" s="267">
        <f t="shared" ref="A8:A71" si="0">A7+1</f>
        <v>2</v>
      </c>
      <c r="C8" s="572"/>
      <c r="D8" s="270"/>
      <c r="E8" s="572"/>
      <c r="F8" s="572"/>
      <c r="G8" s="271">
        <v>2013</v>
      </c>
      <c r="H8" s="271">
        <v>2014</v>
      </c>
      <c r="I8" s="271" t="s">
        <v>1393</v>
      </c>
      <c r="J8" s="572"/>
      <c r="K8" s="572"/>
      <c r="L8" s="572"/>
    </row>
    <row r="9" spans="1:15" ht="45" customHeight="1">
      <c r="A9" s="267">
        <f t="shared" si="0"/>
        <v>3</v>
      </c>
      <c r="C9" s="272" t="s">
        <v>40</v>
      </c>
      <c r="D9" s="273" t="s">
        <v>41</v>
      </c>
      <c r="E9" s="272" t="s">
        <v>42</v>
      </c>
      <c r="F9" s="274" t="s">
        <v>873</v>
      </c>
      <c r="G9" s="275" t="s">
        <v>1153</v>
      </c>
      <c r="H9" s="275" t="s">
        <v>1153</v>
      </c>
      <c r="I9" s="275" t="s">
        <v>162</v>
      </c>
      <c r="J9" s="627"/>
      <c r="K9" s="627"/>
      <c r="L9" s="627"/>
    </row>
    <row r="10" spans="1:15" ht="12.75" customHeight="1">
      <c r="A10" s="267">
        <f t="shared" si="0"/>
        <v>4</v>
      </c>
      <c r="C10" s="617" t="s">
        <v>1155</v>
      </c>
      <c r="D10" s="399">
        <v>361</v>
      </c>
      <c r="E10" s="400">
        <v>2013</v>
      </c>
      <c r="F10" s="401">
        <f>271851.82</f>
        <v>271851.82</v>
      </c>
      <c r="G10" s="401">
        <f>($F10 *0.0214)</f>
        <v>5817.6289479999996</v>
      </c>
      <c r="H10" s="401">
        <f>($F10 *0.0214)</f>
        <v>5817.6289479999996</v>
      </c>
      <c r="I10" s="625">
        <f>SUM(G10:H10)</f>
        <v>11635.257895999999</v>
      </c>
      <c r="J10" s="401"/>
      <c r="K10" s="401"/>
      <c r="L10" s="401"/>
    </row>
    <row r="11" spans="1:15" ht="12.75" customHeight="1">
      <c r="A11" s="395">
        <f t="shared" si="0"/>
        <v>5</v>
      </c>
      <c r="C11" s="617" t="s">
        <v>1155</v>
      </c>
      <c r="D11" s="399">
        <v>362</v>
      </c>
      <c r="E11" s="400">
        <v>2013</v>
      </c>
      <c r="F11" s="401">
        <f>598324.6</f>
        <v>598324.6</v>
      </c>
      <c r="G11" s="401">
        <f>($F11 *0.02)</f>
        <v>11966.492</v>
      </c>
      <c r="H11" s="401">
        <f>($F11 *0.02)</f>
        <v>11966.492</v>
      </c>
      <c r="I11" s="402">
        <f t="shared" ref="I11:I34" si="1">SUM(G11:H11)</f>
        <v>23932.984</v>
      </c>
      <c r="J11" s="401"/>
      <c r="K11" s="401"/>
      <c r="L11" s="401"/>
    </row>
    <row r="12" spans="1:15" ht="12.75" customHeight="1">
      <c r="A12" s="395">
        <f t="shared" si="0"/>
        <v>6</v>
      </c>
      <c r="C12" s="617" t="s">
        <v>1156</v>
      </c>
      <c r="D12" s="399">
        <v>352</v>
      </c>
      <c r="E12" s="400">
        <v>2013</v>
      </c>
      <c r="F12" s="401">
        <f>188790.2</f>
        <v>188790.2</v>
      </c>
      <c r="G12" s="401">
        <f>($F12 *0.0184)</f>
        <v>3473.7396800000001</v>
      </c>
      <c r="H12" s="401">
        <f>($F12 *0.0184)</f>
        <v>3473.7396800000001</v>
      </c>
      <c r="I12" s="402">
        <f t="shared" si="1"/>
        <v>6947.4793600000003</v>
      </c>
      <c r="J12" s="401"/>
      <c r="K12" s="401"/>
      <c r="L12" s="401"/>
    </row>
    <row r="13" spans="1:15" ht="12.75" customHeight="1">
      <c r="A13" s="395">
        <f t="shared" si="0"/>
        <v>7</v>
      </c>
      <c r="C13" s="617" t="s">
        <v>1156</v>
      </c>
      <c r="D13" s="399">
        <v>353</v>
      </c>
      <c r="E13" s="400">
        <v>2013</v>
      </c>
      <c r="F13" s="401">
        <f>565616.08</f>
        <v>565616.07999999996</v>
      </c>
      <c r="G13" s="401">
        <f>($F13 *0.019)</f>
        <v>10746.70552</v>
      </c>
      <c r="H13" s="401">
        <f>($F13 *0.019)</f>
        <v>10746.70552</v>
      </c>
      <c r="I13" s="402">
        <f t="shared" si="1"/>
        <v>21493.411039999999</v>
      </c>
      <c r="J13" s="401"/>
      <c r="K13" s="401"/>
      <c r="L13" s="401"/>
    </row>
    <row r="14" spans="1:15" ht="12.75" customHeight="1">
      <c r="A14" s="395">
        <f t="shared" si="0"/>
        <v>8</v>
      </c>
      <c r="C14" s="617" t="s">
        <v>1158</v>
      </c>
      <c r="D14" s="396">
        <v>350.11</v>
      </c>
      <c r="E14" s="400">
        <v>2013</v>
      </c>
      <c r="F14" s="401">
        <v>59520</v>
      </c>
      <c r="G14" s="401">
        <v>0</v>
      </c>
      <c r="H14" s="401">
        <v>0</v>
      </c>
      <c r="I14" s="402">
        <f t="shared" si="1"/>
        <v>0</v>
      </c>
      <c r="J14" s="401"/>
      <c r="K14" s="401"/>
      <c r="L14" s="401"/>
    </row>
    <row r="15" spans="1:15" ht="12.75" customHeight="1">
      <c r="A15" s="395">
        <f t="shared" si="0"/>
        <v>9</v>
      </c>
      <c r="C15" s="617" t="s">
        <v>1158</v>
      </c>
      <c r="D15" s="396">
        <v>350.12</v>
      </c>
      <c r="E15" s="400">
        <v>2013</v>
      </c>
      <c r="F15" s="401">
        <v>49101</v>
      </c>
      <c r="G15" s="401">
        <v>0</v>
      </c>
      <c r="H15" s="401">
        <v>0</v>
      </c>
      <c r="I15" s="402">
        <f t="shared" si="1"/>
        <v>0</v>
      </c>
      <c r="J15" s="401"/>
      <c r="K15" s="401"/>
      <c r="L15" s="401"/>
    </row>
    <row r="16" spans="1:15" ht="12.75" customHeight="1">
      <c r="A16" s="395">
        <f>A17+1</f>
        <v>11</v>
      </c>
      <c r="C16" s="617" t="s">
        <v>1157</v>
      </c>
      <c r="D16" s="399">
        <v>352</v>
      </c>
      <c r="E16" s="400">
        <v>2013</v>
      </c>
      <c r="F16" s="401">
        <f>1721615.23</f>
        <v>1721615.23</v>
      </c>
      <c r="G16" s="401">
        <f>($F16 *0.0184)</f>
        <v>31677.720232</v>
      </c>
      <c r="H16" s="401">
        <f>($F16 *0.0184)</f>
        <v>31677.720232</v>
      </c>
      <c r="I16" s="402">
        <f t="shared" si="1"/>
        <v>63355.440463999999</v>
      </c>
      <c r="J16" s="401"/>
      <c r="K16" s="401"/>
      <c r="L16" s="401"/>
    </row>
    <row r="17" spans="1:12" ht="12.75" customHeight="1">
      <c r="A17" s="395">
        <f>A15+1</f>
        <v>10</v>
      </c>
      <c r="C17" s="617" t="s">
        <v>1157</v>
      </c>
      <c r="D17" s="399">
        <v>353</v>
      </c>
      <c r="E17" s="400">
        <v>2013</v>
      </c>
      <c r="F17" s="401">
        <f>1679459.65+4172494</f>
        <v>5851953.6500000004</v>
      </c>
      <c r="G17" s="401">
        <f>($F17 *0.019)</f>
        <v>111187.11935000001</v>
      </c>
      <c r="H17" s="401">
        <f>($F17 *0.019)</f>
        <v>111187.11935000001</v>
      </c>
      <c r="I17" s="402">
        <f t="shared" si="1"/>
        <v>222374.23870000002</v>
      </c>
      <c r="J17" s="401"/>
      <c r="K17" s="401"/>
      <c r="L17" s="401"/>
    </row>
    <row r="18" spans="1:12" ht="12.75" customHeight="1">
      <c r="A18" s="395">
        <f>A16+1</f>
        <v>12</v>
      </c>
      <c r="C18" s="617" t="s">
        <v>1157</v>
      </c>
      <c r="D18" s="399">
        <v>354</v>
      </c>
      <c r="E18" s="400">
        <v>2013</v>
      </c>
      <c r="F18" s="401">
        <v>252834.66</v>
      </c>
      <c r="G18" s="401">
        <f>($F18 *0.017)</f>
        <v>4298.1892200000002</v>
      </c>
      <c r="H18" s="401">
        <f>($F18 *0.017)</f>
        <v>4298.1892200000002</v>
      </c>
      <c r="I18" s="402">
        <f t="shared" si="1"/>
        <v>8596.3784400000004</v>
      </c>
      <c r="J18" s="401"/>
      <c r="K18" s="401"/>
      <c r="L18" s="401"/>
    </row>
    <row r="19" spans="1:12" ht="12.75" customHeight="1">
      <c r="A19" s="395">
        <f t="shared" si="0"/>
        <v>13</v>
      </c>
      <c r="C19" s="617" t="s">
        <v>1157</v>
      </c>
      <c r="D19" s="399">
        <v>355</v>
      </c>
      <c r="E19" s="400">
        <v>2013</v>
      </c>
      <c r="F19" s="401">
        <v>231901.61</v>
      </c>
      <c r="G19" s="401">
        <f>($F19 *0.0277)</f>
        <v>6423.6745969999993</v>
      </c>
      <c r="H19" s="401">
        <f>($F19 *0.0277)</f>
        <v>6423.6745969999993</v>
      </c>
      <c r="I19" s="402">
        <f t="shared" si="1"/>
        <v>12847.349193999999</v>
      </c>
      <c r="J19" s="401"/>
      <c r="K19" s="401"/>
      <c r="L19" s="401"/>
    </row>
    <row r="20" spans="1:12" ht="12.75" customHeight="1">
      <c r="A20" s="395">
        <f t="shared" si="0"/>
        <v>14</v>
      </c>
      <c r="C20" s="617" t="s">
        <v>1157</v>
      </c>
      <c r="D20" s="399">
        <v>356</v>
      </c>
      <c r="E20" s="400">
        <v>2013</v>
      </c>
      <c r="F20" s="401">
        <v>90584.24</v>
      </c>
      <c r="G20" s="401">
        <f>($F20 *0.0225)</f>
        <v>2038.1454000000001</v>
      </c>
      <c r="H20" s="401">
        <f>($F20 *0.0225)</f>
        <v>2038.1454000000001</v>
      </c>
      <c r="I20" s="402">
        <f t="shared" si="1"/>
        <v>4076.2908000000002</v>
      </c>
      <c r="J20" s="401"/>
      <c r="K20" s="401"/>
      <c r="L20" s="401"/>
    </row>
    <row r="21" spans="1:12" ht="12.75" customHeight="1">
      <c r="A21" s="395">
        <f t="shared" si="0"/>
        <v>15</v>
      </c>
      <c r="C21" s="617" t="s">
        <v>1157</v>
      </c>
      <c r="D21" s="399">
        <v>364</v>
      </c>
      <c r="E21" s="400">
        <v>2013</v>
      </c>
      <c r="F21" s="401">
        <v>315.13</v>
      </c>
      <c r="G21" s="401">
        <f>($F21 *0.0308)</f>
        <v>9.7060040000000001</v>
      </c>
      <c r="H21" s="401">
        <f>($F21 *0.0308)</f>
        <v>9.7060040000000001</v>
      </c>
      <c r="I21" s="402">
        <f t="shared" si="1"/>
        <v>19.412008</v>
      </c>
      <c r="J21" s="401"/>
      <c r="K21" s="401"/>
      <c r="L21" s="401"/>
    </row>
    <row r="22" spans="1:12" ht="12.75" customHeight="1">
      <c r="A22" s="395">
        <f t="shared" si="0"/>
        <v>16</v>
      </c>
      <c r="C22" s="617" t="s">
        <v>1157</v>
      </c>
      <c r="D22" s="399">
        <v>365</v>
      </c>
      <c r="E22" s="400">
        <v>2013</v>
      </c>
      <c r="F22" s="401">
        <v>-861.8</v>
      </c>
      <c r="G22" s="401">
        <f>($F22 *0.0298)</f>
        <v>-25.681639999999998</v>
      </c>
      <c r="H22" s="401">
        <f>($F22 *0.0298)</f>
        <v>-25.681639999999998</v>
      </c>
      <c r="I22" s="402">
        <f t="shared" si="1"/>
        <v>-51.363279999999996</v>
      </c>
      <c r="J22" s="401"/>
      <c r="K22" s="401"/>
      <c r="L22" s="401"/>
    </row>
    <row r="23" spans="1:12" ht="12.75" customHeight="1">
      <c r="A23" s="395">
        <f t="shared" si="0"/>
        <v>17</v>
      </c>
      <c r="C23" s="617" t="s">
        <v>1157</v>
      </c>
      <c r="D23" s="399">
        <v>366</v>
      </c>
      <c r="E23" s="400">
        <v>2013</v>
      </c>
      <c r="F23" s="401">
        <v>3618.04</v>
      </c>
      <c r="G23" s="401">
        <f>($F23 *0.0195)</f>
        <v>70.551779999999994</v>
      </c>
      <c r="H23" s="401">
        <f>($F23 *0.0195)</f>
        <v>70.551779999999994</v>
      </c>
      <c r="I23" s="402">
        <f t="shared" si="1"/>
        <v>141.10355999999999</v>
      </c>
      <c r="J23" s="401"/>
      <c r="K23" s="401"/>
      <c r="L23" s="401"/>
    </row>
    <row r="24" spans="1:12" ht="12.75" customHeight="1">
      <c r="A24" s="395">
        <f t="shared" si="0"/>
        <v>18</v>
      </c>
      <c r="C24" s="617" t="s">
        <v>1157</v>
      </c>
      <c r="D24" s="399">
        <v>367</v>
      </c>
      <c r="E24" s="400">
        <v>2013</v>
      </c>
      <c r="F24" s="401">
        <v>21379.33</v>
      </c>
      <c r="G24" s="401">
        <f>($F24 *0.0226)</f>
        <v>483.17285800000002</v>
      </c>
      <c r="H24" s="401">
        <f>($F24 *0.0226)</f>
        <v>483.17285800000002</v>
      </c>
      <c r="I24" s="402">
        <f t="shared" si="1"/>
        <v>966.34571600000004</v>
      </c>
      <c r="J24" s="401"/>
      <c r="K24" s="401"/>
      <c r="L24" s="401"/>
    </row>
    <row r="25" spans="1:12" ht="12.75" customHeight="1">
      <c r="A25" s="395">
        <f t="shared" si="0"/>
        <v>19</v>
      </c>
      <c r="C25" s="617" t="s">
        <v>1157</v>
      </c>
      <c r="D25" s="399">
        <v>368</v>
      </c>
      <c r="E25" s="400">
        <v>2013</v>
      </c>
      <c r="F25" s="401">
        <v>14211.25</v>
      </c>
      <c r="G25" s="401">
        <f>($F25 *0.0258)</f>
        <v>366.65025000000003</v>
      </c>
      <c r="H25" s="401">
        <f>($F25 *0.0258)</f>
        <v>366.65025000000003</v>
      </c>
      <c r="I25" s="402">
        <f t="shared" si="1"/>
        <v>733.30050000000006</v>
      </c>
      <c r="J25" s="401"/>
      <c r="K25" s="401"/>
      <c r="L25" s="401"/>
    </row>
    <row r="26" spans="1:12" ht="12.75" customHeight="1">
      <c r="A26" s="395">
        <f t="shared" si="0"/>
        <v>20</v>
      </c>
      <c r="C26" s="617" t="s">
        <v>1157</v>
      </c>
      <c r="D26" s="397">
        <v>397.4</v>
      </c>
      <c r="E26" s="400">
        <v>2013</v>
      </c>
      <c r="F26" s="401">
        <v>119531.78</v>
      </c>
      <c r="G26" s="401">
        <f>($F26 *0.079)</f>
        <v>9443.0106199999991</v>
      </c>
      <c r="H26" s="401">
        <f>($F26 *0.079)</f>
        <v>9443.0106199999991</v>
      </c>
      <c r="I26" s="402">
        <f t="shared" si="1"/>
        <v>18886.021239999998</v>
      </c>
      <c r="J26" s="401"/>
      <c r="K26" s="401"/>
      <c r="L26" s="401"/>
    </row>
    <row r="27" spans="1:12" ht="12.75" customHeight="1">
      <c r="A27" s="395">
        <f>A26+1</f>
        <v>21</v>
      </c>
      <c r="C27" s="617" t="s">
        <v>1155</v>
      </c>
      <c r="D27" s="398">
        <v>356</v>
      </c>
      <c r="E27" s="400">
        <v>2014</v>
      </c>
      <c r="F27" s="401">
        <v>7221.4</v>
      </c>
      <c r="H27" s="401">
        <f>($F27 *0.0225)</f>
        <v>162.48149999999998</v>
      </c>
      <c r="I27" s="402">
        <f t="shared" si="1"/>
        <v>162.48149999999998</v>
      </c>
      <c r="J27" s="401"/>
      <c r="K27" s="401"/>
      <c r="L27" s="401"/>
    </row>
    <row r="28" spans="1:12" ht="12.75" customHeight="1">
      <c r="A28" s="395">
        <f t="shared" si="0"/>
        <v>22</v>
      </c>
      <c r="C28" s="617" t="s">
        <v>1155</v>
      </c>
      <c r="D28" s="398">
        <v>361</v>
      </c>
      <c r="E28" s="400">
        <v>2014</v>
      </c>
      <c r="F28" s="623">
        <v>-4967.75</v>
      </c>
      <c r="H28" s="401">
        <f>($F28 *0.0214)</f>
        <v>-106.30985</v>
      </c>
      <c r="I28" s="402">
        <f t="shared" si="1"/>
        <v>-106.30985</v>
      </c>
      <c r="J28" s="401"/>
      <c r="K28" s="401"/>
      <c r="L28" s="401"/>
    </row>
    <row r="29" spans="1:12" ht="12.75" customHeight="1">
      <c r="A29" s="395">
        <f t="shared" si="0"/>
        <v>23</v>
      </c>
      <c r="C29" s="617" t="s">
        <v>1155</v>
      </c>
      <c r="D29" s="398">
        <v>362</v>
      </c>
      <c r="E29" s="400">
        <v>2014</v>
      </c>
      <c r="F29" s="623">
        <v>4833.7700000000004</v>
      </c>
      <c r="H29" s="401">
        <f>($F29 *0.02)</f>
        <v>96.67540000000001</v>
      </c>
      <c r="I29" s="402">
        <f t="shared" si="1"/>
        <v>96.67540000000001</v>
      </c>
      <c r="J29" s="401"/>
      <c r="K29" s="401"/>
      <c r="L29" s="401"/>
    </row>
    <row r="30" spans="1:12" ht="12.75" customHeight="1">
      <c r="A30" s="395">
        <f t="shared" si="0"/>
        <v>24</v>
      </c>
      <c r="C30" s="617" t="s">
        <v>1156</v>
      </c>
      <c r="D30" s="398">
        <v>352</v>
      </c>
      <c r="E30" s="400">
        <v>2014</v>
      </c>
      <c r="F30" s="623">
        <v>36156.58</v>
      </c>
      <c r="H30" s="401">
        <f>($F30 *0.0184)</f>
        <v>665.28107199999999</v>
      </c>
      <c r="I30" s="402">
        <f t="shared" si="1"/>
        <v>665.28107199999999</v>
      </c>
      <c r="J30" s="401"/>
      <c r="K30" s="401"/>
      <c r="L30" s="401"/>
    </row>
    <row r="31" spans="1:12" ht="12.75" customHeight="1">
      <c r="A31" s="395">
        <f t="shared" si="0"/>
        <v>25</v>
      </c>
      <c r="C31" s="617" t="s">
        <v>1156</v>
      </c>
      <c r="D31" s="398">
        <v>353</v>
      </c>
      <c r="E31" s="400">
        <v>2014</v>
      </c>
      <c r="F31" s="623">
        <v>-47442.16</v>
      </c>
      <c r="H31" s="401">
        <f>($F31 *0.019)</f>
        <v>-901.40104000000008</v>
      </c>
      <c r="I31" s="402">
        <f t="shared" si="1"/>
        <v>-901.40104000000008</v>
      </c>
      <c r="J31" s="401"/>
      <c r="K31" s="401"/>
      <c r="L31" s="401"/>
    </row>
    <row r="32" spans="1:12" ht="12.75" customHeight="1">
      <c r="A32" s="395">
        <f>A31+1</f>
        <v>26</v>
      </c>
      <c r="C32" s="617" t="s">
        <v>1380</v>
      </c>
      <c r="D32" s="398">
        <v>353</v>
      </c>
      <c r="E32" s="400">
        <v>2014</v>
      </c>
      <c r="F32" s="623">
        <v>68397.83</v>
      </c>
      <c r="H32" s="401">
        <f>($F32 *0.019)</f>
        <v>1299.5587700000001</v>
      </c>
      <c r="I32" s="402">
        <f t="shared" si="1"/>
        <v>1299.5587700000001</v>
      </c>
      <c r="J32" s="401"/>
      <c r="K32" s="401"/>
      <c r="L32" s="401"/>
    </row>
    <row r="33" spans="1:14" ht="12.75" customHeight="1">
      <c r="A33" s="395">
        <f t="shared" si="0"/>
        <v>27</v>
      </c>
      <c r="C33" s="617" t="s">
        <v>1157</v>
      </c>
      <c r="D33" s="398">
        <v>352</v>
      </c>
      <c r="E33" s="400">
        <v>2014</v>
      </c>
      <c r="F33" s="623">
        <v>457751.07</v>
      </c>
      <c r="H33" s="401">
        <f>($F33 *0.0184)</f>
        <v>8422.6196880000007</v>
      </c>
      <c r="I33" s="402">
        <f t="shared" si="1"/>
        <v>8422.6196880000007</v>
      </c>
      <c r="J33" s="401"/>
      <c r="K33" s="401"/>
      <c r="L33" s="401"/>
    </row>
    <row r="34" spans="1:14" ht="12.75" customHeight="1">
      <c r="A34" s="395">
        <f t="shared" si="0"/>
        <v>28</v>
      </c>
      <c r="C34" s="617" t="s">
        <v>1157</v>
      </c>
      <c r="D34" s="398">
        <v>353</v>
      </c>
      <c r="E34" s="400">
        <v>2014</v>
      </c>
      <c r="F34" s="624">
        <v>-780884.86</v>
      </c>
      <c r="G34" s="556"/>
      <c r="H34" s="403">
        <f>($F34 *0.019)</f>
        <v>-14836.812339999999</v>
      </c>
      <c r="I34" s="405">
        <f t="shared" si="1"/>
        <v>-14836.812339999999</v>
      </c>
      <c r="J34" s="401"/>
      <c r="K34" s="401"/>
      <c r="L34" s="401"/>
    </row>
    <row r="35" spans="1:14">
      <c r="A35" s="395">
        <f>A34+1</f>
        <v>29</v>
      </c>
      <c r="C35" s="278" t="s">
        <v>552</v>
      </c>
      <c r="D35" s="276"/>
      <c r="E35" s="277"/>
      <c r="F35" s="404">
        <f>SUM(F10:F34)</f>
        <v>9781352.6999999993</v>
      </c>
      <c r="G35" s="404">
        <f>SUM(G10:G34)</f>
        <v>197976.82481900003</v>
      </c>
      <c r="H35" s="404">
        <f>SUM(H10:H34)</f>
        <v>192778.91801900006</v>
      </c>
      <c r="I35" s="404">
        <f>SUM(I10:I34)</f>
        <v>390755.74283800001</v>
      </c>
      <c r="J35" s="402"/>
      <c r="K35" s="402"/>
      <c r="L35" s="402"/>
    </row>
    <row r="36" spans="1:14">
      <c r="A36" s="395">
        <f t="shared" si="0"/>
        <v>30</v>
      </c>
      <c r="C36" s="188"/>
      <c r="D36" s="276"/>
      <c r="E36" s="277"/>
      <c r="F36" s="279"/>
      <c r="G36" s="280"/>
      <c r="H36" s="280"/>
      <c r="I36" s="280"/>
    </row>
    <row r="37" spans="1:14">
      <c r="A37" s="395">
        <f t="shared" si="0"/>
        <v>31</v>
      </c>
      <c r="C37" s="188"/>
      <c r="D37" s="276"/>
      <c r="E37" s="277"/>
      <c r="F37" s="279"/>
      <c r="G37" s="280"/>
      <c r="H37" s="280"/>
      <c r="I37" s="280"/>
    </row>
    <row r="38" spans="1:14">
      <c r="A38" s="395">
        <f t="shared" si="0"/>
        <v>32</v>
      </c>
      <c r="B38" s="268" t="s">
        <v>872</v>
      </c>
      <c r="C38" s="188"/>
      <c r="D38" s="276"/>
      <c r="E38" s="277"/>
      <c r="F38" s="279"/>
      <c r="G38" s="280"/>
      <c r="H38" s="280"/>
      <c r="I38" s="280"/>
    </row>
    <row r="39" spans="1:14">
      <c r="A39" s="395">
        <f t="shared" si="0"/>
        <v>33</v>
      </c>
      <c r="C39" s="188"/>
      <c r="D39" s="276"/>
      <c r="E39" s="277"/>
      <c r="F39" s="279"/>
      <c r="G39" s="280"/>
      <c r="H39" s="280"/>
      <c r="I39" s="280"/>
      <c r="J39" s="281"/>
      <c r="K39" s="281"/>
      <c r="L39" s="281"/>
      <c r="M39" s="281"/>
      <c r="N39" s="281"/>
    </row>
    <row r="40" spans="1:14" ht="38.25">
      <c r="A40" s="395">
        <f t="shared" si="0"/>
        <v>34</v>
      </c>
      <c r="C40" s="188"/>
      <c r="D40" s="276"/>
      <c r="E40" s="282" t="s">
        <v>43</v>
      </c>
      <c r="F40" s="283" t="s">
        <v>871</v>
      </c>
      <c r="G40" s="283" t="s">
        <v>162</v>
      </c>
      <c r="H40" s="283" t="s">
        <v>870</v>
      </c>
      <c r="I40" s="280"/>
      <c r="J40" s="281"/>
      <c r="K40" s="281"/>
      <c r="L40" s="281"/>
      <c r="M40" s="281"/>
      <c r="N40" s="281"/>
    </row>
    <row r="41" spans="1:14">
      <c r="A41" s="395">
        <f t="shared" si="0"/>
        <v>35</v>
      </c>
      <c r="C41" s="188" t="s">
        <v>1154</v>
      </c>
      <c r="D41" s="276"/>
      <c r="E41" s="279">
        <v>2014</v>
      </c>
      <c r="F41" s="525">
        <v>399770.73</v>
      </c>
      <c r="G41" s="618">
        <f>I35</f>
        <v>390755.74283800001</v>
      </c>
      <c r="H41" s="525">
        <f>F41-G41</f>
        <v>9014.9871619999758</v>
      </c>
      <c r="I41" s="280"/>
      <c r="J41" s="281"/>
      <c r="K41" s="281"/>
      <c r="L41" s="281"/>
      <c r="M41" s="281"/>
      <c r="N41" s="281"/>
    </row>
    <row r="42" spans="1:14">
      <c r="A42" s="395">
        <f>A41+1</f>
        <v>36</v>
      </c>
      <c r="C42" s="188" t="s">
        <v>552</v>
      </c>
      <c r="D42" s="276"/>
      <c r="E42" s="277"/>
      <c r="F42" s="284">
        <f>SUM(F41:F41)</f>
        <v>399770.73</v>
      </c>
      <c r="G42" s="579">
        <f>SUM(G41:G41)</f>
        <v>390755.74283800001</v>
      </c>
      <c r="H42" s="526">
        <f>SUM(H41:H41)</f>
        <v>9014.9871619999758</v>
      </c>
      <c r="I42" s="280"/>
      <c r="J42" s="281"/>
      <c r="K42" s="281"/>
      <c r="L42" s="281"/>
      <c r="M42" s="281"/>
      <c r="N42" s="281"/>
    </row>
    <row r="43" spans="1:14">
      <c r="A43" s="395">
        <f t="shared" si="0"/>
        <v>37</v>
      </c>
      <c r="C43" s="188"/>
      <c r="D43" s="276"/>
      <c r="E43" s="277"/>
      <c r="F43" s="285"/>
      <c r="G43" s="285"/>
      <c r="H43" s="286"/>
      <c r="I43" s="280"/>
      <c r="J43" s="281"/>
      <c r="K43" s="281"/>
      <c r="L43" s="281"/>
      <c r="M43" s="281"/>
      <c r="N43" s="281"/>
    </row>
    <row r="44" spans="1:14">
      <c r="A44" s="395">
        <f t="shared" si="0"/>
        <v>38</v>
      </c>
      <c r="C44" s="188"/>
      <c r="D44" s="276"/>
      <c r="E44" s="277"/>
      <c r="F44" s="285"/>
      <c r="G44" s="285"/>
      <c r="H44" s="286"/>
      <c r="I44" s="280"/>
      <c r="J44" s="281"/>
      <c r="K44" s="281"/>
      <c r="L44" s="281"/>
      <c r="M44" s="281"/>
      <c r="N44" s="281"/>
    </row>
    <row r="45" spans="1:14">
      <c r="A45" s="395">
        <f t="shared" si="0"/>
        <v>39</v>
      </c>
      <c r="C45" s="188"/>
      <c r="D45" s="276"/>
      <c r="E45" s="277"/>
      <c r="F45" s="279"/>
      <c r="G45" s="280"/>
      <c r="H45" s="280"/>
      <c r="I45" s="280"/>
      <c r="J45" s="281"/>
      <c r="K45" s="281"/>
      <c r="L45" s="281"/>
      <c r="M45" s="281"/>
      <c r="N45" s="281"/>
    </row>
    <row r="46" spans="1:14">
      <c r="A46" s="395">
        <f t="shared" si="0"/>
        <v>40</v>
      </c>
      <c r="B46" s="268" t="s">
        <v>525</v>
      </c>
      <c r="C46" s="188"/>
      <c r="D46" s="276"/>
      <c r="E46" s="277"/>
      <c r="F46" s="279"/>
      <c r="G46" s="280"/>
      <c r="H46" s="280"/>
      <c r="I46" s="280"/>
      <c r="J46" s="281"/>
      <c r="K46" s="281"/>
      <c r="L46" s="281"/>
      <c r="M46" s="281"/>
      <c r="N46" s="281"/>
    </row>
    <row r="47" spans="1:14">
      <c r="A47" s="395">
        <f t="shared" si="0"/>
        <v>41</v>
      </c>
      <c r="C47" s="188"/>
      <c r="D47" s="276"/>
      <c r="E47" s="277"/>
      <c r="F47" s="279"/>
      <c r="G47" s="280"/>
      <c r="H47" s="280"/>
      <c r="I47" s="280"/>
      <c r="J47" s="281"/>
      <c r="K47" s="281"/>
      <c r="L47" s="281"/>
      <c r="M47" s="281"/>
      <c r="N47" s="281"/>
    </row>
    <row r="48" spans="1:14" ht="13.5" thickBot="1">
      <c r="A48" s="395">
        <f t="shared" si="0"/>
        <v>42</v>
      </c>
      <c r="C48" s="287" t="s">
        <v>40</v>
      </c>
      <c r="D48" s="287" t="s">
        <v>43</v>
      </c>
      <c r="E48" s="288" t="s">
        <v>233</v>
      </c>
      <c r="F48" s="279"/>
      <c r="G48" s="280"/>
      <c r="H48" s="280"/>
      <c r="I48" s="280"/>
      <c r="J48" s="281"/>
      <c r="K48" s="281"/>
      <c r="L48" s="281"/>
      <c r="M48" s="281"/>
      <c r="N48" s="281"/>
    </row>
    <row r="49" spans="1:14">
      <c r="A49" s="395">
        <f t="shared" si="0"/>
        <v>43</v>
      </c>
      <c r="C49" s="188"/>
      <c r="D49" s="276"/>
      <c r="E49" s="619">
        <v>0</v>
      </c>
      <c r="F49" s="279"/>
      <c r="G49" s="280"/>
      <c r="H49" s="280"/>
      <c r="I49" s="280"/>
      <c r="J49" s="281"/>
      <c r="K49" s="281"/>
      <c r="L49" s="281"/>
      <c r="M49" s="281"/>
      <c r="N49" s="281"/>
    </row>
    <row r="50" spans="1:14">
      <c r="A50" s="395">
        <f t="shared" si="0"/>
        <v>44</v>
      </c>
      <c r="C50" s="188"/>
      <c r="D50" s="276"/>
      <c r="E50" s="277"/>
      <c r="F50" s="279"/>
      <c r="G50" s="280"/>
      <c r="H50" s="280"/>
      <c r="I50" s="280"/>
      <c r="J50" s="281"/>
      <c r="K50" s="281"/>
      <c r="L50" s="281"/>
      <c r="M50" s="281"/>
      <c r="N50" s="281"/>
    </row>
    <row r="51" spans="1:14">
      <c r="A51" s="395">
        <f t="shared" si="0"/>
        <v>45</v>
      </c>
      <c r="C51" s="289" t="s">
        <v>552</v>
      </c>
      <c r="D51" s="276"/>
      <c r="E51" s="290">
        <f>SUM(E49:E49)</f>
        <v>0</v>
      </c>
      <c r="F51" s="279"/>
      <c r="G51" s="280"/>
      <c r="H51" s="280"/>
      <c r="I51" s="280"/>
      <c r="J51" s="281"/>
      <c r="K51" s="281"/>
      <c r="L51" s="281"/>
      <c r="M51" s="281"/>
      <c r="N51" s="281"/>
    </row>
    <row r="52" spans="1:14">
      <c r="A52" s="395">
        <f t="shared" si="0"/>
        <v>46</v>
      </c>
      <c r="C52" s="289"/>
      <c r="D52" s="276"/>
      <c r="E52" s="291"/>
      <c r="F52" s="279"/>
      <c r="G52" s="280"/>
      <c r="H52" s="280"/>
      <c r="I52" s="280"/>
      <c r="J52" s="281"/>
      <c r="K52" s="281"/>
      <c r="L52" s="281"/>
      <c r="M52" s="281"/>
      <c r="N52" s="281"/>
    </row>
    <row r="53" spans="1:14">
      <c r="A53" s="395">
        <f t="shared" si="0"/>
        <v>47</v>
      </c>
      <c r="C53" s="289"/>
      <c r="D53" s="276"/>
      <c r="E53" s="291"/>
      <c r="F53" s="279"/>
      <c r="G53" s="280"/>
      <c r="H53" s="280"/>
      <c r="I53" s="280"/>
      <c r="J53" s="281"/>
      <c r="K53" s="281"/>
      <c r="L53" s="281"/>
      <c r="M53" s="281"/>
      <c r="N53" s="281"/>
    </row>
    <row r="54" spans="1:14">
      <c r="A54" s="395">
        <f t="shared" si="0"/>
        <v>48</v>
      </c>
      <c r="B54" s="268" t="s">
        <v>869</v>
      </c>
      <c r="C54" s="289"/>
      <c r="D54" s="276"/>
      <c r="E54" s="291"/>
      <c r="F54" s="279"/>
      <c r="G54" s="280"/>
      <c r="H54" s="280"/>
      <c r="I54" s="280"/>
      <c r="M54" s="281"/>
      <c r="N54" s="281"/>
    </row>
    <row r="55" spans="1:14">
      <c r="A55" s="395">
        <f t="shared" si="0"/>
        <v>49</v>
      </c>
      <c r="B55" s="268"/>
      <c r="C55" s="289"/>
      <c r="D55" s="276"/>
      <c r="E55" s="291"/>
      <c r="F55" s="279"/>
      <c r="G55" s="280"/>
      <c r="H55" s="280"/>
      <c r="I55" s="280"/>
      <c r="M55" s="281"/>
      <c r="N55" s="281"/>
    </row>
    <row r="56" spans="1:14">
      <c r="A56" s="395">
        <f t="shared" si="0"/>
        <v>50</v>
      </c>
      <c r="B56" s="268"/>
      <c r="C56" s="289"/>
      <c r="D56" s="276"/>
      <c r="E56" s="291"/>
      <c r="F56" s="279"/>
      <c r="G56" s="280"/>
      <c r="H56" s="280"/>
      <c r="I56" s="280"/>
      <c r="J56" s="281"/>
      <c r="K56" s="281"/>
      <c r="M56" s="293"/>
      <c r="N56" s="293"/>
    </row>
    <row r="57" spans="1:14">
      <c r="A57" s="395">
        <f t="shared" si="0"/>
        <v>51</v>
      </c>
      <c r="B57" s="268"/>
      <c r="C57" s="289"/>
      <c r="D57" s="276"/>
      <c r="E57" s="292">
        <f>H42+E51</f>
        <v>9014.9871619999758</v>
      </c>
      <c r="F57" s="628" t="s">
        <v>27</v>
      </c>
      <c r="G57" s="280"/>
      <c r="H57" s="280"/>
      <c r="I57" s="280"/>
      <c r="J57" s="281"/>
      <c r="K57" s="281"/>
      <c r="L57" s="293"/>
      <c r="M57" s="293"/>
      <c r="N57" s="293"/>
    </row>
    <row r="58" spans="1:14">
      <c r="A58" s="395">
        <f t="shared" si="0"/>
        <v>52</v>
      </c>
      <c r="B58" s="268"/>
      <c r="C58" s="289"/>
      <c r="D58" s="276"/>
      <c r="E58" s="291"/>
      <c r="F58" s="279"/>
      <c r="G58" s="280"/>
      <c r="H58" s="280"/>
      <c r="I58" s="280"/>
      <c r="J58" s="281"/>
      <c r="K58" s="281"/>
      <c r="L58" s="293"/>
      <c r="M58" s="293"/>
      <c r="N58" s="293"/>
    </row>
    <row r="59" spans="1:14">
      <c r="A59" s="395">
        <f t="shared" si="0"/>
        <v>53</v>
      </c>
      <c r="C59" s="289"/>
      <c r="D59" s="276"/>
      <c r="E59" s="291"/>
      <c r="F59" s="279"/>
      <c r="G59" s="280"/>
      <c r="H59" s="280"/>
      <c r="I59" s="280"/>
      <c r="J59" s="281"/>
      <c r="K59" s="281"/>
      <c r="L59" s="281"/>
      <c r="M59" s="281"/>
      <c r="N59" s="281"/>
    </row>
    <row r="60" spans="1:14">
      <c r="A60" s="395">
        <f t="shared" si="0"/>
        <v>54</v>
      </c>
      <c r="B60" s="268" t="s">
        <v>868</v>
      </c>
      <c r="C60" s="188"/>
      <c r="D60" s="276"/>
      <c r="E60" s="277"/>
      <c r="F60" s="279"/>
      <c r="G60" s="291"/>
      <c r="H60" s="280"/>
      <c r="I60" s="280"/>
      <c r="J60" s="281"/>
      <c r="K60" s="281"/>
      <c r="L60" s="281"/>
      <c r="M60" s="281"/>
      <c r="N60" s="281"/>
    </row>
    <row r="61" spans="1:14">
      <c r="A61" s="395">
        <f t="shared" si="0"/>
        <v>55</v>
      </c>
      <c r="C61" s="188"/>
      <c r="D61" s="276"/>
      <c r="E61" s="277"/>
      <c r="F61" s="279"/>
      <c r="G61" s="280"/>
      <c r="H61" s="280"/>
      <c r="I61" s="280"/>
      <c r="J61" s="281"/>
      <c r="K61" s="281"/>
      <c r="L61" s="281"/>
      <c r="M61" s="281"/>
      <c r="N61" s="281"/>
    </row>
    <row r="62" spans="1:14" ht="13.5" thickBot="1">
      <c r="A62" s="395">
        <f t="shared" si="0"/>
        <v>56</v>
      </c>
      <c r="C62" s="287" t="s">
        <v>40</v>
      </c>
      <c r="D62" s="287" t="s">
        <v>43</v>
      </c>
      <c r="E62" s="288" t="s">
        <v>233</v>
      </c>
      <c r="F62" s="279"/>
      <c r="G62" s="280"/>
      <c r="H62" s="280"/>
      <c r="I62" s="280"/>
      <c r="J62" s="281"/>
      <c r="K62" s="281"/>
      <c r="L62" s="281"/>
      <c r="M62" s="281"/>
      <c r="N62" s="281"/>
    </row>
    <row r="63" spans="1:14">
      <c r="A63" s="395">
        <f t="shared" si="0"/>
        <v>57</v>
      </c>
      <c r="C63" s="188" t="s">
        <v>1022</v>
      </c>
      <c r="D63" s="276">
        <v>2014</v>
      </c>
      <c r="E63" s="421">
        <v>5553.66</v>
      </c>
      <c r="F63" s="279"/>
      <c r="G63" s="280"/>
      <c r="H63" s="280"/>
      <c r="I63" s="280"/>
      <c r="J63" s="281"/>
      <c r="K63" s="281"/>
      <c r="L63" s="281"/>
      <c r="M63" s="281"/>
      <c r="N63" s="281"/>
    </row>
    <row r="64" spans="1:14">
      <c r="A64" s="395">
        <f t="shared" si="0"/>
        <v>58</v>
      </c>
      <c r="C64" s="188" t="s">
        <v>1154</v>
      </c>
      <c r="D64" s="276">
        <v>2014</v>
      </c>
      <c r="E64" s="421">
        <v>133641.14000000001</v>
      </c>
      <c r="F64" s="279"/>
      <c r="G64" s="280"/>
      <c r="H64" s="280"/>
      <c r="I64" s="280"/>
      <c r="J64" s="281"/>
      <c r="K64" s="281"/>
      <c r="L64" s="281"/>
      <c r="M64" s="281"/>
      <c r="N64" s="281"/>
    </row>
    <row r="65" spans="1:14">
      <c r="A65" s="395">
        <f t="shared" si="0"/>
        <v>59</v>
      </c>
      <c r="C65" s="188"/>
      <c r="D65" s="276"/>
      <c r="E65" s="158"/>
      <c r="F65" s="279"/>
      <c r="G65" s="280"/>
      <c r="H65" s="280"/>
      <c r="I65" s="280"/>
      <c r="J65" s="281"/>
      <c r="K65" s="281"/>
      <c r="L65" s="281"/>
      <c r="M65" s="281"/>
      <c r="N65" s="281"/>
    </row>
    <row r="66" spans="1:14">
      <c r="A66" s="395">
        <f t="shared" si="0"/>
        <v>60</v>
      </c>
      <c r="C66" s="289" t="s">
        <v>552</v>
      </c>
      <c r="D66" s="276"/>
      <c r="E66" s="294">
        <f>SUM(E63:E64)</f>
        <v>139194.80000000002</v>
      </c>
      <c r="F66" s="279"/>
      <c r="G66" s="280"/>
      <c r="H66" s="280"/>
      <c r="I66" s="280"/>
      <c r="J66" s="281"/>
      <c r="K66" s="281"/>
      <c r="L66" s="281"/>
      <c r="M66" s="281"/>
      <c r="N66" s="281"/>
    </row>
    <row r="67" spans="1:14">
      <c r="A67" s="395">
        <f t="shared" si="0"/>
        <v>61</v>
      </c>
      <c r="C67" s="188"/>
      <c r="D67" s="276"/>
      <c r="E67" s="277"/>
      <c r="F67" s="279"/>
      <c r="G67" s="280"/>
      <c r="H67" s="280"/>
      <c r="I67" s="280"/>
      <c r="J67" s="281"/>
      <c r="K67" s="281"/>
      <c r="L67" s="281"/>
      <c r="M67" s="281"/>
      <c r="N67" s="281"/>
    </row>
    <row r="68" spans="1:14">
      <c r="A68" s="395">
        <f t="shared" si="0"/>
        <v>62</v>
      </c>
      <c r="C68" s="289" t="s">
        <v>552</v>
      </c>
      <c r="D68" s="276"/>
      <c r="E68" s="294">
        <f>SUM(E51,E66)</f>
        <v>139194.80000000002</v>
      </c>
      <c r="F68" s="295" t="s">
        <v>28</v>
      </c>
      <c r="G68" s="280"/>
      <c r="H68" s="280"/>
      <c r="I68" s="280"/>
      <c r="J68" s="281"/>
      <c r="K68" s="281"/>
      <c r="L68" s="281"/>
      <c r="M68" s="281"/>
      <c r="N68" s="281"/>
    </row>
    <row r="69" spans="1:14">
      <c r="A69" s="395">
        <f t="shared" si="0"/>
        <v>63</v>
      </c>
      <c r="C69" s="289"/>
      <c r="D69" s="276"/>
      <c r="E69" s="296"/>
      <c r="F69" s="279"/>
      <c r="G69" s="280"/>
      <c r="H69" s="280"/>
      <c r="I69" s="280"/>
      <c r="J69" s="281"/>
      <c r="K69" s="281"/>
      <c r="L69" s="281"/>
      <c r="M69" s="281"/>
      <c r="N69" s="281"/>
    </row>
    <row r="70" spans="1:14">
      <c r="A70" s="395">
        <f t="shared" si="0"/>
        <v>64</v>
      </c>
      <c r="C70" s="289"/>
      <c r="D70" s="276"/>
      <c r="E70" s="296"/>
      <c r="F70" s="279"/>
      <c r="G70" s="280"/>
      <c r="H70" s="280"/>
      <c r="I70" s="280"/>
      <c r="J70" s="281"/>
      <c r="K70" s="281"/>
      <c r="L70" s="281"/>
      <c r="M70" s="281"/>
      <c r="N70" s="281"/>
    </row>
    <row r="71" spans="1:14">
      <c r="A71" s="395">
        <f t="shared" si="0"/>
        <v>65</v>
      </c>
      <c r="C71" s="297" t="s">
        <v>1032</v>
      </c>
      <c r="D71" s="276"/>
      <c r="E71" s="296"/>
      <c r="F71" s="279"/>
      <c r="G71" s="280"/>
      <c r="H71" s="280"/>
      <c r="I71" s="280"/>
      <c r="J71" s="281"/>
      <c r="K71" s="281"/>
      <c r="L71" s="281"/>
      <c r="M71" s="281"/>
      <c r="N71" s="281"/>
    </row>
    <row r="72" spans="1:14">
      <c r="C72" s="289"/>
      <c r="D72" s="276"/>
      <c r="E72" s="296"/>
      <c r="F72" s="279"/>
      <c r="G72" s="280"/>
      <c r="H72" s="280"/>
      <c r="I72" s="280"/>
      <c r="J72" s="281"/>
      <c r="K72" s="281"/>
      <c r="L72" s="281"/>
      <c r="M72" s="281"/>
      <c r="N72" s="281"/>
    </row>
    <row r="73" spans="1:14">
      <c r="C73" s="188"/>
      <c r="D73" s="276"/>
      <c r="E73" s="277"/>
      <c r="F73" s="279"/>
      <c r="G73" s="280"/>
      <c r="H73" s="280"/>
      <c r="I73" s="280"/>
      <c r="J73" s="281"/>
      <c r="K73" s="281"/>
      <c r="L73" s="281"/>
      <c r="M73" s="281"/>
      <c r="N73" s="281"/>
    </row>
    <row r="74" spans="1:14">
      <c r="C74" s="188"/>
      <c r="D74" s="277"/>
      <c r="E74" s="277"/>
      <c r="F74" s="279"/>
      <c r="G74" s="280"/>
      <c r="H74" s="280"/>
      <c r="I74" s="280"/>
      <c r="J74" s="281"/>
      <c r="K74" s="281"/>
      <c r="L74" s="281"/>
      <c r="M74" s="281"/>
      <c r="N74" s="281"/>
    </row>
    <row r="75" spans="1:14">
      <c r="C75" s="298"/>
      <c r="D75" s="277"/>
      <c r="E75" s="277"/>
      <c r="F75" s="279"/>
      <c r="G75" s="280"/>
      <c r="H75" s="280"/>
      <c r="I75" s="280"/>
      <c r="J75" s="281"/>
      <c r="K75" s="281"/>
      <c r="L75" s="281"/>
      <c r="M75" s="281"/>
      <c r="N75" s="281"/>
    </row>
    <row r="76" spans="1:14">
      <c r="C76" s="188"/>
      <c r="D76" s="277"/>
      <c r="E76" s="277"/>
      <c r="F76" s="279"/>
      <c r="G76" s="280"/>
      <c r="H76" s="280"/>
      <c r="I76" s="280"/>
      <c r="J76" s="281"/>
      <c r="K76" s="281"/>
      <c r="L76" s="281"/>
      <c r="M76" s="281"/>
      <c r="N76" s="281"/>
    </row>
    <row r="77" spans="1:14">
      <c r="C77" s="188"/>
      <c r="D77" s="277"/>
      <c r="E77" s="277"/>
      <c r="F77" s="279"/>
      <c r="G77" s="280"/>
      <c r="H77" s="280"/>
      <c r="I77" s="280"/>
      <c r="J77" s="281"/>
      <c r="K77" s="281"/>
      <c r="L77" s="281"/>
      <c r="M77" s="281"/>
      <c r="N77" s="281"/>
    </row>
    <row r="78" spans="1:14">
      <c r="C78" s="188"/>
      <c r="D78" s="277"/>
      <c r="E78" s="277"/>
      <c r="F78" s="279"/>
      <c r="G78" s="280"/>
      <c r="H78" s="280"/>
      <c r="I78" s="280"/>
      <c r="J78" s="281"/>
      <c r="K78" s="281"/>
      <c r="L78" s="281"/>
      <c r="M78" s="281"/>
      <c r="N78" s="281"/>
    </row>
    <row r="79" spans="1:14">
      <c r="C79" s="188"/>
      <c r="D79" s="277"/>
      <c r="E79" s="277"/>
      <c r="F79" s="279"/>
      <c r="G79" s="280"/>
      <c r="H79" s="280"/>
      <c r="I79" s="280"/>
      <c r="J79" s="281"/>
      <c r="K79" s="281"/>
      <c r="L79" s="281"/>
      <c r="M79" s="281"/>
      <c r="N79" s="281"/>
    </row>
    <row r="80" spans="1:14">
      <c r="C80" s="188"/>
      <c r="D80" s="277"/>
      <c r="E80" s="277"/>
      <c r="F80" s="279"/>
      <c r="G80" s="280"/>
      <c r="H80" s="280"/>
      <c r="I80" s="280"/>
      <c r="J80" s="281"/>
      <c r="K80" s="281"/>
      <c r="L80" s="281"/>
      <c r="M80" s="281"/>
      <c r="N80" s="281"/>
    </row>
    <row r="81" spans="1:14">
      <c r="C81" s="188"/>
      <c r="D81" s="277"/>
      <c r="E81" s="277"/>
      <c r="F81" s="279"/>
      <c r="G81" s="280"/>
      <c r="H81" s="280"/>
      <c r="I81" s="280"/>
      <c r="J81" s="281"/>
      <c r="K81" s="281"/>
      <c r="L81" s="281"/>
      <c r="M81" s="281"/>
      <c r="N81" s="281"/>
    </row>
    <row r="82" spans="1:14">
      <c r="C82" s="188"/>
      <c r="D82" s="277"/>
      <c r="E82" s="277"/>
      <c r="F82" s="279"/>
      <c r="G82" s="280"/>
      <c r="H82" s="280"/>
      <c r="I82" s="280"/>
      <c r="J82" s="281"/>
      <c r="K82" s="281"/>
      <c r="L82" s="281"/>
      <c r="M82" s="281"/>
      <c r="N82" s="281"/>
    </row>
    <row r="83" spans="1:14">
      <c r="C83" s="188"/>
      <c r="D83" s="277"/>
      <c r="E83" s="277"/>
      <c r="F83" s="279"/>
      <c r="G83" s="280"/>
      <c r="H83" s="280"/>
      <c r="I83" s="280"/>
      <c r="J83" s="281"/>
      <c r="K83" s="281"/>
      <c r="L83" s="281"/>
      <c r="M83" s="281"/>
      <c r="N83" s="281"/>
    </row>
    <row r="84" spans="1:14">
      <c r="C84" s="188"/>
      <c r="D84" s="277"/>
      <c r="E84" s="277"/>
      <c r="F84" s="279"/>
      <c r="G84" s="280"/>
      <c r="H84" s="280"/>
      <c r="I84" s="280"/>
      <c r="J84" s="281"/>
      <c r="K84" s="281"/>
      <c r="L84" s="281"/>
      <c r="M84" s="281"/>
      <c r="N84" s="281"/>
    </row>
    <row r="85" spans="1:14">
      <c r="C85" s="188"/>
      <c r="D85" s="277"/>
      <c r="E85" s="277"/>
      <c r="F85" s="279"/>
      <c r="G85" s="280"/>
      <c r="H85" s="280"/>
      <c r="I85" s="280"/>
      <c r="J85" s="281"/>
      <c r="K85" s="281"/>
      <c r="L85" s="281"/>
      <c r="M85" s="281"/>
      <c r="N85" s="281"/>
    </row>
    <row r="86" spans="1:14">
      <c r="C86" s="188"/>
      <c r="D86" s="277"/>
      <c r="E86" s="277"/>
      <c r="F86" s="279"/>
      <c r="G86" s="280"/>
      <c r="H86" s="280"/>
      <c r="I86" s="280"/>
      <c r="J86" s="281"/>
      <c r="K86" s="281"/>
      <c r="L86" s="281"/>
      <c r="M86" s="281"/>
      <c r="N86" s="281"/>
    </row>
    <row r="87" spans="1:14">
      <c r="C87" s="188"/>
      <c r="D87" s="277"/>
      <c r="E87" s="277"/>
      <c r="F87" s="279"/>
      <c r="G87" s="280"/>
      <c r="H87" s="280"/>
      <c r="I87" s="280"/>
      <c r="J87" s="281"/>
      <c r="K87" s="281"/>
      <c r="L87" s="281"/>
      <c r="M87" s="281"/>
      <c r="N87" s="281"/>
    </row>
    <row r="88" spans="1:14">
      <c r="D88" s="277"/>
      <c r="E88" s="277"/>
      <c r="F88" s="279"/>
      <c r="G88" s="280"/>
      <c r="H88" s="280"/>
      <c r="I88" s="280"/>
      <c r="J88" s="281"/>
      <c r="K88" s="281"/>
      <c r="L88" s="281"/>
      <c r="M88" s="281"/>
      <c r="N88" s="281"/>
    </row>
    <row r="89" spans="1:14">
      <c r="C89" s="188"/>
      <c r="D89" s="277"/>
      <c r="E89" s="277"/>
      <c r="F89" s="279"/>
      <c r="G89" s="280"/>
      <c r="H89" s="280"/>
      <c r="I89" s="280"/>
      <c r="J89" s="281"/>
      <c r="K89" s="281"/>
      <c r="L89" s="281"/>
      <c r="M89" s="281"/>
      <c r="N89" s="281"/>
    </row>
    <row r="90" spans="1:14">
      <c r="C90" s="188"/>
      <c r="D90" s="277"/>
      <c r="E90" s="277"/>
      <c r="F90" s="279"/>
      <c r="G90" s="280"/>
      <c r="H90" s="280"/>
      <c r="I90" s="280"/>
      <c r="J90" s="281"/>
      <c r="K90" s="281"/>
      <c r="L90" s="281"/>
      <c r="M90" s="281"/>
      <c r="N90" s="281"/>
    </row>
    <row r="91" spans="1:14">
      <c r="A91" s="266"/>
      <c r="C91" s="188"/>
      <c r="D91" s="277"/>
      <c r="E91" s="277"/>
      <c r="F91" s="279"/>
      <c r="G91" s="280"/>
      <c r="H91" s="280"/>
      <c r="I91" s="280"/>
      <c r="J91" s="281"/>
      <c r="K91" s="281"/>
      <c r="L91" s="281"/>
      <c r="M91" s="281"/>
      <c r="N91" s="281"/>
    </row>
    <row r="92" spans="1:14">
      <c r="A92" s="266"/>
      <c r="C92" s="188"/>
      <c r="D92" s="277"/>
      <c r="E92" s="277"/>
      <c r="F92" s="279"/>
      <c r="G92" s="280"/>
      <c r="H92" s="280"/>
      <c r="I92" s="280"/>
      <c r="J92" s="281"/>
      <c r="K92" s="281"/>
      <c r="L92" s="281"/>
      <c r="M92" s="281"/>
      <c r="N92" s="281"/>
    </row>
    <row r="93" spans="1:14">
      <c r="A93" s="266"/>
      <c r="C93" s="188"/>
      <c r="D93" s="277"/>
      <c r="E93" s="277"/>
      <c r="F93" s="279"/>
      <c r="G93" s="280"/>
      <c r="H93" s="280"/>
      <c r="I93" s="280"/>
      <c r="J93" s="281"/>
      <c r="K93" s="281"/>
      <c r="L93" s="281"/>
      <c r="M93" s="281"/>
      <c r="N93" s="281"/>
    </row>
    <row r="94" spans="1:14">
      <c r="A94" s="266"/>
      <c r="C94" s="188"/>
      <c r="D94" s="277"/>
      <c r="E94" s="277"/>
      <c r="F94" s="279"/>
      <c r="G94" s="280"/>
      <c r="H94" s="280"/>
      <c r="I94" s="280"/>
      <c r="J94" s="281"/>
      <c r="K94" s="281"/>
      <c r="L94" s="281"/>
      <c r="M94" s="281"/>
      <c r="N94" s="281"/>
    </row>
    <row r="95" spans="1:14">
      <c r="A95" s="266"/>
      <c r="C95" s="188"/>
      <c r="D95" s="277"/>
      <c r="E95" s="277"/>
      <c r="F95" s="279"/>
      <c r="G95" s="280"/>
      <c r="H95" s="280"/>
      <c r="I95" s="280"/>
      <c r="J95" s="281"/>
      <c r="K95" s="281"/>
      <c r="L95" s="281"/>
      <c r="M95" s="281"/>
      <c r="N95" s="281"/>
    </row>
    <row r="96" spans="1:14">
      <c r="A96" s="266"/>
      <c r="C96" s="188"/>
      <c r="D96" s="277"/>
      <c r="E96" s="277"/>
      <c r="F96" s="279"/>
      <c r="G96" s="280"/>
      <c r="H96" s="280"/>
      <c r="I96" s="280"/>
      <c r="J96" s="281"/>
      <c r="K96" s="281"/>
      <c r="L96" s="281"/>
      <c r="M96" s="281"/>
      <c r="N96" s="281"/>
    </row>
    <row r="97" spans="1:14">
      <c r="A97" s="266"/>
      <c r="C97" s="188"/>
      <c r="D97" s="277"/>
      <c r="E97" s="277"/>
      <c r="F97" s="279"/>
      <c r="G97" s="280"/>
      <c r="H97" s="280"/>
      <c r="I97" s="280"/>
      <c r="J97" s="281"/>
      <c r="K97" s="281"/>
      <c r="L97" s="281"/>
      <c r="M97" s="281"/>
      <c r="N97" s="281"/>
    </row>
    <row r="98" spans="1:14">
      <c r="A98" s="266"/>
      <c r="C98" s="188"/>
      <c r="D98" s="277"/>
      <c r="E98" s="277"/>
      <c r="F98" s="279"/>
      <c r="G98" s="280"/>
      <c r="H98" s="280"/>
      <c r="I98" s="280"/>
      <c r="J98" s="281"/>
      <c r="K98" s="281"/>
      <c r="L98" s="281"/>
      <c r="M98" s="281"/>
      <c r="N98" s="281"/>
    </row>
    <row r="99" spans="1:14">
      <c r="A99" s="266"/>
      <c r="C99" s="188"/>
      <c r="D99" s="277"/>
      <c r="E99" s="277"/>
      <c r="F99" s="279"/>
      <c r="G99" s="280"/>
      <c r="H99" s="280"/>
      <c r="I99" s="280"/>
      <c r="J99" s="281"/>
      <c r="K99" s="281"/>
      <c r="L99" s="281"/>
      <c r="M99" s="281"/>
      <c r="N99" s="281"/>
    </row>
    <row r="100" spans="1:14">
      <c r="A100" s="266"/>
      <c r="C100" s="188"/>
      <c r="D100" s="276"/>
      <c r="E100" s="277"/>
      <c r="F100" s="279"/>
      <c r="G100" s="280"/>
      <c r="H100" s="280"/>
      <c r="I100" s="280"/>
      <c r="J100" s="281"/>
      <c r="K100" s="281"/>
      <c r="L100" s="281"/>
      <c r="M100" s="281"/>
      <c r="N100" s="281"/>
    </row>
    <row r="101" spans="1:14">
      <c r="A101" s="266"/>
      <c r="C101" s="188"/>
      <c r="D101" s="276"/>
      <c r="E101" s="277"/>
      <c r="F101" s="279"/>
      <c r="G101" s="280"/>
      <c r="H101" s="280"/>
      <c r="I101" s="280"/>
      <c r="J101" s="281"/>
      <c r="K101" s="281"/>
      <c r="L101" s="281"/>
      <c r="M101" s="281"/>
      <c r="N101" s="281"/>
    </row>
    <row r="102" spans="1:14">
      <c r="A102" s="266"/>
      <c r="C102" s="188"/>
      <c r="D102" s="276"/>
      <c r="E102" s="277"/>
      <c r="F102" s="279"/>
      <c r="G102" s="280"/>
      <c r="H102" s="280"/>
      <c r="I102" s="280"/>
      <c r="J102" s="281"/>
      <c r="K102" s="281"/>
      <c r="L102" s="281"/>
      <c r="M102" s="281"/>
      <c r="N102" s="281"/>
    </row>
    <row r="103" spans="1:14">
      <c r="A103" s="266"/>
      <c r="C103" s="188"/>
      <c r="D103" s="276"/>
      <c r="E103" s="277"/>
      <c r="F103" s="279"/>
      <c r="G103" s="280"/>
      <c r="H103" s="280"/>
      <c r="I103" s="280"/>
      <c r="J103" s="281"/>
      <c r="K103" s="281"/>
      <c r="L103" s="281"/>
      <c r="M103" s="281"/>
      <c r="N103" s="281"/>
    </row>
    <row r="104" spans="1:14">
      <c r="A104" s="266"/>
      <c r="C104" s="188"/>
      <c r="D104" s="276"/>
      <c r="E104" s="277"/>
      <c r="F104" s="279"/>
      <c r="G104" s="280"/>
      <c r="H104" s="280"/>
      <c r="I104" s="280"/>
      <c r="J104" s="281"/>
      <c r="K104" s="281"/>
      <c r="L104" s="281"/>
      <c r="M104" s="281"/>
      <c r="N104" s="281"/>
    </row>
    <row r="105" spans="1:14">
      <c r="A105" s="266"/>
      <c r="C105" s="188"/>
      <c r="D105" s="276"/>
      <c r="E105" s="277"/>
      <c r="F105" s="279"/>
      <c r="G105" s="280"/>
      <c r="H105" s="280"/>
      <c r="I105" s="280"/>
      <c r="J105" s="281"/>
      <c r="K105" s="281"/>
      <c r="L105" s="281"/>
      <c r="M105" s="281"/>
      <c r="N105" s="281"/>
    </row>
    <row r="106" spans="1:14">
      <c r="A106" s="266"/>
      <c r="C106" s="188"/>
      <c r="D106" s="276"/>
      <c r="E106" s="277"/>
      <c r="F106" s="279"/>
      <c r="G106" s="280"/>
      <c r="H106" s="280"/>
      <c r="I106" s="280"/>
      <c r="J106" s="281"/>
      <c r="K106" s="281"/>
      <c r="L106" s="281"/>
      <c r="M106" s="281"/>
      <c r="N106" s="281"/>
    </row>
    <row r="107" spans="1:14">
      <c r="A107" s="266"/>
      <c r="C107" s="188"/>
      <c r="D107" s="276"/>
      <c r="E107" s="277"/>
      <c r="F107" s="279"/>
      <c r="G107" s="280"/>
      <c r="H107" s="280"/>
      <c r="I107" s="280"/>
      <c r="J107" s="281"/>
      <c r="K107" s="281"/>
      <c r="L107" s="281"/>
      <c r="M107" s="281"/>
      <c r="N107" s="281"/>
    </row>
    <row r="108" spans="1:14">
      <c r="A108" s="266"/>
      <c r="C108" s="188"/>
      <c r="D108" s="276"/>
      <c r="E108" s="277"/>
      <c r="F108" s="279"/>
      <c r="G108" s="280"/>
      <c r="H108" s="280"/>
      <c r="I108" s="280"/>
      <c r="J108" s="281"/>
      <c r="K108" s="281"/>
      <c r="L108" s="281"/>
      <c r="M108" s="281"/>
      <c r="N108" s="281"/>
    </row>
    <row r="109" spans="1:14">
      <c r="A109" s="266"/>
      <c r="C109" s="188"/>
      <c r="D109" s="276"/>
      <c r="E109" s="277"/>
      <c r="F109" s="279"/>
      <c r="G109" s="280"/>
      <c r="H109" s="280"/>
      <c r="I109" s="280"/>
      <c r="J109" s="281"/>
      <c r="K109" s="281"/>
      <c r="L109" s="281"/>
      <c r="M109" s="281"/>
      <c r="N109" s="281"/>
    </row>
    <row r="110" spans="1:14">
      <c r="A110" s="266"/>
      <c r="C110" s="188"/>
      <c r="D110" s="276"/>
      <c r="E110" s="277"/>
      <c r="F110" s="279"/>
      <c r="G110" s="280"/>
      <c r="H110" s="280"/>
      <c r="I110" s="280"/>
      <c r="J110" s="281"/>
      <c r="K110" s="281"/>
      <c r="L110" s="281"/>
      <c r="M110" s="281"/>
      <c r="N110" s="281"/>
    </row>
    <row r="111" spans="1:14">
      <c r="A111" s="266"/>
      <c r="C111" s="299"/>
      <c r="D111" s="276"/>
      <c r="E111" s="300"/>
      <c r="F111" s="279"/>
      <c r="G111" s="280"/>
      <c r="H111" s="280"/>
      <c r="I111" s="280"/>
      <c r="J111" s="281"/>
      <c r="K111" s="281"/>
      <c r="L111" s="281"/>
      <c r="M111" s="281"/>
      <c r="N111" s="281"/>
    </row>
    <row r="112" spans="1:14">
      <c r="A112" s="266"/>
      <c r="C112" s="299"/>
      <c r="D112" s="276"/>
      <c r="E112" s="300"/>
      <c r="F112" s="279"/>
      <c r="G112" s="280"/>
      <c r="H112" s="280"/>
      <c r="I112" s="280"/>
      <c r="J112" s="281"/>
      <c r="K112" s="281"/>
      <c r="L112" s="281"/>
      <c r="M112" s="281"/>
      <c r="N112" s="281"/>
    </row>
    <row r="113" spans="1:14">
      <c r="A113" s="266"/>
      <c r="C113" s="299"/>
      <c r="D113" s="276"/>
      <c r="E113" s="300"/>
      <c r="F113" s="279"/>
      <c r="G113" s="280"/>
      <c r="H113" s="280"/>
      <c r="I113" s="280"/>
      <c r="J113" s="281"/>
      <c r="K113" s="281"/>
      <c r="L113" s="281"/>
      <c r="M113" s="281"/>
      <c r="N113" s="281"/>
    </row>
    <row r="114" spans="1:14">
      <c r="A114" s="266"/>
      <c r="C114" s="299"/>
      <c r="D114" s="276"/>
      <c r="E114" s="300"/>
      <c r="F114" s="279"/>
      <c r="G114" s="280"/>
      <c r="H114" s="280"/>
      <c r="I114" s="280"/>
      <c r="J114" s="281"/>
      <c r="K114" s="281"/>
      <c r="L114" s="281"/>
      <c r="M114" s="281"/>
      <c r="N114" s="281"/>
    </row>
    <row r="115" spans="1:14">
      <c r="A115" s="266"/>
      <c r="C115" s="299"/>
      <c r="D115" s="276"/>
      <c r="E115" s="300"/>
      <c r="F115" s="279"/>
      <c r="G115" s="280"/>
      <c r="H115" s="280"/>
      <c r="I115" s="280"/>
      <c r="J115" s="281"/>
      <c r="K115" s="281"/>
      <c r="L115" s="281"/>
      <c r="M115" s="281"/>
      <c r="N115" s="281"/>
    </row>
    <row r="116" spans="1:14">
      <c r="A116" s="266"/>
      <c r="C116" s="299"/>
      <c r="D116" s="276"/>
      <c r="E116" s="300"/>
      <c r="F116" s="279"/>
      <c r="G116" s="280"/>
      <c r="H116" s="280"/>
      <c r="I116" s="280"/>
      <c r="J116" s="281"/>
      <c r="K116" s="281"/>
      <c r="L116" s="281"/>
      <c r="M116" s="281"/>
      <c r="N116" s="281"/>
    </row>
    <row r="117" spans="1:14">
      <c r="A117" s="266"/>
      <c r="C117" s="299"/>
      <c r="D117" s="276"/>
      <c r="E117" s="300"/>
      <c r="F117" s="279"/>
      <c r="G117" s="280"/>
      <c r="H117" s="280"/>
      <c r="I117" s="280"/>
      <c r="J117" s="281"/>
      <c r="K117" s="281"/>
      <c r="L117" s="281"/>
      <c r="M117" s="281"/>
      <c r="N117" s="281"/>
    </row>
    <row r="118" spans="1:14">
      <c r="A118" s="266"/>
      <c r="C118" s="299"/>
      <c r="D118" s="276"/>
      <c r="E118" s="300"/>
      <c r="F118" s="279"/>
      <c r="G118" s="280"/>
      <c r="H118" s="280"/>
      <c r="I118" s="280"/>
      <c r="J118" s="281"/>
      <c r="K118" s="281"/>
      <c r="L118" s="281"/>
      <c r="M118" s="281"/>
      <c r="N118" s="281"/>
    </row>
    <row r="119" spans="1:14">
      <c r="A119" s="266"/>
      <c r="C119" s="299"/>
      <c r="D119" s="276"/>
      <c r="E119" s="300"/>
      <c r="F119" s="279"/>
      <c r="G119" s="280"/>
      <c r="H119" s="280"/>
      <c r="I119" s="280"/>
      <c r="J119" s="281"/>
      <c r="K119" s="281"/>
      <c r="L119" s="281"/>
      <c r="M119" s="281"/>
      <c r="N119" s="281"/>
    </row>
    <row r="120" spans="1:14">
      <c r="C120" s="299"/>
      <c r="D120" s="276"/>
      <c r="E120" s="300"/>
      <c r="F120" s="279"/>
      <c r="G120" s="280"/>
      <c r="H120" s="280"/>
      <c r="I120" s="280"/>
      <c r="J120" s="281"/>
      <c r="K120" s="281"/>
      <c r="L120" s="281"/>
      <c r="M120" s="281"/>
      <c r="N120" s="281"/>
    </row>
    <row r="121" spans="1:14">
      <c r="C121" s="299"/>
      <c r="D121" s="276"/>
      <c r="E121" s="300"/>
      <c r="F121" s="279"/>
      <c r="G121" s="280"/>
      <c r="H121" s="280"/>
      <c r="I121" s="280"/>
      <c r="J121" s="281"/>
      <c r="K121" s="281"/>
      <c r="L121" s="281"/>
      <c r="M121" s="281"/>
      <c r="N121" s="281"/>
    </row>
    <row r="122" spans="1:14">
      <c r="C122" s="299"/>
      <c r="D122" s="276"/>
      <c r="E122" s="300"/>
      <c r="F122" s="279"/>
      <c r="G122" s="280"/>
      <c r="H122" s="280"/>
      <c r="I122" s="280"/>
      <c r="J122" s="281"/>
      <c r="K122" s="281"/>
      <c r="L122" s="281"/>
      <c r="M122" s="281"/>
      <c r="N122" s="281"/>
    </row>
    <row r="123" spans="1:14">
      <c r="C123" s="299"/>
      <c r="D123" s="301"/>
      <c r="E123" s="300"/>
      <c r="F123" s="300"/>
      <c r="G123" s="302"/>
      <c r="H123" s="302"/>
    </row>
    <row r="124" spans="1:14">
      <c r="C124" s="299"/>
      <c r="D124" s="301"/>
      <c r="E124" s="300"/>
      <c r="F124" s="300"/>
      <c r="G124" s="303"/>
      <c r="H124" s="303"/>
    </row>
  </sheetData>
  <sheetProtection formatCells="0"/>
  <mergeCells count="5">
    <mergeCell ref="C6:G6"/>
    <mergeCell ref="A1:G1"/>
    <mergeCell ref="C5:G5"/>
    <mergeCell ref="A2:J2"/>
    <mergeCell ref="A3:J3"/>
  </mergeCells>
  <phoneticPr fontId="0" type="noConversion"/>
  <printOptions horizontalCentered="1"/>
  <pageMargins left="0.75" right="0.75" top="1" bottom="1" header="0.5" footer="0.5"/>
  <pageSetup scale="42" orientation="portrait" r:id="rId1"/>
  <headerFooter alignWithMargins="0">
    <oddHeader>&amp;CIDAHO POWER COMPANY
Transmission Cost of Service Rate Development
12 Months Ended 12/31/2014</oddHeader>
  </headerFooter>
</worksheet>
</file>

<file path=xl/worksheets/sheet17.xml><?xml version="1.0" encoding="utf-8"?>
<worksheet xmlns="http://schemas.openxmlformats.org/spreadsheetml/2006/main" xmlns:r="http://schemas.openxmlformats.org/officeDocument/2006/relationships">
  <sheetPr codeName="Sheet17">
    <pageSetUpPr fitToPage="1"/>
  </sheetPr>
  <dimension ref="A1:F56"/>
  <sheetViews>
    <sheetView zoomScale="90" zoomScaleNormal="90" zoomScaleSheetLayoutView="100" workbookViewId="0">
      <selection sqref="A1:F1"/>
    </sheetView>
  </sheetViews>
  <sheetFormatPr defaultRowHeight="12.75"/>
  <cols>
    <col min="1" max="1" width="3.85546875" style="564" customWidth="1"/>
    <col min="2" max="2" width="140.42578125" style="564" customWidth="1"/>
    <col min="3" max="3" width="2.28515625" style="198" customWidth="1"/>
    <col min="4" max="4" width="16.5703125" style="198" bestFit="1" customWidth="1"/>
    <col min="5" max="5" width="1.85546875" style="198" customWidth="1"/>
    <col min="6" max="6" width="13.7109375" style="564" customWidth="1"/>
    <col min="7" max="16384" width="9.140625" style="198"/>
  </cols>
  <sheetData>
    <row r="1" spans="1:6">
      <c r="A1" s="637" t="s">
        <v>592</v>
      </c>
      <c r="B1" s="637"/>
      <c r="C1" s="637"/>
      <c r="D1" s="637"/>
      <c r="E1" s="637"/>
      <c r="F1" s="637"/>
    </row>
    <row r="2" spans="1:6">
      <c r="A2" s="637" t="s">
        <v>593</v>
      </c>
      <c r="B2" s="637"/>
      <c r="C2" s="637"/>
      <c r="D2" s="637"/>
      <c r="E2" s="637"/>
      <c r="F2" s="637"/>
    </row>
    <row r="3" spans="1:6">
      <c r="A3" s="565"/>
      <c r="B3" s="565"/>
      <c r="C3" s="565"/>
      <c r="D3" s="565"/>
      <c r="E3" s="565"/>
      <c r="F3" s="565"/>
    </row>
    <row r="4" spans="1:6">
      <c r="A4" s="565"/>
      <c r="B4" s="565"/>
      <c r="C4" s="565"/>
      <c r="D4" s="565"/>
      <c r="E4" s="565"/>
      <c r="F4" s="565"/>
    </row>
    <row r="6" spans="1:6" s="65" customFormat="1" ht="38.25">
      <c r="A6" s="106"/>
      <c r="B6" s="28" t="s">
        <v>489</v>
      </c>
      <c r="D6" s="28" t="s">
        <v>490</v>
      </c>
      <c r="E6" s="106"/>
      <c r="F6" s="28" t="s">
        <v>491</v>
      </c>
    </row>
    <row r="7" spans="1:6" ht="15">
      <c r="A7" s="393">
        <v>1</v>
      </c>
      <c r="B7" s="553" t="s">
        <v>1325</v>
      </c>
      <c r="C7" s="148"/>
      <c r="D7" s="612">
        <v>254804.98</v>
      </c>
      <c r="E7" s="149"/>
      <c r="F7" s="613" t="s">
        <v>1173</v>
      </c>
    </row>
    <row r="8" spans="1:6" ht="15">
      <c r="A8" s="393">
        <f t="shared" ref="A8:A54" si="0">A7+1</f>
        <v>2</v>
      </c>
      <c r="B8" s="553" t="s">
        <v>1326</v>
      </c>
      <c r="C8" s="148"/>
      <c r="D8" s="612">
        <v>460074.25</v>
      </c>
      <c r="E8" s="149"/>
      <c r="F8" s="613" t="s">
        <v>1144</v>
      </c>
    </row>
    <row r="9" spans="1:6" ht="15">
      <c r="A9" s="393">
        <f t="shared" si="0"/>
        <v>3</v>
      </c>
      <c r="B9" s="553" t="s">
        <v>1332</v>
      </c>
      <c r="C9" s="148"/>
      <c r="D9" s="612">
        <v>555645.03</v>
      </c>
      <c r="E9" s="149"/>
      <c r="F9" s="613" t="s">
        <v>1174</v>
      </c>
    </row>
    <row r="10" spans="1:6" ht="15">
      <c r="A10" s="393">
        <f t="shared" si="0"/>
        <v>4</v>
      </c>
      <c r="B10" s="553" t="s">
        <v>1327</v>
      </c>
      <c r="C10" s="148"/>
      <c r="D10" s="612">
        <v>398865.86</v>
      </c>
      <c r="E10" s="149"/>
      <c r="F10" s="613" t="s">
        <v>1175</v>
      </c>
    </row>
    <row r="11" spans="1:6" ht="15">
      <c r="A11" s="393">
        <f t="shared" si="0"/>
        <v>5</v>
      </c>
      <c r="B11" s="553" t="s">
        <v>1328</v>
      </c>
      <c r="C11" s="148"/>
      <c r="D11" s="612">
        <v>263014.43</v>
      </c>
      <c r="E11" s="149"/>
      <c r="F11" s="613" t="s">
        <v>1176</v>
      </c>
    </row>
    <row r="12" spans="1:6" ht="15">
      <c r="A12" s="393">
        <f t="shared" si="0"/>
        <v>6</v>
      </c>
      <c r="B12" s="553" t="s">
        <v>1329</v>
      </c>
      <c r="C12" s="148"/>
      <c r="D12" s="612">
        <v>361418.49</v>
      </c>
      <c r="E12" s="149"/>
      <c r="F12" s="613" t="s">
        <v>1177</v>
      </c>
    </row>
    <row r="13" spans="1:6" ht="15">
      <c r="A13" s="393">
        <f t="shared" si="0"/>
        <v>7</v>
      </c>
      <c r="B13" s="553" t="s">
        <v>1330</v>
      </c>
      <c r="C13" s="148"/>
      <c r="D13" s="612">
        <v>441775.13</v>
      </c>
      <c r="E13" s="149"/>
      <c r="F13" s="613" t="s">
        <v>1178</v>
      </c>
    </row>
    <row r="14" spans="1:6" ht="15">
      <c r="A14" s="393">
        <f t="shared" si="0"/>
        <v>8</v>
      </c>
      <c r="B14" s="553" t="s">
        <v>1331</v>
      </c>
      <c r="C14" s="148"/>
      <c r="D14" s="612">
        <v>500994.1</v>
      </c>
      <c r="E14" s="149"/>
      <c r="F14" s="613" t="s">
        <v>1179</v>
      </c>
    </row>
    <row r="15" spans="1:6" ht="15">
      <c r="A15" s="393">
        <f t="shared" si="0"/>
        <v>9</v>
      </c>
      <c r="B15" s="553" t="s">
        <v>1333</v>
      </c>
      <c r="C15" s="148"/>
      <c r="D15" s="612">
        <v>792695.46</v>
      </c>
      <c r="E15" s="149"/>
      <c r="F15" s="613" t="s">
        <v>1180</v>
      </c>
    </row>
    <row r="16" spans="1:6" ht="15">
      <c r="A16" s="393">
        <f t="shared" si="0"/>
        <v>10</v>
      </c>
      <c r="B16" s="553" t="s">
        <v>1334</v>
      </c>
      <c r="C16" s="148"/>
      <c r="D16" s="612">
        <v>401704.09</v>
      </c>
      <c r="E16" s="149"/>
      <c r="F16" s="613" t="s">
        <v>1181</v>
      </c>
    </row>
    <row r="17" spans="1:6" ht="15">
      <c r="A17" s="393">
        <f t="shared" si="0"/>
        <v>11</v>
      </c>
      <c r="B17" s="553" t="s">
        <v>1335</v>
      </c>
      <c r="C17" s="148"/>
      <c r="D17" s="612">
        <v>1222795.54</v>
      </c>
      <c r="E17" s="149"/>
      <c r="F17" s="613" t="s">
        <v>1182</v>
      </c>
    </row>
    <row r="18" spans="1:6" ht="15">
      <c r="A18" s="393">
        <f t="shared" si="0"/>
        <v>12</v>
      </c>
      <c r="B18" s="553" t="s">
        <v>1336</v>
      </c>
      <c r="C18" s="148"/>
      <c r="D18" s="612">
        <v>793915.59</v>
      </c>
      <c r="E18" s="149"/>
      <c r="F18" s="613" t="s">
        <v>1145</v>
      </c>
    </row>
    <row r="19" spans="1:6" ht="15">
      <c r="A19" s="393">
        <f t="shared" si="0"/>
        <v>13</v>
      </c>
      <c r="B19" s="553" t="s">
        <v>1337</v>
      </c>
      <c r="C19" s="148"/>
      <c r="D19" s="612">
        <v>844670.44</v>
      </c>
      <c r="E19" s="149"/>
      <c r="F19" s="613" t="s">
        <v>1183</v>
      </c>
    </row>
    <row r="20" spans="1:6" ht="15">
      <c r="A20" s="393">
        <f t="shared" si="0"/>
        <v>14</v>
      </c>
      <c r="B20" s="553" t="s">
        <v>1338</v>
      </c>
      <c r="C20" s="148"/>
      <c r="D20" s="612">
        <v>813599.81</v>
      </c>
      <c r="E20" s="149"/>
      <c r="F20" s="613" t="s">
        <v>1184</v>
      </c>
    </row>
    <row r="21" spans="1:6" ht="15">
      <c r="A21" s="393">
        <f t="shared" si="0"/>
        <v>15</v>
      </c>
      <c r="B21" s="553" t="s">
        <v>1339</v>
      </c>
      <c r="C21" s="148"/>
      <c r="D21" s="612">
        <v>280397.61</v>
      </c>
      <c r="E21" s="149"/>
      <c r="F21" s="613" t="s">
        <v>1185</v>
      </c>
    </row>
    <row r="22" spans="1:6" ht="15">
      <c r="A22" s="393">
        <f t="shared" si="0"/>
        <v>16</v>
      </c>
      <c r="B22" s="553" t="s">
        <v>1372</v>
      </c>
      <c r="C22" s="148"/>
      <c r="D22" s="612">
        <v>385694.94</v>
      </c>
      <c r="E22" s="149"/>
      <c r="F22" s="613" t="s">
        <v>1186</v>
      </c>
    </row>
    <row r="23" spans="1:6" ht="15">
      <c r="A23" s="393">
        <f t="shared" si="0"/>
        <v>17</v>
      </c>
      <c r="B23" s="553" t="s">
        <v>1340</v>
      </c>
      <c r="C23" s="148"/>
      <c r="D23" s="612">
        <v>307492.73</v>
      </c>
      <c r="E23" s="149"/>
      <c r="F23" s="613" t="s">
        <v>1187</v>
      </c>
    </row>
    <row r="24" spans="1:6" ht="15">
      <c r="A24" s="393">
        <f t="shared" si="0"/>
        <v>18</v>
      </c>
      <c r="B24" s="553" t="s">
        <v>1341</v>
      </c>
      <c r="C24" s="148"/>
      <c r="D24" s="612">
        <v>367756.81</v>
      </c>
      <c r="E24" s="149"/>
      <c r="F24" s="613" t="s">
        <v>1188</v>
      </c>
    </row>
    <row r="25" spans="1:6" ht="15">
      <c r="A25" s="393">
        <f t="shared" si="0"/>
        <v>19</v>
      </c>
      <c r="B25" s="553" t="s">
        <v>1343</v>
      </c>
      <c r="C25" s="148"/>
      <c r="D25" s="612">
        <v>514970.97</v>
      </c>
      <c r="E25" s="149"/>
      <c r="F25" s="613" t="s">
        <v>1189</v>
      </c>
    </row>
    <row r="26" spans="1:6" ht="15">
      <c r="A26" s="393">
        <f t="shared" si="0"/>
        <v>20</v>
      </c>
      <c r="B26" s="553" t="s">
        <v>1342</v>
      </c>
      <c r="C26" s="148"/>
      <c r="D26" s="612">
        <v>295717.34999999998</v>
      </c>
      <c r="E26" s="149"/>
      <c r="F26" s="613" t="s">
        <v>1190</v>
      </c>
    </row>
    <row r="27" spans="1:6" ht="15">
      <c r="A27" s="393">
        <f t="shared" si="0"/>
        <v>21</v>
      </c>
      <c r="B27" s="553" t="s">
        <v>1344</v>
      </c>
      <c r="C27" s="148"/>
      <c r="D27" s="612">
        <v>370529.37</v>
      </c>
      <c r="E27" s="149"/>
      <c r="F27" s="613" t="s">
        <v>1191</v>
      </c>
    </row>
    <row r="28" spans="1:6" ht="15">
      <c r="A28" s="393">
        <f t="shared" si="0"/>
        <v>22</v>
      </c>
      <c r="B28" s="553" t="s">
        <v>1345</v>
      </c>
      <c r="C28" s="148"/>
      <c r="D28" s="612">
        <v>267225.78999999998</v>
      </c>
      <c r="E28" s="149"/>
      <c r="F28" s="613" t="s">
        <v>1192</v>
      </c>
    </row>
    <row r="29" spans="1:6" ht="15">
      <c r="A29" s="393">
        <f t="shared" si="0"/>
        <v>23</v>
      </c>
      <c r="B29" s="553" t="s">
        <v>1346</v>
      </c>
      <c r="C29" s="148"/>
      <c r="D29" s="612">
        <v>1015746.9</v>
      </c>
      <c r="E29" s="149"/>
      <c r="F29" s="613" t="s">
        <v>1193</v>
      </c>
    </row>
    <row r="30" spans="1:6" ht="15">
      <c r="A30" s="393">
        <f t="shared" si="0"/>
        <v>24</v>
      </c>
      <c r="B30" s="553" t="s">
        <v>1347</v>
      </c>
      <c r="C30" s="148"/>
      <c r="D30" s="612">
        <v>1035142.82</v>
      </c>
      <c r="E30" s="149"/>
      <c r="F30" s="613" t="s">
        <v>1194</v>
      </c>
    </row>
    <row r="31" spans="1:6" ht="15">
      <c r="A31" s="393">
        <f t="shared" si="0"/>
        <v>25</v>
      </c>
      <c r="B31" s="553" t="s">
        <v>1349</v>
      </c>
      <c r="C31" s="127"/>
      <c r="D31" s="612">
        <v>416835.3</v>
      </c>
      <c r="E31" s="72"/>
      <c r="F31" s="613" t="s">
        <v>1146</v>
      </c>
    </row>
    <row r="32" spans="1:6" ht="15">
      <c r="A32" s="393">
        <f t="shared" si="0"/>
        <v>26</v>
      </c>
      <c r="B32" s="553" t="s">
        <v>1348</v>
      </c>
      <c r="C32" s="127"/>
      <c r="D32" s="612">
        <v>983842.7</v>
      </c>
      <c r="E32" s="128"/>
      <c r="F32" s="613" t="s">
        <v>1195</v>
      </c>
    </row>
    <row r="33" spans="1:6" ht="15">
      <c r="A33" s="393">
        <f t="shared" si="0"/>
        <v>27</v>
      </c>
      <c r="B33" s="553" t="s">
        <v>1350</v>
      </c>
      <c r="C33" s="127"/>
      <c r="D33" s="612">
        <v>253129.60000000001</v>
      </c>
      <c r="E33" s="72"/>
      <c r="F33" s="613" t="s">
        <v>1196</v>
      </c>
    </row>
    <row r="34" spans="1:6" ht="15">
      <c r="A34" s="393">
        <f t="shared" si="0"/>
        <v>28</v>
      </c>
      <c r="B34" s="553" t="s">
        <v>1351</v>
      </c>
      <c r="C34" s="129"/>
      <c r="D34" s="612">
        <v>434844.18</v>
      </c>
      <c r="E34" s="129"/>
      <c r="F34" s="613" t="s">
        <v>1197</v>
      </c>
    </row>
    <row r="35" spans="1:6" ht="15">
      <c r="A35" s="393">
        <f t="shared" si="0"/>
        <v>29</v>
      </c>
      <c r="B35" s="553" t="s">
        <v>1352</v>
      </c>
      <c r="D35" s="612">
        <v>318972.96000000002</v>
      </c>
      <c r="F35" s="613" t="s">
        <v>1198</v>
      </c>
    </row>
    <row r="36" spans="1:6" ht="15">
      <c r="A36" s="393">
        <f t="shared" si="0"/>
        <v>30</v>
      </c>
      <c r="B36" s="553" t="s">
        <v>1353</v>
      </c>
      <c r="D36" s="612">
        <v>1863166.74</v>
      </c>
      <c r="F36" s="613" t="s">
        <v>1199</v>
      </c>
    </row>
    <row r="37" spans="1:6" ht="15">
      <c r="A37" s="393">
        <f t="shared" si="0"/>
        <v>31</v>
      </c>
      <c r="B37" s="553" t="s">
        <v>1354</v>
      </c>
      <c r="D37" s="612">
        <v>4038779.47</v>
      </c>
      <c r="F37" s="613" t="s">
        <v>1200</v>
      </c>
    </row>
    <row r="38" spans="1:6" ht="15">
      <c r="A38" s="393">
        <f t="shared" si="0"/>
        <v>32</v>
      </c>
      <c r="B38" s="553" t="s">
        <v>1355</v>
      </c>
      <c r="D38" s="612">
        <v>432278.99</v>
      </c>
      <c r="F38" s="613" t="s">
        <v>1201</v>
      </c>
    </row>
    <row r="39" spans="1:6" ht="15">
      <c r="A39" s="393">
        <f t="shared" si="0"/>
        <v>33</v>
      </c>
      <c r="B39" s="553" t="s">
        <v>1356</v>
      </c>
      <c r="D39" s="612">
        <v>325156.74</v>
      </c>
      <c r="F39" s="613" t="s">
        <v>1202</v>
      </c>
    </row>
    <row r="40" spans="1:6" ht="15">
      <c r="A40" s="393">
        <f t="shared" si="0"/>
        <v>34</v>
      </c>
      <c r="B40" s="553" t="s">
        <v>1357</v>
      </c>
      <c r="D40" s="612">
        <v>1769839.48</v>
      </c>
      <c r="F40" s="613" t="s">
        <v>1203</v>
      </c>
    </row>
    <row r="41" spans="1:6" ht="15">
      <c r="A41" s="393">
        <f t="shared" si="0"/>
        <v>35</v>
      </c>
      <c r="B41" s="553" t="s">
        <v>1358</v>
      </c>
      <c r="D41" s="612">
        <v>290789.78000000003</v>
      </c>
      <c r="F41" s="613" t="s">
        <v>1204</v>
      </c>
    </row>
    <row r="42" spans="1:6" ht="30">
      <c r="A42" s="578">
        <f t="shared" si="0"/>
        <v>36</v>
      </c>
      <c r="B42" s="614" t="s">
        <v>1359</v>
      </c>
      <c r="D42" s="612">
        <v>266408.21000000002</v>
      </c>
      <c r="F42" s="613" t="s">
        <v>1205</v>
      </c>
    </row>
    <row r="43" spans="1:6" ht="15">
      <c r="A43" s="393">
        <f t="shared" si="0"/>
        <v>37</v>
      </c>
      <c r="B43" s="553" t="s">
        <v>1360</v>
      </c>
      <c r="D43" s="612">
        <v>747046.54</v>
      </c>
      <c r="F43" s="613" t="s">
        <v>1206</v>
      </c>
    </row>
    <row r="44" spans="1:6" ht="30">
      <c r="A44" s="578">
        <f t="shared" si="0"/>
        <v>38</v>
      </c>
      <c r="B44" s="614" t="s">
        <v>1361</v>
      </c>
      <c r="D44" s="612">
        <v>6015350.6399999997</v>
      </c>
      <c r="F44" s="613" t="s">
        <v>1207</v>
      </c>
    </row>
    <row r="45" spans="1:6" ht="15">
      <c r="A45" s="393">
        <f t="shared" si="0"/>
        <v>39</v>
      </c>
      <c r="B45" s="553" t="s">
        <v>1362</v>
      </c>
      <c r="D45" s="612">
        <v>513542.45</v>
      </c>
      <c r="F45" s="613" t="s">
        <v>1208</v>
      </c>
    </row>
    <row r="46" spans="1:6" ht="15">
      <c r="A46" s="393">
        <f t="shared" si="0"/>
        <v>40</v>
      </c>
      <c r="B46" s="553" t="s">
        <v>1363</v>
      </c>
      <c r="D46" s="612">
        <v>372076.54</v>
      </c>
      <c r="F46" s="613" t="s">
        <v>1209</v>
      </c>
    </row>
    <row r="47" spans="1:6" ht="15">
      <c r="A47" s="393">
        <f t="shared" si="0"/>
        <v>41</v>
      </c>
      <c r="B47" s="553" t="s">
        <v>1364</v>
      </c>
      <c r="D47" s="612">
        <v>801124.66</v>
      </c>
      <c r="F47" s="613" t="s">
        <v>1210</v>
      </c>
    </row>
    <row r="48" spans="1:6" ht="15">
      <c r="A48" s="393">
        <f t="shared" si="0"/>
        <v>42</v>
      </c>
      <c r="B48" s="553" t="s">
        <v>1365</v>
      </c>
      <c r="D48" s="612">
        <v>381481.62</v>
      </c>
      <c r="F48" s="613" t="s">
        <v>1211</v>
      </c>
    </row>
    <row r="49" spans="1:6" ht="15">
      <c r="A49" s="393">
        <f t="shared" si="0"/>
        <v>43</v>
      </c>
      <c r="B49" s="553" t="s">
        <v>1366</v>
      </c>
      <c r="D49" s="612">
        <v>257715.92</v>
      </c>
      <c r="F49" s="613" t="s">
        <v>1212</v>
      </c>
    </row>
    <row r="50" spans="1:6" ht="15">
      <c r="A50" s="393">
        <f t="shared" si="0"/>
        <v>44</v>
      </c>
      <c r="B50" s="553" t="s">
        <v>1367</v>
      </c>
      <c r="D50" s="612">
        <v>744279.94</v>
      </c>
      <c r="F50" s="613" t="s">
        <v>1213</v>
      </c>
    </row>
    <row r="51" spans="1:6" ht="15">
      <c r="A51" s="393">
        <f t="shared" si="0"/>
        <v>45</v>
      </c>
      <c r="B51" s="553" t="s">
        <v>1368</v>
      </c>
      <c r="D51" s="612">
        <v>907552.58</v>
      </c>
      <c r="F51" s="613" t="s">
        <v>1214</v>
      </c>
    </row>
    <row r="52" spans="1:6" ht="15">
      <c r="A52" s="393">
        <f t="shared" si="0"/>
        <v>46</v>
      </c>
      <c r="B52" s="553" t="s">
        <v>1369</v>
      </c>
      <c r="D52" s="612">
        <v>886401.97</v>
      </c>
      <c r="F52" s="613" t="s">
        <v>1215</v>
      </c>
    </row>
    <row r="53" spans="1:6" ht="15">
      <c r="A53" s="393">
        <f t="shared" si="0"/>
        <v>47</v>
      </c>
      <c r="B53" s="553" t="s">
        <v>1370</v>
      </c>
      <c r="D53" s="612">
        <v>272747.84999999998</v>
      </c>
      <c r="F53" s="613" t="s">
        <v>1216</v>
      </c>
    </row>
    <row r="54" spans="1:6" ht="15">
      <c r="A54" s="393">
        <f t="shared" si="0"/>
        <v>48</v>
      </c>
      <c r="B54" s="553" t="s">
        <v>1371</v>
      </c>
      <c r="D54" s="615">
        <v>348082.39</v>
      </c>
      <c r="F54" s="613" t="s">
        <v>1217</v>
      </c>
    </row>
    <row r="55" spans="1:6" ht="15">
      <c r="D55" s="616">
        <f>SUM(D7:D54)</f>
        <v>36588095.740000002</v>
      </c>
    </row>
    <row r="56" spans="1:6">
      <c r="D56" s="21"/>
    </row>
  </sheetData>
  <mergeCells count="2">
    <mergeCell ref="A1:F1"/>
    <mergeCell ref="A2:F2"/>
  </mergeCells>
  <phoneticPr fontId="16" type="noConversion"/>
  <printOptions horizontalCentered="1"/>
  <pageMargins left="0.75" right="0.75" top="1" bottom="1" header="0.5" footer="0.5"/>
  <pageSetup scale="54" orientation="landscape" r:id="rId1"/>
  <headerFooter alignWithMargins="0">
    <oddHeader>&amp;CIDAHO POWER COMPANY
Transmission Cost of Service Rate Development
12 Months Ended 12/31/2014</oddHeader>
  </headerFooter>
</worksheet>
</file>

<file path=xl/worksheets/sheet18.xml><?xml version="1.0" encoding="utf-8"?>
<worksheet xmlns="http://schemas.openxmlformats.org/spreadsheetml/2006/main" xmlns:r="http://schemas.openxmlformats.org/officeDocument/2006/relationships">
  <sheetPr codeName="Sheet18"/>
  <dimension ref="A1:I8"/>
  <sheetViews>
    <sheetView zoomScaleNormal="100" zoomScaleSheetLayoutView="100" workbookViewId="0">
      <selection sqref="A1:I1"/>
    </sheetView>
  </sheetViews>
  <sheetFormatPr defaultRowHeight="12.75"/>
  <cols>
    <col min="1" max="9" width="9.85546875" style="198" customWidth="1"/>
    <col min="10" max="16384" width="9.140625" style="198"/>
  </cols>
  <sheetData>
    <row r="1" spans="1:9">
      <c r="A1" s="637" t="s">
        <v>589</v>
      </c>
      <c r="B1" s="637"/>
      <c r="C1" s="637"/>
      <c r="D1" s="637"/>
      <c r="E1" s="637"/>
      <c r="F1" s="637"/>
      <c r="G1" s="637"/>
      <c r="H1" s="637"/>
      <c r="I1" s="637"/>
    </row>
    <row r="2" spans="1:9">
      <c r="A2" s="637" t="s">
        <v>590</v>
      </c>
      <c r="B2" s="637"/>
      <c r="C2" s="637"/>
      <c r="D2" s="637"/>
      <c r="E2" s="637"/>
      <c r="F2" s="637"/>
      <c r="G2" s="637"/>
      <c r="H2" s="637"/>
      <c r="I2" s="637"/>
    </row>
    <row r="3" spans="1:9">
      <c r="A3" s="637" t="s">
        <v>591</v>
      </c>
      <c r="B3" s="637"/>
      <c r="C3" s="637"/>
      <c r="D3" s="637"/>
      <c r="E3" s="637"/>
      <c r="F3" s="637"/>
      <c r="G3" s="637"/>
      <c r="H3" s="637"/>
      <c r="I3" s="637"/>
    </row>
    <row r="6" spans="1:9" ht="35.25" customHeight="1">
      <c r="B6" s="659" t="s">
        <v>1012</v>
      </c>
      <c r="C6" s="659"/>
      <c r="D6" s="659"/>
      <c r="E6" s="659"/>
      <c r="F6" s="659"/>
      <c r="G6" s="659"/>
      <c r="H6" s="659"/>
    </row>
    <row r="7" spans="1:9">
      <c r="B7" s="658"/>
      <c r="C7" s="658"/>
      <c r="D7" s="658"/>
      <c r="E7" s="658"/>
      <c r="F7" s="658"/>
      <c r="G7" s="658"/>
      <c r="H7" s="658"/>
    </row>
    <row r="8" spans="1:9">
      <c r="B8" s="657"/>
      <c r="C8" s="657"/>
      <c r="D8" s="657"/>
      <c r="E8" s="657"/>
      <c r="F8" s="657"/>
      <c r="G8" s="657"/>
      <c r="H8" s="657"/>
    </row>
  </sheetData>
  <mergeCells count="6">
    <mergeCell ref="B8:H8"/>
    <mergeCell ref="B7:H7"/>
    <mergeCell ref="A1:I1"/>
    <mergeCell ref="A2:I2"/>
    <mergeCell ref="A3:I3"/>
    <mergeCell ref="B6:H6"/>
  </mergeCells>
  <phoneticPr fontId="16" type="noConversion"/>
  <printOptions horizontalCentered="1"/>
  <pageMargins left="0.75" right="0.75" top="1" bottom="1" header="0.5" footer="0.5"/>
  <pageSetup scale="71" orientation="portrait" r:id="rId1"/>
  <headerFooter alignWithMargins="0">
    <oddHeader>&amp;CIDAHO POWER COMPANY
Transmission Cost of Service Rate Development
12 Months Ended 12/31/2014</oddHeader>
  </headerFooter>
</worksheet>
</file>

<file path=xl/worksheets/sheet19.xml><?xml version="1.0" encoding="utf-8"?>
<worksheet xmlns="http://schemas.openxmlformats.org/spreadsheetml/2006/main" xmlns:r="http://schemas.openxmlformats.org/officeDocument/2006/relationships">
  <sheetPr codeName="Sheet19"/>
  <dimension ref="A1:G113"/>
  <sheetViews>
    <sheetView zoomScaleNormal="100" zoomScaleSheetLayoutView="100" workbookViewId="0">
      <selection sqref="A1:F1"/>
    </sheetView>
  </sheetViews>
  <sheetFormatPr defaultRowHeight="12.75"/>
  <cols>
    <col min="1" max="1" width="5.140625" style="568" customWidth="1"/>
    <col min="2" max="2" width="4.140625" style="153" customWidth="1"/>
    <col min="3" max="3" width="4" style="153" customWidth="1"/>
    <col min="4" max="4" width="57.85546875" style="153" bestFit="1" customWidth="1"/>
    <col min="5" max="5" width="19.7109375" style="153" bestFit="1" customWidth="1"/>
    <col min="6" max="6" width="16.7109375" style="159" customWidth="1"/>
    <col min="7" max="7" width="10.85546875" style="153" bestFit="1" customWidth="1"/>
    <col min="8" max="16384" width="9.140625" style="153"/>
  </cols>
  <sheetData>
    <row r="1" spans="1:7" ht="15" customHeight="1">
      <c r="A1" s="645" t="s">
        <v>378</v>
      </c>
      <c r="B1" s="645"/>
      <c r="C1" s="645"/>
      <c r="D1" s="645"/>
      <c r="E1" s="645"/>
      <c r="F1" s="645"/>
    </row>
    <row r="2" spans="1:7" ht="15.75" customHeight="1">
      <c r="A2" s="645" t="s">
        <v>248</v>
      </c>
      <c r="B2" s="645"/>
      <c r="C2" s="645"/>
      <c r="D2" s="645"/>
      <c r="E2" s="645"/>
      <c r="F2" s="645"/>
    </row>
    <row r="4" spans="1:7">
      <c r="A4" s="153" t="s">
        <v>249</v>
      </c>
    </row>
    <row r="5" spans="1:7">
      <c r="A5" s="153"/>
      <c r="B5" s="304" t="s">
        <v>1167</v>
      </c>
    </row>
    <row r="6" spans="1:7">
      <c r="B6" s="304" t="s">
        <v>1168</v>
      </c>
    </row>
    <row r="7" spans="1:7">
      <c r="B7" s="304" t="s">
        <v>250</v>
      </c>
    </row>
    <row r="8" spans="1:7">
      <c r="F8" s="155"/>
    </row>
    <row r="9" spans="1:7">
      <c r="A9" s="568">
        <v>1</v>
      </c>
      <c r="B9" s="157" t="s">
        <v>248</v>
      </c>
      <c r="F9" s="155"/>
    </row>
    <row r="10" spans="1:7">
      <c r="A10" s="568">
        <f t="shared" ref="A10:A41" si="0">A9+1</f>
        <v>2</v>
      </c>
      <c r="F10" s="155"/>
    </row>
    <row r="11" spans="1:7">
      <c r="A11" s="568">
        <f t="shared" si="0"/>
        <v>3</v>
      </c>
      <c r="D11" s="153" t="s">
        <v>1169</v>
      </c>
      <c r="F11" s="305">
        <v>1439920</v>
      </c>
    </row>
    <row r="12" spans="1:7">
      <c r="A12" s="568">
        <f t="shared" si="0"/>
        <v>4</v>
      </c>
      <c r="D12" s="153" t="s">
        <v>1170</v>
      </c>
      <c r="F12" s="611">
        <f>-1488826</f>
        <v>-1488826</v>
      </c>
      <c r="G12" s="163"/>
    </row>
    <row r="13" spans="1:7">
      <c r="A13" s="568">
        <f t="shared" si="0"/>
        <v>5</v>
      </c>
      <c r="D13" s="153" t="s">
        <v>251</v>
      </c>
      <c r="F13" s="305">
        <f>F11+F12</f>
        <v>-48906</v>
      </c>
    </row>
    <row r="14" spans="1:7">
      <c r="A14" s="568">
        <f t="shared" si="0"/>
        <v>6</v>
      </c>
      <c r="F14" s="306"/>
    </row>
    <row r="15" spans="1:7">
      <c r="A15" s="568">
        <f t="shared" si="0"/>
        <v>7</v>
      </c>
      <c r="C15" s="307" t="s">
        <v>252</v>
      </c>
      <c r="F15" s="306"/>
    </row>
    <row r="16" spans="1:7" ht="15">
      <c r="A16" s="568">
        <f t="shared" si="0"/>
        <v>8</v>
      </c>
      <c r="D16" s="153" t="s">
        <v>530</v>
      </c>
      <c r="E16" s="158" t="s">
        <v>318</v>
      </c>
      <c r="F16" s="308">
        <f>'Schedule 3'!F27</f>
        <v>0.12451988999999999</v>
      </c>
    </row>
    <row r="17" spans="1:6" ht="15" customHeight="1">
      <c r="A17" s="568">
        <f t="shared" si="0"/>
        <v>9</v>
      </c>
      <c r="D17" s="153" t="s">
        <v>253</v>
      </c>
      <c r="E17" s="158" t="s">
        <v>254</v>
      </c>
      <c r="F17" s="305">
        <f>F13*F16</f>
        <v>-6089.7697403399998</v>
      </c>
    </row>
    <row r="18" spans="1:6">
      <c r="A18" s="568">
        <f t="shared" si="0"/>
        <v>10</v>
      </c>
      <c r="E18" s="159"/>
    </row>
    <row r="19" spans="1:6">
      <c r="A19" s="568">
        <f t="shared" si="0"/>
        <v>11</v>
      </c>
      <c r="C19" s="307" t="s">
        <v>255</v>
      </c>
      <c r="E19" s="159"/>
      <c r="F19" s="306"/>
    </row>
    <row r="20" spans="1:6" ht="15">
      <c r="A20" s="568">
        <f t="shared" si="0"/>
        <v>12</v>
      </c>
      <c r="D20" s="153" t="s">
        <v>397</v>
      </c>
      <c r="E20" s="158" t="s">
        <v>236</v>
      </c>
      <c r="F20" s="309">
        <v>0.125</v>
      </c>
    </row>
    <row r="21" spans="1:6">
      <c r="A21" s="568">
        <f t="shared" si="0"/>
        <v>13</v>
      </c>
      <c r="D21" s="153" t="s">
        <v>256</v>
      </c>
      <c r="E21" s="158" t="s">
        <v>257</v>
      </c>
      <c r="F21" s="305">
        <f>F17*F20</f>
        <v>-761.22121754249997</v>
      </c>
    </row>
    <row r="22" spans="1:6">
      <c r="A22" s="568">
        <f t="shared" si="0"/>
        <v>14</v>
      </c>
      <c r="E22" s="159"/>
      <c r="F22" s="305"/>
    </row>
    <row r="23" spans="1:6">
      <c r="A23" s="568">
        <f t="shared" si="0"/>
        <v>15</v>
      </c>
      <c r="C23" s="307" t="s">
        <v>258</v>
      </c>
      <c r="E23" s="159"/>
      <c r="F23" s="306"/>
    </row>
    <row r="24" spans="1:6">
      <c r="A24" s="568">
        <f t="shared" si="0"/>
        <v>16</v>
      </c>
      <c r="D24" s="153" t="s">
        <v>239</v>
      </c>
      <c r="E24" s="158" t="s">
        <v>242</v>
      </c>
      <c r="F24" s="310">
        <f>'Schedule 6'!I20</f>
        <v>8.1226608240277276E-2</v>
      </c>
    </row>
    <row r="25" spans="1:6" ht="15">
      <c r="A25" s="568">
        <f t="shared" si="0"/>
        <v>17</v>
      </c>
      <c r="D25" s="153" t="s">
        <v>485</v>
      </c>
      <c r="E25" s="158" t="s">
        <v>242</v>
      </c>
      <c r="F25" s="311">
        <f>'Schedule 6'!I34</f>
        <v>3.6069999999999998E-2</v>
      </c>
    </row>
    <row r="26" spans="1:6">
      <c r="A26" s="568">
        <f t="shared" si="0"/>
        <v>18</v>
      </c>
      <c r="D26" s="153" t="s">
        <v>259</v>
      </c>
      <c r="E26" s="158" t="s">
        <v>260</v>
      </c>
      <c r="F26" s="312">
        <f>SUM(F24:F25)</f>
        <v>0.11729660824027727</v>
      </c>
    </row>
    <row r="27" spans="1:6">
      <c r="A27" s="568">
        <f t="shared" si="0"/>
        <v>19</v>
      </c>
      <c r="E27" s="159"/>
      <c r="F27" s="312"/>
    </row>
    <row r="28" spans="1:6">
      <c r="A28" s="568">
        <f t="shared" si="0"/>
        <v>20</v>
      </c>
      <c r="D28" s="153" t="s">
        <v>261</v>
      </c>
      <c r="E28" s="158" t="s">
        <v>262</v>
      </c>
      <c r="F28" s="305">
        <f>F21*(F26)</f>
        <v>-89.2886669382695</v>
      </c>
    </row>
    <row r="29" spans="1:6">
      <c r="A29" s="568">
        <f t="shared" si="0"/>
        <v>21</v>
      </c>
      <c r="E29" s="159"/>
    </row>
    <row r="30" spans="1:6">
      <c r="A30" s="568">
        <f t="shared" si="0"/>
        <v>22</v>
      </c>
      <c r="C30" s="153" t="s">
        <v>263</v>
      </c>
      <c r="E30" s="158" t="s">
        <v>264</v>
      </c>
      <c r="F30" s="313">
        <f>F28+F17</f>
        <v>-6179.0584072782694</v>
      </c>
    </row>
    <row r="31" spans="1:6">
      <c r="A31" s="568">
        <f t="shared" si="0"/>
        <v>23</v>
      </c>
      <c r="F31" s="161"/>
    </row>
    <row r="32" spans="1:6">
      <c r="A32" s="568">
        <f t="shared" si="0"/>
        <v>24</v>
      </c>
      <c r="F32" s="161"/>
    </row>
    <row r="33" spans="1:6">
      <c r="A33" s="568">
        <f t="shared" si="0"/>
        <v>25</v>
      </c>
      <c r="F33" s="161"/>
    </row>
    <row r="34" spans="1:6">
      <c r="A34" s="568">
        <f t="shared" si="0"/>
        <v>26</v>
      </c>
      <c r="F34" s="161"/>
    </row>
    <row r="35" spans="1:6">
      <c r="A35" s="568">
        <f t="shared" si="0"/>
        <v>27</v>
      </c>
      <c r="F35" s="161"/>
    </row>
    <row r="36" spans="1:6">
      <c r="A36" s="568">
        <f t="shared" si="0"/>
        <v>28</v>
      </c>
      <c r="F36" s="569"/>
    </row>
    <row r="37" spans="1:6">
      <c r="A37" s="568">
        <f t="shared" si="0"/>
        <v>29</v>
      </c>
      <c r="B37" s="157" t="s">
        <v>265</v>
      </c>
      <c r="F37" s="306"/>
    </row>
    <row r="38" spans="1:6">
      <c r="A38" s="568">
        <f t="shared" si="0"/>
        <v>30</v>
      </c>
      <c r="B38" s="157"/>
      <c r="F38" s="306"/>
    </row>
    <row r="39" spans="1:6">
      <c r="A39" s="568">
        <f t="shared" si="0"/>
        <v>31</v>
      </c>
      <c r="C39" s="307" t="s">
        <v>1392</v>
      </c>
      <c r="F39" s="306"/>
    </row>
    <row r="40" spans="1:6">
      <c r="A40" s="568">
        <f t="shared" si="0"/>
        <v>32</v>
      </c>
      <c r="B40" s="157"/>
      <c r="D40" s="178" t="s">
        <v>274</v>
      </c>
      <c r="E40" s="179" t="s">
        <v>114</v>
      </c>
      <c r="F40" s="314">
        <f>'Rate Calculation'!E51</f>
        <v>121314737.90878567</v>
      </c>
    </row>
    <row r="41" spans="1:6">
      <c r="A41" s="568">
        <f t="shared" si="0"/>
        <v>33</v>
      </c>
      <c r="E41" s="159"/>
      <c r="F41" s="306"/>
    </row>
    <row r="42" spans="1:6">
      <c r="A42" s="568">
        <f t="shared" ref="A42:A58" si="1">A41+1</f>
        <v>34</v>
      </c>
      <c r="D42" s="178" t="s">
        <v>531</v>
      </c>
      <c r="E42" s="179" t="s">
        <v>307</v>
      </c>
      <c r="F42" s="314">
        <f>'Schedule 5'!H24</f>
        <v>5177.0833333333339</v>
      </c>
    </row>
    <row r="43" spans="1:6">
      <c r="A43" s="568">
        <f t="shared" si="1"/>
        <v>35</v>
      </c>
      <c r="E43" s="159"/>
      <c r="F43" s="315"/>
    </row>
    <row r="44" spans="1:6">
      <c r="A44" s="568">
        <f t="shared" si="1"/>
        <v>36</v>
      </c>
      <c r="D44" s="178" t="s">
        <v>308</v>
      </c>
      <c r="E44" s="158" t="s">
        <v>266</v>
      </c>
      <c r="F44" s="316">
        <f>ROUND(F40/(F42*1000), 2)</f>
        <v>23.43</v>
      </c>
    </row>
    <row r="45" spans="1:6">
      <c r="A45" s="568">
        <f t="shared" si="1"/>
        <v>37</v>
      </c>
      <c r="D45" s="178" t="s">
        <v>309</v>
      </c>
      <c r="E45" s="179" t="s">
        <v>267</v>
      </c>
      <c r="F45" s="306">
        <f>ROUND(F44/12, 4)</f>
        <v>1.9524999999999999</v>
      </c>
    </row>
    <row r="46" spans="1:6">
      <c r="A46" s="568">
        <f t="shared" si="1"/>
        <v>38</v>
      </c>
      <c r="E46" s="159"/>
    </row>
    <row r="47" spans="1:6">
      <c r="A47" s="568">
        <f t="shared" si="1"/>
        <v>39</v>
      </c>
      <c r="E47" s="159"/>
    </row>
    <row r="48" spans="1:6">
      <c r="A48" s="568">
        <f t="shared" si="1"/>
        <v>40</v>
      </c>
      <c r="C48" s="307" t="s">
        <v>1159</v>
      </c>
      <c r="E48" s="159"/>
      <c r="F48" s="306"/>
    </row>
    <row r="49" spans="1:6">
      <c r="A49" s="568">
        <f t="shared" si="1"/>
        <v>41</v>
      </c>
      <c r="B49" s="157"/>
      <c r="D49" s="178" t="s">
        <v>274</v>
      </c>
      <c r="E49" s="179" t="s">
        <v>268</v>
      </c>
      <c r="F49" s="314">
        <f>F40-F30</f>
        <v>121320916.96719295</v>
      </c>
    </row>
    <row r="50" spans="1:6">
      <c r="A50" s="568">
        <f t="shared" si="1"/>
        <v>42</v>
      </c>
      <c r="E50" s="159"/>
      <c r="F50" s="306"/>
    </row>
    <row r="51" spans="1:6">
      <c r="A51" s="568">
        <f t="shared" si="1"/>
        <v>43</v>
      </c>
      <c r="D51" s="178" t="s">
        <v>531</v>
      </c>
      <c r="E51" s="179" t="s">
        <v>307</v>
      </c>
      <c r="F51" s="314">
        <f>'Schedule 5'!H24</f>
        <v>5177.0833333333339</v>
      </c>
    </row>
    <row r="52" spans="1:6">
      <c r="A52" s="568">
        <f t="shared" si="1"/>
        <v>44</v>
      </c>
      <c r="E52" s="159"/>
      <c r="F52" s="315"/>
    </row>
    <row r="53" spans="1:6">
      <c r="A53" s="568">
        <f t="shared" si="1"/>
        <v>45</v>
      </c>
      <c r="D53" s="178" t="s">
        <v>308</v>
      </c>
      <c r="E53" s="158" t="s">
        <v>269</v>
      </c>
      <c r="F53" s="316">
        <f>ROUND(F49/(F51*1000), 2)</f>
        <v>23.43</v>
      </c>
    </row>
    <row r="54" spans="1:6">
      <c r="A54" s="568">
        <f t="shared" si="1"/>
        <v>46</v>
      </c>
      <c r="D54" s="178" t="s">
        <v>309</v>
      </c>
      <c r="E54" s="179" t="s">
        <v>270</v>
      </c>
      <c r="F54" s="317">
        <f>ROUND(F53/12, 4)</f>
        <v>1.9524999999999999</v>
      </c>
    </row>
    <row r="55" spans="1:6">
      <c r="A55" s="568">
        <f t="shared" si="1"/>
        <v>47</v>
      </c>
      <c r="B55" s="157"/>
    </row>
    <row r="56" spans="1:6">
      <c r="A56" s="568">
        <f t="shared" si="1"/>
        <v>48</v>
      </c>
      <c r="B56" s="157"/>
    </row>
    <row r="57" spans="1:6">
      <c r="A57" s="568">
        <f t="shared" si="1"/>
        <v>49</v>
      </c>
      <c r="D57" s="157" t="s">
        <v>1171</v>
      </c>
      <c r="E57" s="179" t="s">
        <v>526</v>
      </c>
      <c r="F57" s="155">
        <f>F45-F54</f>
        <v>0</v>
      </c>
    </row>
    <row r="58" spans="1:6">
      <c r="A58" s="568">
        <f t="shared" si="1"/>
        <v>50</v>
      </c>
      <c r="D58" s="157" t="s">
        <v>271</v>
      </c>
      <c r="E58" s="157"/>
      <c r="F58" s="155" t="str">
        <f>IF(F57&gt;0.049999999, "YES", "NO")</f>
        <v>NO</v>
      </c>
    </row>
    <row r="62" spans="1:6">
      <c r="B62" s="157"/>
    </row>
    <row r="69" spans="2:6">
      <c r="F69" s="161"/>
    </row>
    <row r="70" spans="2:6">
      <c r="F70" s="161"/>
    </row>
    <row r="72" spans="2:6">
      <c r="F72" s="153"/>
    </row>
    <row r="73" spans="2:6">
      <c r="B73" s="157"/>
      <c r="F73" s="153"/>
    </row>
    <row r="76" spans="2:6">
      <c r="F76" s="161"/>
    </row>
    <row r="77" spans="2:6">
      <c r="F77" s="161"/>
    </row>
    <row r="80" spans="2:6">
      <c r="B80" s="157"/>
    </row>
    <row r="86" spans="2:2">
      <c r="B86" s="157"/>
    </row>
    <row r="87" spans="2:2">
      <c r="B87" s="157"/>
    </row>
    <row r="102" spans="2:2">
      <c r="B102" s="157"/>
    </row>
    <row r="108" spans="2:2">
      <c r="B108" s="157"/>
    </row>
    <row r="113" spans="2:2">
      <c r="B113" s="157"/>
    </row>
  </sheetData>
  <sheetProtection formatCells="0"/>
  <mergeCells count="2">
    <mergeCell ref="A1:F1"/>
    <mergeCell ref="A2:F2"/>
  </mergeCells>
  <phoneticPr fontId="0" type="noConversion"/>
  <printOptions horizontalCentered="1"/>
  <pageMargins left="0.75" right="0.75" top="1" bottom="1" header="0.5" footer="0.5"/>
  <pageSetup scale="71" orientation="portrait" r:id="rId1"/>
  <headerFooter alignWithMargins="0">
    <oddHeader>&amp;CIDAHO POWER COMPANY
Transmission Cost of Service Rate Development
12 Months Ended 12/31/2014</oddHeader>
  </headerFooter>
</worksheet>
</file>

<file path=xl/worksheets/sheet2.xml><?xml version="1.0" encoding="utf-8"?>
<worksheet xmlns="http://schemas.openxmlformats.org/spreadsheetml/2006/main" xmlns:r="http://schemas.openxmlformats.org/officeDocument/2006/relationships">
  <sheetPr codeName="Sheet2"/>
  <dimension ref="A1:G47"/>
  <sheetViews>
    <sheetView zoomScaleNormal="100" zoomScaleSheetLayoutView="100" workbookViewId="0"/>
  </sheetViews>
  <sheetFormatPr defaultRowHeight="12.75"/>
  <cols>
    <col min="1" max="1" width="1.7109375" style="198" customWidth="1"/>
    <col min="2" max="2" width="27.42578125" style="198" customWidth="1"/>
    <col min="3" max="3" width="3.140625" style="198" customWidth="1"/>
    <col min="4" max="4" width="73.5703125" style="198" bestFit="1" customWidth="1"/>
    <col min="5" max="5" width="2.28515625" style="198" customWidth="1"/>
    <col min="6" max="6" width="6.5703125" style="198" customWidth="1"/>
    <col min="7" max="7" width="12" style="198" customWidth="1"/>
    <col min="8" max="16384" width="9.140625" style="198"/>
  </cols>
  <sheetData>
    <row r="1" spans="1:7">
      <c r="D1" s="26"/>
    </row>
    <row r="2" spans="1:7">
      <c r="D2" s="565"/>
    </row>
    <row r="3" spans="1:7">
      <c r="A3" s="564"/>
      <c r="D3" s="564" t="s">
        <v>47</v>
      </c>
    </row>
    <row r="4" spans="1:7">
      <c r="A4" s="564"/>
      <c r="B4" s="564"/>
      <c r="C4" s="564"/>
      <c r="D4" s="565"/>
    </row>
    <row r="5" spans="1:7">
      <c r="A5" s="564"/>
      <c r="B5" s="564"/>
      <c r="C5" s="564"/>
      <c r="D5" s="27"/>
    </row>
    <row r="6" spans="1:7">
      <c r="D6" s="26"/>
      <c r="F6" s="636" t="s">
        <v>756</v>
      </c>
      <c r="G6" s="636"/>
    </row>
    <row r="7" spans="1:7" s="564" customFormat="1">
      <c r="B7" s="52" t="s">
        <v>754</v>
      </c>
      <c r="D7" s="52" t="s">
        <v>755</v>
      </c>
      <c r="F7" s="635" t="s">
        <v>324</v>
      </c>
      <c r="G7" s="635"/>
    </row>
    <row r="8" spans="1:7" ht="25.5">
      <c r="A8" s="564"/>
      <c r="B8" s="73" t="s">
        <v>46</v>
      </c>
      <c r="D8" s="152" t="s">
        <v>1391</v>
      </c>
    </row>
    <row r="9" spans="1:7">
      <c r="A9" s="564"/>
      <c r="B9" s="198" t="s">
        <v>47</v>
      </c>
      <c r="D9" s="198" t="s">
        <v>47</v>
      </c>
    </row>
    <row r="10" spans="1:7">
      <c r="A10" s="564"/>
      <c r="B10" s="198" t="s">
        <v>48</v>
      </c>
      <c r="D10" s="198" t="s">
        <v>750</v>
      </c>
      <c r="F10" s="198" t="s">
        <v>767</v>
      </c>
      <c r="G10" s="198" t="s">
        <v>753</v>
      </c>
    </row>
    <row r="11" spans="1:7">
      <c r="A11" s="564"/>
      <c r="B11" s="198" t="s">
        <v>748</v>
      </c>
      <c r="D11" s="198" t="s">
        <v>731</v>
      </c>
      <c r="F11" s="198" t="s">
        <v>767</v>
      </c>
      <c r="G11" s="198" t="s">
        <v>753</v>
      </c>
    </row>
    <row r="12" spans="1:7">
      <c r="A12" s="564"/>
      <c r="B12" s="198" t="s">
        <v>749</v>
      </c>
      <c r="D12" s="198" t="s">
        <v>751</v>
      </c>
      <c r="F12" s="198" t="s">
        <v>767</v>
      </c>
      <c r="G12" s="198" t="s">
        <v>753</v>
      </c>
    </row>
    <row r="13" spans="1:7">
      <c r="A13" s="564"/>
      <c r="B13" s="198" t="s">
        <v>740</v>
      </c>
      <c r="D13" s="198" t="s">
        <v>305</v>
      </c>
      <c r="F13" s="198" t="s">
        <v>767</v>
      </c>
      <c r="G13" s="198" t="s">
        <v>753</v>
      </c>
    </row>
    <row r="14" spans="1:7">
      <c r="A14" s="564"/>
      <c r="B14" s="198" t="s">
        <v>114</v>
      </c>
      <c r="D14" s="198" t="s">
        <v>325</v>
      </c>
      <c r="G14" s="198" t="s">
        <v>753</v>
      </c>
    </row>
    <row r="15" spans="1:7">
      <c r="A15" s="564"/>
      <c r="B15" s="198" t="s">
        <v>236</v>
      </c>
      <c r="D15" s="198" t="s">
        <v>315</v>
      </c>
      <c r="G15" s="198" t="s">
        <v>753</v>
      </c>
    </row>
    <row r="16" spans="1:7">
      <c r="A16" s="564"/>
      <c r="B16" s="198" t="s">
        <v>246</v>
      </c>
      <c r="D16" s="198" t="s">
        <v>398</v>
      </c>
      <c r="G16" s="198" t="s">
        <v>753</v>
      </c>
    </row>
    <row r="17" spans="1:7">
      <c r="A17" s="564"/>
      <c r="B17" s="198" t="s">
        <v>318</v>
      </c>
      <c r="D17" s="198" t="s">
        <v>407</v>
      </c>
      <c r="G17" s="198" t="s">
        <v>753</v>
      </c>
    </row>
    <row r="18" spans="1:7">
      <c r="A18" s="564"/>
      <c r="B18" s="198" t="s">
        <v>306</v>
      </c>
      <c r="D18" s="198" t="s">
        <v>305</v>
      </c>
      <c r="G18" s="198" t="s">
        <v>753</v>
      </c>
    </row>
    <row r="19" spans="1:7">
      <c r="A19" s="564"/>
      <c r="B19" s="198" t="s">
        <v>307</v>
      </c>
      <c r="D19" s="198" t="s">
        <v>1039</v>
      </c>
      <c r="F19" s="198" t="s">
        <v>768</v>
      </c>
      <c r="G19" s="198" t="s">
        <v>753</v>
      </c>
    </row>
    <row r="20" spans="1:7">
      <c r="A20" s="564"/>
      <c r="B20" s="198" t="s">
        <v>242</v>
      </c>
      <c r="D20" s="198" t="s">
        <v>51</v>
      </c>
      <c r="G20" s="198" t="s">
        <v>753</v>
      </c>
    </row>
    <row r="21" spans="1:7">
      <c r="A21" s="564"/>
      <c r="B21" s="198" t="s">
        <v>184</v>
      </c>
      <c r="D21" s="198" t="s">
        <v>54</v>
      </c>
      <c r="F21" s="198" t="s">
        <v>769</v>
      </c>
      <c r="G21" s="198" t="s">
        <v>753</v>
      </c>
    </row>
    <row r="22" spans="1:7" ht="25.5">
      <c r="A22" s="564"/>
      <c r="B22" s="73" t="s">
        <v>584</v>
      </c>
      <c r="D22" s="65" t="s">
        <v>776</v>
      </c>
      <c r="F22" s="73" t="s">
        <v>778</v>
      </c>
      <c r="G22" s="73" t="s">
        <v>753</v>
      </c>
    </row>
    <row r="23" spans="1:7">
      <c r="A23" s="564"/>
      <c r="B23" s="198" t="s">
        <v>44</v>
      </c>
      <c r="D23" s="198" t="s">
        <v>779</v>
      </c>
      <c r="F23" s="198" t="s">
        <v>777</v>
      </c>
      <c r="G23" s="198" t="s">
        <v>753</v>
      </c>
    </row>
    <row r="24" spans="1:7">
      <c r="A24" s="564"/>
      <c r="B24" s="199" t="s">
        <v>715</v>
      </c>
      <c r="D24" s="198" t="s">
        <v>716</v>
      </c>
      <c r="F24" s="198" t="s">
        <v>717</v>
      </c>
    </row>
    <row r="25" spans="1:7" ht="25.5">
      <c r="A25" s="564"/>
      <c r="B25" s="74" t="s">
        <v>718</v>
      </c>
      <c r="D25" s="65" t="s">
        <v>934</v>
      </c>
      <c r="F25" s="73" t="s">
        <v>719</v>
      </c>
    </row>
    <row r="26" spans="1:7">
      <c r="A26" s="564"/>
      <c r="B26" s="198" t="s">
        <v>247</v>
      </c>
      <c r="D26" s="198" t="s">
        <v>248</v>
      </c>
      <c r="F26" s="198" t="s">
        <v>272</v>
      </c>
    </row>
    <row r="27" spans="1:7">
      <c r="A27" s="564"/>
      <c r="B27" s="198" t="s">
        <v>728</v>
      </c>
      <c r="D27" s="65" t="s">
        <v>406</v>
      </c>
      <c r="F27" s="198" t="s">
        <v>729</v>
      </c>
    </row>
    <row r="28" spans="1:7">
      <c r="A28" s="564"/>
      <c r="B28" s="74"/>
      <c r="D28" s="65"/>
      <c r="F28" s="73"/>
    </row>
    <row r="29" spans="1:7">
      <c r="A29" s="564"/>
      <c r="B29" s="74" t="s">
        <v>492</v>
      </c>
      <c r="D29" s="65" t="s">
        <v>493</v>
      </c>
      <c r="F29" s="73"/>
    </row>
    <row r="30" spans="1:7">
      <c r="A30" s="564"/>
      <c r="B30" s="198" t="s">
        <v>193</v>
      </c>
      <c r="D30" s="198" t="s">
        <v>217</v>
      </c>
      <c r="G30" s="198" t="s">
        <v>753</v>
      </c>
    </row>
    <row r="31" spans="1:7">
      <c r="A31" s="564"/>
      <c r="B31" s="198" t="s">
        <v>78</v>
      </c>
      <c r="D31" s="198" t="s">
        <v>598</v>
      </c>
      <c r="F31" s="198" t="s">
        <v>769</v>
      </c>
      <c r="G31" s="198" t="s">
        <v>753</v>
      </c>
    </row>
    <row r="32" spans="1:7">
      <c r="A32" s="564"/>
      <c r="B32" s="198" t="s">
        <v>79</v>
      </c>
      <c r="D32" s="198" t="s">
        <v>643</v>
      </c>
      <c r="G32" s="198" t="s">
        <v>753</v>
      </c>
    </row>
    <row r="33" spans="1:7">
      <c r="A33" s="564"/>
      <c r="B33" s="198" t="s">
        <v>80</v>
      </c>
      <c r="D33" s="198" t="s">
        <v>49</v>
      </c>
      <c r="F33" s="198" t="s">
        <v>770</v>
      </c>
      <c r="G33" s="198" t="s">
        <v>753</v>
      </c>
    </row>
    <row r="34" spans="1:7">
      <c r="A34" s="564"/>
      <c r="B34" s="198" t="s">
        <v>326</v>
      </c>
      <c r="D34" s="198" t="s">
        <v>327</v>
      </c>
      <c r="F34" s="198" t="s">
        <v>770</v>
      </c>
      <c r="G34" s="198" t="s">
        <v>753</v>
      </c>
    </row>
    <row r="35" spans="1:7">
      <c r="A35" s="564"/>
      <c r="B35" s="198" t="s">
        <v>81</v>
      </c>
      <c r="D35" s="198" t="s">
        <v>87</v>
      </c>
      <c r="F35" s="198" t="s">
        <v>771</v>
      </c>
      <c r="G35" s="198" t="s">
        <v>753</v>
      </c>
    </row>
    <row r="36" spans="1:7">
      <c r="A36" s="564"/>
      <c r="B36" s="198" t="s">
        <v>82</v>
      </c>
      <c r="D36" s="198" t="s">
        <v>88</v>
      </c>
      <c r="F36" s="198" t="s">
        <v>771</v>
      </c>
      <c r="G36" s="198" t="s">
        <v>753</v>
      </c>
    </row>
    <row r="37" spans="1:7">
      <c r="A37" s="564"/>
      <c r="B37" s="198" t="s">
        <v>83</v>
      </c>
      <c r="D37" s="198" t="s">
        <v>604</v>
      </c>
      <c r="F37" s="198" t="s">
        <v>771</v>
      </c>
      <c r="G37" s="198" t="s">
        <v>753</v>
      </c>
    </row>
    <row r="38" spans="1:7">
      <c r="A38" s="564"/>
      <c r="B38" s="198" t="s">
        <v>84</v>
      </c>
      <c r="D38" s="198" t="s">
        <v>89</v>
      </c>
      <c r="F38" s="198" t="s">
        <v>771</v>
      </c>
      <c r="G38" s="198" t="s">
        <v>753</v>
      </c>
    </row>
    <row r="39" spans="1:7">
      <c r="A39" s="564"/>
      <c r="B39" s="198" t="s">
        <v>85</v>
      </c>
      <c r="D39" s="198" t="s">
        <v>1038</v>
      </c>
      <c r="G39" s="198" t="s">
        <v>753</v>
      </c>
    </row>
    <row r="40" spans="1:7" ht="25.5">
      <c r="A40" s="564"/>
      <c r="B40" s="73" t="s">
        <v>86</v>
      </c>
      <c r="D40" s="65" t="s">
        <v>97</v>
      </c>
      <c r="F40" s="73" t="s">
        <v>772</v>
      </c>
      <c r="G40" s="73" t="s">
        <v>753</v>
      </c>
    </row>
    <row r="41" spans="1:7" ht="25.5">
      <c r="A41" s="564"/>
      <c r="B41" s="73" t="s">
        <v>95</v>
      </c>
      <c r="D41" s="65" t="s">
        <v>96</v>
      </c>
      <c r="F41" s="73" t="s">
        <v>772</v>
      </c>
      <c r="G41" s="73" t="s">
        <v>753</v>
      </c>
    </row>
    <row r="42" spans="1:7">
      <c r="A42" s="564"/>
      <c r="B42" s="198" t="s">
        <v>50</v>
      </c>
      <c r="D42" s="198" t="s">
        <v>1040</v>
      </c>
      <c r="F42" s="198" t="s">
        <v>768</v>
      </c>
      <c r="G42" s="198" t="s">
        <v>753</v>
      </c>
    </row>
    <row r="43" spans="1:7">
      <c r="A43" s="564"/>
      <c r="B43" s="198" t="s">
        <v>52</v>
      </c>
      <c r="D43" s="198" t="s">
        <v>53</v>
      </c>
      <c r="F43" s="198" t="s">
        <v>773</v>
      </c>
      <c r="G43" s="198" t="s">
        <v>753</v>
      </c>
    </row>
    <row r="44" spans="1:7">
      <c r="A44" s="564"/>
      <c r="B44" s="198" t="s">
        <v>105</v>
      </c>
      <c r="D44" s="198" t="s">
        <v>104</v>
      </c>
      <c r="F44" s="198" t="s">
        <v>775</v>
      </c>
      <c r="G44" s="198" t="s">
        <v>753</v>
      </c>
    </row>
    <row r="45" spans="1:7">
      <c r="A45" s="564"/>
      <c r="B45" s="198" t="s">
        <v>108</v>
      </c>
      <c r="D45" s="198" t="s">
        <v>109</v>
      </c>
      <c r="F45" s="198" t="s">
        <v>774</v>
      </c>
      <c r="G45" s="198" t="s">
        <v>753</v>
      </c>
    </row>
    <row r="46" spans="1:7">
      <c r="B46" s="198" t="s">
        <v>855</v>
      </c>
      <c r="D46" s="198" t="s">
        <v>54</v>
      </c>
      <c r="F46" s="198" t="s">
        <v>769</v>
      </c>
      <c r="G46" s="198" t="s">
        <v>753</v>
      </c>
    </row>
    <row r="47" spans="1:7" ht="25.5">
      <c r="B47" s="73" t="s">
        <v>12</v>
      </c>
      <c r="D47" s="65" t="s">
        <v>776</v>
      </c>
      <c r="F47" s="73" t="s">
        <v>778</v>
      </c>
      <c r="G47" s="73" t="s">
        <v>753</v>
      </c>
    </row>
  </sheetData>
  <mergeCells count="2">
    <mergeCell ref="F7:G7"/>
    <mergeCell ref="F6:G6"/>
  </mergeCells>
  <phoneticPr fontId="16" type="noConversion"/>
  <printOptions horizontalCentered="1"/>
  <pageMargins left="0.75" right="0.75" top="1" bottom="1" header="0.5" footer="0.5"/>
  <pageSetup scale="71" orientation="portrait" r:id="rId1"/>
  <headerFooter alignWithMargins="0">
    <oddHeader>&amp;CIDAHO POWER COMPANY
Transmission Cost of Service Rate Development
12 Months Ended 12/31/2014</oddHeader>
  </headerFooter>
</worksheet>
</file>

<file path=xl/worksheets/sheet20.xml><?xml version="1.0" encoding="utf-8"?>
<worksheet xmlns="http://schemas.openxmlformats.org/spreadsheetml/2006/main" xmlns:r="http://schemas.openxmlformats.org/officeDocument/2006/relationships">
  <sheetPr codeName="Sheet20"/>
  <dimension ref="A1:B23"/>
  <sheetViews>
    <sheetView zoomScaleNormal="100" zoomScaleSheetLayoutView="100" workbookViewId="0">
      <selection sqref="A1:B1"/>
    </sheetView>
  </sheetViews>
  <sheetFormatPr defaultRowHeight="12.75"/>
  <cols>
    <col min="1" max="1" width="4.7109375" style="564" customWidth="1"/>
    <col min="2" max="2" width="73.42578125" style="198" customWidth="1"/>
    <col min="3" max="16384" width="9.140625" style="198"/>
  </cols>
  <sheetData>
    <row r="1" spans="1:2">
      <c r="A1" s="637" t="s">
        <v>727</v>
      </c>
      <c r="B1" s="637"/>
    </row>
    <row r="2" spans="1:2">
      <c r="A2" s="637" t="s">
        <v>405</v>
      </c>
      <c r="B2" s="637"/>
    </row>
    <row r="3" spans="1:2">
      <c r="B3" s="564"/>
    </row>
    <row r="5" spans="1:2">
      <c r="B5" s="65"/>
    </row>
    <row r="6" spans="1:2">
      <c r="A6" s="134"/>
      <c r="B6" s="65"/>
    </row>
    <row r="15" spans="1:2">
      <c r="B15" s="199"/>
    </row>
    <row r="16" spans="1:2">
      <c r="A16" s="134"/>
      <c r="B16" s="65"/>
    </row>
    <row r="23" spans="1:1">
      <c r="A23" s="142"/>
    </row>
  </sheetData>
  <mergeCells count="2">
    <mergeCell ref="A1:B1"/>
    <mergeCell ref="A2:B2"/>
  </mergeCells>
  <phoneticPr fontId="16" type="noConversion"/>
  <printOptions horizontalCentered="1"/>
  <pageMargins left="0.75" right="0.75" top="1" bottom="1" header="0.5" footer="0.5"/>
  <pageSetup scale="71" orientation="portrait" r:id="rId1"/>
  <headerFooter alignWithMargins="0">
    <oddHeader>&amp;CIDAHO POWER COMPANY
Transmission Cost of Service Rate Development
12 Months Ended 12/31/2014</oddHeader>
  </headerFooter>
</worksheet>
</file>

<file path=xl/worksheets/sheet21.xml><?xml version="1.0" encoding="utf-8"?>
<worksheet xmlns="http://schemas.openxmlformats.org/spreadsheetml/2006/main" xmlns:r="http://schemas.openxmlformats.org/officeDocument/2006/relationships">
  <sheetPr codeName="Sheet21"/>
  <dimension ref="A8:I8"/>
  <sheetViews>
    <sheetView zoomScaleNormal="100" zoomScaleSheetLayoutView="100" workbookViewId="0"/>
  </sheetViews>
  <sheetFormatPr defaultRowHeight="12.75"/>
  <cols>
    <col min="1" max="16384" width="9.140625" style="198"/>
  </cols>
  <sheetData>
    <row r="8" spans="1:9">
      <c r="A8" s="637" t="s">
        <v>494</v>
      </c>
      <c r="B8" s="637"/>
      <c r="C8" s="637"/>
      <c r="D8" s="637"/>
      <c r="E8" s="637"/>
      <c r="F8" s="637"/>
      <c r="G8" s="637"/>
      <c r="H8" s="637"/>
      <c r="I8" s="637"/>
    </row>
  </sheetData>
  <mergeCells count="1">
    <mergeCell ref="A8:I8"/>
  </mergeCells>
  <phoneticPr fontId="16" type="noConversion"/>
  <printOptions horizontalCentered="1"/>
  <pageMargins left="0.75" right="0.75" top="1" bottom="1" header="0.5" footer="0.5"/>
  <pageSetup scale="71" orientation="portrait" r:id="rId1"/>
  <headerFooter alignWithMargins="0">
    <oddHeader>&amp;CIDAHO POWER COMPANY
Transmission Cost of Service Rate Development
12 Months Ended 12/31/2014</oddHeader>
  </headerFooter>
</worksheet>
</file>

<file path=xl/worksheets/sheet22.xml><?xml version="1.0" encoding="utf-8"?>
<worksheet xmlns="http://schemas.openxmlformats.org/spreadsheetml/2006/main" xmlns:r="http://schemas.openxmlformats.org/officeDocument/2006/relationships">
  <sheetPr codeName="Sheet22"/>
  <dimension ref="A1:F93"/>
  <sheetViews>
    <sheetView zoomScaleNormal="100" zoomScaleSheetLayoutView="100" workbookViewId="0">
      <selection sqref="A1:F1"/>
    </sheetView>
  </sheetViews>
  <sheetFormatPr defaultRowHeight="12.75"/>
  <cols>
    <col min="1" max="1" width="5.140625" style="568" customWidth="1"/>
    <col min="2" max="2" width="4.140625" style="153" customWidth="1"/>
    <col min="3" max="3" width="4" style="153" customWidth="1"/>
    <col min="4" max="4" width="40.42578125" style="153" customWidth="1"/>
    <col min="5" max="5" width="25.140625" style="159" bestFit="1" customWidth="1"/>
    <col min="6" max="6" width="17.85546875" style="158" customWidth="1"/>
    <col min="7" max="16384" width="9.140625" style="153"/>
  </cols>
  <sheetData>
    <row r="1" spans="1:6" ht="15" customHeight="1">
      <c r="A1" s="645" t="s">
        <v>369</v>
      </c>
      <c r="B1" s="645"/>
      <c r="C1" s="645"/>
      <c r="D1" s="645"/>
      <c r="E1" s="645"/>
      <c r="F1" s="645"/>
    </row>
    <row r="2" spans="1:6">
      <c r="A2" s="645" t="s">
        <v>217</v>
      </c>
      <c r="B2" s="645"/>
      <c r="C2" s="645"/>
      <c r="D2" s="645"/>
      <c r="E2" s="645"/>
      <c r="F2" s="645"/>
    </row>
    <row r="3" spans="1:6">
      <c r="A3" s="645" t="s">
        <v>1172</v>
      </c>
      <c r="B3" s="645"/>
      <c r="C3" s="645"/>
      <c r="D3" s="645"/>
      <c r="E3" s="645"/>
      <c r="F3" s="645"/>
    </row>
    <row r="5" spans="1:6">
      <c r="E5" s="155" t="s">
        <v>232</v>
      </c>
      <c r="F5" s="156" t="s">
        <v>233</v>
      </c>
    </row>
    <row r="6" spans="1:6">
      <c r="A6" s="568">
        <v>1</v>
      </c>
      <c r="B6" s="157" t="s">
        <v>316</v>
      </c>
      <c r="E6" s="155"/>
    </row>
    <row r="7" spans="1:6">
      <c r="A7" s="568">
        <f>A6+1</f>
        <v>2</v>
      </c>
      <c r="E7" s="155"/>
    </row>
    <row r="8" spans="1:6">
      <c r="A8" s="568">
        <f>A7+1</f>
        <v>3</v>
      </c>
      <c r="D8" s="153" t="s">
        <v>472</v>
      </c>
      <c r="E8" s="159" t="s">
        <v>478</v>
      </c>
      <c r="F8" s="158">
        <v>267344134</v>
      </c>
    </row>
    <row r="9" spans="1:6" ht="15">
      <c r="A9" s="568">
        <f>A8+1</f>
        <v>4</v>
      </c>
      <c r="D9" s="153" t="s">
        <v>1037</v>
      </c>
      <c r="E9" s="159" t="s">
        <v>1010</v>
      </c>
      <c r="F9" s="610">
        <v>-50814726</v>
      </c>
    </row>
    <row r="10" spans="1:6">
      <c r="A10" s="568">
        <f>A9+1</f>
        <v>5</v>
      </c>
    </row>
    <row r="11" spans="1:6">
      <c r="A11" s="568">
        <f>A10+1</f>
        <v>6</v>
      </c>
      <c r="D11" s="153" t="s">
        <v>194</v>
      </c>
      <c r="F11" s="158">
        <f>SUM(F8:F10)</f>
        <v>216529408</v>
      </c>
    </row>
    <row r="14" spans="1:6">
      <c r="A14" s="153"/>
      <c r="E14" s="153"/>
      <c r="F14" s="153"/>
    </row>
    <row r="15" spans="1:6" ht="15" customHeight="1">
      <c r="A15" s="153"/>
      <c r="D15" s="306"/>
      <c r="E15" s="153"/>
      <c r="F15" s="153"/>
    </row>
    <row r="22" spans="2:6">
      <c r="B22" s="157"/>
    </row>
    <row r="25" spans="2:6">
      <c r="E25" s="161"/>
      <c r="F25" s="160"/>
    </row>
    <row r="29" spans="2:6">
      <c r="B29" s="157"/>
    </row>
    <row r="30" spans="2:6">
      <c r="B30" s="157"/>
    </row>
    <row r="32" spans="2:6">
      <c r="F32" s="160"/>
    </row>
    <row r="36" spans="2:6">
      <c r="B36" s="157"/>
    </row>
    <row r="43" spans="2:6">
      <c r="E43" s="161"/>
      <c r="F43" s="160"/>
    </row>
    <row r="44" spans="2:6">
      <c r="E44" s="161"/>
    </row>
    <row r="46" spans="2:6">
      <c r="E46" s="153"/>
      <c r="F46" s="153"/>
    </row>
    <row r="47" spans="2:6">
      <c r="B47" s="157"/>
      <c r="E47" s="153"/>
      <c r="F47" s="153"/>
    </row>
    <row r="49" spans="2:6">
      <c r="F49" s="163"/>
    </row>
    <row r="50" spans="2:6">
      <c r="E50" s="161"/>
    </row>
    <row r="51" spans="2:6">
      <c r="E51" s="161"/>
    </row>
    <row r="54" spans="2:6">
      <c r="B54" s="157"/>
    </row>
    <row r="57" spans="2:6">
      <c r="F57" s="160"/>
    </row>
    <row r="60" spans="2:6">
      <c r="B60" s="157"/>
    </row>
    <row r="61" spans="2:6">
      <c r="B61" s="157"/>
    </row>
    <row r="66" spans="2:6">
      <c r="F66" s="160"/>
    </row>
    <row r="72" spans="2:6">
      <c r="F72" s="162"/>
    </row>
    <row r="76" spans="2:6">
      <c r="B76" s="157"/>
    </row>
    <row r="79" spans="2:6">
      <c r="F79" s="160"/>
    </row>
    <row r="82" spans="2:6">
      <c r="B82" s="157"/>
    </row>
    <row r="84" spans="2:6">
      <c r="F84" s="160"/>
    </row>
    <row r="87" spans="2:6">
      <c r="B87" s="157"/>
    </row>
    <row r="90" spans="2:6">
      <c r="F90" s="160"/>
    </row>
    <row r="93" spans="2:6">
      <c r="F93" s="160"/>
    </row>
  </sheetData>
  <sheetProtection formatCells="0"/>
  <mergeCells count="3">
    <mergeCell ref="A1:F1"/>
    <mergeCell ref="A2:F2"/>
    <mergeCell ref="A3:F3"/>
  </mergeCells>
  <phoneticPr fontId="0" type="noConversion"/>
  <printOptions horizontalCentered="1"/>
  <pageMargins left="0.75" right="0.75" top="1" bottom="1" header="0.5" footer="0.5"/>
  <pageSetup scale="71" orientation="portrait" r:id="rId1"/>
  <headerFooter alignWithMargins="0">
    <oddHeader>&amp;CIDAHO POWER COMPANY
Transmission Cost of Service Rate Development
12 Months Ended 12/31/2014</oddHeader>
  </headerFooter>
</worksheet>
</file>

<file path=xl/worksheets/sheet23.xml><?xml version="1.0" encoding="utf-8"?>
<worksheet xmlns="http://schemas.openxmlformats.org/spreadsheetml/2006/main" xmlns:r="http://schemas.openxmlformats.org/officeDocument/2006/relationships">
  <sheetPr codeName="Sheet23"/>
  <dimension ref="A1:G65"/>
  <sheetViews>
    <sheetView zoomScaleNormal="100" zoomScaleSheetLayoutView="100" workbookViewId="0">
      <selection sqref="A1:E1"/>
    </sheetView>
  </sheetViews>
  <sheetFormatPr defaultRowHeight="12.75"/>
  <cols>
    <col min="1" max="1" width="9.28515625" style="153" bestFit="1" customWidth="1"/>
    <col min="2" max="2" width="2.7109375" style="153" customWidth="1"/>
    <col min="3" max="3" width="56.42578125" style="178" customWidth="1"/>
    <col min="4" max="4" width="4.42578125" style="178" customWidth="1"/>
    <col min="5" max="5" width="13.28515625" style="177" customWidth="1"/>
    <col min="6" max="6" width="9.140625" style="153"/>
    <col min="7" max="7" width="11.28515625" style="153" bestFit="1" customWidth="1"/>
    <col min="8" max="16384" width="9.140625" style="153"/>
  </cols>
  <sheetData>
    <row r="1" spans="1:5">
      <c r="A1" s="645" t="s">
        <v>597</v>
      </c>
      <c r="B1" s="645"/>
      <c r="C1" s="645"/>
      <c r="D1" s="645"/>
      <c r="E1" s="645"/>
    </row>
    <row r="2" spans="1:5">
      <c r="A2" s="645" t="s">
        <v>598</v>
      </c>
      <c r="B2" s="645"/>
      <c r="C2" s="645"/>
      <c r="D2" s="645"/>
      <c r="E2" s="645"/>
    </row>
    <row r="3" spans="1:5">
      <c r="A3" s="645" t="str">
        <f>'Schedule 1 Workpaper'!A3:F3</f>
        <v>12 Months Ended 12/31/2014</v>
      </c>
      <c r="B3" s="645"/>
      <c r="C3" s="645"/>
      <c r="D3" s="645"/>
      <c r="E3" s="645"/>
    </row>
    <row r="5" spans="1:5">
      <c r="A5" s="568">
        <v>1</v>
      </c>
      <c r="B5" s="171" t="s">
        <v>599</v>
      </c>
      <c r="C5" s="172"/>
      <c r="D5" s="172"/>
      <c r="E5" s="173"/>
    </row>
    <row r="6" spans="1:5">
      <c r="A6" s="568">
        <f>A5+1</f>
        <v>2</v>
      </c>
      <c r="C6" s="174" t="s">
        <v>600</v>
      </c>
      <c r="D6" s="174"/>
      <c r="E6" s="128">
        <v>0</v>
      </c>
    </row>
    <row r="7" spans="1:5">
      <c r="A7" s="568">
        <f t="shared" ref="A7:A65" si="0">A6+1</f>
        <v>3</v>
      </c>
      <c r="C7" s="174" t="s">
        <v>601</v>
      </c>
      <c r="D7" s="174"/>
      <c r="E7" s="128">
        <v>13.5</v>
      </c>
    </row>
    <row r="8" spans="1:5">
      <c r="A8" s="568">
        <f t="shared" si="0"/>
        <v>4</v>
      </c>
      <c r="C8" s="174" t="s">
        <v>602</v>
      </c>
      <c r="D8" s="174"/>
      <c r="E8" s="128">
        <v>7035.79</v>
      </c>
    </row>
    <row r="9" spans="1:5">
      <c r="A9" s="568">
        <f t="shared" si="0"/>
        <v>5</v>
      </c>
      <c r="C9" s="174" t="s">
        <v>603</v>
      </c>
      <c r="D9" s="174"/>
      <c r="E9" s="128">
        <v>7480.49</v>
      </c>
    </row>
    <row r="10" spans="1:5">
      <c r="A10" s="568">
        <f t="shared" si="0"/>
        <v>6</v>
      </c>
      <c r="C10" s="174" t="s">
        <v>607</v>
      </c>
      <c r="D10" s="174"/>
      <c r="E10" s="128">
        <v>829.03</v>
      </c>
    </row>
    <row r="11" spans="1:5">
      <c r="A11" s="568">
        <f t="shared" si="0"/>
        <v>7</v>
      </c>
      <c r="C11" s="174" t="s">
        <v>608</v>
      </c>
      <c r="D11" s="174"/>
      <c r="E11" s="128">
        <v>967.79000000000008</v>
      </c>
    </row>
    <row r="12" spans="1:5">
      <c r="A12" s="568">
        <f t="shared" si="0"/>
        <v>8</v>
      </c>
      <c r="C12" s="174" t="s">
        <v>609</v>
      </c>
      <c r="D12" s="174"/>
      <c r="E12" s="128">
        <v>6405.64</v>
      </c>
    </row>
    <row r="13" spans="1:5">
      <c r="A13" s="568">
        <f t="shared" si="0"/>
        <v>9</v>
      </c>
      <c r="C13" s="174" t="s">
        <v>610</v>
      </c>
      <c r="D13" s="174"/>
      <c r="E13" s="128">
        <v>3286.6800000000003</v>
      </c>
    </row>
    <row r="14" spans="1:5">
      <c r="A14" s="568">
        <f t="shared" si="0"/>
        <v>10</v>
      </c>
      <c r="C14" s="174" t="s">
        <v>611</v>
      </c>
      <c r="D14" s="174"/>
      <c r="E14" s="128">
        <v>0</v>
      </c>
    </row>
    <row r="15" spans="1:5">
      <c r="A15" s="568">
        <f t="shared" si="0"/>
        <v>11</v>
      </c>
      <c r="C15" s="174" t="s">
        <v>612</v>
      </c>
      <c r="D15" s="174"/>
      <c r="E15" s="128">
        <v>37.910000000000004</v>
      </c>
    </row>
    <row r="16" spans="1:5">
      <c r="A16" s="568">
        <f t="shared" si="0"/>
        <v>12</v>
      </c>
      <c r="C16" s="174" t="s">
        <v>613</v>
      </c>
      <c r="D16" s="174"/>
      <c r="E16" s="128">
        <v>3862.7999999999997</v>
      </c>
    </row>
    <row r="17" spans="1:5">
      <c r="A17" s="568">
        <f t="shared" si="0"/>
        <v>13</v>
      </c>
      <c r="C17" s="174" t="s">
        <v>614</v>
      </c>
      <c r="D17" s="174"/>
      <c r="E17" s="128">
        <v>4117.0300000000007</v>
      </c>
    </row>
    <row r="18" spans="1:5">
      <c r="A18" s="568">
        <f t="shared" si="0"/>
        <v>14</v>
      </c>
      <c r="C18" s="174" t="s">
        <v>615</v>
      </c>
      <c r="D18" s="174"/>
      <c r="E18" s="128">
        <v>0</v>
      </c>
    </row>
    <row r="19" spans="1:5">
      <c r="A19" s="568">
        <f t="shared" si="0"/>
        <v>15</v>
      </c>
      <c r="C19" s="174" t="s">
        <v>616</v>
      </c>
      <c r="D19" s="174"/>
      <c r="E19" s="128">
        <v>0</v>
      </c>
    </row>
    <row r="20" spans="1:5">
      <c r="A20" s="568">
        <f t="shared" si="0"/>
        <v>16</v>
      </c>
      <c r="C20" s="174" t="s">
        <v>617</v>
      </c>
      <c r="D20" s="174"/>
      <c r="E20" s="128">
        <v>0</v>
      </c>
    </row>
    <row r="21" spans="1:5">
      <c r="A21" s="568">
        <f t="shared" si="0"/>
        <v>17</v>
      </c>
      <c r="C21" s="174" t="s">
        <v>618</v>
      </c>
      <c r="D21" s="174"/>
      <c r="E21" s="128">
        <v>0</v>
      </c>
    </row>
    <row r="22" spans="1:5">
      <c r="A22" s="568">
        <f t="shared" si="0"/>
        <v>18</v>
      </c>
      <c r="C22" s="174" t="s">
        <v>619</v>
      </c>
      <c r="D22" s="174"/>
      <c r="E22" s="128">
        <v>9.85</v>
      </c>
    </row>
    <row r="23" spans="1:5">
      <c r="A23" s="568">
        <f t="shared" si="0"/>
        <v>19</v>
      </c>
      <c r="C23" s="174" t="s">
        <v>620</v>
      </c>
      <c r="D23" s="174"/>
      <c r="E23" s="128">
        <v>0</v>
      </c>
    </row>
    <row r="24" spans="1:5">
      <c r="A24" s="568">
        <f t="shared" si="0"/>
        <v>20</v>
      </c>
      <c r="C24" s="174" t="s">
        <v>621</v>
      </c>
      <c r="D24" s="174"/>
      <c r="E24" s="128">
        <v>2368.1</v>
      </c>
    </row>
    <row r="25" spans="1:5">
      <c r="A25" s="568">
        <f t="shared" si="0"/>
        <v>21</v>
      </c>
      <c r="C25" s="174" t="s">
        <v>826</v>
      </c>
      <c r="D25" s="174"/>
      <c r="E25" s="128">
        <v>448.88000000000011</v>
      </c>
    </row>
    <row r="26" spans="1:5">
      <c r="A26" s="568">
        <f t="shared" si="0"/>
        <v>22</v>
      </c>
      <c r="C26" s="174" t="s">
        <v>1150</v>
      </c>
      <c r="D26" s="174"/>
      <c r="E26" s="128">
        <v>0</v>
      </c>
    </row>
    <row r="27" spans="1:5">
      <c r="A27" s="568">
        <f t="shared" si="0"/>
        <v>23</v>
      </c>
      <c r="C27" s="174" t="s">
        <v>622</v>
      </c>
      <c r="D27" s="174"/>
      <c r="E27" s="128">
        <v>4456.0499999999993</v>
      </c>
    </row>
    <row r="28" spans="1:5">
      <c r="A28" s="568">
        <f t="shared" si="0"/>
        <v>24</v>
      </c>
      <c r="C28" s="174" t="s">
        <v>623</v>
      </c>
      <c r="D28" s="174"/>
      <c r="E28" s="128">
        <v>0</v>
      </c>
    </row>
    <row r="29" spans="1:5">
      <c r="A29" s="568">
        <f t="shared" si="0"/>
        <v>25</v>
      </c>
      <c r="C29" s="174" t="s">
        <v>624</v>
      </c>
      <c r="D29" s="174"/>
      <c r="E29" s="128">
        <v>27294.98</v>
      </c>
    </row>
    <row r="30" spans="1:5">
      <c r="A30" s="568">
        <f t="shared" si="0"/>
        <v>26</v>
      </c>
      <c r="C30" s="174" t="s">
        <v>625</v>
      </c>
      <c r="D30" s="174"/>
      <c r="E30" s="128">
        <v>4231.8999999999987</v>
      </c>
    </row>
    <row r="31" spans="1:5">
      <c r="A31" s="568">
        <f t="shared" si="0"/>
        <v>27</v>
      </c>
      <c r="C31" s="174" t="s">
        <v>626</v>
      </c>
      <c r="D31" s="174"/>
      <c r="E31" s="128">
        <v>0</v>
      </c>
    </row>
    <row r="32" spans="1:5">
      <c r="A32" s="568">
        <f t="shared" si="0"/>
        <v>28</v>
      </c>
      <c r="C32" s="174" t="s">
        <v>627</v>
      </c>
      <c r="D32" s="174"/>
      <c r="E32" s="128">
        <v>692.77999999999986</v>
      </c>
    </row>
    <row r="33" spans="1:5">
      <c r="A33" s="568">
        <f t="shared" si="0"/>
        <v>29</v>
      </c>
      <c r="C33" s="174" t="s">
        <v>628</v>
      </c>
      <c r="D33" s="174"/>
      <c r="E33" s="128">
        <v>6919.2000000000007</v>
      </c>
    </row>
    <row r="34" spans="1:5">
      <c r="A34" s="568">
        <f t="shared" si="0"/>
        <v>30</v>
      </c>
      <c r="C34" s="174" t="s">
        <v>629</v>
      </c>
      <c r="D34" s="174"/>
      <c r="E34" s="128">
        <v>4044.3000000000006</v>
      </c>
    </row>
    <row r="35" spans="1:5">
      <c r="A35" s="568">
        <f t="shared" si="0"/>
        <v>31</v>
      </c>
      <c r="C35" s="174" t="s">
        <v>630</v>
      </c>
      <c r="D35" s="174"/>
      <c r="E35" s="128">
        <v>0</v>
      </c>
    </row>
    <row r="36" spans="1:5">
      <c r="A36" s="568">
        <f t="shared" si="0"/>
        <v>32</v>
      </c>
      <c r="C36" s="174" t="s">
        <v>631</v>
      </c>
      <c r="D36" s="174"/>
      <c r="E36" s="128">
        <v>0</v>
      </c>
    </row>
    <row r="37" spans="1:5">
      <c r="A37" s="568">
        <f t="shared" si="0"/>
        <v>33</v>
      </c>
      <c r="C37" s="174" t="s">
        <v>632</v>
      </c>
      <c r="D37" s="174"/>
      <c r="E37" s="128">
        <v>0</v>
      </c>
    </row>
    <row r="38" spans="1:5">
      <c r="A38" s="568">
        <f t="shared" si="0"/>
        <v>34</v>
      </c>
      <c r="C38" s="174" t="s">
        <v>633</v>
      </c>
      <c r="D38" s="174"/>
      <c r="E38" s="128">
        <v>81315.310000000056</v>
      </c>
    </row>
    <row r="39" spans="1:5">
      <c r="A39" s="568">
        <f t="shared" si="0"/>
        <v>35</v>
      </c>
      <c r="C39" s="174" t="s">
        <v>634</v>
      </c>
      <c r="D39" s="174"/>
      <c r="E39" s="128">
        <v>0</v>
      </c>
    </row>
    <row r="40" spans="1:5">
      <c r="A40" s="568">
        <f t="shared" si="0"/>
        <v>36</v>
      </c>
      <c r="C40" s="174" t="s">
        <v>635</v>
      </c>
      <c r="D40" s="174"/>
      <c r="E40" s="128">
        <v>0</v>
      </c>
    </row>
    <row r="41" spans="1:5">
      <c r="A41" s="568">
        <f t="shared" si="0"/>
        <v>37</v>
      </c>
      <c r="C41" s="174" t="s">
        <v>636</v>
      </c>
      <c r="D41" s="174"/>
      <c r="E41" s="128">
        <v>0</v>
      </c>
    </row>
    <row r="42" spans="1:5">
      <c r="A42" s="568">
        <f t="shared" si="0"/>
        <v>38</v>
      </c>
      <c r="C42" s="174" t="s">
        <v>637</v>
      </c>
      <c r="D42" s="174"/>
      <c r="E42" s="128">
        <v>891.5</v>
      </c>
    </row>
    <row r="43" spans="1:5">
      <c r="A43" s="568">
        <f t="shared" si="0"/>
        <v>39</v>
      </c>
      <c r="C43" s="174" t="s">
        <v>638</v>
      </c>
      <c r="D43" s="174"/>
      <c r="E43" s="128">
        <v>0</v>
      </c>
    </row>
    <row r="44" spans="1:5">
      <c r="A44" s="568">
        <f t="shared" si="0"/>
        <v>40</v>
      </c>
      <c r="C44" s="174" t="s">
        <v>639</v>
      </c>
      <c r="D44" s="174"/>
      <c r="E44" s="128">
        <v>72.03</v>
      </c>
    </row>
    <row r="45" spans="1:5">
      <c r="A45" s="568">
        <f t="shared" si="0"/>
        <v>41</v>
      </c>
      <c r="C45" s="174" t="s">
        <v>640</v>
      </c>
      <c r="D45" s="174"/>
      <c r="E45" s="128">
        <v>50895.46</v>
      </c>
    </row>
    <row r="46" spans="1:5">
      <c r="A46" s="568">
        <f t="shared" si="0"/>
        <v>42</v>
      </c>
      <c r="C46" s="174" t="s">
        <v>827</v>
      </c>
      <c r="D46" s="174"/>
      <c r="E46" s="128">
        <v>0</v>
      </c>
    </row>
    <row r="47" spans="1:5">
      <c r="A47" s="568">
        <f t="shared" si="0"/>
        <v>43</v>
      </c>
      <c r="C47" s="153" t="s">
        <v>1218</v>
      </c>
      <c r="D47" s="174"/>
      <c r="E47" s="128">
        <v>2034.6200000000001</v>
      </c>
    </row>
    <row r="48" spans="1:5">
      <c r="A48" s="568">
        <f t="shared" si="0"/>
        <v>44</v>
      </c>
      <c r="C48" s="174" t="s">
        <v>1151</v>
      </c>
      <c r="D48" s="174"/>
      <c r="E48" s="608">
        <v>832.76</v>
      </c>
    </row>
    <row r="49" spans="1:7">
      <c r="A49" s="568">
        <f t="shared" si="0"/>
        <v>45</v>
      </c>
      <c r="C49" s="176" t="s">
        <v>641</v>
      </c>
      <c r="D49" s="176"/>
      <c r="E49" s="177">
        <f>SUM(E6:E48)</f>
        <v>220544.38000000003</v>
      </c>
    </row>
    <row r="50" spans="1:7">
      <c r="A50" s="568">
        <f t="shared" si="0"/>
        <v>46</v>
      </c>
    </row>
    <row r="51" spans="1:7">
      <c r="A51" s="568">
        <f t="shared" si="0"/>
        <v>47</v>
      </c>
      <c r="B51" s="171" t="s">
        <v>926</v>
      </c>
      <c r="C51" s="174"/>
    </row>
    <row r="52" spans="1:7">
      <c r="A52" s="568">
        <f t="shared" si="0"/>
        <v>48</v>
      </c>
      <c r="C52" s="153" t="s">
        <v>970</v>
      </c>
      <c r="D52" s="153"/>
      <c r="E52" s="513">
        <f>G52*$E$63</f>
        <v>1020.22</v>
      </c>
      <c r="G52" s="609">
        <f>1020.22*2</f>
        <v>2040.44</v>
      </c>
    </row>
    <row r="53" spans="1:7">
      <c r="A53" s="568">
        <f t="shared" si="0"/>
        <v>49</v>
      </c>
      <c r="C53" s="178" t="s">
        <v>971</v>
      </c>
      <c r="E53" s="177">
        <f>G53*$E$64</f>
        <v>0</v>
      </c>
      <c r="G53" s="609">
        <v>0</v>
      </c>
    </row>
    <row r="54" spans="1:7">
      <c r="A54" s="568">
        <f t="shared" si="0"/>
        <v>50</v>
      </c>
      <c r="C54" s="178" t="s">
        <v>972</v>
      </c>
      <c r="E54" s="177">
        <f>G54*$E$65</f>
        <v>155926.7284407327</v>
      </c>
      <c r="G54" s="609">
        <v>467780.19</v>
      </c>
    </row>
    <row r="55" spans="1:7">
      <c r="A55" s="568">
        <f t="shared" si="0"/>
        <v>51</v>
      </c>
      <c r="C55" s="178" t="s">
        <v>973</v>
      </c>
      <c r="E55" s="177">
        <f>G55*$E$65</f>
        <v>6997.9999300199997</v>
      </c>
      <c r="G55" s="609">
        <v>20994</v>
      </c>
    </row>
    <row r="56" spans="1:7">
      <c r="A56" s="568">
        <f t="shared" si="0"/>
        <v>52</v>
      </c>
      <c r="C56" s="178" t="s">
        <v>974</v>
      </c>
      <c r="E56" s="177">
        <f>G56*$E$65</f>
        <v>346.66666319999996</v>
      </c>
      <c r="G56" s="609">
        <v>1040</v>
      </c>
    </row>
    <row r="57" spans="1:7">
      <c r="A57" s="568">
        <f t="shared" si="0"/>
        <v>53</v>
      </c>
      <c r="C57" s="178" t="s">
        <v>975</v>
      </c>
      <c r="E57" s="177">
        <f>G57*$E$65</f>
        <v>12879.66653787</v>
      </c>
      <c r="G57" s="609">
        <v>38639</v>
      </c>
    </row>
    <row r="58" spans="1:7">
      <c r="A58" s="568">
        <f t="shared" si="0"/>
        <v>54</v>
      </c>
      <c r="C58" s="178" t="s">
        <v>976</v>
      </c>
      <c r="E58" s="514">
        <f>G58*$E$65</f>
        <v>4448.7766221788997</v>
      </c>
      <c r="G58" s="609">
        <v>13346.33</v>
      </c>
    </row>
    <row r="59" spans="1:7">
      <c r="A59" s="568">
        <f t="shared" si="0"/>
        <v>55</v>
      </c>
      <c r="C59" s="179" t="s">
        <v>641</v>
      </c>
      <c r="E59" s="177">
        <f>SUM(E52:E58)</f>
        <v>181620.05819400161</v>
      </c>
      <c r="G59" s="590"/>
    </row>
    <row r="60" spans="1:7">
      <c r="A60" s="568">
        <f t="shared" si="0"/>
        <v>56</v>
      </c>
      <c r="B60" s="157"/>
    </row>
    <row r="61" spans="1:7">
      <c r="A61" s="568">
        <f t="shared" si="0"/>
        <v>57</v>
      </c>
      <c r="B61" s="157" t="s">
        <v>454</v>
      </c>
      <c r="E61" s="180">
        <f>E49+E59</f>
        <v>402164.43819400168</v>
      </c>
    </row>
    <row r="62" spans="1:7">
      <c r="A62" s="568">
        <f t="shared" si="0"/>
        <v>58</v>
      </c>
    </row>
    <row r="63" spans="1:7">
      <c r="A63" s="568">
        <f t="shared" si="0"/>
        <v>59</v>
      </c>
      <c r="B63" s="178" t="s">
        <v>992</v>
      </c>
      <c r="C63" s="153" t="s">
        <v>994</v>
      </c>
      <c r="E63" s="181">
        <v>0.5</v>
      </c>
    </row>
    <row r="64" spans="1:7">
      <c r="A64" s="568">
        <f t="shared" si="0"/>
        <v>60</v>
      </c>
      <c r="C64" s="178" t="s">
        <v>995</v>
      </c>
      <c r="E64" s="181">
        <v>0.1</v>
      </c>
    </row>
    <row r="65" spans="1:5">
      <c r="A65" s="568">
        <f t="shared" si="0"/>
        <v>61</v>
      </c>
      <c r="C65" s="182" t="s">
        <v>993</v>
      </c>
      <c r="E65" s="181">
        <v>0.33333332999999998</v>
      </c>
    </row>
  </sheetData>
  <sheetProtection formatCells="0"/>
  <mergeCells count="3">
    <mergeCell ref="A1:E1"/>
    <mergeCell ref="A2:E2"/>
    <mergeCell ref="A3:E3"/>
  </mergeCells>
  <phoneticPr fontId="16" type="noConversion"/>
  <printOptions horizontalCentered="1"/>
  <pageMargins left="0.75" right="0.75" top="1" bottom="1" header="0.5" footer="0.5"/>
  <pageSetup scale="71" orientation="portrait" r:id="rId1"/>
  <headerFooter alignWithMargins="0">
    <oddHeader>&amp;CIDAHO POWER COMPANY
Transmission Cost of Service Rate Development
12 Months Ended 12/31/2014</oddHeader>
  </headerFooter>
</worksheet>
</file>

<file path=xl/worksheets/sheet24.xml><?xml version="1.0" encoding="utf-8"?>
<worksheet xmlns="http://schemas.openxmlformats.org/spreadsheetml/2006/main" xmlns:r="http://schemas.openxmlformats.org/officeDocument/2006/relationships">
  <sheetPr codeName="Sheet24"/>
  <dimension ref="A1:J60"/>
  <sheetViews>
    <sheetView zoomScaleNormal="100" zoomScaleSheetLayoutView="100" workbookViewId="0">
      <selection sqref="A1:G1"/>
    </sheetView>
  </sheetViews>
  <sheetFormatPr defaultRowHeight="12.75"/>
  <cols>
    <col min="1" max="1" width="9.140625" style="198"/>
    <col min="2" max="2" width="2.7109375" style="564" customWidth="1"/>
    <col min="3" max="3" width="31.42578125" style="21" bestFit="1" customWidth="1"/>
    <col min="4" max="4" width="4.42578125" style="21" customWidth="1"/>
    <col min="5" max="5" width="13.28515625" style="66" customWidth="1"/>
    <col min="6" max="6" width="13.28515625" style="198" bestFit="1" customWidth="1"/>
    <col min="7" max="7" width="14.140625" style="198" customWidth="1"/>
    <col min="8" max="9" width="9.140625" style="198"/>
    <col min="10" max="10" width="10.28515625" style="198" bestFit="1" customWidth="1"/>
    <col min="11" max="16384" width="9.140625" style="198"/>
  </cols>
  <sheetData>
    <row r="1" spans="1:7">
      <c r="A1" s="637" t="s">
        <v>642</v>
      </c>
      <c r="B1" s="637"/>
      <c r="C1" s="637"/>
      <c r="D1" s="637"/>
      <c r="E1" s="637"/>
      <c r="F1" s="637"/>
      <c r="G1" s="637"/>
    </row>
    <row r="2" spans="1:7">
      <c r="A2" s="637" t="s">
        <v>643</v>
      </c>
      <c r="B2" s="637"/>
      <c r="C2" s="637"/>
      <c r="D2" s="637"/>
      <c r="E2" s="637"/>
      <c r="F2" s="637"/>
      <c r="G2" s="637"/>
    </row>
    <row r="3" spans="1:7">
      <c r="A3" s="637" t="str">
        <f>'Schedule 1 Workpaper'!A3:F3</f>
        <v>12 Months Ended 12/31/2014</v>
      </c>
      <c r="B3" s="637"/>
      <c r="C3" s="637"/>
      <c r="D3" s="637"/>
      <c r="E3" s="637"/>
      <c r="F3" s="637"/>
      <c r="G3" s="637"/>
    </row>
    <row r="5" spans="1:7">
      <c r="A5" s="564"/>
      <c r="B5" s="2"/>
      <c r="C5" s="67"/>
      <c r="D5" s="67"/>
      <c r="E5" s="68"/>
    </row>
    <row r="6" spans="1:7">
      <c r="A6" s="564"/>
      <c r="C6" s="69"/>
      <c r="D6" s="69"/>
    </row>
    <row r="7" spans="1:7">
      <c r="A7" s="564"/>
      <c r="C7" s="69"/>
      <c r="D7" s="69"/>
    </row>
    <row r="8" spans="1:7">
      <c r="A8" s="564"/>
      <c r="B8" s="564">
        <v>1</v>
      </c>
      <c r="C8" s="69" t="s">
        <v>644</v>
      </c>
      <c r="D8" s="69"/>
      <c r="E8" s="66" t="s">
        <v>246</v>
      </c>
      <c r="F8" s="16">
        <f>'Schedule 2'!F74</f>
        <v>27321469.280000001</v>
      </c>
    </row>
    <row r="9" spans="1:7">
      <c r="A9" s="564"/>
      <c r="B9" s="564">
        <f>B8+1</f>
        <v>2</v>
      </c>
      <c r="C9" s="69" t="s">
        <v>645</v>
      </c>
      <c r="D9" s="69"/>
      <c r="E9" s="66" t="s">
        <v>318</v>
      </c>
      <c r="F9" s="198">
        <f>'Schedule 3'!F16</f>
        <v>1.02454E-3</v>
      </c>
    </row>
    <row r="10" spans="1:7">
      <c r="A10" s="564"/>
      <c r="B10" s="564">
        <f>B9+1</f>
        <v>3</v>
      </c>
      <c r="C10" s="69" t="s">
        <v>646</v>
      </c>
      <c r="D10" s="69"/>
      <c r="E10" s="66" t="s">
        <v>647</v>
      </c>
      <c r="F10" s="85">
        <f>ROUND(F8 * F9,0)</f>
        <v>27992</v>
      </c>
    </row>
    <row r="11" spans="1:7">
      <c r="A11" s="564"/>
      <c r="C11" s="69"/>
      <c r="D11" s="69"/>
    </row>
    <row r="12" spans="1:7">
      <c r="A12" s="564"/>
      <c r="C12" s="69"/>
      <c r="D12" s="69"/>
    </row>
    <row r="13" spans="1:7">
      <c r="A13" s="564"/>
      <c r="C13" s="69"/>
      <c r="D13" s="69"/>
    </row>
    <row r="14" spans="1:7">
      <c r="A14" s="564"/>
      <c r="C14" s="69"/>
      <c r="D14" s="69"/>
    </row>
    <row r="15" spans="1:7">
      <c r="A15" s="564"/>
      <c r="C15" s="69"/>
      <c r="D15" s="69"/>
    </row>
    <row r="16" spans="1:7">
      <c r="A16" s="564"/>
      <c r="C16" s="69"/>
      <c r="D16" s="69"/>
    </row>
    <row r="17" spans="1:4">
      <c r="A17" s="564"/>
      <c r="C17" s="69"/>
      <c r="D17" s="69"/>
    </row>
    <row r="18" spans="1:4">
      <c r="A18" s="564"/>
      <c r="C18" s="69"/>
      <c r="D18" s="69"/>
    </row>
    <row r="19" spans="1:4">
      <c r="A19" s="564"/>
      <c r="C19" s="69"/>
      <c r="D19" s="69"/>
    </row>
    <row r="20" spans="1:4">
      <c r="A20" s="564"/>
      <c r="C20" s="69"/>
      <c r="D20" s="69"/>
    </row>
    <row r="21" spans="1:4">
      <c r="A21" s="564"/>
      <c r="C21" s="69"/>
      <c r="D21" s="69"/>
    </row>
    <row r="22" spans="1:4">
      <c r="A22" s="564"/>
      <c r="C22" s="69"/>
      <c r="D22" s="69"/>
    </row>
    <row r="23" spans="1:4">
      <c r="A23" s="564"/>
      <c r="C23" s="69"/>
      <c r="D23" s="69"/>
    </row>
    <row r="24" spans="1:4">
      <c r="A24" s="564"/>
      <c r="C24" s="69"/>
      <c r="D24" s="69"/>
    </row>
    <row r="25" spans="1:4">
      <c r="A25" s="564"/>
      <c r="C25" s="69"/>
      <c r="D25" s="69"/>
    </row>
    <row r="26" spans="1:4">
      <c r="A26" s="564"/>
      <c r="C26" s="69"/>
      <c r="D26" s="69"/>
    </row>
    <row r="27" spans="1:4">
      <c r="A27" s="564"/>
      <c r="C27" s="69"/>
      <c r="D27" s="69"/>
    </row>
    <row r="28" spans="1:4">
      <c r="A28" s="564"/>
      <c r="C28" s="69"/>
      <c r="D28" s="69"/>
    </row>
    <row r="29" spans="1:4">
      <c r="A29" s="564"/>
      <c r="C29" s="69"/>
      <c r="D29" s="69"/>
    </row>
    <row r="30" spans="1:4">
      <c r="A30" s="564"/>
      <c r="C30" s="69"/>
      <c r="D30" s="69"/>
    </row>
    <row r="31" spans="1:4">
      <c r="A31" s="564"/>
      <c r="C31" s="69"/>
      <c r="D31" s="69"/>
    </row>
    <row r="32" spans="1:4">
      <c r="A32" s="564"/>
      <c r="C32" s="69"/>
      <c r="D32" s="69"/>
    </row>
    <row r="33" spans="1:4">
      <c r="A33" s="564"/>
      <c r="C33" s="69"/>
      <c r="D33" s="69"/>
    </row>
    <row r="34" spans="1:4">
      <c r="A34" s="564"/>
      <c r="C34" s="69"/>
      <c r="D34" s="69"/>
    </row>
    <row r="35" spans="1:4">
      <c r="A35" s="564"/>
      <c r="C35" s="69"/>
      <c r="D35" s="69"/>
    </row>
    <row r="36" spans="1:4">
      <c r="A36" s="564"/>
      <c r="C36" s="69"/>
      <c r="D36" s="69"/>
    </row>
    <row r="37" spans="1:4">
      <c r="A37" s="564"/>
      <c r="C37" s="69"/>
      <c r="D37" s="69"/>
    </row>
    <row r="38" spans="1:4">
      <c r="A38" s="564"/>
      <c r="C38" s="69"/>
      <c r="D38" s="69"/>
    </row>
    <row r="39" spans="1:4">
      <c r="A39" s="564"/>
      <c r="C39" s="69"/>
      <c r="D39" s="69"/>
    </row>
    <row r="40" spans="1:4">
      <c r="A40" s="564"/>
      <c r="C40" s="69"/>
      <c r="D40" s="69"/>
    </row>
    <row r="41" spans="1:4">
      <c r="A41" s="564"/>
      <c r="C41" s="69"/>
      <c r="D41" s="69"/>
    </row>
    <row r="42" spans="1:4">
      <c r="A42" s="564"/>
      <c r="C42" s="69"/>
      <c r="D42" s="69"/>
    </row>
    <row r="43" spans="1:4">
      <c r="A43" s="564"/>
      <c r="C43" s="69"/>
      <c r="D43" s="69"/>
    </row>
    <row r="44" spans="1:4">
      <c r="A44" s="564"/>
      <c r="C44" s="69"/>
      <c r="D44" s="69"/>
    </row>
    <row r="45" spans="1:4">
      <c r="A45" s="564"/>
      <c r="C45" s="69"/>
      <c r="D45" s="69"/>
    </row>
    <row r="46" spans="1:4">
      <c r="A46" s="564"/>
      <c r="C46" s="70"/>
      <c r="D46" s="70"/>
    </row>
    <row r="47" spans="1:4">
      <c r="A47" s="564"/>
    </row>
    <row r="48" spans="1:4">
      <c r="A48" s="564"/>
      <c r="B48" s="2"/>
      <c r="C48" s="69"/>
    </row>
    <row r="49" spans="1:10">
      <c r="A49" s="564"/>
      <c r="C49" s="198"/>
      <c r="D49" s="198"/>
      <c r="F49" s="103"/>
      <c r="G49" s="564"/>
      <c r="J49" s="104"/>
    </row>
    <row r="50" spans="1:10">
      <c r="A50" s="564"/>
      <c r="C50" s="198"/>
      <c r="D50" s="198"/>
      <c r="F50" s="103"/>
      <c r="G50" s="564"/>
      <c r="J50" s="104"/>
    </row>
    <row r="51" spans="1:10">
      <c r="A51" s="564"/>
      <c r="C51" s="198"/>
      <c r="D51" s="198"/>
      <c r="F51" s="103"/>
      <c r="G51" s="564"/>
      <c r="J51" s="104"/>
    </row>
    <row r="52" spans="1:10">
      <c r="A52" s="564"/>
    </row>
    <row r="53" spans="1:10">
      <c r="A53" s="564"/>
    </row>
    <row r="54" spans="1:10">
      <c r="A54" s="564"/>
    </row>
    <row r="55" spans="1:10">
      <c r="A55" s="564"/>
    </row>
    <row r="56" spans="1:10">
      <c r="A56" s="564"/>
    </row>
    <row r="57" spans="1:10">
      <c r="A57" s="564"/>
    </row>
    <row r="58" spans="1:10">
      <c r="A58" s="564"/>
      <c r="C58" s="25"/>
    </row>
    <row r="59" spans="1:10">
      <c r="A59" s="564"/>
      <c r="B59" s="565"/>
    </row>
    <row r="60" spans="1:10">
      <c r="A60" s="564"/>
      <c r="B60" s="565"/>
    </row>
  </sheetData>
  <mergeCells count="3">
    <mergeCell ref="A1:G1"/>
    <mergeCell ref="A2:G2"/>
    <mergeCell ref="A3:G3"/>
  </mergeCells>
  <phoneticPr fontId="16" type="noConversion"/>
  <printOptions horizontalCentered="1"/>
  <pageMargins left="0.75" right="0.75" top="1" bottom="1" header="0.5" footer="0.5"/>
  <pageSetup scale="71" orientation="portrait" r:id="rId1"/>
  <headerFooter alignWithMargins="0">
    <oddHeader>&amp;CIDAHO POWER COMPANY
Transmission Cost of Service Rate Development
12 Months Ended 12/31/2014</oddHeader>
  </headerFooter>
</worksheet>
</file>

<file path=xl/worksheets/sheet25.xml><?xml version="1.0" encoding="utf-8"?>
<worksheet xmlns="http://schemas.openxmlformats.org/spreadsheetml/2006/main" xmlns:r="http://schemas.openxmlformats.org/officeDocument/2006/relationships">
  <sheetPr codeName="Sheet25"/>
  <dimension ref="A1:G27"/>
  <sheetViews>
    <sheetView zoomScaleNormal="100" zoomScaleSheetLayoutView="148" workbookViewId="0">
      <selection sqref="A1:E1"/>
    </sheetView>
  </sheetViews>
  <sheetFormatPr defaultRowHeight="12.75"/>
  <cols>
    <col min="1" max="1" width="3" style="198" bestFit="1" customWidth="1"/>
    <col min="2" max="2" width="30.85546875" style="198" bestFit="1" customWidth="1"/>
    <col min="3" max="3" width="26.5703125" style="198" bestFit="1" customWidth="1"/>
    <col min="4" max="4" width="2.140625" style="198" customWidth="1"/>
    <col min="5" max="5" width="22.42578125" style="198" bestFit="1" customWidth="1"/>
    <col min="6" max="16384" width="9.140625" style="198"/>
  </cols>
  <sheetData>
    <row r="1" spans="1:7">
      <c r="A1" s="637" t="s">
        <v>379</v>
      </c>
      <c r="B1" s="637"/>
      <c r="C1" s="637"/>
      <c r="D1" s="637"/>
      <c r="E1" s="637"/>
      <c r="F1" s="141"/>
      <c r="G1" s="141"/>
    </row>
    <row r="2" spans="1:7">
      <c r="A2" s="637" t="s">
        <v>49</v>
      </c>
      <c r="B2" s="637"/>
      <c r="C2" s="637"/>
      <c r="D2" s="637"/>
      <c r="E2" s="637"/>
      <c r="F2" s="141"/>
      <c r="G2" s="141"/>
    </row>
    <row r="3" spans="1:7">
      <c r="A3" s="637" t="str">
        <f>'Schedule 1 Workpaper'!A3:F3</f>
        <v>12 Months Ended 12/31/2014</v>
      </c>
      <c r="B3" s="637"/>
      <c r="C3" s="637"/>
      <c r="D3" s="637"/>
      <c r="E3" s="637"/>
    </row>
    <row r="4" spans="1:7">
      <c r="A4" s="564"/>
      <c r="B4" s="564"/>
      <c r="C4" s="564"/>
      <c r="D4" s="564"/>
      <c r="E4" s="564"/>
      <c r="F4" s="564"/>
    </row>
    <row r="5" spans="1:7">
      <c r="A5" s="636" t="s">
        <v>90</v>
      </c>
      <c r="B5" s="636"/>
      <c r="C5" s="636"/>
      <c r="D5" s="636"/>
      <c r="E5" s="636"/>
      <c r="F5" s="564"/>
    </row>
    <row r="6" spans="1:7">
      <c r="A6" s="636" t="s">
        <v>91</v>
      </c>
      <c r="B6" s="636"/>
      <c r="C6" s="636"/>
      <c r="D6" s="636"/>
      <c r="E6" s="636"/>
    </row>
    <row r="7" spans="1:7">
      <c r="A7" s="636" t="s">
        <v>92</v>
      </c>
      <c r="B7" s="636"/>
      <c r="C7" s="636"/>
      <c r="D7" s="636"/>
      <c r="E7" s="636"/>
    </row>
    <row r="8" spans="1:7">
      <c r="A8" s="564"/>
      <c r="B8" s="564"/>
      <c r="C8" s="564"/>
      <c r="D8" s="564"/>
      <c r="E8" s="564"/>
    </row>
    <row r="9" spans="1:7">
      <c r="A9" s="564"/>
      <c r="B9" s="564"/>
      <c r="C9" s="564"/>
      <c r="D9" s="564"/>
      <c r="E9" s="564"/>
    </row>
    <row r="10" spans="1:7">
      <c r="B10" s="564"/>
      <c r="C10" s="566"/>
      <c r="D10" s="566"/>
      <c r="E10" s="566"/>
    </row>
    <row r="11" spans="1:7">
      <c r="C11" s="99"/>
      <c r="D11" s="99"/>
      <c r="E11" s="99"/>
    </row>
    <row r="12" spans="1:7">
      <c r="B12" s="142" t="s">
        <v>534</v>
      </c>
      <c r="C12" s="3">
        <f>'Schedule 2 Workpaper page 4'!E21</f>
        <v>5394913.9000000004</v>
      </c>
      <c r="D12" s="99"/>
      <c r="E12" s="99"/>
    </row>
    <row r="13" spans="1:7">
      <c r="B13" s="142"/>
      <c r="C13" s="99"/>
      <c r="D13" s="99"/>
      <c r="E13" s="99"/>
    </row>
    <row r="14" spans="1:7">
      <c r="B14" s="142" t="s">
        <v>319</v>
      </c>
      <c r="C14" s="3">
        <f>'Schedule 2 Workpaper page 4'!E25</f>
        <v>1814236.4</v>
      </c>
      <c r="D14" s="99"/>
      <c r="E14" s="99"/>
    </row>
    <row r="15" spans="1:7">
      <c r="C15" s="99"/>
      <c r="D15" s="99"/>
      <c r="E15" s="99"/>
    </row>
    <row r="16" spans="1:7">
      <c r="C16" s="99"/>
      <c r="D16" s="99"/>
      <c r="E16" s="99"/>
    </row>
    <row r="17" spans="3:5">
      <c r="C17" s="99"/>
      <c r="D17" s="99"/>
      <c r="E17" s="99"/>
    </row>
    <row r="18" spans="3:5">
      <c r="C18" s="99"/>
      <c r="D18" s="99"/>
      <c r="E18" s="99"/>
    </row>
    <row r="19" spans="3:5">
      <c r="C19" s="99"/>
      <c r="D19" s="99"/>
      <c r="E19" s="100"/>
    </row>
    <row r="20" spans="3:5">
      <c r="C20" s="99"/>
      <c r="D20" s="99"/>
      <c r="E20" s="99"/>
    </row>
    <row r="21" spans="3:5">
      <c r="C21" s="99"/>
      <c r="D21" s="99"/>
      <c r="E21" s="99"/>
    </row>
    <row r="22" spans="3:5">
      <c r="C22" s="101"/>
      <c r="D22" s="101"/>
      <c r="E22" s="101"/>
    </row>
    <row r="23" spans="3:5">
      <c r="C23" s="101"/>
      <c r="D23" s="101"/>
      <c r="E23" s="101"/>
    </row>
    <row r="24" spans="3:5">
      <c r="C24" s="101"/>
      <c r="D24" s="101"/>
      <c r="E24" s="101"/>
    </row>
    <row r="25" spans="3:5">
      <c r="C25" s="101"/>
      <c r="D25" s="101"/>
      <c r="E25" s="102"/>
    </row>
    <row r="26" spans="3:5">
      <c r="C26" s="101"/>
      <c r="D26" s="101"/>
      <c r="E26" s="102"/>
    </row>
    <row r="27" spans="3:5">
      <c r="C27" s="141"/>
      <c r="D27" s="141"/>
      <c r="E27" s="141"/>
    </row>
  </sheetData>
  <mergeCells count="6">
    <mergeCell ref="A6:E6"/>
    <mergeCell ref="A7:E7"/>
    <mergeCell ref="A1:E1"/>
    <mergeCell ref="A2:E2"/>
    <mergeCell ref="A3:E3"/>
    <mergeCell ref="A5:E5"/>
  </mergeCells>
  <phoneticPr fontId="16" type="noConversion"/>
  <printOptions horizontalCentered="1"/>
  <pageMargins left="0.75" right="0.75" top="1" bottom="1" header="0.5" footer="0.5"/>
  <pageSetup scale="71" orientation="portrait" r:id="rId1"/>
  <headerFooter alignWithMargins="0">
    <oddHeader>&amp;CIDAHO POWER COMPANY
Transmission Cost of Service Rate Development
12 Months Ended 12/31/2014</oddHeader>
  </headerFooter>
</worksheet>
</file>

<file path=xl/worksheets/sheet26.xml><?xml version="1.0" encoding="utf-8"?>
<worksheet xmlns="http://schemas.openxmlformats.org/spreadsheetml/2006/main" xmlns:r="http://schemas.openxmlformats.org/officeDocument/2006/relationships">
  <sheetPr codeName="Sheet26"/>
  <dimension ref="A1:H162"/>
  <sheetViews>
    <sheetView zoomScaleNormal="100" zoomScaleSheetLayoutView="100" workbookViewId="0"/>
  </sheetViews>
  <sheetFormatPr defaultColWidth="12.5703125" defaultRowHeight="12.75"/>
  <cols>
    <col min="1" max="1" width="0.85546875" style="153" customWidth="1"/>
    <col min="2" max="2" width="15.85546875" style="153" customWidth="1"/>
    <col min="3" max="3" width="10.5703125" style="153" customWidth="1"/>
    <col min="4" max="5" width="20.28515625" style="153" customWidth="1"/>
    <col min="6" max="6" width="17" style="153" customWidth="1"/>
    <col min="7" max="7" width="10.5703125" style="153" customWidth="1"/>
    <col min="8" max="8" width="15.7109375" style="153" customWidth="1"/>
    <col min="9" max="9" width="15.85546875" style="153" customWidth="1"/>
    <col min="10" max="16384" width="12.5703125" style="153"/>
  </cols>
  <sheetData>
    <row r="1" spans="1:8">
      <c r="A1" s="87"/>
      <c r="B1" s="660" t="s">
        <v>380</v>
      </c>
      <c r="C1" s="660"/>
      <c r="D1" s="660"/>
      <c r="E1" s="660"/>
      <c r="F1" s="660"/>
      <c r="G1" s="660"/>
      <c r="H1" s="660"/>
    </row>
    <row r="2" spans="1:8">
      <c r="A2" s="87"/>
      <c r="B2" s="660" t="s">
        <v>91</v>
      </c>
      <c r="C2" s="660"/>
      <c r="D2" s="660"/>
      <c r="E2" s="660"/>
      <c r="F2" s="660"/>
      <c r="G2" s="660"/>
      <c r="H2" s="660"/>
    </row>
    <row r="3" spans="1:8">
      <c r="A3" s="125"/>
      <c r="B3" s="87"/>
      <c r="C3" s="87"/>
      <c r="D3" s="87"/>
      <c r="E3" s="87"/>
      <c r="F3" s="87"/>
      <c r="G3" s="87"/>
      <c r="H3" s="87"/>
    </row>
    <row r="4" spans="1:8">
      <c r="A4" s="660" t="s">
        <v>541</v>
      </c>
      <c r="B4" s="660"/>
      <c r="C4" s="660"/>
      <c r="D4" s="660"/>
      <c r="E4" s="660"/>
      <c r="F4" s="660"/>
      <c r="G4" s="660"/>
      <c r="H4" s="660"/>
    </row>
    <row r="5" spans="1:8">
      <c r="A5" s="660" t="s">
        <v>91</v>
      </c>
      <c r="B5" s="660"/>
      <c r="C5" s="660"/>
      <c r="D5" s="660"/>
      <c r="E5" s="660"/>
      <c r="F5" s="660"/>
      <c r="G5" s="660"/>
      <c r="H5" s="660"/>
    </row>
    <row r="6" spans="1:8">
      <c r="A6" s="660" t="s">
        <v>116</v>
      </c>
      <c r="B6" s="660"/>
      <c r="C6" s="660"/>
      <c r="D6" s="660"/>
      <c r="E6" s="660"/>
      <c r="F6" s="660"/>
      <c r="G6" s="660"/>
      <c r="H6" s="660"/>
    </row>
    <row r="7" spans="1:8">
      <c r="A7" s="660" t="str">
        <f>'Schedule 1 Workpaper'!A3:F3</f>
        <v>12 Months Ended 12/31/2014</v>
      </c>
      <c r="B7" s="660"/>
      <c r="C7" s="660"/>
      <c r="D7" s="660"/>
      <c r="E7" s="660"/>
      <c r="F7" s="660"/>
      <c r="G7" s="660"/>
      <c r="H7" s="660"/>
    </row>
    <row r="8" spans="1:8">
      <c r="A8" s="87"/>
      <c r="B8" s="87"/>
      <c r="C8" s="87"/>
      <c r="D8" s="87"/>
      <c r="E8" s="87"/>
      <c r="F8" s="87"/>
      <c r="G8" s="87"/>
      <c r="H8" s="87"/>
    </row>
    <row r="9" spans="1:8">
      <c r="A9" s="87"/>
      <c r="C9" s="126" t="s">
        <v>117</v>
      </c>
      <c r="D9" s="87"/>
      <c r="E9" s="87"/>
      <c r="F9" s="87"/>
      <c r="G9" s="87"/>
      <c r="H9" s="87"/>
    </row>
    <row r="10" spans="1:8">
      <c r="A10" s="87"/>
      <c r="C10" s="88" t="s">
        <v>118</v>
      </c>
      <c r="D10" s="87"/>
      <c r="E10" s="87">
        <f>E144</f>
        <v>1510102</v>
      </c>
      <c r="F10" s="87"/>
      <c r="G10" s="87"/>
      <c r="H10" s="87"/>
    </row>
    <row r="11" spans="1:8">
      <c r="A11" s="87"/>
      <c r="C11" s="87"/>
      <c r="D11" s="87"/>
      <c r="E11" s="87"/>
      <c r="F11" s="87"/>
      <c r="G11" s="87"/>
      <c r="H11" s="87"/>
    </row>
    <row r="12" spans="1:8">
      <c r="A12" s="87"/>
      <c r="C12" s="88" t="s">
        <v>119</v>
      </c>
      <c r="D12" s="87"/>
      <c r="E12" s="87">
        <f>E91</f>
        <v>1147932.5</v>
      </c>
      <c r="F12" s="87"/>
      <c r="G12" s="87"/>
      <c r="H12" s="87"/>
    </row>
    <row r="13" spans="1:8">
      <c r="A13" s="87"/>
      <c r="C13" s="87"/>
      <c r="D13" s="87"/>
      <c r="E13" s="87"/>
      <c r="F13" s="87"/>
      <c r="G13" s="87"/>
      <c r="H13" s="87"/>
    </row>
    <row r="14" spans="1:8">
      <c r="A14" s="87"/>
      <c r="C14" s="88" t="s">
        <v>120</v>
      </c>
      <c r="D14" s="87"/>
      <c r="E14" s="89">
        <f>E116</f>
        <v>251795</v>
      </c>
      <c r="F14" s="87"/>
      <c r="G14" s="87"/>
      <c r="H14" s="87"/>
    </row>
    <row r="15" spans="1:8">
      <c r="A15" s="87"/>
      <c r="C15" s="87"/>
      <c r="D15" s="87"/>
      <c r="E15" s="87"/>
      <c r="F15" s="87"/>
      <c r="G15" s="87"/>
      <c r="H15" s="87"/>
    </row>
    <row r="16" spans="1:8">
      <c r="A16" s="87"/>
      <c r="C16" s="88" t="s">
        <v>121</v>
      </c>
      <c r="D16" s="87"/>
      <c r="E16" s="87"/>
      <c r="F16" s="87">
        <f>SUM(E10:E14)</f>
        <v>2909829.5</v>
      </c>
      <c r="G16" s="87" t="str">
        <f>IF(F16=F17,"","Error")</f>
        <v/>
      </c>
      <c r="H16" s="87"/>
    </row>
    <row r="17" spans="1:8">
      <c r="A17" s="87"/>
      <c r="C17" s="87"/>
      <c r="D17" s="87"/>
      <c r="E17" s="87"/>
      <c r="F17" s="183">
        <f>F41+F67+F93+F118+F146</f>
        <v>2909829.5</v>
      </c>
      <c r="G17" s="87"/>
      <c r="H17" s="87"/>
    </row>
    <row r="18" spans="1:8">
      <c r="A18" s="87"/>
      <c r="C18" s="126" t="s">
        <v>122</v>
      </c>
      <c r="D18" s="87"/>
      <c r="E18" s="87"/>
      <c r="F18" s="87"/>
      <c r="G18" s="87"/>
      <c r="H18" s="87"/>
    </row>
    <row r="19" spans="1:8">
      <c r="A19" s="87"/>
      <c r="C19" s="88" t="s">
        <v>123</v>
      </c>
      <c r="D19" s="87"/>
      <c r="E19" s="87">
        <f>E45+E71+E96+E122+E149</f>
        <v>7175220</v>
      </c>
      <c r="F19" s="87"/>
      <c r="G19" s="87"/>
      <c r="H19" s="87"/>
    </row>
    <row r="20" spans="1:8">
      <c r="A20" s="87"/>
      <c r="C20" s="87"/>
      <c r="D20" s="87"/>
      <c r="E20" s="87"/>
      <c r="F20" s="87"/>
      <c r="G20" s="87"/>
      <c r="H20" s="87"/>
    </row>
    <row r="21" spans="1:8">
      <c r="A21" s="87"/>
      <c r="C21" s="88" t="s">
        <v>124</v>
      </c>
      <c r="D21" s="87"/>
      <c r="E21" s="87">
        <f>E47+E73+E98+E124+E151</f>
        <v>5394913.9000000004</v>
      </c>
      <c r="F21" s="87"/>
      <c r="G21" s="87"/>
      <c r="H21" s="87"/>
    </row>
    <row r="22" spans="1:8">
      <c r="A22" s="87"/>
      <c r="C22" s="87"/>
      <c r="D22" s="87"/>
      <c r="E22" s="87"/>
      <c r="F22" s="87"/>
      <c r="G22" s="87"/>
      <c r="H22" s="87"/>
    </row>
    <row r="23" spans="1:8">
      <c r="A23" s="87"/>
      <c r="C23" s="88" t="s">
        <v>125</v>
      </c>
      <c r="D23" s="87"/>
      <c r="E23" s="87">
        <f>E49+E75+E100+E126+E153</f>
        <v>9369378</v>
      </c>
      <c r="F23" s="87"/>
      <c r="G23" s="87"/>
      <c r="H23" s="87"/>
    </row>
    <row r="24" spans="1:8">
      <c r="A24" s="87"/>
      <c r="C24" s="87"/>
      <c r="D24" s="87"/>
      <c r="E24" s="87"/>
      <c r="F24" s="87"/>
      <c r="G24" s="87"/>
      <c r="H24" s="87"/>
    </row>
    <row r="25" spans="1:8">
      <c r="A25" s="87"/>
      <c r="C25" s="88" t="s">
        <v>126</v>
      </c>
      <c r="D25" s="87"/>
      <c r="E25" s="87">
        <f>E51+E77+E102+E128+E155</f>
        <v>1814236.4</v>
      </c>
      <c r="F25" s="87"/>
      <c r="G25" s="87"/>
      <c r="H25" s="87"/>
    </row>
    <row r="26" spans="1:8">
      <c r="A26" s="87"/>
      <c r="C26" s="87"/>
      <c r="D26" s="87"/>
      <c r="E26" s="87"/>
      <c r="F26" s="87"/>
      <c r="G26" s="87"/>
      <c r="H26" s="87"/>
    </row>
    <row r="27" spans="1:8">
      <c r="A27" s="87"/>
      <c r="C27" s="88" t="s">
        <v>127</v>
      </c>
      <c r="D27" s="87"/>
      <c r="E27" s="87"/>
      <c r="F27" s="89">
        <f>ROUND(SUM(E19:E25),2)</f>
        <v>23753748.300000001</v>
      </c>
      <c r="G27" s="87" t="str">
        <f>IF(F27=F28,"","Error")</f>
        <v/>
      </c>
      <c r="H27" s="87"/>
    </row>
    <row r="28" spans="1:8">
      <c r="A28" s="87"/>
      <c r="C28" s="87"/>
      <c r="D28" s="87"/>
      <c r="E28" s="87"/>
      <c r="F28" s="183">
        <f>F53+F79+F104+F130+F157</f>
        <v>23753748.300000001</v>
      </c>
      <c r="G28" s="87"/>
      <c r="H28" s="87"/>
    </row>
    <row r="29" spans="1:8" ht="13.5" thickBot="1">
      <c r="A29" s="87"/>
      <c r="C29" s="126" t="s">
        <v>128</v>
      </c>
      <c r="D29" s="87"/>
      <c r="E29" s="87"/>
      <c r="F29" s="90">
        <f>F16+F27</f>
        <v>26663577.800000001</v>
      </c>
      <c r="G29" s="87" t="str">
        <f>IF(F29=F30,"","Error")</f>
        <v/>
      </c>
      <c r="H29" s="87"/>
    </row>
    <row r="30" spans="1:8" ht="13.5" thickTop="1">
      <c r="A30" s="87"/>
      <c r="B30" s="126"/>
      <c r="C30" s="87"/>
      <c r="D30" s="87"/>
      <c r="E30" s="91"/>
      <c r="F30" s="183">
        <f>F55+F81+F106+F132+F159</f>
        <v>26663577.800000001</v>
      </c>
      <c r="G30" s="87"/>
      <c r="H30" s="87"/>
    </row>
    <row r="31" spans="1:8">
      <c r="A31" s="87"/>
      <c r="B31" s="87"/>
      <c r="C31" s="87"/>
      <c r="D31" s="87"/>
      <c r="E31" s="87"/>
      <c r="F31" s="87"/>
      <c r="G31" s="87"/>
      <c r="H31" s="87"/>
    </row>
    <row r="32" spans="1:8">
      <c r="A32" s="660" t="s">
        <v>541</v>
      </c>
      <c r="B32" s="660"/>
      <c r="C32" s="660"/>
      <c r="D32" s="660"/>
      <c r="E32" s="660"/>
      <c r="F32" s="660"/>
      <c r="G32" s="660"/>
      <c r="H32" s="660"/>
    </row>
    <row r="33" spans="1:8">
      <c r="A33" s="660" t="s">
        <v>91</v>
      </c>
      <c r="B33" s="660"/>
      <c r="C33" s="660"/>
      <c r="D33" s="660"/>
      <c r="E33" s="660"/>
      <c r="F33" s="660"/>
      <c r="G33" s="660"/>
      <c r="H33" s="660"/>
    </row>
    <row r="34" spans="1:8">
      <c r="A34" s="660" t="str">
        <f>A7</f>
        <v>12 Months Ended 12/31/2014</v>
      </c>
      <c r="B34" s="660"/>
      <c r="C34" s="660"/>
      <c r="D34" s="660"/>
      <c r="E34" s="660"/>
      <c r="F34" s="660"/>
      <c r="G34" s="660"/>
      <c r="H34" s="660"/>
    </row>
    <row r="35" spans="1:8">
      <c r="A35" s="660" t="s">
        <v>99</v>
      </c>
      <c r="B35" s="660"/>
      <c r="C35" s="660"/>
      <c r="D35" s="660"/>
      <c r="E35" s="660"/>
      <c r="F35" s="660"/>
      <c r="G35" s="660"/>
      <c r="H35" s="660"/>
    </row>
    <row r="36" spans="1:8">
      <c r="A36" s="87"/>
      <c r="B36" s="87"/>
      <c r="C36" s="87"/>
      <c r="D36" s="87"/>
      <c r="E36" s="87"/>
      <c r="F36" s="87"/>
      <c r="G36" s="87"/>
      <c r="H36" s="87"/>
    </row>
    <row r="37" spans="1:8">
      <c r="A37" s="87"/>
      <c r="B37" s="87"/>
      <c r="C37" s="87"/>
      <c r="D37" s="87"/>
      <c r="E37" s="87"/>
      <c r="F37" s="87"/>
      <c r="G37" s="87"/>
      <c r="H37" s="87"/>
    </row>
    <row r="38" spans="1:8">
      <c r="A38" s="87"/>
      <c r="C38" s="126" t="s">
        <v>129</v>
      </c>
      <c r="D38" s="87"/>
      <c r="E38" s="87"/>
      <c r="F38" s="87"/>
      <c r="G38" s="87"/>
      <c r="H38" s="87"/>
    </row>
    <row r="39" spans="1:8">
      <c r="A39" s="87"/>
      <c r="C39" s="88" t="s">
        <v>130</v>
      </c>
      <c r="D39" s="87"/>
      <c r="E39" s="87">
        <v>0</v>
      </c>
      <c r="F39" s="87"/>
      <c r="G39" s="87"/>
      <c r="H39" s="87"/>
    </row>
    <row r="40" spans="1:8">
      <c r="A40" s="87"/>
      <c r="C40" s="87"/>
      <c r="D40" s="87"/>
      <c r="E40" s="89"/>
      <c r="F40" s="87"/>
      <c r="G40" s="87"/>
      <c r="H40" s="87"/>
    </row>
    <row r="41" spans="1:8">
      <c r="A41" s="87"/>
      <c r="C41" s="88" t="s">
        <v>131</v>
      </c>
      <c r="D41" s="87"/>
      <c r="E41" s="87"/>
      <c r="F41" s="87">
        <f>E39</f>
        <v>0</v>
      </c>
      <c r="G41" s="87"/>
      <c r="H41" s="87"/>
    </row>
    <row r="42" spans="1:8">
      <c r="A42" s="87"/>
      <c r="C42" s="87"/>
      <c r="D42" s="87"/>
      <c r="E42" s="87"/>
      <c r="F42" s="87"/>
      <c r="G42" s="87"/>
      <c r="H42" s="87"/>
    </row>
    <row r="43" spans="1:8">
      <c r="A43" s="87"/>
      <c r="C43" s="87"/>
      <c r="D43" s="87"/>
      <c r="E43" s="87"/>
      <c r="F43" s="87"/>
      <c r="G43" s="87"/>
      <c r="H43" s="87"/>
    </row>
    <row r="44" spans="1:8">
      <c r="A44" s="87"/>
      <c r="C44" s="126" t="s">
        <v>132</v>
      </c>
      <c r="D44" s="87"/>
      <c r="E44" s="87"/>
      <c r="F44" s="87"/>
      <c r="G44" s="87"/>
      <c r="H44" s="87"/>
    </row>
    <row r="45" spans="1:8">
      <c r="A45" s="87"/>
      <c r="C45" s="88" t="s">
        <v>123</v>
      </c>
      <c r="D45" s="87"/>
      <c r="E45" s="87">
        <v>6569837</v>
      </c>
      <c r="F45" s="87"/>
      <c r="G45" s="87"/>
      <c r="H45" s="87"/>
    </row>
    <row r="46" spans="1:8">
      <c r="A46" s="87"/>
      <c r="C46" s="87"/>
      <c r="D46" s="87"/>
      <c r="E46" s="87"/>
      <c r="F46" s="87"/>
      <c r="G46" s="87"/>
      <c r="H46" s="87"/>
    </row>
    <row r="47" spans="1:8">
      <c r="A47" s="87"/>
      <c r="C47" s="88" t="s">
        <v>124</v>
      </c>
      <c r="D47" s="87"/>
      <c r="E47" s="87">
        <v>4342280</v>
      </c>
      <c r="F47" s="87"/>
      <c r="G47" s="87"/>
      <c r="H47" s="87"/>
    </row>
    <row r="48" spans="1:8">
      <c r="A48" s="87"/>
      <c r="C48" s="87"/>
      <c r="D48" s="87"/>
      <c r="E48" s="87"/>
      <c r="F48" s="87"/>
      <c r="G48" s="87"/>
      <c r="H48" s="87"/>
    </row>
    <row r="49" spans="1:8">
      <c r="A49" s="87"/>
      <c r="C49" s="88" t="s">
        <v>125</v>
      </c>
      <c r="D49" s="87"/>
      <c r="E49" s="87">
        <v>8115576</v>
      </c>
      <c r="F49" s="87"/>
      <c r="G49" s="87"/>
      <c r="H49" s="87"/>
    </row>
    <row r="50" spans="1:8">
      <c r="A50" s="87"/>
      <c r="C50" s="87"/>
      <c r="D50" s="87"/>
      <c r="E50" s="87"/>
      <c r="F50" s="87"/>
      <c r="G50" s="87"/>
      <c r="H50" s="87"/>
    </row>
    <row r="51" spans="1:8">
      <c r="A51" s="87"/>
      <c r="C51" s="88" t="s">
        <v>126</v>
      </c>
      <c r="D51" s="87"/>
      <c r="E51" s="89">
        <v>1792163</v>
      </c>
      <c r="F51" s="87"/>
      <c r="G51" s="87"/>
      <c r="H51" s="87"/>
    </row>
    <row r="52" spans="1:8">
      <c r="A52" s="87"/>
      <c r="C52" s="87"/>
      <c r="D52" s="87"/>
      <c r="E52" s="87"/>
      <c r="F52" s="87"/>
      <c r="G52" s="87"/>
      <c r="H52" s="87"/>
    </row>
    <row r="53" spans="1:8">
      <c r="A53" s="87"/>
      <c r="C53" s="88" t="s">
        <v>127</v>
      </c>
      <c r="D53" s="87"/>
      <c r="E53" s="87"/>
      <c r="F53" s="89">
        <f>SUM(E45:E51)</f>
        <v>20819856</v>
      </c>
      <c r="G53" s="87"/>
      <c r="H53" s="87"/>
    </row>
    <row r="54" spans="1:8">
      <c r="A54" s="87"/>
      <c r="C54" s="87"/>
      <c r="D54" s="87"/>
      <c r="E54" s="87"/>
      <c r="F54" s="87"/>
      <c r="G54" s="87"/>
      <c r="H54" s="87"/>
    </row>
    <row r="55" spans="1:8" ht="13.5" thickBot="1">
      <c r="A55" s="87"/>
      <c r="C55" s="126" t="s">
        <v>133</v>
      </c>
      <c r="D55" s="87"/>
      <c r="E55" s="87"/>
      <c r="F55" s="90">
        <f>SUM(F38:F53)</f>
        <v>20819856</v>
      </c>
      <c r="G55" s="87"/>
      <c r="H55" s="87"/>
    </row>
    <row r="56" spans="1:8" ht="13.5" thickTop="1">
      <c r="A56" s="87"/>
      <c r="B56" s="126"/>
      <c r="C56" s="87"/>
      <c r="D56" s="87"/>
      <c r="E56" s="91"/>
      <c r="F56" s="87"/>
      <c r="G56" s="87"/>
      <c r="H56" s="87"/>
    </row>
    <row r="57" spans="1:8">
      <c r="A57" s="87"/>
      <c r="B57" s="126"/>
      <c r="C57" s="87"/>
      <c r="D57" s="87"/>
      <c r="E57" s="91"/>
      <c r="F57" s="87"/>
      <c r="G57" s="87"/>
      <c r="H57" s="87"/>
    </row>
    <row r="58" spans="1:8">
      <c r="A58" s="87"/>
      <c r="B58" s="126"/>
      <c r="C58" s="87"/>
      <c r="D58" s="87"/>
      <c r="E58" s="91"/>
      <c r="F58" s="87"/>
      <c r="G58" s="87"/>
      <c r="H58" s="87"/>
    </row>
    <row r="59" spans="1:8">
      <c r="A59" s="660" t="s">
        <v>541</v>
      </c>
      <c r="B59" s="660"/>
      <c r="C59" s="660"/>
      <c r="D59" s="660"/>
      <c r="E59" s="660"/>
      <c r="F59" s="660"/>
      <c r="G59" s="660"/>
      <c r="H59" s="660"/>
    </row>
    <row r="60" spans="1:8">
      <c r="A60" s="660" t="s">
        <v>91</v>
      </c>
      <c r="B60" s="660"/>
      <c r="C60" s="660"/>
      <c r="D60" s="660"/>
      <c r="E60" s="660"/>
      <c r="F60" s="660"/>
      <c r="G60" s="660"/>
      <c r="H60" s="660"/>
    </row>
    <row r="61" spans="1:8">
      <c r="A61" s="660" t="str">
        <f>A7</f>
        <v>12 Months Ended 12/31/2014</v>
      </c>
      <c r="B61" s="660"/>
      <c r="C61" s="660"/>
      <c r="D61" s="660"/>
      <c r="E61" s="660"/>
      <c r="F61" s="660"/>
      <c r="G61" s="660"/>
      <c r="H61" s="660"/>
    </row>
    <row r="62" spans="1:8">
      <c r="A62" s="660" t="s">
        <v>134</v>
      </c>
      <c r="B62" s="660"/>
      <c r="C62" s="660"/>
      <c r="D62" s="660"/>
      <c r="E62" s="660"/>
      <c r="F62" s="660"/>
      <c r="G62" s="660"/>
      <c r="H62" s="660"/>
    </row>
    <row r="63" spans="1:8">
      <c r="A63" s="87"/>
      <c r="B63" s="87"/>
      <c r="C63" s="87"/>
      <c r="D63" s="87"/>
      <c r="E63" s="87"/>
      <c r="F63" s="87"/>
      <c r="G63" s="87"/>
      <c r="H63" s="87"/>
    </row>
    <row r="64" spans="1:8">
      <c r="A64" s="87"/>
      <c r="C64" s="126" t="s">
        <v>135</v>
      </c>
      <c r="D64" s="87"/>
      <c r="E64" s="87"/>
      <c r="F64" s="87"/>
      <c r="G64" s="87"/>
      <c r="H64" s="87"/>
    </row>
    <row r="65" spans="1:8">
      <c r="A65" s="87"/>
      <c r="C65" s="88" t="s">
        <v>130</v>
      </c>
      <c r="D65" s="87"/>
      <c r="E65" s="89">
        <v>0</v>
      </c>
      <c r="F65" s="87"/>
      <c r="G65" s="87"/>
      <c r="H65" s="87"/>
    </row>
    <row r="66" spans="1:8">
      <c r="A66" s="87"/>
      <c r="C66" s="87"/>
      <c r="D66" s="87"/>
      <c r="E66" s="87"/>
      <c r="F66" s="87"/>
      <c r="G66" s="87"/>
      <c r="H66" s="87"/>
    </row>
    <row r="67" spans="1:8">
      <c r="A67" s="87"/>
      <c r="C67" s="88" t="s">
        <v>136</v>
      </c>
      <c r="D67" s="87"/>
      <c r="E67" s="87"/>
      <c r="F67" s="89">
        <f>E65</f>
        <v>0</v>
      </c>
      <c r="G67" s="87"/>
      <c r="H67" s="87"/>
    </row>
    <row r="68" spans="1:8">
      <c r="A68" s="87"/>
      <c r="C68" s="87"/>
      <c r="D68" s="87"/>
      <c r="E68" s="87"/>
      <c r="F68" s="87"/>
      <c r="G68" s="87"/>
      <c r="H68" s="87"/>
    </row>
    <row r="69" spans="1:8">
      <c r="A69" s="87"/>
      <c r="C69" s="87"/>
      <c r="D69" s="87"/>
      <c r="E69" s="87"/>
      <c r="F69" s="87"/>
      <c r="G69" s="87"/>
      <c r="H69" s="87"/>
    </row>
    <row r="70" spans="1:8">
      <c r="A70" s="87"/>
      <c r="C70" s="126" t="s">
        <v>132</v>
      </c>
      <c r="D70" s="87"/>
      <c r="E70" s="87"/>
      <c r="F70" s="87"/>
      <c r="G70" s="87"/>
      <c r="H70" s="87"/>
    </row>
    <row r="71" spans="1:8">
      <c r="A71" s="87"/>
      <c r="C71" s="88" t="s">
        <v>123</v>
      </c>
      <c r="D71" s="87"/>
      <c r="E71" s="87">
        <v>0</v>
      </c>
      <c r="F71" s="87"/>
      <c r="G71" s="87"/>
      <c r="H71" s="87"/>
    </row>
    <row r="72" spans="1:8">
      <c r="A72" s="87"/>
      <c r="C72" s="87"/>
      <c r="D72" s="87"/>
      <c r="E72" s="87"/>
      <c r="F72" s="87"/>
      <c r="G72" s="87"/>
      <c r="H72" s="87"/>
    </row>
    <row r="73" spans="1:8">
      <c r="A73" s="87"/>
      <c r="C73" s="88" t="s">
        <v>124</v>
      </c>
      <c r="D73" s="87"/>
      <c r="E73" s="87">
        <v>319087.40000000002</v>
      </c>
      <c r="F73" s="87"/>
      <c r="G73" s="87"/>
      <c r="H73" s="87"/>
    </row>
    <row r="74" spans="1:8">
      <c r="A74" s="87"/>
      <c r="C74" s="87"/>
      <c r="D74" s="87"/>
      <c r="E74" s="87"/>
      <c r="F74" s="87"/>
      <c r="G74" s="87"/>
      <c r="H74" s="87"/>
    </row>
    <row r="75" spans="1:8">
      <c r="A75" s="87"/>
      <c r="C75" s="88" t="s">
        <v>125</v>
      </c>
      <c r="D75" s="87"/>
      <c r="E75" s="87">
        <v>0</v>
      </c>
      <c r="F75" s="87"/>
      <c r="G75" s="87"/>
      <c r="H75" s="87"/>
    </row>
    <row r="76" spans="1:8">
      <c r="A76" s="87"/>
      <c r="C76" s="87"/>
      <c r="D76" s="87"/>
      <c r="E76" s="87"/>
      <c r="F76" s="87"/>
      <c r="G76" s="87"/>
      <c r="H76" s="87"/>
    </row>
    <row r="77" spans="1:8">
      <c r="A77" s="87"/>
      <c r="C77" s="88" t="s">
        <v>126</v>
      </c>
      <c r="D77" s="87"/>
      <c r="E77" s="89">
        <v>2443.4</v>
      </c>
      <c r="F77" s="87"/>
      <c r="G77" s="87"/>
      <c r="H77" s="87"/>
    </row>
    <row r="78" spans="1:8">
      <c r="A78" s="87"/>
      <c r="C78" s="87"/>
      <c r="D78" s="87"/>
      <c r="E78" s="87"/>
      <c r="F78" s="87"/>
      <c r="G78" s="87"/>
      <c r="H78" s="87"/>
    </row>
    <row r="79" spans="1:8">
      <c r="A79" s="87"/>
      <c r="C79" s="88" t="s">
        <v>127</v>
      </c>
      <c r="D79" s="87"/>
      <c r="E79" s="87"/>
      <c r="F79" s="89">
        <f>SUM(E71:E77)</f>
        <v>321530.80000000005</v>
      </c>
      <c r="G79" s="87"/>
      <c r="H79" s="87"/>
    </row>
    <row r="80" spans="1:8">
      <c r="A80" s="87"/>
      <c r="C80" s="87"/>
      <c r="D80" s="87"/>
      <c r="E80" s="87"/>
      <c r="F80" s="87"/>
      <c r="G80" s="87"/>
      <c r="H80" s="87"/>
    </row>
    <row r="81" spans="1:8" ht="13.5" thickBot="1">
      <c r="A81" s="87"/>
      <c r="C81" s="126" t="s">
        <v>137</v>
      </c>
      <c r="D81" s="87"/>
      <c r="E81" s="87"/>
      <c r="F81" s="90">
        <f>SUM(F64:F79)</f>
        <v>321530.80000000005</v>
      </c>
      <c r="G81" s="87"/>
      <c r="H81" s="87"/>
    </row>
    <row r="82" spans="1:8" ht="13.5" thickTop="1">
      <c r="A82" s="87"/>
      <c r="B82" s="126"/>
      <c r="C82" s="87"/>
      <c r="D82" s="87"/>
      <c r="E82" s="91"/>
      <c r="F82" s="87"/>
      <c r="G82" s="87"/>
      <c r="H82" s="87"/>
    </row>
    <row r="83" spans="1:8">
      <c r="A83" s="87"/>
      <c r="B83" s="126"/>
      <c r="C83" s="87"/>
      <c r="D83" s="87"/>
      <c r="E83" s="91"/>
      <c r="F83" s="87"/>
      <c r="G83" s="87"/>
      <c r="H83" s="87"/>
    </row>
    <row r="84" spans="1:8">
      <c r="A84" s="660" t="s">
        <v>541</v>
      </c>
      <c r="B84" s="660"/>
      <c r="C84" s="660"/>
      <c r="D84" s="660"/>
      <c r="E84" s="660"/>
      <c r="F84" s="660"/>
      <c r="G84" s="660"/>
      <c r="H84" s="660"/>
    </row>
    <row r="85" spans="1:8">
      <c r="A85" s="660" t="s">
        <v>91</v>
      </c>
      <c r="B85" s="660"/>
      <c r="C85" s="660"/>
      <c r="D85" s="660"/>
      <c r="E85" s="660"/>
      <c r="F85" s="660"/>
      <c r="G85" s="660"/>
      <c r="H85" s="660"/>
    </row>
    <row r="86" spans="1:8">
      <c r="A86" s="660" t="str">
        <f>A7</f>
        <v>12 Months Ended 12/31/2014</v>
      </c>
      <c r="B86" s="660"/>
      <c r="C86" s="660"/>
      <c r="D86" s="660"/>
      <c r="E86" s="660"/>
      <c r="F86" s="660"/>
      <c r="G86" s="660"/>
      <c r="H86" s="660"/>
    </row>
    <row r="87" spans="1:8">
      <c r="A87" s="660" t="s">
        <v>138</v>
      </c>
      <c r="B87" s="660"/>
      <c r="C87" s="660"/>
      <c r="D87" s="660"/>
      <c r="E87" s="660"/>
      <c r="F87" s="660"/>
      <c r="G87" s="660"/>
      <c r="H87" s="660"/>
    </row>
    <row r="88" spans="1:8">
      <c r="A88" s="87"/>
      <c r="B88" s="87"/>
      <c r="C88" s="87"/>
      <c r="D88" s="87"/>
      <c r="E88" s="87"/>
      <c r="F88" s="87"/>
      <c r="G88" s="87"/>
      <c r="H88" s="87"/>
    </row>
    <row r="89" spans="1:8">
      <c r="A89" s="87"/>
      <c r="B89" s="87"/>
      <c r="C89" s="87"/>
      <c r="D89" s="87"/>
      <c r="E89" s="87"/>
      <c r="F89" s="87"/>
      <c r="G89" s="87"/>
      <c r="H89" s="87"/>
    </row>
    <row r="90" spans="1:8">
      <c r="A90" s="87"/>
      <c r="C90" s="126" t="s">
        <v>139</v>
      </c>
      <c r="D90" s="87"/>
      <c r="E90" s="87"/>
      <c r="F90" s="87"/>
      <c r="G90" s="87"/>
      <c r="H90" s="87"/>
    </row>
    <row r="91" spans="1:8">
      <c r="A91" s="87"/>
      <c r="C91" s="88" t="s">
        <v>119</v>
      </c>
      <c r="D91" s="87"/>
      <c r="E91" s="89">
        <v>1147932.5</v>
      </c>
      <c r="F91" s="87"/>
      <c r="G91" s="87"/>
      <c r="H91" s="87"/>
    </row>
    <row r="92" spans="1:8">
      <c r="A92" s="87"/>
      <c r="C92" s="87"/>
      <c r="D92" s="87"/>
      <c r="E92" s="87"/>
      <c r="F92" s="87"/>
      <c r="G92" s="87"/>
      <c r="H92" s="87"/>
    </row>
    <row r="93" spans="1:8">
      <c r="A93" s="87"/>
      <c r="C93" s="88" t="s">
        <v>121</v>
      </c>
      <c r="D93" s="87"/>
      <c r="E93" s="87"/>
      <c r="F93" s="89">
        <f>E91</f>
        <v>1147932.5</v>
      </c>
      <c r="G93" s="87"/>
      <c r="H93" s="87"/>
    </row>
    <row r="94" spans="1:8">
      <c r="A94" s="87"/>
      <c r="C94" s="87"/>
      <c r="D94" s="87"/>
      <c r="E94" s="87"/>
      <c r="F94" s="87"/>
      <c r="G94" s="87"/>
      <c r="H94" s="87"/>
    </row>
    <row r="95" spans="1:8">
      <c r="A95" s="87"/>
      <c r="C95" s="126" t="s">
        <v>132</v>
      </c>
      <c r="D95" s="87"/>
      <c r="E95" s="87"/>
      <c r="F95" s="87"/>
      <c r="G95" s="87"/>
      <c r="H95" s="87"/>
    </row>
    <row r="96" spans="1:8">
      <c r="A96" s="87"/>
      <c r="C96" s="88" t="s">
        <v>140</v>
      </c>
      <c r="D96" s="87"/>
      <c r="E96" s="87">
        <v>0</v>
      </c>
      <c r="F96" s="87"/>
      <c r="G96" s="87"/>
      <c r="H96" s="87"/>
    </row>
    <row r="97" spans="1:8">
      <c r="A97" s="87"/>
      <c r="C97" s="87"/>
      <c r="D97" s="87"/>
      <c r="E97" s="87"/>
      <c r="F97" s="87"/>
      <c r="G97" s="87"/>
      <c r="H97" s="87"/>
    </row>
    <row r="98" spans="1:8">
      <c r="A98" s="87"/>
      <c r="C98" s="88" t="s">
        <v>124</v>
      </c>
      <c r="D98" s="87"/>
      <c r="E98" s="87">
        <v>25796.5</v>
      </c>
      <c r="F98" s="87"/>
      <c r="G98" s="87"/>
      <c r="H98" s="87"/>
    </row>
    <row r="99" spans="1:8">
      <c r="A99" s="87"/>
      <c r="C99" s="87"/>
      <c r="D99" s="87"/>
      <c r="E99" s="87"/>
      <c r="F99" s="87"/>
      <c r="G99" s="87"/>
      <c r="H99" s="87"/>
    </row>
    <row r="100" spans="1:8">
      <c r="A100" s="87"/>
      <c r="C100" s="88" t="s">
        <v>125</v>
      </c>
      <c r="D100" s="87"/>
      <c r="E100" s="87">
        <v>0</v>
      </c>
      <c r="F100" s="87"/>
      <c r="G100" s="87"/>
      <c r="H100" s="87"/>
    </row>
    <row r="101" spans="1:8">
      <c r="A101" s="87"/>
      <c r="C101" s="87"/>
      <c r="D101" s="87"/>
      <c r="E101" s="87"/>
      <c r="F101" s="87"/>
      <c r="G101" s="87"/>
      <c r="H101" s="87"/>
    </row>
    <row r="102" spans="1:8">
      <c r="A102" s="87"/>
      <c r="C102" s="88" t="s">
        <v>126</v>
      </c>
      <c r="D102" s="87"/>
      <c r="E102" s="89">
        <v>0</v>
      </c>
      <c r="F102" s="87"/>
      <c r="G102" s="87"/>
      <c r="H102" s="87"/>
    </row>
    <row r="103" spans="1:8">
      <c r="A103" s="87"/>
      <c r="C103" s="87"/>
      <c r="D103" s="87"/>
      <c r="E103" s="87"/>
      <c r="F103" s="87"/>
      <c r="G103" s="87"/>
      <c r="H103" s="87"/>
    </row>
    <row r="104" spans="1:8">
      <c r="A104" s="87"/>
      <c r="C104" s="88" t="s">
        <v>127</v>
      </c>
      <c r="D104" s="87"/>
      <c r="E104" s="87"/>
      <c r="F104" s="89">
        <f>SUM(E96:E102)</f>
        <v>25796.5</v>
      </c>
      <c r="G104" s="87"/>
      <c r="H104" s="87"/>
    </row>
    <row r="105" spans="1:8">
      <c r="A105" s="87"/>
      <c r="C105" s="87"/>
      <c r="D105" s="87"/>
      <c r="E105" s="87"/>
      <c r="F105" s="87"/>
      <c r="G105" s="87"/>
      <c r="H105" s="87"/>
    </row>
    <row r="106" spans="1:8" ht="13.5" thickBot="1">
      <c r="A106" s="87"/>
      <c r="C106" s="126" t="s">
        <v>141</v>
      </c>
      <c r="D106" s="87"/>
      <c r="E106" s="87"/>
      <c r="F106" s="90">
        <f>SUM(F90:F104)</f>
        <v>1173729</v>
      </c>
      <c r="G106" s="87"/>
      <c r="H106" s="87"/>
    </row>
    <row r="107" spans="1:8" ht="13.5" thickTop="1">
      <c r="A107" s="87"/>
      <c r="B107" s="126"/>
      <c r="C107" s="87"/>
      <c r="D107" s="87"/>
      <c r="E107" s="91"/>
      <c r="F107" s="87"/>
      <c r="G107" s="87"/>
      <c r="H107" s="87"/>
    </row>
    <row r="108" spans="1:8">
      <c r="A108" s="88"/>
      <c r="B108" s="87"/>
      <c r="C108" s="87"/>
      <c r="D108" s="87"/>
      <c r="E108" s="87"/>
      <c r="F108" s="87"/>
      <c r="G108" s="87"/>
      <c r="H108" s="87"/>
    </row>
    <row r="109" spans="1:8">
      <c r="A109" s="660" t="s">
        <v>541</v>
      </c>
      <c r="B109" s="660"/>
      <c r="C109" s="660"/>
      <c r="D109" s="660"/>
      <c r="E109" s="660"/>
      <c r="F109" s="660"/>
      <c r="G109" s="660"/>
      <c r="H109" s="660"/>
    </row>
    <row r="110" spans="1:8">
      <c r="A110" s="660" t="s">
        <v>91</v>
      </c>
      <c r="B110" s="660"/>
      <c r="C110" s="660"/>
      <c r="D110" s="660"/>
      <c r="E110" s="660"/>
      <c r="F110" s="660"/>
      <c r="G110" s="660"/>
      <c r="H110" s="660"/>
    </row>
    <row r="111" spans="1:8">
      <c r="A111" s="660" t="str">
        <f>A7</f>
        <v>12 Months Ended 12/31/2014</v>
      </c>
      <c r="B111" s="660"/>
      <c r="C111" s="660"/>
      <c r="D111" s="660"/>
      <c r="E111" s="660"/>
      <c r="F111" s="660"/>
      <c r="G111" s="660"/>
      <c r="H111" s="660"/>
    </row>
    <row r="112" spans="1:8">
      <c r="A112" s="660" t="s">
        <v>100</v>
      </c>
      <c r="B112" s="660"/>
      <c r="C112" s="660"/>
      <c r="D112" s="660"/>
      <c r="E112" s="660"/>
      <c r="F112" s="660"/>
      <c r="G112" s="660"/>
      <c r="H112" s="660"/>
    </row>
    <row r="113" spans="1:8">
      <c r="A113" s="87"/>
      <c r="B113" s="87"/>
      <c r="C113" s="87"/>
      <c r="D113" s="87"/>
      <c r="E113" s="87"/>
      <c r="F113" s="87"/>
      <c r="G113" s="87"/>
      <c r="H113" s="87"/>
    </row>
    <row r="114" spans="1:8">
      <c r="A114" s="87"/>
      <c r="B114" s="87"/>
      <c r="C114" s="87"/>
      <c r="D114" s="87"/>
      <c r="E114" s="87"/>
      <c r="F114" s="87"/>
      <c r="G114" s="87"/>
      <c r="H114" s="87"/>
    </row>
    <row r="115" spans="1:8">
      <c r="A115" s="87"/>
      <c r="C115" s="126" t="s">
        <v>142</v>
      </c>
      <c r="D115" s="87"/>
      <c r="E115" s="87"/>
      <c r="F115" s="87"/>
      <c r="G115" s="87"/>
      <c r="H115" s="87"/>
    </row>
    <row r="116" spans="1:8">
      <c r="A116" s="87"/>
      <c r="C116" s="88" t="s">
        <v>120</v>
      </c>
      <c r="D116" s="87"/>
      <c r="E116" s="92">
        <v>251795</v>
      </c>
      <c r="F116" s="93"/>
      <c r="G116" s="87"/>
      <c r="H116" s="87"/>
    </row>
    <row r="117" spans="1:8">
      <c r="A117" s="87"/>
      <c r="C117" s="87"/>
      <c r="D117" s="87"/>
      <c r="E117" s="93"/>
      <c r="F117" s="93"/>
      <c r="G117" s="87"/>
      <c r="H117" s="87"/>
    </row>
    <row r="118" spans="1:8">
      <c r="A118" s="87"/>
      <c r="C118" s="88" t="s">
        <v>121</v>
      </c>
      <c r="D118" s="87"/>
      <c r="E118" s="93"/>
      <c r="F118" s="93">
        <f>E116</f>
        <v>251795</v>
      </c>
      <c r="G118" s="87"/>
      <c r="H118" s="87"/>
    </row>
    <row r="119" spans="1:8">
      <c r="A119" s="87"/>
      <c r="C119" s="87"/>
      <c r="D119" s="87"/>
      <c r="E119" s="93"/>
      <c r="F119" s="93"/>
      <c r="G119" s="87"/>
      <c r="H119" s="87"/>
    </row>
    <row r="120" spans="1:8">
      <c r="A120" s="87"/>
      <c r="C120" s="87"/>
      <c r="D120" s="87"/>
      <c r="E120" s="93"/>
      <c r="F120" s="93"/>
      <c r="G120" s="87"/>
      <c r="H120" s="87"/>
    </row>
    <row r="121" spans="1:8">
      <c r="A121" s="87"/>
      <c r="C121" s="126" t="s">
        <v>132</v>
      </c>
      <c r="D121" s="87"/>
      <c r="E121" s="93"/>
      <c r="F121" s="93"/>
      <c r="G121" s="87"/>
      <c r="H121" s="87"/>
    </row>
    <row r="122" spans="1:8">
      <c r="A122" s="87"/>
      <c r="C122" s="88" t="s">
        <v>123</v>
      </c>
      <c r="D122" s="87"/>
      <c r="E122" s="93">
        <v>605383</v>
      </c>
      <c r="F122" s="93"/>
      <c r="G122" s="87"/>
      <c r="H122" s="87"/>
    </row>
    <row r="123" spans="1:8">
      <c r="A123" s="87"/>
      <c r="C123" s="87"/>
      <c r="D123" s="87"/>
      <c r="E123" s="93"/>
      <c r="F123" s="93"/>
      <c r="G123" s="87"/>
      <c r="H123" s="87"/>
    </row>
    <row r="124" spans="1:8">
      <c r="A124" s="87"/>
      <c r="C124" s="88" t="s">
        <v>124</v>
      </c>
      <c r="D124" s="87"/>
      <c r="E124" s="93">
        <v>612925</v>
      </c>
      <c r="F124" s="93"/>
      <c r="G124" s="87"/>
      <c r="H124" s="87"/>
    </row>
    <row r="125" spans="1:8">
      <c r="A125" s="87"/>
      <c r="C125" s="87"/>
      <c r="D125" s="87"/>
      <c r="E125" s="93"/>
      <c r="F125" s="93"/>
      <c r="G125" s="87"/>
      <c r="H125" s="87"/>
    </row>
    <row r="126" spans="1:8">
      <c r="A126" s="87"/>
      <c r="C126" s="88" t="s">
        <v>125</v>
      </c>
      <c r="D126" s="87"/>
      <c r="E126" s="93">
        <v>1253802</v>
      </c>
      <c r="F126" s="93"/>
      <c r="G126" s="87"/>
      <c r="H126" s="87"/>
    </row>
    <row r="127" spans="1:8">
      <c r="A127" s="87"/>
      <c r="C127" s="87"/>
      <c r="D127" s="87"/>
      <c r="E127" s="93"/>
      <c r="F127" s="93"/>
      <c r="G127" s="87"/>
      <c r="H127" s="87"/>
    </row>
    <row r="128" spans="1:8">
      <c r="A128" s="87"/>
      <c r="C128" s="88" t="s">
        <v>126</v>
      </c>
      <c r="D128" s="87"/>
      <c r="E128" s="92">
        <v>19630</v>
      </c>
      <c r="F128" s="93"/>
      <c r="G128" s="87"/>
      <c r="H128" s="87"/>
    </row>
    <row r="129" spans="1:8">
      <c r="A129" s="87"/>
      <c r="C129" s="87"/>
      <c r="D129" s="87"/>
      <c r="E129" s="93"/>
      <c r="F129" s="93"/>
      <c r="G129" s="87"/>
      <c r="H129" s="87"/>
    </row>
    <row r="130" spans="1:8">
      <c r="A130" s="87"/>
      <c r="C130" s="88" t="s">
        <v>127</v>
      </c>
      <c r="D130" s="87"/>
      <c r="E130" s="93"/>
      <c r="F130" s="92">
        <f>SUM(E122:E128)</f>
        <v>2491740</v>
      </c>
      <c r="G130" s="87"/>
      <c r="H130" s="87"/>
    </row>
    <row r="131" spans="1:8">
      <c r="A131" s="87"/>
      <c r="C131" s="87"/>
      <c r="D131" s="87"/>
      <c r="E131" s="93"/>
      <c r="F131" s="93"/>
      <c r="G131" s="87"/>
      <c r="H131" s="87"/>
    </row>
    <row r="132" spans="1:8" ht="13.5" thickBot="1">
      <c r="A132" s="87"/>
      <c r="C132" s="126" t="s">
        <v>143</v>
      </c>
      <c r="D132" s="87"/>
      <c r="E132" s="93"/>
      <c r="F132" s="94">
        <f>F118+F130</f>
        <v>2743535</v>
      </c>
      <c r="G132" s="87"/>
      <c r="H132" s="87"/>
    </row>
    <row r="133" spans="1:8" ht="13.5" thickTop="1">
      <c r="A133" s="87"/>
      <c r="B133" s="126"/>
      <c r="C133" s="87"/>
      <c r="D133" s="87"/>
      <c r="E133" s="91"/>
      <c r="F133" s="87"/>
      <c r="G133" s="87"/>
      <c r="H133" s="87"/>
    </row>
    <row r="134" spans="1:8">
      <c r="A134" s="87"/>
      <c r="B134" s="126"/>
      <c r="C134" s="87"/>
      <c r="D134" s="87"/>
      <c r="E134" s="91"/>
      <c r="F134" s="87"/>
      <c r="G134" s="87"/>
      <c r="H134" s="87"/>
    </row>
    <row r="135" spans="1:8">
      <c r="A135" s="87"/>
      <c r="B135" s="126"/>
      <c r="C135" s="87"/>
      <c r="D135" s="87"/>
      <c r="E135" s="91"/>
      <c r="F135" s="87"/>
      <c r="G135" s="87"/>
      <c r="H135" s="87"/>
    </row>
    <row r="136" spans="1:8">
      <c r="A136" s="87"/>
      <c r="B136" s="126"/>
      <c r="C136" s="87"/>
      <c r="D136" s="87"/>
      <c r="E136" s="91"/>
      <c r="F136" s="87"/>
      <c r="G136" s="87"/>
      <c r="H136" s="87"/>
    </row>
    <row r="137" spans="1:8">
      <c r="A137" s="660" t="s">
        <v>541</v>
      </c>
      <c r="B137" s="660"/>
      <c r="C137" s="660"/>
      <c r="D137" s="660"/>
      <c r="E137" s="660"/>
      <c r="F137" s="660"/>
      <c r="G137" s="660"/>
      <c r="H137" s="660"/>
    </row>
    <row r="138" spans="1:8">
      <c r="A138" s="660" t="s">
        <v>91</v>
      </c>
      <c r="B138" s="660"/>
      <c r="C138" s="660"/>
      <c r="D138" s="660"/>
      <c r="E138" s="660"/>
      <c r="F138" s="660"/>
      <c r="G138" s="660"/>
      <c r="H138" s="660"/>
    </row>
    <row r="139" spans="1:8">
      <c r="A139" s="660" t="str">
        <f>A7</f>
        <v>12 Months Ended 12/31/2014</v>
      </c>
      <c r="B139" s="660"/>
      <c r="C139" s="660"/>
      <c r="D139" s="660"/>
      <c r="E139" s="660"/>
      <c r="F139" s="660"/>
      <c r="G139" s="660"/>
      <c r="H139" s="660"/>
    </row>
    <row r="140" spans="1:8">
      <c r="A140" s="660" t="s">
        <v>144</v>
      </c>
      <c r="B140" s="660"/>
      <c r="C140" s="660"/>
      <c r="D140" s="660"/>
      <c r="E140" s="660"/>
      <c r="F140" s="660"/>
      <c r="G140" s="660"/>
      <c r="H140" s="660"/>
    </row>
    <row r="141" spans="1:8">
      <c r="A141" s="87"/>
      <c r="B141" s="87"/>
      <c r="C141" s="87"/>
      <c r="D141" s="87"/>
      <c r="E141" s="87"/>
      <c r="F141" s="87"/>
      <c r="G141" s="87"/>
      <c r="H141" s="87"/>
    </row>
    <row r="142" spans="1:8">
      <c r="A142" s="87"/>
      <c r="B142" s="87"/>
      <c r="C142" s="87"/>
      <c r="D142" s="87"/>
      <c r="E142" s="87"/>
      <c r="F142" s="87"/>
      <c r="G142" s="87"/>
      <c r="H142" s="87"/>
    </row>
    <row r="143" spans="1:8">
      <c r="A143" s="87"/>
      <c r="C143" s="126" t="s">
        <v>145</v>
      </c>
      <c r="D143" s="87"/>
      <c r="E143" s="87"/>
      <c r="F143" s="87"/>
      <c r="G143" s="87"/>
      <c r="H143" s="87"/>
    </row>
    <row r="144" spans="1:8">
      <c r="A144" s="87"/>
      <c r="C144" s="88" t="s">
        <v>118</v>
      </c>
      <c r="D144" s="87"/>
      <c r="E144" s="87">
        <v>1510102</v>
      </c>
      <c r="F144" s="87"/>
      <c r="G144" s="87"/>
      <c r="H144" s="87"/>
    </row>
    <row r="145" spans="1:8">
      <c r="A145" s="87"/>
      <c r="C145" s="87"/>
      <c r="D145" s="87"/>
      <c r="E145" s="87"/>
      <c r="F145" s="87"/>
      <c r="G145" s="87"/>
      <c r="H145" s="87"/>
    </row>
    <row r="146" spans="1:8">
      <c r="A146" s="87"/>
      <c r="C146" s="88" t="s">
        <v>121</v>
      </c>
      <c r="D146" s="87"/>
      <c r="E146" s="87"/>
      <c r="F146" s="87">
        <f>E144</f>
        <v>1510102</v>
      </c>
      <c r="G146" s="87"/>
      <c r="H146" s="87"/>
    </row>
    <row r="147" spans="1:8">
      <c r="A147" s="87"/>
      <c r="C147" s="87"/>
      <c r="D147" s="87"/>
      <c r="E147" s="87"/>
      <c r="F147" s="87"/>
      <c r="G147" s="87"/>
      <c r="H147" s="87"/>
    </row>
    <row r="148" spans="1:8">
      <c r="A148" s="87"/>
      <c r="C148" s="126" t="s">
        <v>132</v>
      </c>
      <c r="D148" s="87"/>
      <c r="E148" s="87"/>
      <c r="F148" s="87"/>
      <c r="G148" s="87"/>
      <c r="H148" s="87"/>
    </row>
    <row r="149" spans="1:8">
      <c r="A149" s="87"/>
      <c r="C149" s="88" t="s">
        <v>123</v>
      </c>
      <c r="D149" s="87"/>
      <c r="E149" s="87">
        <v>0</v>
      </c>
      <c r="F149" s="87"/>
      <c r="G149" s="87"/>
      <c r="H149" s="87"/>
    </row>
    <row r="150" spans="1:8">
      <c r="A150" s="87"/>
      <c r="C150" s="87"/>
      <c r="D150" s="87"/>
      <c r="E150" s="87"/>
      <c r="F150" s="87"/>
      <c r="G150" s="87"/>
      <c r="H150" s="87"/>
    </row>
    <row r="151" spans="1:8">
      <c r="A151" s="87"/>
      <c r="C151" s="88" t="s">
        <v>124</v>
      </c>
      <c r="D151" s="87"/>
      <c r="E151" s="87">
        <v>94825</v>
      </c>
      <c r="F151" s="87"/>
      <c r="G151" s="87"/>
      <c r="H151" s="87"/>
    </row>
    <row r="152" spans="1:8">
      <c r="A152" s="87"/>
      <c r="C152" s="87"/>
      <c r="D152" s="87"/>
      <c r="E152" s="87"/>
      <c r="F152" s="87"/>
      <c r="G152" s="87"/>
      <c r="H152" s="87"/>
    </row>
    <row r="153" spans="1:8">
      <c r="A153" s="87"/>
      <c r="C153" s="88" t="s">
        <v>125</v>
      </c>
      <c r="D153" s="87"/>
      <c r="E153" s="87">
        <v>0</v>
      </c>
      <c r="F153" s="87"/>
      <c r="G153" s="87"/>
      <c r="H153" s="87"/>
    </row>
    <row r="154" spans="1:8">
      <c r="A154" s="87"/>
      <c r="C154" s="87"/>
      <c r="D154" s="87"/>
      <c r="E154" s="87"/>
      <c r="F154" s="87"/>
      <c r="G154" s="87"/>
      <c r="H154" s="87"/>
    </row>
    <row r="155" spans="1:8">
      <c r="A155" s="87"/>
      <c r="C155" s="88" t="s">
        <v>126</v>
      </c>
      <c r="D155" s="87"/>
      <c r="E155" s="89">
        <v>0</v>
      </c>
      <c r="F155" s="87"/>
      <c r="G155" s="87"/>
      <c r="H155" s="87"/>
    </row>
    <row r="156" spans="1:8">
      <c r="A156" s="87"/>
      <c r="C156" s="87"/>
      <c r="D156" s="87"/>
      <c r="E156" s="87"/>
      <c r="F156" s="87"/>
      <c r="G156" s="87"/>
      <c r="H156" s="87"/>
    </row>
    <row r="157" spans="1:8">
      <c r="A157" s="87"/>
      <c r="C157" s="88" t="s">
        <v>127</v>
      </c>
      <c r="D157" s="87"/>
      <c r="E157" s="87"/>
      <c r="F157" s="96">
        <f>SUM(E149:E155)</f>
        <v>94825</v>
      </c>
      <c r="G157" s="87"/>
      <c r="H157" s="87"/>
    </row>
    <row r="158" spans="1:8">
      <c r="A158" s="87"/>
      <c r="C158" s="87"/>
      <c r="D158" s="87"/>
      <c r="E158" s="87"/>
      <c r="F158" s="87"/>
      <c r="G158" s="87"/>
      <c r="H158" s="87"/>
    </row>
    <row r="159" spans="1:8" ht="13.5" thickBot="1">
      <c r="A159" s="87"/>
      <c r="C159" s="126" t="s">
        <v>146</v>
      </c>
      <c r="D159" s="87"/>
      <c r="E159" s="87"/>
      <c r="F159" s="97">
        <f>F146+F157</f>
        <v>1604927</v>
      </c>
      <c r="G159" s="87"/>
      <c r="H159" s="87"/>
    </row>
    <row r="160" spans="1:8" ht="13.5" thickTop="1">
      <c r="A160" s="87"/>
      <c r="B160" s="87"/>
      <c r="C160" s="87"/>
      <c r="D160" s="87"/>
      <c r="E160" s="87"/>
      <c r="F160" s="87"/>
      <c r="G160" s="87"/>
      <c r="H160" s="87"/>
    </row>
    <row r="161" spans="1:8">
      <c r="A161" s="87"/>
      <c r="B161" s="87"/>
      <c r="C161" s="87"/>
      <c r="D161" s="87"/>
      <c r="E161" s="87"/>
      <c r="F161" s="87"/>
      <c r="G161" s="87"/>
      <c r="H161" s="87"/>
    </row>
    <row r="162" spans="1:8">
      <c r="B162" s="95"/>
    </row>
  </sheetData>
  <sheetProtection formatCells="0"/>
  <mergeCells count="26">
    <mergeCell ref="A138:H138"/>
    <mergeCell ref="A139:H139"/>
    <mergeCell ref="A140:H140"/>
    <mergeCell ref="A110:H110"/>
    <mergeCell ref="A111:H111"/>
    <mergeCell ref="A112:H112"/>
    <mergeCell ref="A137:H137"/>
    <mergeCell ref="A109:H109"/>
    <mergeCell ref="A35:H35"/>
    <mergeCell ref="A59:H59"/>
    <mergeCell ref="A60:H60"/>
    <mergeCell ref="A61:H61"/>
    <mergeCell ref="A62:H62"/>
    <mergeCell ref="A84:H84"/>
    <mergeCell ref="A85:H85"/>
    <mergeCell ref="A86:H86"/>
    <mergeCell ref="A87:H87"/>
    <mergeCell ref="A34:H34"/>
    <mergeCell ref="B1:H1"/>
    <mergeCell ref="B2:H2"/>
    <mergeCell ref="A4:H4"/>
    <mergeCell ref="A5:H5"/>
    <mergeCell ref="A6:H6"/>
    <mergeCell ref="A7:H7"/>
    <mergeCell ref="A32:H32"/>
    <mergeCell ref="A33:H33"/>
  </mergeCells>
  <phoneticPr fontId="16" type="noConversion"/>
  <conditionalFormatting sqref="A1:XFD1048576">
    <cfRule type="cellIs" dxfId="2" priority="1" operator="lessThan">
      <formula>0</formula>
    </cfRule>
  </conditionalFormatting>
  <printOptions horizontalCentered="1"/>
  <pageMargins left="0.75" right="0.75" top="1" bottom="1" header="0.5" footer="0.5"/>
  <pageSetup scale="71" fitToHeight="2" orientation="portrait" r:id="rId1"/>
  <headerFooter alignWithMargins="0">
    <oddHeader>&amp;CIDAHO POWER COMPANY
Transmission Cost of Service Rate Development
12 Months Ended 12/31/2014</oddHeader>
  </headerFooter>
  <rowBreaks count="2" manualBreakCount="2">
    <brk id="57" max="7" man="1"/>
    <brk id="107" max="16383" man="1"/>
  </rowBreaks>
  <ignoredErrors>
    <ignoredError sqref="E10:E12 E19:E25 E13:E14" unlockedFormula="1"/>
    <ignoredError sqref="F29" formula="1"/>
  </ignoredErrors>
</worksheet>
</file>

<file path=xl/worksheets/sheet27.xml><?xml version="1.0" encoding="utf-8"?>
<worksheet xmlns="http://schemas.openxmlformats.org/spreadsheetml/2006/main" xmlns:r="http://schemas.openxmlformats.org/officeDocument/2006/relationships">
  <sheetPr codeName="Sheet28">
    <pageSetUpPr fitToPage="1"/>
  </sheetPr>
  <dimension ref="A1:J49"/>
  <sheetViews>
    <sheetView zoomScaleNormal="100" zoomScaleSheetLayoutView="100" workbookViewId="0">
      <selection sqref="A1:H1"/>
    </sheetView>
  </sheetViews>
  <sheetFormatPr defaultRowHeight="12.75"/>
  <cols>
    <col min="1" max="2" width="3.7109375" style="568" customWidth="1"/>
    <col min="3" max="3" width="48" style="153" customWidth="1"/>
    <col min="4" max="4" width="13.28515625" style="153" bestFit="1" customWidth="1"/>
    <col min="5" max="5" width="3" style="153" customWidth="1"/>
    <col min="6" max="6" width="16.7109375" style="153" customWidth="1"/>
    <col min="7" max="7" width="1.7109375" style="153" customWidth="1"/>
    <col min="8" max="8" width="44.7109375" style="153" customWidth="1"/>
    <col min="9" max="9" width="11.7109375" style="153" bestFit="1" customWidth="1"/>
    <col min="10" max="10" width="8.7109375" style="153" bestFit="1" customWidth="1"/>
    <col min="11" max="16384" width="9.140625" style="153"/>
  </cols>
  <sheetData>
    <row r="1" spans="1:10">
      <c r="A1" s="645" t="s">
        <v>381</v>
      </c>
      <c r="B1" s="645"/>
      <c r="C1" s="645"/>
      <c r="D1" s="645"/>
      <c r="E1" s="645"/>
      <c r="F1" s="645"/>
      <c r="G1" s="645"/>
      <c r="H1" s="645"/>
    </row>
    <row r="2" spans="1:10">
      <c r="A2" s="645" t="s">
        <v>370</v>
      </c>
      <c r="B2" s="645"/>
      <c r="C2" s="645"/>
      <c r="D2" s="645"/>
      <c r="E2" s="645"/>
      <c r="F2" s="645"/>
      <c r="G2" s="645"/>
      <c r="H2" s="645"/>
    </row>
    <row r="3" spans="1:10">
      <c r="A3" s="645" t="str">
        <f>'Schedule 1 Workpaper'!A3:F3</f>
        <v>12 Months Ended 12/31/2014</v>
      </c>
      <c r="B3" s="645"/>
      <c r="C3" s="645"/>
      <c r="D3" s="645"/>
      <c r="E3" s="645"/>
      <c r="F3" s="645"/>
      <c r="G3" s="645"/>
      <c r="H3" s="645"/>
    </row>
    <row r="4" spans="1:10">
      <c r="A4" s="569"/>
      <c r="B4" s="569"/>
      <c r="C4" s="569"/>
      <c r="D4" s="569"/>
      <c r="E4" s="569"/>
      <c r="F4" s="569"/>
      <c r="G4" s="569"/>
      <c r="H4" s="569"/>
    </row>
    <row r="5" spans="1:10">
      <c r="F5" s="569" t="s">
        <v>93</v>
      </c>
    </row>
    <row r="6" spans="1:10">
      <c r="C6" s="157"/>
      <c r="D6" s="569" t="s">
        <v>552</v>
      </c>
      <c r="E6" s="569"/>
      <c r="F6" s="569" t="s">
        <v>649</v>
      </c>
      <c r="G6" s="569"/>
      <c r="H6" s="569" t="s">
        <v>785</v>
      </c>
    </row>
    <row r="7" spans="1:10">
      <c r="B7" s="645" t="s">
        <v>784</v>
      </c>
      <c r="C7" s="645"/>
      <c r="D7" s="569" t="s">
        <v>233</v>
      </c>
      <c r="E7" s="569"/>
      <c r="F7" s="569" t="s">
        <v>651</v>
      </c>
      <c r="G7" s="569"/>
      <c r="H7" s="569" t="s">
        <v>652</v>
      </c>
    </row>
    <row r="8" spans="1:10">
      <c r="C8" s="569" t="s">
        <v>470</v>
      </c>
      <c r="D8" s="569" t="s">
        <v>471</v>
      </c>
      <c r="E8" s="569"/>
      <c r="F8" s="569" t="s">
        <v>653</v>
      </c>
      <c r="G8" s="569"/>
      <c r="H8" s="569" t="s">
        <v>654</v>
      </c>
    </row>
    <row r="9" spans="1:10">
      <c r="B9" s="318" t="s">
        <v>655</v>
      </c>
      <c r="C9" s="319"/>
      <c r="D9" s="320"/>
      <c r="E9" s="320"/>
      <c r="F9" s="320"/>
      <c r="G9" s="320"/>
      <c r="H9" s="321"/>
    </row>
    <row r="10" spans="1:10">
      <c r="A10" s="322"/>
      <c r="B10" s="323"/>
      <c r="C10" s="324" t="s">
        <v>656</v>
      </c>
      <c r="D10" s="331">
        <v>17330</v>
      </c>
      <c r="E10" s="325"/>
      <c r="F10" s="329">
        <v>0</v>
      </c>
      <c r="G10" s="326"/>
      <c r="H10" s="327" t="s">
        <v>657</v>
      </c>
    </row>
    <row r="11" spans="1:10">
      <c r="A11" s="322"/>
      <c r="B11" s="328"/>
      <c r="C11" s="324" t="s">
        <v>220</v>
      </c>
      <c r="D11" s="329">
        <f>-'Schedule 4 Workpaper page 2'!G893</f>
        <v>310725.39333333349</v>
      </c>
      <c r="E11" s="325"/>
      <c r="F11" s="329">
        <f>'Schedule 4 Workpaper page 2'!G898</f>
        <v>52487.514634117702</v>
      </c>
      <c r="G11" s="326"/>
      <c r="H11" s="327" t="s">
        <v>45</v>
      </c>
      <c r="J11" s="163"/>
    </row>
    <row r="12" spans="1:10">
      <c r="A12" s="322"/>
      <c r="B12" s="328"/>
      <c r="C12" s="324" t="s">
        <v>659</v>
      </c>
      <c r="D12" s="329">
        <f>'Schedule 4 Workpaper page 3'!E80</f>
        <v>1544474.82</v>
      </c>
      <c r="E12" s="325"/>
      <c r="F12" s="329">
        <f>'Schedule 4 Workpaper page 3'!E73</f>
        <v>248230.40000000002</v>
      </c>
      <c r="G12" s="326"/>
      <c r="H12" s="327" t="s">
        <v>660</v>
      </c>
      <c r="J12" s="163"/>
    </row>
    <row r="13" spans="1:10">
      <c r="A13" s="322"/>
      <c r="B13" s="328"/>
      <c r="C13" s="324" t="s">
        <v>231</v>
      </c>
      <c r="D13" s="329">
        <f>'Schedule 4 Workpaper page 4'!E18</f>
        <v>1024999.2699999999</v>
      </c>
      <c r="E13" s="325"/>
      <c r="F13" s="329">
        <f>'Schedule 4 Workpaper page 4'!C18</f>
        <v>258329.27999999997</v>
      </c>
      <c r="G13" s="326"/>
      <c r="H13" s="327" t="s">
        <v>658</v>
      </c>
    </row>
    <row r="14" spans="1:10" ht="51">
      <c r="A14" s="322"/>
      <c r="B14" s="328"/>
      <c r="C14" s="324" t="s">
        <v>661</v>
      </c>
      <c r="D14" s="329">
        <v>7260654.5199999996</v>
      </c>
      <c r="E14" s="325"/>
      <c r="F14" s="329">
        <v>0</v>
      </c>
      <c r="G14" s="326"/>
      <c r="H14" s="327" t="s">
        <v>662</v>
      </c>
    </row>
    <row r="15" spans="1:10">
      <c r="A15" s="322"/>
      <c r="B15" s="330"/>
      <c r="C15" s="324" t="s">
        <v>641</v>
      </c>
      <c r="D15" s="331">
        <f>SUM(D10:D14)</f>
        <v>10158184.003333334</v>
      </c>
      <c r="E15" s="325"/>
      <c r="F15" s="331">
        <f>SUM(F10:F14)</f>
        <v>559047.19463411765</v>
      </c>
      <c r="G15" s="326"/>
      <c r="H15" s="327" t="s">
        <v>786</v>
      </c>
    </row>
    <row r="16" spans="1:10" s="178" customFormat="1">
      <c r="A16" s="322"/>
      <c r="B16" s="332"/>
      <c r="C16" s="333"/>
      <c r="D16" s="334"/>
      <c r="E16" s="334"/>
      <c r="F16" s="334"/>
      <c r="G16" s="335"/>
      <c r="H16" s="336"/>
    </row>
    <row r="17" spans="1:8" ht="13.5" customHeight="1">
      <c r="A17" s="322"/>
      <c r="B17" s="337" t="s">
        <v>663</v>
      </c>
      <c r="C17" s="338"/>
      <c r="D17" s="334"/>
      <c r="E17" s="334"/>
      <c r="F17" s="334"/>
      <c r="G17" s="335"/>
      <c r="H17" s="339"/>
    </row>
    <row r="18" spans="1:8" ht="39" customHeight="1">
      <c r="A18" s="322"/>
      <c r="B18" s="323"/>
      <c r="C18" s="324" t="s">
        <v>664</v>
      </c>
      <c r="D18" s="329">
        <v>308151.46999999997</v>
      </c>
      <c r="E18" s="331"/>
      <c r="F18" s="329">
        <v>0</v>
      </c>
      <c r="G18" s="326"/>
      <c r="H18" s="340" t="s">
        <v>665</v>
      </c>
    </row>
    <row r="19" spans="1:8" ht="11.25" customHeight="1">
      <c r="A19" s="322"/>
      <c r="B19" s="330"/>
      <c r="C19" s="341" t="s">
        <v>641</v>
      </c>
      <c r="D19" s="325">
        <f>SUM(D18)</f>
        <v>308151.46999999997</v>
      </c>
      <c r="E19" s="331"/>
      <c r="F19" s="331">
        <f>SUM(F18)</f>
        <v>0</v>
      </c>
      <c r="G19" s="326"/>
      <c r="H19" s="340"/>
    </row>
    <row r="20" spans="1:8" s="178" customFormat="1" ht="11.25" customHeight="1">
      <c r="A20" s="322"/>
      <c r="B20" s="332"/>
      <c r="C20" s="333"/>
      <c r="D20" s="342"/>
      <c r="E20" s="334"/>
      <c r="F20" s="334"/>
      <c r="G20" s="335"/>
      <c r="H20" s="343"/>
    </row>
    <row r="21" spans="1:8" ht="13.5" customHeight="1">
      <c r="A21" s="322"/>
      <c r="B21" s="344" t="s">
        <v>666</v>
      </c>
      <c r="C21" s="345"/>
      <c r="D21" s="334"/>
      <c r="E21" s="334"/>
      <c r="F21" s="334"/>
      <c r="G21" s="335"/>
      <c r="H21" s="346"/>
    </row>
    <row r="22" spans="1:8">
      <c r="A22" s="322"/>
      <c r="B22" s="322"/>
      <c r="C22" s="347" t="s">
        <v>667</v>
      </c>
      <c r="D22" s="492">
        <v>409600</v>
      </c>
      <c r="E22" s="331"/>
      <c r="F22" s="492">
        <v>0</v>
      </c>
      <c r="G22" s="326"/>
      <c r="H22" s="327" t="s">
        <v>94</v>
      </c>
    </row>
    <row r="23" spans="1:8">
      <c r="A23" s="322"/>
      <c r="B23" s="322"/>
      <c r="C23" s="324" t="s">
        <v>641</v>
      </c>
      <c r="D23" s="331">
        <f>SUM(D22)</f>
        <v>409600</v>
      </c>
      <c r="E23" s="331"/>
      <c r="F23" s="331">
        <f>SUM(F22)</f>
        <v>0</v>
      </c>
      <c r="G23" s="326"/>
      <c r="H23" s="327"/>
    </row>
    <row r="24" spans="1:8" s="178" customFormat="1">
      <c r="A24" s="322"/>
      <c r="B24" s="332"/>
      <c r="C24" s="333"/>
      <c r="D24" s="334"/>
      <c r="E24" s="334"/>
      <c r="F24" s="334"/>
      <c r="G24" s="335"/>
      <c r="H24" s="336"/>
    </row>
    <row r="25" spans="1:8">
      <c r="A25" s="322"/>
      <c r="B25" s="344" t="s">
        <v>668</v>
      </c>
      <c r="C25" s="345"/>
      <c r="D25" s="334"/>
      <c r="E25" s="334"/>
      <c r="F25" s="334"/>
      <c r="G25" s="335"/>
      <c r="H25" s="339"/>
    </row>
    <row r="26" spans="1:8" ht="38.25">
      <c r="A26" s="322"/>
      <c r="B26" s="323"/>
      <c r="C26" s="348" t="s">
        <v>940</v>
      </c>
      <c r="D26" s="329">
        <v>5324364</v>
      </c>
      <c r="E26" s="331"/>
      <c r="F26" s="329">
        <v>0</v>
      </c>
      <c r="G26" s="326"/>
      <c r="H26" s="340" t="s">
        <v>669</v>
      </c>
    </row>
    <row r="27" spans="1:8" ht="38.25">
      <c r="A27" s="322"/>
      <c r="B27" s="328"/>
      <c r="C27" s="348" t="s">
        <v>941</v>
      </c>
      <c r="D27" s="329">
        <v>2350092</v>
      </c>
      <c r="E27" s="331"/>
      <c r="F27" s="329">
        <v>0</v>
      </c>
      <c r="G27" s="326"/>
      <c r="H27" s="340" t="s">
        <v>669</v>
      </c>
    </row>
    <row r="28" spans="1:8" ht="37.5" customHeight="1">
      <c r="A28" s="322"/>
      <c r="B28" s="328"/>
      <c r="C28" s="348" t="s">
        <v>942</v>
      </c>
      <c r="D28" s="329">
        <v>5694375</v>
      </c>
      <c r="E28" s="331"/>
      <c r="F28" s="329">
        <v>0</v>
      </c>
      <c r="G28" s="326"/>
      <c r="H28" s="340" t="s">
        <v>669</v>
      </c>
    </row>
    <row r="29" spans="1:8" ht="38.25">
      <c r="A29" s="322"/>
      <c r="B29" s="328"/>
      <c r="C29" s="324" t="s">
        <v>943</v>
      </c>
      <c r="D29" s="329">
        <v>53004</v>
      </c>
      <c r="E29" s="331"/>
      <c r="F29" s="329">
        <v>0</v>
      </c>
      <c r="G29" s="326"/>
      <c r="H29" s="327" t="s">
        <v>670</v>
      </c>
    </row>
    <row r="30" spans="1:8" ht="38.25">
      <c r="A30" s="322"/>
      <c r="B30" s="328"/>
      <c r="C30" s="324" t="s">
        <v>944</v>
      </c>
      <c r="D30" s="329">
        <v>15395</v>
      </c>
      <c r="E30" s="331"/>
      <c r="F30" s="329">
        <v>0</v>
      </c>
      <c r="G30" s="326"/>
      <c r="H30" s="327" t="s">
        <v>670</v>
      </c>
    </row>
    <row r="31" spans="1:8" ht="38.25">
      <c r="A31" s="322"/>
      <c r="B31" s="328"/>
      <c r="C31" s="324" t="s">
        <v>945</v>
      </c>
      <c r="D31" s="329">
        <v>751303</v>
      </c>
      <c r="E31" s="331"/>
      <c r="F31" s="329">
        <f>D31</f>
        <v>751303</v>
      </c>
      <c r="G31" s="326"/>
      <c r="H31" s="327" t="s">
        <v>980</v>
      </c>
    </row>
    <row r="32" spans="1:8">
      <c r="A32" s="322"/>
      <c r="B32" s="330"/>
      <c r="C32" s="324" t="s">
        <v>641</v>
      </c>
      <c r="D32" s="331">
        <f>SUM(D26:D31)</f>
        <v>14188533</v>
      </c>
      <c r="E32" s="331"/>
      <c r="F32" s="331">
        <f>SUM(F26:F31)</f>
        <v>751303</v>
      </c>
      <c r="G32" s="326"/>
      <c r="H32" s="327"/>
    </row>
    <row r="33" spans="1:9" s="178" customFormat="1">
      <c r="A33" s="322"/>
      <c r="B33" s="332"/>
      <c r="C33" s="349"/>
      <c r="D33" s="335"/>
      <c r="E33" s="335"/>
      <c r="F33" s="335"/>
      <c r="G33" s="335"/>
      <c r="H33" s="335"/>
    </row>
    <row r="34" spans="1:9" ht="15.75" customHeight="1">
      <c r="A34" s="322"/>
      <c r="B34" s="350" t="s">
        <v>671</v>
      </c>
      <c r="C34" s="351"/>
      <c r="D34" s="326">
        <f>D15+D19+D23+D32</f>
        <v>25064468.473333336</v>
      </c>
      <c r="E34" s="326"/>
      <c r="F34" s="326">
        <f>F32+F23+F19+F15</f>
        <v>1310350.1946341177</v>
      </c>
      <c r="G34" s="326"/>
      <c r="H34" s="326" t="s">
        <v>29</v>
      </c>
      <c r="I34" s="590"/>
    </row>
    <row r="35" spans="1:9" s="178" customFormat="1" ht="15.75" customHeight="1">
      <c r="A35" s="322"/>
      <c r="B35" s="352"/>
      <c r="C35" s="349"/>
      <c r="D35" s="335"/>
      <c r="E35" s="335"/>
      <c r="F35" s="335"/>
      <c r="G35" s="335"/>
      <c r="H35" s="335"/>
    </row>
    <row r="36" spans="1:9" ht="15.75" customHeight="1">
      <c r="A36" s="322"/>
      <c r="B36" s="353" t="s">
        <v>672</v>
      </c>
      <c r="C36" s="354"/>
      <c r="D36" s="326"/>
      <c r="E36" s="326"/>
      <c r="F36" s="326">
        <f>F15+F19+F23+F32</f>
        <v>1310350.1946341177</v>
      </c>
      <c r="G36" s="326"/>
      <c r="H36" s="326" t="s">
        <v>981</v>
      </c>
    </row>
    <row r="37" spans="1:9">
      <c r="C37" s="306"/>
      <c r="D37" s="355"/>
      <c r="E37" s="355"/>
      <c r="F37" s="355"/>
      <c r="G37" s="355"/>
      <c r="H37" s="355"/>
    </row>
    <row r="38" spans="1:9">
      <c r="D38" s="355"/>
      <c r="E38" s="355"/>
      <c r="F38" s="355"/>
      <c r="G38" s="355"/>
      <c r="H38" s="355"/>
    </row>
    <row r="39" spans="1:9">
      <c r="C39" s="241"/>
      <c r="D39" s="356"/>
      <c r="E39" s="356"/>
      <c r="F39" s="356"/>
      <c r="G39" s="357"/>
      <c r="H39" s="357"/>
    </row>
    <row r="40" spans="1:9">
      <c r="C40" s="178"/>
      <c r="D40" s="356"/>
      <c r="E40" s="357"/>
      <c r="F40" s="356"/>
      <c r="G40" s="356"/>
      <c r="H40" s="358"/>
    </row>
    <row r="41" spans="1:9">
      <c r="C41" s="230"/>
      <c r="D41" s="356"/>
      <c r="E41" s="357"/>
      <c r="F41" s="356"/>
      <c r="G41" s="356"/>
      <c r="H41" s="359"/>
    </row>
    <row r="42" spans="1:9">
      <c r="C42" s="178"/>
      <c r="D42" s="574"/>
      <c r="E42" s="178"/>
      <c r="F42" s="574"/>
      <c r="G42" s="574"/>
      <c r="H42" s="360"/>
    </row>
    <row r="43" spans="1:9">
      <c r="C43" s="178"/>
      <c r="D43" s="574"/>
      <c r="E43" s="178"/>
      <c r="F43" s="574"/>
      <c r="G43" s="574"/>
      <c r="H43" s="361"/>
    </row>
    <row r="44" spans="1:9">
      <c r="C44" s="178"/>
      <c r="D44" s="574"/>
      <c r="E44" s="178"/>
      <c r="F44" s="574"/>
      <c r="G44" s="574"/>
      <c r="H44" s="361"/>
    </row>
    <row r="45" spans="1:9">
      <c r="C45" s="362"/>
      <c r="D45" s="356"/>
      <c r="E45" s="574"/>
      <c r="F45" s="356"/>
      <c r="G45" s="357"/>
      <c r="H45" s="363"/>
    </row>
    <row r="46" spans="1:9">
      <c r="C46" s="362"/>
      <c r="D46" s="356"/>
      <c r="E46" s="574"/>
      <c r="F46" s="356"/>
      <c r="G46" s="357"/>
      <c r="H46" s="363"/>
    </row>
    <row r="47" spans="1:9">
      <c r="C47" s="362"/>
      <c r="D47" s="356"/>
      <c r="E47" s="356"/>
      <c r="F47" s="356"/>
      <c r="G47" s="357"/>
      <c r="H47" s="363"/>
    </row>
    <row r="48" spans="1:9">
      <c r="C48" s="364"/>
      <c r="D48" s="357"/>
      <c r="E48" s="178"/>
      <c r="F48" s="178"/>
      <c r="G48" s="178"/>
      <c r="H48" s="365"/>
    </row>
    <row r="49" spans="3:8">
      <c r="C49" s="178"/>
      <c r="D49" s="178"/>
      <c r="E49" s="178"/>
      <c r="F49" s="356"/>
      <c r="G49" s="178"/>
      <c r="H49" s="363"/>
    </row>
  </sheetData>
  <sheetProtection formatCells="0"/>
  <mergeCells count="4">
    <mergeCell ref="A1:H1"/>
    <mergeCell ref="A2:H2"/>
    <mergeCell ref="A3:H3"/>
    <mergeCell ref="B7:C7"/>
  </mergeCells>
  <phoneticPr fontId="16" type="noConversion"/>
  <printOptions horizontalCentered="1"/>
  <pageMargins left="0.75" right="0.75" top="1" bottom="1" header="0.5" footer="0.5"/>
  <pageSetup scale="67" orientation="portrait" r:id="rId1"/>
  <headerFooter alignWithMargins="0">
    <oddHeader>&amp;CIDAHO POWER COMPANY
Transmission Cost of Service Rate Development
12 Months Ended 12/31/2014</oddHeader>
  </headerFooter>
  <ignoredErrors>
    <ignoredError sqref="F31" unlockedFormula="1"/>
  </ignoredErrors>
</worksheet>
</file>

<file path=xl/worksheets/sheet28.xml><?xml version="1.0" encoding="utf-8"?>
<worksheet xmlns="http://schemas.openxmlformats.org/spreadsheetml/2006/main" xmlns:r="http://schemas.openxmlformats.org/officeDocument/2006/relationships">
  <sheetPr codeName="Sheet29">
    <pageSetUpPr fitToPage="1"/>
  </sheetPr>
  <dimension ref="A1:K904"/>
  <sheetViews>
    <sheetView view="pageBreakPreview" topLeftCell="A83" zoomScaleNormal="100" zoomScaleSheetLayoutView="100" workbookViewId="0">
      <selection activeCell="A83" sqref="A83"/>
    </sheetView>
  </sheetViews>
  <sheetFormatPr defaultRowHeight="12.75"/>
  <cols>
    <col min="1" max="1" width="4" style="153" bestFit="1" customWidth="1"/>
    <col min="2" max="2" width="12.85546875" style="568" customWidth="1"/>
    <col min="3" max="3" width="8.42578125" style="568" bestFit="1" customWidth="1"/>
    <col min="4" max="4" width="8.5703125" style="568" bestFit="1" customWidth="1"/>
    <col min="5" max="5" width="31.7109375" style="568" bestFit="1" customWidth="1"/>
    <col min="6" max="6" width="13.85546875" style="568" customWidth="1"/>
    <col min="7" max="7" width="14.85546875" style="480" bestFit="1" customWidth="1"/>
    <col min="8" max="8" width="4.42578125" style="568" bestFit="1" customWidth="1"/>
    <col min="9" max="9" width="32.85546875" style="153" bestFit="1" customWidth="1"/>
    <col min="10" max="10" width="24.85546875" style="153" customWidth="1"/>
    <col min="11" max="12" width="9.140625" style="153"/>
    <col min="13" max="13" width="14.7109375" style="153" customWidth="1"/>
    <col min="14" max="14" width="9.140625" style="153"/>
    <col min="15" max="15" width="15" style="153" customWidth="1"/>
    <col min="16" max="16" width="9.140625" style="153" customWidth="1"/>
    <col min="17" max="17" width="25.7109375" style="153" customWidth="1"/>
    <col min="18" max="18" width="9.140625" style="153" customWidth="1"/>
    <col min="19" max="19" width="31.140625" style="153" customWidth="1"/>
    <col min="20" max="20" width="9.140625" style="153" customWidth="1"/>
    <col min="21" max="21" width="32.140625" style="153" customWidth="1"/>
    <col min="22" max="16384" width="9.140625" style="153"/>
  </cols>
  <sheetData>
    <row r="1" spans="1:10">
      <c r="B1" s="645" t="s">
        <v>382</v>
      </c>
      <c r="C1" s="645"/>
      <c r="D1" s="645"/>
      <c r="E1" s="645"/>
      <c r="F1" s="645"/>
      <c r="G1" s="645"/>
      <c r="H1" s="645"/>
      <c r="I1" s="645"/>
      <c r="J1" s="569"/>
    </row>
    <row r="2" spans="1:10">
      <c r="B2" s="645" t="s">
        <v>978</v>
      </c>
      <c r="C2" s="645"/>
      <c r="D2" s="645"/>
      <c r="E2" s="645"/>
      <c r="F2" s="645"/>
      <c r="G2" s="645"/>
      <c r="H2" s="645"/>
      <c r="I2" s="645"/>
      <c r="J2" s="569"/>
    </row>
    <row r="3" spans="1:10">
      <c r="A3" s="645" t="str">
        <f>'Schedule 1 Workpaper'!A3:F3</f>
        <v>12 Months Ended 12/31/2014</v>
      </c>
      <c r="B3" s="645"/>
      <c r="C3" s="645"/>
      <c r="D3" s="645"/>
      <c r="E3" s="645"/>
      <c r="F3" s="645"/>
      <c r="G3" s="645"/>
      <c r="H3" s="645"/>
      <c r="I3" s="645"/>
    </row>
    <row r="4" spans="1:10" ht="13.5" thickBot="1">
      <c r="C4" s="479"/>
    </row>
    <row r="5" spans="1:10" ht="27" thickTop="1" thickBot="1">
      <c r="A5" s="568"/>
      <c r="B5" s="481" t="s">
        <v>706</v>
      </c>
      <c r="C5" s="481" t="s">
        <v>110</v>
      </c>
      <c r="D5" s="481" t="s">
        <v>707</v>
      </c>
      <c r="E5" s="481" t="s">
        <v>708</v>
      </c>
      <c r="F5" s="482" t="s">
        <v>757</v>
      </c>
      <c r="G5" s="483" t="s">
        <v>709</v>
      </c>
      <c r="H5" s="481" t="s">
        <v>710</v>
      </c>
      <c r="I5" s="481" t="s">
        <v>711</v>
      </c>
      <c r="J5" s="484"/>
    </row>
    <row r="6" spans="1:10" ht="13.5" thickTop="1">
      <c r="A6" s="568">
        <v>1</v>
      </c>
      <c r="B6" s="541">
        <v>41670</v>
      </c>
      <c r="C6" s="540" t="s">
        <v>1244</v>
      </c>
      <c r="D6" s="540" t="s">
        <v>791</v>
      </c>
      <c r="E6" s="540" t="s">
        <v>1245</v>
      </c>
      <c r="F6" s="539" t="s">
        <v>714</v>
      </c>
      <c r="G6" s="544">
        <v>-839.46</v>
      </c>
      <c r="H6" s="540" t="s">
        <v>790</v>
      </c>
      <c r="I6" s="540" t="s">
        <v>1246</v>
      </c>
    </row>
    <row r="7" spans="1:10">
      <c r="A7" s="568">
        <f>A6+1</f>
        <v>2</v>
      </c>
      <c r="B7" s="541">
        <v>41670</v>
      </c>
      <c r="C7" s="540">
        <v>454151</v>
      </c>
      <c r="D7" s="540" t="s">
        <v>791</v>
      </c>
      <c r="E7" s="540" t="s">
        <v>1247</v>
      </c>
      <c r="F7" s="539" t="s">
        <v>654</v>
      </c>
      <c r="G7" s="544">
        <v>-2.09</v>
      </c>
      <c r="H7" s="540">
        <v>856</v>
      </c>
      <c r="I7" s="540" t="s">
        <v>1083</v>
      </c>
      <c r="J7" s="537"/>
    </row>
    <row r="8" spans="1:10">
      <c r="A8" s="568">
        <f t="shared" ref="A8:A71" si="0">A7+1</f>
        <v>3</v>
      </c>
      <c r="B8" s="541">
        <v>41670</v>
      </c>
      <c r="C8" s="540">
        <v>454151</v>
      </c>
      <c r="D8" s="540" t="s">
        <v>791</v>
      </c>
      <c r="E8" s="540" t="s">
        <v>1245</v>
      </c>
      <c r="F8" s="539" t="s">
        <v>714</v>
      </c>
      <c r="G8" s="544">
        <v>-118.92</v>
      </c>
      <c r="H8" s="540">
        <v>856</v>
      </c>
      <c r="I8" s="540" t="s">
        <v>1083</v>
      </c>
    </row>
    <row r="9" spans="1:10">
      <c r="A9" s="568">
        <f t="shared" si="0"/>
        <v>4</v>
      </c>
      <c r="B9" s="541">
        <v>41670</v>
      </c>
      <c r="C9" s="540">
        <v>454151</v>
      </c>
      <c r="D9" s="540" t="s">
        <v>791</v>
      </c>
      <c r="E9" s="540" t="s">
        <v>1248</v>
      </c>
      <c r="F9" s="539" t="s">
        <v>714</v>
      </c>
      <c r="G9" s="544">
        <v>-684.91</v>
      </c>
      <c r="H9" s="540">
        <v>856</v>
      </c>
      <c r="I9" s="540" t="s">
        <v>1083</v>
      </c>
    </row>
    <row r="10" spans="1:10">
      <c r="A10" s="568">
        <f t="shared" si="0"/>
        <v>5</v>
      </c>
      <c r="B10" s="541">
        <v>41670</v>
      </c>
      <c r="C10" s="540">
        <v>454151</v>
      </c>
      <c r="D10" s="540" t="s">
        <v>791</v>
      </c>
      <c r="E10" s="540" t="s">
        <v>1248</v>
      </c>
      <c r="F10" s="539" t="s">
        <v>714</v>
      </c>
      <c r="G10" s="544">
        <v>-70.34</v>
      </c>
      <c r="H10" s="540">
        <v>856</v>
      </c>
      <c r="I10" s="540" t="s">
        <v>1083</v>
      </c>
    </row>
    <row r="11" spans="1:10">
      <c r="A11" s="568">
        <f t="shared" si="0"/>
        <v>6</v>
      </c>
      <c r="B11" s="541">
        <v>41670</v>
      </c>
      <c r="C11" s="540">
        <v>454151</v>
      </c>
      <c r="D11" s="540" t="s">
        <v>791</v>
      </c>
      <c r="E11" s="540" t="s">
        <v>1128</v>
      </c>
      <c r="F11" s="539" t="s">
        <v>959</v>
      </c>
      <c r="G11" s="544">
        <v>-8.34</v>
      </c>
      <c r="H11" s="540">
        <v>856</v>
      </c>
      <c r="I11" s="540" t="s">
        <v>1083</v>
      </c>
    </row>
    <row r="12" spans="1:10">
      <c r="A12" s="568">
        <f t="shared" si="0"/>
        <v>7</v>
      </c>
      <c r="B12" s="541">
        <v>41670</v>
      </c>
      <c r="C12" s="540">
        <v>454151</v>
      </c>
      <c r="D12" s="540" t="s">
        <v>791</v>
      </c>
      <c r="E12" s="540" t="s">
        <v>1249</v>
      </c>
      <c r="F12" s="539" t="s">
        <v>714</v>
      </c>
      <c r="G12" s="544">
        <v>-150</v>
      </c>
      <c r="H12" s="540">
        <v>856</v>
      </c>
      <c r="I12" s="540" t="s">
        <v>1083</v>
      </c>
    </row>
    <row r="13" spans="1:10">
      <c r="A13" s="568">
        <f t="shared" si="0"/>
        <v>8</v>
      </c>
      <c r="B13" s="541">
        <v>41670</v>
      </c>
      <c r="C13" s="540">
        <v>454151</v>
      </c>
      <c r="D13" s="540" t="s">
        <v>791</v>
      </c>
      <c r="E13" s="540" t="s">
        <v>1082</v>
      </c>
      <c r="F13" s="539" t="s">
        <v>959</v>
      </c>
      <c r="G13" s="544">
        <v>-8.33</v>
      </c>
      <c r="H13" s="540">
        <v>856</v>
      </c>
      <c r="I13" s="540" t="s">
        <v>1083</v>
      </c>
    </row>
    <row r="14" spans="1:10" s="178" customFormat="1">
      <c r="A14" s="568">
        <f t="shared" si="0"/>
        <v>9</v>
      </c>
      <c r="B14" s="541">
        <v>41670</v>
      </c>
      <c r="C14" s="540" t="s">
        <v>1250</v>
      </c>
      <c r="D14" s="540" t="s">
        <v>791</v>
      </c>
      <c r="E14" s="540" t="s">
        <v>1103</v>
      </c>
      <c r="F14" s="539" t="s">
        <v>959</v>
      </c>
      <c r="G14" s="544">
        <v>-8.35</v>
      </c>
      <c r="H14" s="540">
        <v>856</v>
      </c>
      <c r="I14" s="540" t="s">
        <v>1083</v>
      </c>
      <c r="J14" s="153"/>
    </row>
    <row r="15" spans="1:10" ht="13.5" customHeight="1">
      <c r="A15" s="568">
        <f t="shared" si="0"/>
        <v>10</v>
      </c>
      <c r="B15" s="541">
        <v>41670</v>
      </c>
      <c r="C15" s="540" t="s">
        <v>1250</v>
      </c>
      <c r="D15" s="540" t="s">
        <v>791</v>
      </c>
      <c r="E15" s="540" t="s">
        <v>1084</v>
      </c>
      <c r="F15" s="539" t="s">
        <v>959</v>
      </c>
      <c r="G15" s="544">
        <v>-8.34</v>
      </c>
      <c r="H15" s="540">
        <v>856</v>
      </c>
      <c r="I15" s="540" t="s">
        <v>1083</v>
      </c>
    </row>
    <row r="16" spans="1:10">
      <c r="A16" s="568">
        <f t="shared" si="0"/>
        <v>11</v>
      </c>
      <c r="B16" s="541">
        <v>41670</v>
      </c>
      <c r="C16" s="540" t="s">
        <v>1250</v>
      </c>
      <c r="D16" s="540" t="s">
        <v>791</v>
      </c>
      <c r="E16" s="540" t="s">
        <v>1116</v>
      </c>
      <c r="F16" s="539" t="s">
        <v>959</v>
      </c>
      <c r="G16" s="544">
        <v>-20.84</v>
      </c>
      <c r="H16" s="540">
        <v>856</v>
      </c>
      <c r="I16" s="540" t="s">
        <v>1083</v>
      </c>
    </row>
    <row r="17" spans="1:10">
      <c r="A17" s="568">
        <f t="shared" si="0"/>
        <v>12</v>
      </c>
      <c r="B17" s="541">
        <v>41670</v>
      </c>
      <c r="C17" s="540">
        <v>454151</v>
      </c>
      <c r="D17" s="540" t="s">
        <v>791</v>
      </c>
      <c r="E17" s="540" t="s">
        <v>1117</v>
      </c>
      <c r="F17" s="539" t="s">
        <v>654</v>
      </c>
      <c r="G17" s="544">
        <v>-41.66</v>
      </c>
      <c r="H17" s="540">
        <v>856</v>
      </c>
      <c r="I17" s="540" t="s">
        <v>1083</v>
      </c>
    </row>
    <row r="18" spans="1:10" s="178" customFormat="1">
      <c r="A18" s="568">
        <f t="shared" si="0"/>
        <v>13</v>
      </c>
      <c r="B18" s="541">
        <v>41670</v>
      </c>
      <c r="C18" s="540" t="s">
        <v>1250</v>
      </c>
      <c r="D18" s="540" t="s">
        <v>791</v>
      </c>
      <c r="E18" s="540" t="s">
        <v>1118</v>
      </c>
      <c r="F18" s="539" t="s">
        <v>959</v>
      </c>
      <c r="G18" s="544">
        <v>-45</v>
      </c>
      <c r="H18" s="540">
        <v>856</v>
      </c>
      <c r="I18" s="540" t="s">
        <v>1083</v>
      </c>
      <c r="J18" s="153"/>
    </row>
    <row r="19" spans="1:10" ht="13.5" customHeight="1">
      <c r="A19" s="568">
        <f t="shared" si="0"/>
        <v>14</v>
      </c>
      <c r="B19" s="541">
        <v>41670</v>
      </c>
      <c r="C19" s="540" t="s">
        <v>1250</v>
      </c>
      <c r="D19" s="540" t="s">
        <v>791</v>
      </c>
      <c r="E19" s="540" t="s">
        <v>1118</v>
      </c>
      <c r="F19" s="539" t="s">
        <v>959</v>
      </c>
      <c r="G19" s="544">
        <v>-11.25</v>
      </c>
      <c r="H19" s="540">
        <v>856</v>
      </c>
      <c r="I19" s="540" t="s">
        <v>1083</v>
      </c>
    </row>
    <row r="20" spans="1:10">
      <c r="A20" s="568">
        <f t="shared" si="0"/>
        <v>15</v>
      </c>
      <c r="B20" s="541">
        <v>41670</v>
      </c>
      <c r="C20" s="540" t="s">
        <v>1250</v>
      </c>
      <c r="D20" s="540" t="s">
        <v>791</v>
      </c>
      <c r="E20" s="540" t="s">
        <v>1118</v>
      </c>
      <c r="F20" s="539" t="s">
        <v>959</v>
      </c>
      <c r="G20" s="544">
        <v>-29.17</v>
      </c>
      <c r="H20" s="540">
        <v>856</v>
      </c>
      <c r="I20" s="540" t="s">
        <v>1083</v>
      </c>
    </row>
    <row r="21" spans="1:10">
      <c r="A21" s="568">
        <f t="shared" si="0"/>
        <v>16</v>
      </c>
      <c r="B21" s="541">
        <v>41670</v>
      </c>
      <c r="C21" s="540">
        <v>454151</v>
      </c>
      <c r="D21" s="540" t="s">
        <v>791</v>
      </c>
      <c r="E21" s="540" t="s">
        <v>1085</v>
      </c>
      <c r="F21" s="539" t="s">
        <v>654</v>
      </c>
      <c r="G21" s="544">
        <v>-8.34</v>
      </c>
      <c r="H21" s="540">
        <v>856</v>
      </c>
      <c r="I21" s="540" t="s">
        <v>1083</v>
      </c>
    </row>
    <row r="22" spans="1:10" s="178" customFormat="1">
      <c r="A22" s="568">
        <f t="shared" si="0"/>
        <v>17</v>
      </c>
      <c r="B22" s="541">
        <v>41670</v>
      </c>
      <c r="C22" s="540">
        <v>454151</v>
      </c>
      <c r="D22" s="540" t="s">
        <v>791</v>
      </c>
      <c r="E22" s="540" t="s">
        <v>1110</v>
      </c>
      <c r="F22" s="539" t="s">
        <v>959</v>
      </c>
      <c r="G22" s="544">
        <v>-4.166666666666667</v>
      </c>
      <c r="H22" s="540">
        <v>856</v>
      </c>
      <c r="I22" s="540" t="s">
        <v>1083</v>
      </c>
      <c r="J22" s="153"/>
    </row>
    <row r="23" spans="1:10">
      <c r="A23" s="568">
        <f t="shared" si="0"/>
        <v>18</v>
      </c>
      <c r="B23" s="541">
        <v>41670</v>
      </c>
      <c r="C23" s="540">
        <v>454151</v>
      </c>
      <c r="D23" s="540" t="s">
        <v>791</v>
      </c>
      <c r="E23" s="540" t="s">
        <v>1104</v>
      </c>
      <c r="F23" s="539" t="s">
        <v>959</v>
      </c>
      <c r="G23" s="544">
        <v>-41.666666666666664</v>
      </c>
      <c r="H23" s="540">
        <v>856</v>
      </c>
      <c r="I23" s="540" t="s">
        <v>1083</v>
      </c>
    </row>
    <row r="24" spans="1:10">
      <c r="A24" s="568">
        <f t="shared" si="0"/>
        <v>19</v>
      </c>
      <c r="B24" s="541">
        <v>41670</v>
      </c>
      <c r="C24" s="540">
        <v>454151</v>
      </c>
      <c r="D24" s="540" t="s">
        <v>791</v>
      </c>
      <c r="E24" s="540" t="s">
        <v>1129</v>
      </c>
      <c r="F24" s="539" t="s">
        <v>958</v>
      </c>
      <c r="G24" s="544">
        <v>-41.66</v>
      </c>
      <c r="H24" s="540">
        <v>856</v>
      </c>
      <c r="I24" s="540" t="s">
        <v>1083</v>
      </c>
    </row>
    <row r="25" spans="1:10">
      <c r="A25" s="568">
        <f t="shared" si="0"/>
        <v>20</v>
      </c>
      <c r="B25" s="541">
        <v>41670</v>
      </c>
      <c r="C25" s="540">
        <v>454151</v>
      </c>
      <c r="D25" s="540" t="s">
        <v>791</v>
      </c>
      <c r="E25" s="540" t="s">
        <v>1135</v>
      </c>
      <c r="F25" s="539" t="s">
        <v>958</v>
      </c>
      <c r="G25" s="544">
        <v>-29.17</v>
      </c>
      <c r="H25" s="540">
        <v>856</v>
      </c>
      <c r="I25" s="540" t="s">
        <v>1083</v>
      </c>
    </row>
    <row r="26" spans="1:10">
      <c r="A26" s="568">
        <f t="shared" si="0"/>
        <v>21</v>
      </c>
      <c r="B26" s="541">
        <v>41670</v>
      </c>
      <c r="C26" s="540" t="s">
        <v>1250</v>
      </c>
      <c r="D26" s="540" t="s">
        <v>791</v>
      </c>
      <c r="E26" s="540" t="s">
        <v>1105</v>
      </c>
      <c r="F26" s="539" t="s">
        <v>959</v>
      </c>
      <c r="G26" s="544">
        <v>-14.6</v>
      </c>
      <c r="H26" s="540">
        <v>856</v>
      </c>
      <c r="I26" s="540" t="s">
        <v>1083</v>
      </c>
      <c r="J26" s="605"/>
    </row>
    <row r="27" spans="1:10">
      <c r="A27" s="568">
        <f t="shared" si="0"/>
        <v>22</v>
      </c>
      <c r="B27" s="541">
        <v>41670</v>
      </c>
      <c r="C27" s="540" t="s">
        <v>1250</v>
      </c>
      <c r="D27" s="540" t="s">
        <v>791</v>
      </c>
      <c r="E27" s="540" t="s">
        <v>1105</v>
      </c>
      <c r="F27" s="539" t="s">
        <v>959</v>
      </c>
      <c r="G27" s="544">
        <v>-8.35</v>
      </c>
      <c r="H27" s="540">
        <v>856</v>
      </c>
      <c r="I27" s="540" t="s">
        <v>1083</v>
      </c>
    </row>
    <row r="28" spans="1:10">
      <c r="A28" s="568">
        <f t="shared" si="0"/>
        <v>23</v>
      </c>
      <c r="B28" s="541">
        <v>41670</v>
      </c>
      <c r="C28" s="540">
        <v>454151</v>
      </c>
      <c r="D28" s="540" t="s">
        <v>791</v>
      </c>
      <c r="E28" s="540" t="s">
        <v>1251</v>
      </c>
      <c r="F28" s="539" t="s">
        <v>714</v>
      </c>
      <c r="G28" s="544">
        <v>-179.17</v>
      </c>
      <c r="H28" s="540">
        <v>856</v>
      </c>
      <c r="I28" s="540" t="s">
        <v>1083</v>
      </c>
    </row>
    <row r="29" spans="1:10">
      <c r="A29" s="568">
        <f t="shared" si="0"/>
        <v>24</v>
      </c>
      <c r="B29" s="541">
        <v>41670</v>
      </c>
      <c r="C29" s="540">
        <v>454151</v>
      </c>
      <c r="D29" s="540" t="s">
        <v>791</v>
      </c>
      <c r="E29" s="540" t="s">
        <v>1106</v>
      </c>
      <c r="F29" s="539" t="s">
        <v>654</v>
      </c>
      <c r="G29" s="544">
        <v>-4.1500000000000004</v>
      </c>
      <c r="H29" s="540">
        <v>856</v>
      </c>
      <c r="I29" s="540" t="s">
        <v>1083</v>
      </c>
    </row>
    <row r="30" spans="1:10">
      <c r="A30" s="568">
        <f t="shared" si="0"/>
        <v>25</v>
      </c>
      <c r="B30" s="541">
        <v>41670</v>
      </c>
      <c r="C30" s="540">
        <v>454151</v>
      </c>
      <c r="D30" s="540" t="s">
        <v>791</v>
      </c>
      <c r="E30" s="540" t="s">
        <v>1122</v>
      </c>
      <c r="F30" s="539" t="s">
        <v>714</v>
      </c>
      <c r="G30" s="544">
        <v>-8.34</v>
      </c>
      <c r="H30" s="540">
        <v>856</v>
      </c>
      <c r="I30" s="540" t="s">
        <v>1083</v>
      </c>
      <c r="J30" s="606"/>
    </row>
    <row r="31" spans="1:10" s="178" customFormat="1">
      <c r="A31" s="568">
        <f t="shared" si="0"/>
        <v>26</v>
      </c>
      <c r="B31" s="541">
        <v>41670</v>
      </c>
      <c r="C31" s="540">
        <v>454151</v>
      </c>
      <c r="D31" s="540" t="s">
        <v>791</v>
      </c>
      <c r="E31" s="540" t="s">
        <v>1086</v>
      </c>
      <c r="F31" s="539" t="s">
        <v>959</v>
      </c>
      <c r="G31" s="544">
        <v>-8.33</v>
      </c>
      <c r="H31" s="540">
        <v>856</v>
      </c>
      <c r="I31" s="540" t="s">
        <v>1083</v>
      </c>
      <c r="J31" s="153"/>
    </row>
    <row r="32" spans="1:10" ht="15.75" customHeight="1">
      <c r="A32" s="568">
        <f t="shared" si="0"/>
        <v>27</v>
      </c>
      <c r="B32" s="541">
        <v>41670</v>
      </c>
      <c r="C32" s="540" t="s">
        <v>1250</v>
      </c>
      <c r="D32" s="540" t="s">
        <v>791</v>
      </c>
      <c r="E32" s="540" t="s">
        <v>1111</v>
      </c>
      <c r="F32" s="539" t="s">
        <v>959</v>
      </c>
      <c r="G32" s="544">
        <v>-41.66</v>
      </c>
      <c r="H32" s="540">
        <v>856</v>
      </c>
      <c r="I32" s="540" t="s">
        <v>1083</v>
      </c>
    </row>
    <row r="33" spans="1:10" s="178" customFormat="1" ht="15.75" customHeight="1">
      <c r="A33" s="568">
        <f t="shared" si="0"/>
        <v>28</v>
      </c>
      <c r="B33" s="541">
        <v>41670</v>
      </c>
      <c r="C33" s="540">
        <v>454151</v>
      </c>
      <c r="D33" s="540" t="s">
        <v>791</v>
      </c>
      <c r="E33" s="540" t="s">
        <v>1132</v>
      </c>
      <c r="F33" s="539" t="s">
        <v>959</v>
      </c>
      <c r="G33" s="544">
        <v>-8.34</v>
      </c>
      <c r="H33" s="540">
        <v>856</v>
      </c>
      <c r="I33" s="540" t="s">
        <v>1083</v>
      </c>
      <c r="J33" s="153"/>
    </row>
    <row r="34" spans="1:10" ht="15.75" customHeight="1">
      <c r="A34" s="568">
        <f t="shared" si="0"/>
        <v>29</v>
      </c>
      <c r="B34" s="541">
        <v>41670</v>
      </c>
      <c r="C34" s="540">
        <v>454151</v>
      </c>
      <c r="D34" s="540" t="s">
        <v>791</v>
      </c>
      <c r="E34" s="540" t="s">
        <v>1252</v>
      </c>
      <c r="F34" s="539" t="s">
        <v>714</v>
      </c>
      <c r="G34" s="544">
        <v>-199.095</v>
      </c>
      <c r="H34" s="540">
        <v>856</v>
      </c>
      <c r="I34" s="540" t="s">
        <v>1083</v>
      </c>
      <c r="J34" s="607"/>
    </row>
    <row r="35" spans="1:10">
      <c r="A35" s="568">
        <f t="shared" si="0"/>
        <v>30</v>
      </c>
      <c r="B35" s="541">
        <v>41670</v>
      </c>
      <c r="C35" s="540">
        <v>454151</v>
      </c>
      <c r="D35" s="540" t="s">
        <v>791</v>
      </c>
      <c r="E35" s="540" t="s">
        <v>1252</v>
      </c>
      <c r="F35" s="539" t="s">
        <v>714</v>
      </c>
      <c r="G35" s="544">
        <v>-142.79</v>
      </c>
      <c r="H35" s="540">
        <v>856</v>
      </c>
      <c r="I35" s="540" t="s">
        <v>1083</v>
      </c>
    </row>
    <row r="36" spans="1:10">
      <c r="A36" s="568">
        <f t="shared" si="0"/>
        <v>31</v>
      </c>
      <c r="B36" s="541">
        <v>41670</v>
      </c>
      <c r="C36" s="540">
        <v>454151</v>
      </c>
      <c r="D36" s="540" t="s">
        <v>791</v>
      </c>
      <c r="E36" s="540" t="s">
        <v>1252</v>
      </c>
      <c r="F36" s="539" t="s">
        <v>714</v>
      </c>
      <c r="G36" s="544">
        <v>-142.79</v>
      </c>
      <c r="H36" s="540">
        <v>856</v>
      </c>
      <c r="I36" s="540" t="s">
        <v>1083</v>
      </c>
    </row>
    <row r="37" spans="1:10">
      <c r="A37" s="568">
        <f t="shared" si="0"/>
        <v>32</v>
      </c>
      <c r="B37" s="541">
        <v>41670</v>
      </c>
      <c r="C37" s="540">
        <v>454151</v>
      </c>
      <c r="D37" s="540" t="s">
        <v>791</v>
      </c>
      <c r="E37" s="540" t="s">
        <v>1252</v>
      </c>
      <c r="F37" s="539" t="s">
        <v>714</v>
      </c>
      <c r="G37" s="544">
        <v>-141.28</v>
      </c>
      <c r="H37" s="540">
        <v>856</v>
      </c>
      <c r="I37" s="540" t="s">
        <v>1083</v>
      </c>
    </row>
    <row r="38" spans="1:10">
      <c r="A38" s="568">
        <f t="shared" si="0"/>
        <v>33</v>
      </c>
      <c r="B38" s="541">
        <v>41670</v>
      </c>
      <c r="C38" s="540">
        <v>454151</v>
      </c>
      <c r="D38" s="540" t="s">
        <v>791</v>
      </c>
      <c r="E38" s="540" t="s">
        <v>1252</v>
      </c>
      <c r="F38" s="539" t="s">
        <v>714</v>
      </c>
      <c r="G38" s="544">
        <v>-122.2</v>
      </c>
      <c r="H38" s="540">
        <v>856</v>
      </c>
      <c r="I38" s="540" t="s">
        <v>1083</v>
      </c>
    </row>
    <row r="39" spans="1:10">
      <c r="A39" s="568">
        <f t="shared" si="0"/>
        <v>34</v>
      </c>
      <c r="B39" s="541">
        <v>41670</v>
      </c>
      <c r="C39" s="540">
        <v>454151</v>
      </c>
      <c r="D39" s="540" t="s">
        <v>791</v>
      </c>
      <c r="E39" s="540" t="s">
        <v>1252</v>
      </c>
      <c r="F39" s="539" t="s">
        <v>714</v>
      </c>
      <c r="G39" s="544">
        <v>-423.84000000000003</v>
      </c>
      <c r="H39" s="540">
        <v>856</v>
      </c>
      <c r="I39" s="540" t="s">
        <v>1083</v>
      </c>
    </row>
    <row r="40" spans="1:10">
      <c r="A40" s="568">
        <f t="shared" si="0"/>
        <v>35</v>
      </c>
      <c r="B40" s="541">
        <v>41670</v>
      </c>
      <c r="C40" s="540">
        <v>454151</v>
      </c>
      <c r="D40" s="540" t="s">
        <v>791</v>
      </c>
      <c r="E40" s="540" t="s">
        <v>1119</v>
      </c>
      <c r="F40" s="539" t="s">
        <v>654</v>
      </c>
      <c r="G40" s="544">
        <v>-54.16</v>
      </c>
      <c r="H40" s="540">
        <v>856</v>
      </c>
      <c r="I40" s="540" t="s">
        <v>1083</v>
      </c>
    </row>
    <row r="41" spans="1:10">
      <c r="A41" s="568">
        <f t="shared" si="0"/>
        <v>36</v>
      </c>
      <c r="B41" s="541">
        <v>41670</v>
      </c>
      <c r="C41" s="540" t="s">
        <v>1250</v>
      </c>
      <c r="D41" s="540" t="s">
        <v>791</v>
      </c>
      <c r="E41" s="540" t="s">
        <v>1087</v>
      </c>
      <c r="F41" s="539" t="s">
        <v>714</v>
      </c>
      <c r="G41" s="544">
        <v>-693.7</v>
      </c>
      <c r="H41" s="540">
        <v>856</v>
      </c>
      <c r="I41" s="540" t="s">
        <v>1083</v>
      </c>
    </row>
    <row r="42" spans="1:10">
      <c r="A42" s="568">
        <f t="shared" si="0"/>
        <v>37</v>
      </c>
      <c r="B42" s="541">
        <v>41670</v>
      </c>
      <c r="C42" s="540" t="s">
        <v>1250</v>
      </c>
      <c r="D42" s="540" t="s">
        <v>791</v>
      </c>
      <c r="E42" s="540" t="s">
        <v>1123</v>
      </c>
      <c r="F42" s="539" t="s">
        <v>654</v>
      </c>
      <c r="G42" s="544">
        <v>-8.34</v>
      </c>
      <c r="H42" s="540">
        <v>856</v>
      </c>
      <c r="I42" s="540" t="s">
        <v>1083</v>
      </c>
    </row>
    <row r="43" spans="1:10">
      <c r="A43" s="568">
        <f t="shared" si="0"/>
        <v>38</v>
      </c>
      <c r="B43" s="541">
        <v>41670</v>
      </c>
      <c r="C43" s="540">
        <v>454151</v>
      </c>
      <c r="D43" s="540" t="s">
        <v>791</v>
      </c>
      <c r="E43" s="540" t="s">
        <v>1088</v>
      </c>
      <c r="F43" s="539" t="s">
        <v>654</v>
      </c>
      <c r="G43" s="544">
        <v>-25</v>
      </c>
      <c r="H43" s="540">
        <v>856</v>
      </c>
      <c r="I43" s="540" t="s">
        <v>1083</v>
      </c>
    </row>
    <row r="44" spans="1:10">
      <c r="A44" s="568">
        <f t="shared" si="0"/>
        <v>39</v>
      </c>
      <c r="B44" s="541">
        <v>41670</v>
      </c>
      <c r="C44" s="540" t="s">
        <v>1250</v>
      </c>
      <c r="D44" s="540" t="s">
        <v>791</v>
      </c>
      <c r="E44" s="540" t="s">
        <v>1253</v>
      </c>
      <c r="F44" s="539" t="s">
        <v>654</v>
      </c>
      <c r="G44" s="544">
        <v>-8.33</v>
      </c>
      <c r="H44" s="540">
        <v>856</v>
      </c>
      <c r="I44" s="540" t="s">
        <v>1083</v>
      </c>
    </row>
    <row r="45" spans="1:10">
      <c r="A45" s="568">
        <f t="shared" si="0"/>
        <v>40</v>
      </c>
      <c r="B45" s="541">
        <v>41670</v>
      </c>
      <c r="C45" s="540" t="s">
        <v>1250</v>
      </c>
      <c r="D45" s="540" t="s">
        <v>791</v>
      </c>
      <c r="E45" s="540" t="s">
        <v>1089</v>
      </c>
      <c r="F45" s="539" t="s">
        <v>959</v>
      </c>
      <c r="G45" s="544">
        <v>-25</v>
      </c>
      <c r="H45" s="540">
        <v>856</v>
      </c>
      <c r="I45" s="540" t="s">
        <v>1083</v>
      </c>
      <c r="J45" s="605"/>
    </row>
    <row r="46" spans="1:10">
      <c r="A46" s="568">
        <f t="shared" si="0"/>
        <v>41</v>
      </c>
      <c r="B46" s="541">
        <v>41670</v>
      </c>
      <c r="C46" s="540">
        <v>454151</v>
      </c>
      <c r="D46" s="540" t="s">
        <v>791</v>
      </c>
      <c r="E46" s="540" t="s">
        <v>1254</v>
      </c>
      <c r="F46" s="539" t="s">
        <v>654</v>
      </c>
      <c r="G46" s="544">
        <v>-8.33</v>
      </c>
      <c r="H46" s="540">
        <v>856</v>
      </c>
      <c r="I46" s="540" t="s">
        <v>1083</v>
      </c>
      <c r="J46" s="607"/>
    </row>
    <row r="47" spans="1:10">
      <c r="A47" s="568">
        <f t="shared" si="0"/>
        <v>42</v>
      </c>
      <c r="B47" s="541">
        <v>41670</v>
      </c>
      <c r="C47" s="540">
        <v>454151</v>
      </c>
      <c r="D47" s="540" t="s">
        <v>791</v>
      </c>
      <c r="E47" s="540" t="s">
        <v>1090</v>
      </c>
      <c r="F47" s="539" t="s">
        <v>959</v>
      </c>
      <c r="G47" s="544">
        <v>-95</v>
      </c>
      <c r="H47" s="540">
        <v>856</v>
      </c>
      <c r="I47" s="540" t="s">
        <v>1083</v>
      </c>
    </row>
    <row r="48" spans="1:10">
      <c r="A48" s="568">
        <f t="shared" si="0"/>
        <v>43</v>
      </c>
      <c r="B48" s="541">
        <v>41670</v>
      </c>
      <c r="C48" s="540">
        <v>454151</v>
      </c>
      <c r="D48" s="540" t="s">
        <v>791</v>
      </c>
      <c r="E48" s="540" t="s">
        <v>1091</v>
      </c>
      <c r="F48" s="539" t="s">
        <v>714</v>
      </c>
      <c r="G48" s="544">
        <v>-73.13</v>
      </c>
      <c r="H48" s="540">
        <v>856</v>
      </c>
      <c r="I48" s="540" t="s">
        <v>1083</v>
      </c>
    </row>
    <row r="49" spans="1:10">
      <c r="A49" s="568">
        <f t="shared" si="0"/>
        <v>44</v>
      </c>
      <c r="B49" s="541">
        <v>41670</v>
      </c>
      <c r="C49" s="540">
        <v>454151</v>
      </c>
      <c r="D49" s="540" t="s">
        <v>791</v>
      </c>
      <c r="E49" s="540" t="s">
        <v>1092</v>
      </c>
      <c r="F49" s="539" t="s">
        <v>959</v>
      </c>
      <c r="G49" s="544">
        <v>-150</v>
      </c>
      <c r="H49" s="540">
        <v>856</v>
      </c>
      <c r="I49" s="540" t="s">
        <v>1083</v>
      </c>
    </row>
    <row r="50" spans="1:10">
      <c r="A50" s="568">
        <f t="shared" si="0"/>
        <v>45</v>
      </c>
      <c r="B50" s="541">
        <v>41670</v>
      </c>
      <c r="C50" s="540" t="s">
        <v>1250</v>
      </c>
      <c r="D50" s="540" t="s">
        <v>791</v>
      </c>
      <c r="E50" s="540" t="s">
        <v>1092</v>
      </c>
      <c r="F50" s="539" t="s">
        <v>959</v>
      </c>
      <c r="G50" s="544">
        <v>-171.66</v>
      </c>
      <c r="H50" s="540">
        <v>856</v>
      </c>
      <c r="I50" s="540" t="s">
        <v>1083</v>
      </c>
    </row>
    <row r="51" spans="1:10">
      <c r="A51" s="568">
        <f t="shared" si="0"/>
        <v>46</v>
      </c>
      <c r="B51" s="541">
        <v>41670</v>
      </c>
      <c r="C51" s="540" t="s">
        <v>1250</v>
      </c>
      <c r="D51" s="540" t="s">
        <v>791</v>
      </c>
      <c r="E51" s="540" t="s">
        <v>1092</v>
      </c>
      <c r="F51" s="539" t="s">
        <v>959</v>
      </c>
      <c r="G51" s="544">
        <v>-41.66</v>
      </c>
      <c r="H51" s="540">
        <v>856</v>
      </c>
      <c r="I51" s="540" t="s">
        <v>1083</v>
      </c>
    </row>
    <row r="52" spans="1:10">
      <c r="A52" s="568">
        <f t="shared" si="0"/>
        <v>47</v>
      </c>
      <c r="B52" s="541">
        <v>41670</v>
      </c>
      <c r="C52" s="540" t="s">
        <v>1250</v>
      </c>
      <c r="D52" s="540" t="s">
        <v>791</v>
      </c>
      <c r="E52" s="540" t="s">
        <v>1092</v>
      </c>
      <c r="F52" s="539" t="s">
        <v>959</v>
      </c>
      <c r="G52" s="544">
        <v>-16.66</v>
      </c>
      <c r="H52" s="540">
        <v>856</v>
      </c>
      <c r="I52" s="540" t="s">
        <v>1083</v>
      </c>
      <c r="J52" s="605"/>
    </row>
    <row r="53" spans="1:10">
      <c r="A53" s="568">
        <f t="shared" si="0"/>
        <v>48</v>
      </c>
      <c r="B53" s="541">
        <v>41670</v>
      </c>
      <c r="C53" s="540" t="s">
        <v>1250</v>
      </c>
      <c r="D53" s="540" t="s">
        <v>791</v>
      </c>
      <c r="E53" s="540" t="s">
        <v>1092</v>
      </c>
      <c r="F53" s="539" t="s">
        <v>959</v>
      </c>
      <c r="G53" s="544">
        <v>-363.87</v>
      </c>
      <c r="H53" s="540">
        <v>856</v>
      </c>
      <c r="I53" s="540" t="s">
        <v>1083</v>
      </c>
    </row>
    <row r="54" spans="1:10">
      <c r="A54" s="568">
        <f t="shared" si="0"/>
        <v>49</v>
      </c>
      <c r="B54" s="541">
        <v>41670</v>
      </c>
      <c r="C54" s="540">
        <v>454151</v>
      </c>
      <c r="D54" s="540" t="s">
        <v>791</v>
      </c>
      <c r="E54" s="540" t="s">
        <v>1126</v>
      </c>
      <c r="F54" s="539" t="s">
        <v>714</v>
      </c>
      <c r="G54" s="544">
        <v>-100</v>
      </c>
      <c r="H54" s="540">
        <v>856</v>
      </c>
      <c r="I54" s="540" t="s">
        <v>1083</v>
      </c>
    </row>
    <row r="55" spans="1:10">
      <c r="A55" s="568">
        <f t="shared" si="0"/>
        <v>50</v>
      </c>
      <c r="B55" s="541">
        <v>41670</v>
      </c>
      <c r="C55" s="540">
        <v>454151</v>
      </c>
      <c r="D55" s="540" t="s">
        <v>791</v>
      </c>
      <c r="E55" s="540" t="s">
        <v>1255</v>
      </c>
      <c r="F55" s="539" t="s">
        <v>959</v>
      </c>
      <c r="G55" s="544">
        <v>-8.33</v>
      </c>
      <c r="H55" s="540">
        <v>856</v>
      </c>
      <c r="I55" s="540" t="s">
        <v>1083</v>
      </c>
    </row>
    <row r="56" spans="1:10">
      <c r="A56" s="568">
        <f t="shared" si="0"/>
        <v>51</v>
      </c>
      <c r="B56" s="541">
        <v>41670</v>
      </c>
      <c r="C56" s="540">
        <v>454151</v>
      </c>
      <c r="D56" s="540" t="s">
        <v>791</v>
      </c>
      <c r="E56" s="540" t="s">
        <v>1093</v>
      </c>
      <c r="F56" s="539" t="s">
        <v>654</v>
      </c>
      <c r="G56" s="544">
        <v>-500</v>
      </c>
      <c r="H56" s="540">
        <v>856</v>
      </c>
      <c r="I56" s="540" t="s">
        <v>1083</v>
      </c>
    </row>
    <row r="57" spans="1:10">
      <c r="A57" s="568">
        <f t="shared" si="0"/>
        <v>52</v>
      </c>
      <c r="B57" s="541">
        <v>41670</v>
      </c>
      <c r="C57" s="540">
        <v>454151</v>
      </c>
      <c r="D57" s="540" t="s">
        <v>791</v>
      </c>
      <c r="E57" s="540" t="s">
        <v>1094</v>
      </c>
      <c r="F57" s="539" t="s">
        <v>958</v>
      </c>
      <c r="G57" s="544">
        <v>-14.58</v>
      </c>
      <c r="H57" s="540">
        <v>856</v>
      </c>
      <c r="I57" s="540" t="s">
        <v>1083</v>
      </c>
    </row>
    <row r="58" spans="1:10">
      <c r="A58" s="568">
        <f t="shared" si="0"/>
        <v>53</v>
      </c>
      <c r="B58" s="541">
        <v>41670</v>
      </c>
      <c r="C58" s="540">
        <v>454151</v>
      </c>
      <c r="D58" s="540" t="s">
        <v>791</v>
      </c>
      <c r="E58" s="540" t="s">
        <v>1095</v>
      </c>
      <c r="F58" s="539" t="s">
        <v>959</v>
      </c>
      <c r="G58" s="544">
        <v>-8.33</v>
      </c>
      <c r="H58" s="540">
        <v>856</v>
      </c>
      <c r="I58" s="540" t="s">
        <v>1083</v>
      </c>
    </row>
    <row r="59" spans="1:10">
      <c r="A59" s="568">
        <f t="shared" si="0"/>
        <v>54</v>
      </c>
      <c r="B59" s="541">
        <v>41670</v>
      </c>
      <c r="C59" s="540">
        <v>454151</v>
      </c>
      <c r="D59" s="540" t="s">
        <v>791</v>
      </c>
      <c r="E59" s="540" t="s">
        <v>1256</v>
      </c>
      <c r="F59" s="539" t="s">
        <v>714</v>
      </c>
      <c r="G59" s="544">
        <v>-565.41</v>
      </c>
      <c r="H59" s="540">
        <v>856</v>
      </c>
      <c r="I59" s="540" t="s">
        <v>1083</v>
      </c>
    </row>
    <row r="60" spans="1:10">
      <c r="A60" s="568">
        <f t="shared" si="0"/>
        <v>55</v>
      </c>
      <c r="B60" s="541">
        <v>41670</v>
      </c>
      <c r="C60" s="540">
        <v>454151</v>
      </c>
      <c r="D60" s="540" t="s">
        <v>791</v>
      </c>
      <c r="E60" s="540" t="s">
        <v>1096</v>
      </c>
      <c r="F60" s="539" t="s">
        <v>959</v>
      </c>
      <c r="G60" s="544">
        <v>-10.83</v>
      </c>
      <c r="H60" s="540">
        <v>856</v>
      </c>
      <c r="I60" s="540" t="s">
        <v>1083</v>
      </c>
    </row>
    <row r="61" spans="1:10">
      <c r="A61" s="568">
        <f t="shared" si="0"/>
        <v>56</v>
      </c>
      <c r="B61" s="541">
        <v>41670</v>
      </c>
      <c r="C61" s="540">
        <v>454151</v>
      </c>
      <c r="D61" s="540" t="s">
        <v>791</v>
      </c>
      <c r="E61" s="540" t="s">
        <v>1097</v>
      </c>
      <c r="F61" s="539" t="s">
        <v>714</v>
      </c>
      <c r="G61" s="544">
        <v>-757.35</v>
      </c>
      <c r="H61" s="540">
        <v>856</v>
      </c>
      <c r="I61" s="540" t="s">
        <v>1083</v>
      </c>
    </row>
    <row r="62" spans="1:10">
      <c r="A62" s="568">
        <f t="shared" si="0"/>
        <v>57</v>
      </c>
      <c r="B62" s="541">
        <v>41670</v>
      </c>
      <c r="C62" s="540" t="s">
        <v>1250</v>
      </c>
      <c r="D62" s="540" t="s">
        <v>791</v>
      </c>
      <c r="E62" s="540" t="s">
        <v>1257</v>
      </c>
      <c r="F62" s="539" t="s">
        <v>959</v>
      </c>
      <c r="G62" s="544">
        <v>-8.33</v>
      </c>
      <c r="H62" s="540">
        <v>856</v>
      </c>
      <c r="I62" s="540" t="s">
        <v>1083</v>
      </c>
    </row>
    <row r="63" spans="1:10">
      <c r="A63" s="568">
        <f t="shared" si="0"/>
        <v>58</v>
      </c>
      <c r="B63" s="541">
        <v>41670</v>
      </c>
      <c r="C63" s="540">
        <v>454151</v>
      </c>
      <c r="D63" s="540" t="s">
        <v>791</v>
      </c>
      <c r="E63" s="540" t="s">
        <v>1107</v>
      </c>
      <c r="F63" s="539" t="s">
        <v>958</v>
      </c>
      <c r="G63" s="544">
        <v>-1166</v>
      </c>
      <c r="H63" s="540">
        <v>856</v>
      </c>
      <c r="I63" s="540" t="s">
        <v>1083</v>
      </c>
      <c r="J63" s="605"/>
    </row>
    <row r="64" spans="1:10">
      <c r="A64" s="568">
        <f t="shared" si="0"/>
        <v>59</v>
      </c>
      <c r="B64" s="541">
        <v>41670</v>
      </c>
      <c r="C64" s="540">
        <v>454151</v>
      </c>
      <c r="D64" s="540" t="s">
        <v>791</v>
      </c>
      <c r="E64" s="540" t="s">
        <v>1124</v>
      </c>
      <c r="F64" s="539" t="s">
        <v>959</v>
      </c>
      <c r="G64" s="544">
        <v>-183.82333333333335</v>
      </c>
      <c r="H64" s="540">
        <v>856</v>
      </c>
      <c r="I64" s="540" t="s">
        <v>1083</v>
      </c>
    </row>
    <row r="65" spans="1:10">
      <c r="A65" s="568">
        <f t="shared" si="0"/>
        <v>60</v>
      </c>
      <c r="B65" s="541">
        <v>41670</v>
      </c>
      <c r="C65" s="540">
        <v>454151</v>
      </c>
      <c r="D65" s="540" t="s">
        <v>791</v>
      </c>
      <c r="E65" s="540" t="s">
        <v>1112</v>
      </c>
      <c r="F65" s="539" t="s">
        <v>958</v>
      </c>
      <c r="G65" s="544">
        <v>-416.31</v>
      </c>
      <c r="H65" s="540">
        <v>856</v>
      </c>
      <c r="I65" s="540" t="s">
        <v>1083</v>
      </c>
      <c r="J65" s="485"/>
    </row>
    <row r="66" spans="1:10">
      <c r="A66" s="568">
        <f t="shared" si="0"/>
        <v>61</v>
      </c>
      <c r="B66" s="541">
        <v>41670</v>
      </c>
      <c r="C66" s="540">
        <v>454151</v>
      </c>
      <c r="D66" s="540" t="s">
        <v>791</v>
      </c>
      <c r="E66" s="540" t="s">
        <v>1112</v>
      </c>
      <c r="F66" s="539" t="s">
        <v>958</v>
      </c>
      <c r="G66" s="544">
        <v>-612.85</v>
      </c>
      <c r="H66" s="540">
        <v>856</v>
      </c>
      <c r="I66" s="540" t="s">
        <v>1083</v>
      </c>
      <c r="J66" s="485"/>
    </row>
    <row r="67" spans="1:10">
      <c r="A67" s="568">
        <f t="shared" si="0"/>
        <v>62</v>
      </c>
      <c r="B67" s="541">
        <v>41670</v>
      </c>
      <c r="C67" s="540" t="s">
        <v>1244</v>
      </c>
      <c r="D67" s="540" t="s">
        <v>791</v>
      </c>
      <c r="E67" s="540" t="s">
        <v>1258</v>
      </c>
      <c r="F67" s="539" t="s">
        <v>714</v>
      </c>
      <c r="G67" s="544">
        <v>-575</v>
      </c>
      <c r="H67" s="540" t="s">
        <v>790</v>
      </c>
      <c r="I67" s="540" t="s">
        <v>1098</v>
      </c>
      <c r="J67" s="485"/>
    </row>
    <row r="68" spans="1:10">
      <c r="A68" s="568">
        <f t="shared" si="0"/>
        <v>63</v>
      </c>
      <c r="B68" s="541">
        <v>41670</v>
      </c>
      <c r="C68" s="540" t="s">
        <v>1244</v>
      </c>
      <c r="D68" s="540" t="s">
        <v>791</v>
      </c>
      <c r="E68" s="540" t="s">
        <v>1259</v>
      </c>
      <c r="F68" s="539" t="s">
        <v>714</v>
      </c>
      <c r="G68" s="544">
        <v>-500</v>
      </c>
      <c r="H68" s="540" t="s">
        <v>790</v>
      </c>
      <c r="I68" s="540" t="s">
        <v>1098</v>
      </c>
      <c r="J68" s="485"/>
    </row>
    <row r="69" spans="1:10">
      <c r="A69" s="568">
        <f t="shared" si="0"/>
        <v>64</v>
      </c>
      <c r="B69" s="541">
        <v>41670</v>
      </c>
      <c r="C69" s="540" t="s">
        <v>1244</v>
      </c>
      <c r="D69" s="540" t="s">
        <v>791</v>
      </c>
      <c r="E69" s="540" t="s">
        <v>1260</v>
      </c>
      <c r="F69" s="539" t="s">
        <v>714</v>
      </c>
      <c r="G69" s="544">
        <v>-400</v>
      </c>
      <c r="H69" s="540" t="s">
        <v>790</v>
      </c>
      <c r="I69" s="540" t="s">
        <v>1098</v>
      </c>
      <c r="J69" s="485"/>
    </row>
    <row r="70" spans="1:10">
      <c r="A70" s="568">
        <f t="shared" si="0"/>
        <v>65</v>
      </c>
      <c r="B70" s="541">
        <v>41670</v>
      </c>
      <c r="C70" s="540" t="s">
        <v>1244</v>
      </c>
      <c r="D70" s="540" t="s">
        <v>791</v>
      </c>
      <c r="E70" s="540" t="s">
        <v>1261</v>
      </c>
      <c r="F70" s="539" t="s">
        <v>714</v>
      </c>
      <c r="G70" s="544">
        <v>-2800</v>
      </c>
      <c r="H70" s="540" t="s">
        <v>790</v>
      </c>
      <c r="I70" s="540" t="s">
        <v>1098</v>
      </c>
      <c r="J70" s="485"/>
    </row>
    <row r="71" spans="1:10">
      <c r="A71" s="568">
        <f t="shared" si="0"/>
        <v>66</v>
      </c>
      <c r="B71" s="541">
        <v>41670</v>
      </c>
      <c r="C71" s="540" t="s">
        <v>1244</v>
      </c>
      <c r="D71" s="540" t="s">
        <v>791</v>
      </c>
      <c r="E71" s="540" t="s">
        <v>1262</v>
      </c>
      <c r="F71" s="539" t="s">
        <v>654</v>
      </c>
      <c r="G71" s="544">
        <v>-1890</v>
      </c>
      <c r="H71" s="540" t="s">
        <v>790</v>
      </c>
      <c r="I71" s="540" t="s">
        <v>1098</v>
      </c>
      <c r="J71" s="485"/>
    </row>
    <row r="72" spans="1:10">
      <c r="A72" s="568">
        <f t="shared" ref="A72:A135" si="1">A71+1</f>
        <v>67</v>
      </c>
      <c r="B72" s="541">
        <v>41670</v>
      </c>
      <c r="C72" s="540" t="s">
        <v>1244</v>
      </c>
      <c r="D72" s="540" t="s">
        <v>791</v>
      </c>
      <c r="E72" s="540" t="s">
        <v>365</v>
      </c>
      <c r="F72" s="539" t="s">
        <v>714</v>
      </c>
      <c r="G72" s="544">
        <v>-2735.68</v>
      </c>
      <c r="H72" s="540" t="s">
        <v>790</v>
      </c>
      <c r="I72" s="540" t="s">
        <v>1098</v>
      </c>
      <c r="J72" s="485"/>
    </row>
    <row r="73" spans="1:10">
      <c r="A73" s="568">
        <f t="shared" si="1"/>
        <v>68</v>
      </c>
      <c r="B73" s="541">
        <v>41670</v>
      </c>
      <c r="C73" s="540" t="s">
        <v>1250</v>
      </c>
      <c r="D73" s="540" t="s">
        <v>791</v>
      </c>
      <c r="E73" s="540" t="s">
        <v>1263</v>
      </c>
      <c r="F73" s="539" t="s">
        <v>959</v>
      </c>
      <c r="G73" s="544">
        <v>-50</v>
      </c>
      <c r="H73" s="540" t="s">
        <v>790</v>
      </c>
      <c r="I73" s="540" t="s">
        <v>1098</v>
      </c>
      <c r="J73" s="485"/>
    </row>
    <row r="74" spans="1:10">
      <c r="A74" s="568">
        <f t="shared" si="1"/>
        <v>69</v>
      </c>
      <c r="B74" s="541">
        <v>41670</v>
      </c>
      <c r="C74" s="540" t="s">
        <v>1244</v>
      </c>
      <c r="D74" s="540" t="s">
        <v>713</v>
      </c>
      <c r="E74" s="540" t="s">
        <v>1141</v>
      </c>
      <c r="F74" s="539" t="s">
        <v>959</v>
      </c>
      <c r="G74" s="544">
        <v>-1400</v>
      </c>
      <c r="H74" s="540" t="s">
        <v>1264</v>
      </c>
      <c r="I74" s="540" t="s">
        <v>1265</v>
      </c>
      <c r="J74" s="485"/>
    </row>
    <row r="75" spans="1:10">
      <c r="A75" s="568">
        <f t="shared" si="1"/>
        <v>70</v>
      </c>
      <c r="B75" s="541">
        <v>41670</v>
      </c>
      <c r="C75" s="540" t="s">
        <v>1244</v>
      </c>
      <c r="D75" s="540" t="s">
        <v>713</v>
      </c>
      <c r="E75" s="540" t="s">
        <v>1142</v>
      </c>
      <c r="F75" s="539" t="s">
        <v>959</v>
      </c>
      <c r="G75" s="544">
        <v>-80</v>
      </c>
      <c r="H75" s="540" t="s">
        <v>956</v>
      </c>
      <c r="I75" s="540" t="s">
        <v>1265</v>
      </c>
      <c r="J75" s="485"/>
    </row>
    <row r="76" spans="1:10">
      <c r="A76" s="568">
        <f t="shared" si="1"/>
        <v>71</v>
      </c>
      <c r="B76" s="541">
        <v>41670</v>
      </c>
      <c r="C76" s="540" t="s">
        <v>1244</v>
      </c>
      <c r="D76" s="540" t="s">
        <v>713</v>
      </c>
      <c r="E76" s="540" t="s">
        <v>1143</v>
      </c>
      <c r="F76" s="539" t="s">
        <v>959</v>
      </c>
      <c r="G76" s="544">
        <v>-700</v>
      </c>
      <c r="H76" s="540" t="s">
        <v>1021</v>
      </c>
      <c r="I76" s="540" t="s">
        <v>1265</v>
      </c>
      <c r="J76" s="485"/>
    </row>
    <row r="77" spans="1:10">
      <c r="A77" s="568">
        <f t="shared" si="1"/>
        <v>72</v>
      </c>
      <c r="B77" s="541">
        <v>41670</v>
      </c>
      <c r="C77" s="540" t="s">
        <v>1244</v>
      </c>
      <c r="D77" s="540" t="s">
        <v>713</v>
      </c>
      <c r="E77" s="540" t="s">
        <v>1114</v>
      </c>
      <c r="F77" s="539" t="s">
        <v>959</v>
      </c>
      <c r="G77" s="544">
        <v>-80</v>
      </c>
      <c r="H77" s="540" t="s">
        <v>792</v>
      </c>
      <c r="I77" s="540" t="s">
        <v>1265</v>
      </c>
      <c r="J77" s="485"/>
    </row>
    <row r="78" spans="1:10">
      <c r="A78" s="568">
        <f t="shared" si="1"/>
        <v>73</v>
      </c>
      <c r="B78" s="541">
        <v>41670</v>
      </c>
      <c r="C78" s="540" t="s">
        <v>712</v>
      </c>
      <c r="D78" s="540" t="s">
        <v>1099</v>
      </c>
      <c r="E78" s="540" t="s">
        <v>1266</v>
      </c>
      <c r="F78" s="539" t="s">
        <v>959</v>
      </c>
      <c r="G78" s="544">
        <v>-500</v>
      </c>
      <c r="H78" s="540" t="s">
        <v>920</v>
      </c>
      <c r="I78" s="540" t="s">
        <v>1267</v>
      </c>
      <c r="J78" s="485"/>
    </row>
    <row r="79" spans="1:10">
      <c r="A79" s="568">
        <f t="shared" si="1"/>
        <v>74</v>
      </c>
      <c r="B79" s="541">
        <v>41670</v>
      </c>
      <c r="C79" s="540" t="s">
        <v>712</v>
      </c>
      <c r="D79" s="540" t="s">
        <v>1099</v>
      </c>
      <c r="E79" s="540" t="s">
        <v>1268</v>
      </c>
      <c r="F79" s="539" t="s">
        <v>959</v>
      </c>
      <c r="G79" s="544">
        <v>-500</v>
      </c>
      <c r="H79" s="540" t="s">
        <v>920</v>
      </c>
      <c r="I79" s="540" t="s">
        <v>1267</v>
      </c>
      <c r="J79" s="485"/>
    </row>
    <row r="80" spans="1:10">
      <c r="A80" s="568">
        <f t="shared" si="1"/>
        <v>75</v>
      </c>
      <c r="B80" s="541">
        <v>41670</v>
      </c>
      <c r="C80" s="540" t="s">
        <v>1244</v>
      </c>
      <c r="D80" s="540" t="s">
        <v>1057</v>
      </c>
      <c r="E80" s="540" t="s">
        <v>1269</v>
      </c>
      <c r="F80" s="539" t="s">
        <v>714</v>
      </c>
      <c r="G80" s="544">
        <v>-1055</v>
      </c>
      <c r="H80" s="540" t="s">
        <v>1020</v>
      </c>
      <c r="I80" s="540" t="s">
        <v>1267</v>
      </c>
      <c r="J80" s="485"/>
    </row>
    <row r="81" spans="1:10">
      <c r="A81" s="568">
        <f t="shared" si="1"/>
        <v>76</v>
      </c>
      <c r="B81" s="541">
        <v>41670</v>
      </c>
      <c r="C81" s="540" t="s">
        <v>1244</v>
      </c>
      <c r="D81" s="540" t="s">
        <v>791</v>
      </c>
      <c r="E81" s="540" t="s">
        <v>1270</v>
      </c>
      <c r="F81" s="539" t="s">
        <v>714</v>
      </c>
      <c r="G81" s="544">
        <v>-2963.55</v>
      </c>
      <c r="H81" s="540" t="s">
        <v>790</v>
      </c>
      <c r="I81" s="540" t="s">
        <v>1271</v>
      </c>
      <c r="J81" s="485"/>
    </row>
    <row r="82" spans="1:10">
      <c r="A82" s="568">
        <f t="shared" si="1"/>
        <v>77</v>
      </c>
      <c r="B82" s="541">
        <v>41698</v>
      </c>
      <c r="C82" s="540">
        <v>454151</v>
      </c>
      <c r="D82" s="540" t="s">
        <v>793</v>
      </c>
      <c r="E82" s="540" t="s">
        <v>1272</v>
      </c>
      <c r="F82" s="539" t="s">
        <v>654</v>
      </c>
      <c r="G82" s="544">
        <v>350</v>
      </c>
      <c r="H82" s="540">
        <v>856</v>
      </c>
      <c r="I82" s="540" t="s">
        <v>1246</v>
      </c>
      <c r="J82" s="485"/>
    </row>
    <row r="83" spans="1:10">
      <c r="A83" s="568">
        <f t="shared" si="1"/>
        <v>78</v>
      </c>
      <c r="B83" s="541">
        <v>41698</v>
      </c>
      <c r="C83" s="540" t="s">
        <v>1244</v>
      </c>
      <c r="D83" s="540" t="s">
        <v>793</v>
      </c>
      <c r="E83" s="540" t="s">
        <v>1247</v>
      </c>
      <c r="F83" s="539" t="s">
        <v>654</v>
      </c>
      <c r="G83" s="544">
        <v>-2.09</v>
      </c>
      <c r="H83" s="540">
        <v>856</v>
      </c>
      <c r="I83" s="540" t="s">
        <v>1100</v>
      </c>
      <c r="J83" s="485"/>
    </row>
    <row r="84" spans="1:10">
      <c r="A84" s="568">
        <f t="shared" si="1"/>
        <v>79</v>
      </c>
      <c r="B84" s="541">
        <v>41698</v>
      </c>
      <c r="C84" s="540" t="s">
        <v>1244</v>
      </c>
      <c r="D84" s="540" t="s">
        <v>793</v>
      </c>
      <c r="E84" s="540" t="s">
        <v>1245</v>
      </c>
      <c r="F84" s="539" t="s">
        <v>714</v>
      </c>
      <c r="G84" s="544">
        <v>-118.92</v>
      </c>
      <c r="H84" s="540">
        <v>856</v>
      </c>
      <c r="I84" s="540" t="s">
        <v>1100</v>
      </c>
      <c r="J84" s="485"/>
    </row>
    <row r="85" spans="1:10">
      <c r="A85" s="568">
        <f t="shared" si="1"/>
        <v>80</v>
      </c>
      <c r="B85" s="541">
        <v>41698</v>
      </c>
      <c r="C85" s="540" t="s">
        <v>1244</v>
      </c>
      <c r="D85" s="540" t="s">
        <v>793</v>
      </c>
      <c r="E85" s="540" t="s">
        <v>1248</v>
      </c>
      <c r="F85" s="539" t="s">
        <v>714</v>
      </c>
      <c r="G85" s="544">
        <v>-684.91</v>
      </c>
      <c r="H85" s="540">
        <v>856</v>
      </c>
      <c r="I85" s="540" t="s">
        <v>1100</v>
      </c>
      <c r="J85" s="485"/>
    </row>
    <row r="86" spans="1:10">
      <c r="A86" s="568">
        <f t="shared" si="1"/>
        <v>81</v>
      </c>
      <c r="B86" s="541">
        <v>41698</v>
      </c>
      <c r="C86" s="540" t="s">
        <v>1244</v>
      </c>
      <c r="D86" s="540" t="s">
        <v>793</v>
      </c>
      <c r="E86" s="540" t="s">
        <v>1248</v>
      </c>
      <c r="F86" s="539" t="s">
        <v>714</v>
      </c>
      <c r="G86" s="544">
        <v>-70.34</v>
      </c>
      <c r="H86" s="540">
        <v>856</v>
      </c>
      <c r="I86" s="540" t="s">
        <v>1100</v>
      </c>
      <c r="J86" s="485"/>
    </row>
    <row r="87" spans="1:10">
      <c r="A87" s="568">
        <f t="shared" si="1"/>
        <v>82</v>
      </c>
      <c r="B87" s="541">
        <v>41698</v>
      </c>
      <c r="C87" s="540" t="s">
        <v>1244</v>
      </c>
      <c r="D87" s="540" t="s">
        <v>793</v>
      </c>
      <c r="E87" s="540" t="s">
        <v>1128</v>
      </c>
      <c r="F87" s="539" t="s">
        <v>959</v>
      </c>
      <c r="G87" s="544">
        <v>-8.34</v>
      </c>
      <c r="H87" s="540">
        <v>856</v>
      </c>
      <c r="I87" s="540" t="s">
        <v>1100</v>
      </c>
      <c r="J87" s="485"/>
    </row>
    <row r="88" spans="1:10">
      <c r="A88" s="568">
        <f t="shared" si="1"/>
        <v>83</v>
      </c>
      <c r="B88" s="541">
        <v>41698</v>
      </c>
      <c r="C88" s="540" t="s">
        <v>1244</v>
      </c>
      <c r="D88" s="540" t="s">
        <v>793</v>
      </c>
      <c r="E88" s="540" t="s">
        <v>1249</v>
      </c>
      <c r="F88" s="539" t="s">
        <v>714</v>
      </c>
      <c r="G88" s="544">
        <v>-150</v>
      </c>
      <c r="H88" s="540">
        <v>856</v>
      </c>
      <c r="I88" s="540" t="s">
        <v>1100</v>
      </c>
      <c r="J88" s="485"/>
    </row>
    <row r="89" spans="1:10">
      <c r="A89" s="568">
        <f t="shared" si="1"/>
        <v>84</v>
      </c>
      <c r="B89" s="541">
        <v>41698</v>
      </c>
      <c r="C89" s="540" t="s">
        <v>1244</v>
      </c>
      <c r="D89" s="540" t="s">
        <v>793</v>
      </c>
      <c r="E89" s="540" t="s">
        <v>1082</v>
      </c>
      <c r="F89" s="539" t="s">
        <v>959</v>
      </c>
      <c r="G89" s="544">
        <v>-8.33</v>
      </c>
      <c r="H89" s="540">
        <v>856</v>
      </c>
      <c r="I89" s="540" t="s">
        <v>1100</v>
      </c>
      <c r="J89" s="485"/>
    </row>
    <row r="90" spans="1:10">
      <c r="A90" s="568">
        <f t="shared" si="1"/>
        <v>85</v>
      </c>
      <c r="B90" s="541">
        <v>41698</v>
      </c>
      <c r="C90" s="540" t="s">
        <v>1250</v>
      </c>
      <c r="D90" s="540" t="s">
        <v>793</v>
      </c>
      <c r="E90" s="540" t="s">
        <v>1103</v>
      </c>
      <c r="F90" s="539" t="s">
        <v>959</v>
      </c>
      <c r="G90" s="544">
        <v>-8.35</v>
      </c>
      <c r="H90" s="540">
        <v>856</v>
      </c>
      <c r="I90" s="540" t="s">
        <v>1100</v>
      </c>
      <c r="J90" s="485"/>
    </row>
    <row r="91" spans="1:10">
      <c r="A91" s="568">
        <f t="shared" si="1"/>
        <v>86</v>
      </c>
      <c r="B91" s="541">
        <v>41698</v>
      </c>
      <c r="C91" s="540" t="s">
        <v>1250</v>
      </c>
      <c r="D91" s="540" t="s">
        <v>793</v>
      </c>
      <c r="E91" s="540" t="s">
        <v>1084</v>
      </c>
      <c r="F91" s="539" t="s">
        <v>959</v>
      </c>
      <c r="G91" s="544">
        <v>-8.34</v>
      </c>
      <c r="H91" s="540">
        <v>856</v>
      </c>
      <c r="I91" s="540" t="s">
        <v>1100</v>
      </c>
      <c r="J91" s="485"/>
    </row>
    <row r="92" spans="1:10">
      <c r="A92" s="568">
        <f t="shared" si="1"/>
        <v>87</v>
      </c>
      <c r="B92" s="541">
        <v>41698</v>
      </c>
      <c r="C92" s="540" t="s">
        <v>1250</v>
      </c>
      <c r="D92" s="540" t="s">
        <v>793</v>
      </c>
      <c r="E92" s="540" t="s">
        <v>1116</v>
      </c>
      <c r="F92" s="539" t="s">
        <v>959</v>
      </c>
      <c r="G92" s="544">
        <v>-20.84</v>
      </c>
      <c r="H92" s="540">
        <v>856</v>
      </c>
      <c r="I92" s="540" t="s">
        <v>1100</v>
      </c>
      <c r="J92" s="485"/>
    </row>
    <row r="93" spans="1:10">
      <c r="A93" s="568">
        <f t="shared" si="1"/>
        <v>88</v>
      </c>
      <c r="B93" s="541">
        <v>41698</v>
      </c>
      <c r="C93" s="540" t="s">
        <v>1244</v>
      </c>
      <c r="D93" s="540" t="s">
        <v>793</v>
      </c>
      <c r="E93" s="540" t="s">
        <v>1117</v>
      </c>
      <c r="F93" s="539" t="s">
        <v>654</v>
      </c>
      <c r="G93" s="544">
        <v>-41.66</v>
      </c>
      <c r="H93" s="540">
        <v>856</v>
      </c>
      <c r="I93" s="540" t="s">
        <v>1100</v>
      </c>
      <c r="J93" s="485"/>
    </row>
    <row r="94" spans="1:10">
      <c r="A94" s="568">
        <f t="shared" si="1"/>
        <v>89</v>
      </c>
      <c r="B94" s="541">
        <v>41698</v>
      </c>
      <c r="C94" s="540" t="s">
        <v>1250</v>
      </c>
      <c r="D94" s="540" t="s">
        <v>793</v>
      </c>
      <c r="E94" s="540" t="s">
        <v>1118</v>
      </c>
      <c r="F94" s="539" t="s">
        <v>959</v>
      </c>
      <c r="G94" s="544">
        <v>-45</v>
      </c>
      <c r="H94" s="540">
        <v>856</v>
      </c>
      <c r="I94" s="540" t="s">
        <v>1100</v>
      </c>
      <c r="J94" s="485"/>
    </row>
    <row r="95" spans="1:10">
      <c r="A95" s="568">
        <f t="shared" si="1"/>
        <v>90</v>
      </c>
      <c r="B95" s="541">
        <v>41698</v>
      </c>
      <c r="C95" s="540" t="s">
        <v>1250</v>
      </c>
      <c r="D95" s="540" t="s">
        <v>793</v>
      </c>
      <c r="E95" s="540" t="s">
        <v>1118</v>
      </c>
      <c r="F95" s="539" t="s">
        <v>959</v>
      </c>
      <c r="G95" s="544">
        <v>-11.25</v>
      </c>
      <c r="H95" s="540">
        <v>856</v>
      </c>
      <c r="I95" s="540" t="s">
        <v>1100</v>
      </c>
      <c r="J95" s="485"/>
    </row>
    <row r="96" spans="1:10">
      <c r="A96" s="568">
        <f t="shared" si="1"/>
        <v>91</v>
      </c>
      <c r="B96" s="541">
        <v>41698</v>
      </c>
      <c r="C96" s="540" t="s">
        <v>1250</v>
      </c>
      <c r="D96" s="540" t="s">
        <v>793</v>
      </c>
      <c r="E96" s="540" t="s">
        <v>1118</v>
      </c>
      <c r="F96" s="539" t="s">
        <v>959</v>
      </c>
      <c r="G96" s="544">
        <v>-29.17</v>
      </c>
      <c r="H96" s="540">
        <v>856</v>
      </c>
      <c r="I96" s="540" t="s">
        <v>1100</v>
      </c>
      <c r="J96" s="485"/>
    </row>
    <row r="97" spans="1:10">
      <c r="A97" s="568">
        <f t="shared" si="1"/>
        <v>92</v>
      </c>
      <c r="B97" s="541">
        <v>41698</v>
      </c>
      <c r="C97" s="540" t="s">
        <v>1244</v>
      </c>
      <c r="D97" s="540" t="s">
        <v>793</v>
      </c>
      <c r="E97" s="540" t="s">
        <v>1085</v>
      </c>
      <c r="F97" s="539" t="s">
        <v>654</v>
      </c>
      <c r="G97" s="544">
        <v>-8.34</v>
      </c>
      <c r="H97" s="540">
        <v>856</v>
      </c>
      <c r="I97" s="540" t="s">
        <v>1100</v>
      </c>
    </row>
    <row r="98" spans="1:10">
      <c r="A98" s="568">
        <f t="shared" si="1"/>
        <v>93</v>
      </c>
      <c r="B98" s="541">
        <v>41698</v>
      </c>
      <c r="C98" s="540" t="s">
        <v>1244</v>
      </c>
      <c r="D98" s="540" t="s">
        <v>793</v>
      </c>
      <c r="E98" s="540" t="s">
        <v>1110</v>
      </c>
      <c r="F98" s="539" t="s">
        <v>959</v>
      </c>
      <c r="G98" s="544">
        <v>-4.166666666666667</v>
      </c>
      <c r="H98" s="540">
        <v>856</v>
      </c>
      <c r="I98" s="540" t="s">
        <v>1100</v>
      </c>
    </row>
    <row r="99" spans="1:10">
      <c r="A99" s="568">
        <f t="shared" si="1"/>
        <v>94</v>
      </c>
      <c r="B99" s="541">
        <v>41698</v>
      </c>
      <c r="C99" s="540" t="s">
        <v>1244</v>
      </c>
      <c r="D99" s="540" t="s">
        <v>793</v>
      </c>
      <c r="E99" s="540" t="s">
        <v>1104</v>
      </c>
      <c r="F99" s="539" t="s">
        <v>959</v>
      </c>
      <c r="G99" s="544">
        <v>-41.666666666666664</v>
      </c>
      <c r="H99" s="540">
        <v>856</v>
      </c>
      <c r="I99" s="540" t="s">
        <v>1100</v>
      </c>
    </row>
    <row r="100" spans="1:10">
      <c r="A100" s="568">
        <f t="shared" si="1"/>
        <v>95</v>
      </c>
      <c r="B100" s="541">
        <v>41698</v>
      </c>
      <c r="C100" s="540" t="s">
        <v>1244</v>
      </c>
      <c r="D100" s="540" t="s">
        <v>793</v>
      </c>
      <c r="E100" s="540" t="s">
        <v>1129</v>
      </c>
      <c r="F100" s="539" t="s">
        <v>958</v>
      </c>
      <c r="G100" s="544">
        <v>-41.66</v>
      </c>
      <c r="H100" s="540">
        <v>856</v>
      </c>
      <c r="I100" s="540" t="s">
        <v>1100</v>
      </c>
    </row>
    <row r="101" spans="1:10">
      <c r="A101" s="568">
        <f t="shared" si="1"/>
        <v>96</v>
      </c>
      <c r="B101" s="541">
        <v>41698</v>
      </c>
      <c r="C101" s="540" t="s">
        <v>1244</v>
      </c>
      <c r="D101" s="540" t="s">
        <v>793</v>
      </c>
      <c r="E101" s="540" t="s">
        <v>1135</v>
      </c>
      <c r="F101" s="539" t="s">
        <v>958</v>
      </c>
      <c r="G101" s="544">
        <v>-29.17</v>
      </c>
      <c r="H101" s="540">
        <v>856</v>
      </c>
      <c r="I101" s="540" t="s">
        <v>1100</v>
      </c>
    </row>
    <row r="102" spans="1:10">
      <c r="A102" s="568">
        <f t="shared" si="1"/>
        <v>97</v>
      </c>
      <c r="B102" s="541">
        <v>41698</v>
      </c>
      <c r="C102" s="540" t="s">
        <v>1250</v>
      </c>
      <c r="D102" s="540" t="s">
        <v>793</v>
      </c>
      <c r="E102" s="540" t="s">
        <v>1105</v>
      </c>
      <c r="F102" s="539" t="s">
        <v>959</v>
      </c>
      <c r="G102" s="544">
        <v>-14.6</v>
      </c>
      <c r="H102" s="540">
        <v>856</v>
      </c>
      <c r="I102" s="540" t="s">
        <v>1100</v>
      </c>
    </row>
    <row r="103" spans="1:10">
      <c r="A103" s="568">
        <f t="shared" si="1"/>
        <v>98</v>
      </c>
      <c r="B103" s="541">
        <v>41698</v>
      </c>
      <c r="C103" s="540" t="s">
        <v>1250</v>
      </c>
      <c r="D103" s="540" t="s">
        <v>793</v>
      </c>
      <c r="E103" s="540" t="s">
        <v>1105</v>
      </c>
      <c r="F103" s="539" t="s">
        <v>959</v>
      </c>
      <c r="G103" s="544">
        <v>-8.35</v>
      </c>
      <c r="H103" s="540">
        <v>856</v>
      </c>
      <c r="I103" s="540" t="s">
        <v>1100</v>
      </c>
    </row>
    <row r="104" spans="1:10">
      <c r="A104" s="568">
        <f t="shared" si="1"/>
        <v>99</v>
      </c>
      <c r="B104" s="541">
        <v>41698</v>
      </c>
      <c r="C104" s="540" t="s">
        <v>1244</v>
      </c>
      <c r="D104" s="540" t="s">
        <v>793</v>
      </c>
      <c r="E104" s="540" t="s">
        <v>1251</v>
      </c>
      <c r="F104" s="539" t="s">
        <v>714</v>
      </c>
      <c r="G104" s="544">
        <v>-179.17</v>
      </c>
      <c r="H104" s="540">
        <v>856</v>
      </c>
      <c r="I104" s="540" t="s">
        <v>1100</v>
      </c>
    </row>
    <row r="105" spans="1:10">
      <c r="A105" s="568">
        <f t="shared" si="1"/>
        <v>100</v>
      </c>
      <c r="B105" s="541">
        <v>41698</v>
      </c>
      <c r="C105" s="540" t="s">
        <v>1244</v>
      </c>
      <c r="D105" s="540" t="s">
        <v>793</v>
      </c>
      <c r="E105" s="540" t="s">
        <v>1106</v>
      </c>
      <c r="F105" s="539" t="s">
        <v>654</v>
      </c>
      <c r="G105" s="544">
        <v>-4.1500000000000004</v>
      </c>
      <c r="H105" s="540">
        <v>856</v>
      </c>
      <c r="I105" s="540" t="s">
        <v>1100</v>
      </c>
    </row>
    <row r="106" spans="1:10">
      <c r="A106" s="568">
        <f t="shared" si="1"/>
        <v>101</v>
      </c>
      <c r="B106" s="541">
        <v>41698</v>
      </c>
      <c r="C106" s="540" t="s">
        <v>1244</v>
      </c>
      <c r="D106" s="540" t="s">
        <v>793</v>
      </c>
      <c r="E106" s="540" t="s">
        <v>1122</v>
      </c>
      <c r="F106" s="539" t="s">
        <v>714</v>
      </c>
      <c r="G106" s="544">
        <v>-8.34</v>
      </c>
      <c r="H106" s="540">
        <v>856</v>
      </c>
      <c r="I106" s="540" t="s">
        <v>1100</v>
      </c>
    </row>
    <row r="107" spans="1:10">
      <c r="A107" s="568">
        <f t="shared" si="1"/>
        <v>102</v>
      </c>
      <c r="B107" s="541">
        <v>41698</v>
      </c>
      <c r="C107" s="540" t="s">
        <v>1244</v>
      </c>
      <c r="D107" s="540" t="s">
        <v>793</v>
      </c>
      <c r="E107" s="540" t="s">
        <v>1086</v>
      </c>
      <c r="F107" s="539" t="s">
        <v>959</v>
      </c>
      <c r="G107" s="544">
        <v>-8.33</v>
      </c>
      <c r="H107" s="540">
        <v>856</v>
      </c>
      <c r="I107" s="540" t="s">
        <v>1100</v>
      </c>
    </row>
    <row r="108" spans="1:10">
      <c r="A108" s="568">
        <f t="shared" si="1"/>
        <v>103</v>
      </c>
      <c r="B108" s="541">
        <v>41698</v>
      </c>
      <c r="C108" s="540" t="s">
        <v>1250</v>
      </c>
      <c r="D108" s="540" t="s">
        <v>793</v>
      </c>
      <c r="E108" s="540" t="s">
        <v>1111</v>
      </c>
      <c r="F108" s="539" t="s">
        <v>959</v>
      </c>
      <c r="G108" s="544">
        <v>-41.66</v>
      </c>
      <c r="H108" s="540">
        <v>856</v>
      </c>
      <c r="I108" s="540" t="s">
        <v>1100</v>
      </c>
    </row>
    <row r="109" spans="1:10">
      <c r="A109" s="568">
        <f t="shared" si="1"/>
        <v>104</v>
      </c>
      <c r="B109" s="541">
        <v>41698</v>
      </c>
      <c r="C109" s="540" t="s">
        <v>1244</v>
      </c>
      <c r="D109" s="540" t="s">
        <v>793</v>
      </c>
      <c r="E109" s="540" t="s">
        <v>1132</v>
      </c>
      <c r="F109" s="539" t="s">
        <v>959</v>
      </c>
      <c r="G109" s="544">
        <v>-8.34</v>
      </c>
      <c r="H109" s="540">
        <v>856</v>
      </c>
      <c r="I109" s="540" t="s">
        <v>1100</v>
      </c>
      <c r="J109" s="605"/>
    </row>
    <row r="110" spans="1:10">
      <c r="A110" s="568">
        <f t="shared" si="1"/>
        <v>105</v>
      </c>
      <c r="B110" s="541">
        <v>41698</v>
      </c>
      <c r="C110" s="540" t="s">
        <v>1244</v>
      </c>
      <c r="D110" s="540" t="s">
        <v>793</v>
      </c>
      <c r="E110" s="540" t="s">
        <v>1252</v>
      </c>
      <c r="F110" s="539" t="s">
        <v>714</v>
      </c>
      <c r="G110" s="544">
        <v>-199.095</v>
      </c>
      <c r="H110" s="540">
        <v>856</v>
      </c>
      <c r="I110" s="540" t="s">
        <v>1100</v>
      </c>
      <c r="J110" s="607"/>
    </row>
    <row r="111" spans="1:10">
      <c r="A111" s="568">
        <f t="shared" si="1"/>
        <v>106</v>
      </c>
      <c r="B111" s="541">
        <v>41698</v>
      </c>
      <c r="C111" s="540" t="s">
        <v>1244</v>
      </c>
      <c r="D111" s="540" t="s">
        <v>793</v>
      </c>
      <c r="E111" s="540" t="s">
        <v>1252</v>
      </c>
      <c r="F111" s="539" t="s">
        <v>714</v>
      </c>
      <c r="G111" s="544">
        <v>-142.79</v>
      </c>
      <c r="H111" s="540">
        <v>856</v>
      </c>
      <c r="I111" s="540" t="s">
        <v>1100</v>
      </c>
    </row>
    <row r="112" spans="1:10">
      <c r="A112" s="568">
        <f t="shared" si="1"/>
        <v>107</v>
      </c>
      <c r="B112" s="541">
        <v>41698</v>
      </c>
      <c r="C112" s="540" t="s">
        <v>1244</v>
      </c>
      <c r="D112" s="540" t="s">
        <v>793</v>
      </c>
      <c r="E112" s="540" t="s">
        <v>1252</v>
      </c>
      <c r="F112" s="539" t="s">
        <v>714</v>
      </c>
      <c r="G112" s="544">
        <v>-142.79</v>
      </c>
      <c r="H112" s="540">
        <v>856</v>
      </c>
      <c r="I112" s="540" t="s">
        <v>1100</v>
      </c>
    </row>
    <row r="113" spans="1:10">
      <c r="A113" s="568">
        <f t="shared" si="1"/>
        <v>108</v>
      </c>
      <c r="B113" s="541">
        <v>41698</v>
      </c>
      <c r="C113" s="540" t="s">
        <v>1244</v>
      </c>
      <c r="D113" s="540" t="s">
        <v>793</v>
      </c>
      <c r="E113" s="540" t="s">
        <v>1252</v>
      </c>
      <c r="F113" s="539" t="s">
        <v>714</v>
      </c>
      <c r="G113" s="544">
        <v>-141.28</v>
      </c>
      <c r="H113" s="540">
        <v>856</v>
      </c>
      <c r="I113" s="540" t="s">
        <v>1100</v>
      </c>
    </row>
    <row r="114" spans="1:10">
      <c r="A114" s="568">
        <f t="shared" si="1"/>
        <v>109</v>
      </c>
      <c r="B114" s="541">
        <v>41698</v>
      </c>
      <c r="C114" s="540" t="s">
        <v>1244</v>
      </c>
      <c r="D114" s="540" t="s">
        <v>793</v>
      </c>
      <c r="E114" s="540" t="s">
        <v>1252</v>
      </c>
      <c r="F114" s="539" t="s">
        <v>714</v>
      </c>
      <c r="G114" s="544">
        <v>-122.2</v>
      </c>
      <c r="H114" s="540">
        <v>856</v>
      </c>
      <c r="I114" s="540" t="s">
        <v>1100</v>
      </c>
      <c r="J114" s="607"/>
    </row>
    <row r="115" spans="1:10">
      <c r="A115" s="568">
        <f t="shared" si="1"/>
        <v>110</v>
      </c>
      <c r="B115" s="541">
        <v>41698</v>
      </c>
      <c r="C115" s="540" t="s">
        <v>1244</v>
      </c>
      <c r="D115" s="540" t="s">
        <v>793</v>
      </c>
      <c r="E115" s="540" t="s">
        <v>1252</v>
      </c>
      <c r="F115" s="539" t="s">
        <v>714</v>
      </c>
      <c r="G115" s="544">
        <v>-141.28</v>
      </c>
      <c r="H115" s="540">
        <v>856</v>
      </c>
      <c r="I115" s="540" t="s">
        <v>1100</v>
      </c>
    </row>
    <row r="116" spans="1:10">
      <c r="A116" s="568">
        <f t="shared" si="1"/>
        <v>111</v>
      </c>
      <c r="B116" s="541">
        <v>41698</v>
      </c>
      <c r="C116" s="540" t="s">
        <v>1244</v>
      </c>
      <c r="D116" s="540" t="s">
        <v>793</v>
      </c>
      <c r="E116" s="540" t="s">
        <v>1119</v>
      </c>
      <c r="F116" s="539" t="s">
        <v>654</v>
      </c>
      <c r="G116" s="544">
        <v>-54.16</v>
      </c>
      <c r="H116" s="540">
        <v>856</v>
      </c>
      <c r="I116" s="540" t="s">
        <v>1100</v>
      </c>
    </row>
    <row r="117" spans="1:10">
      <c r="A117" s="568">
        <f t="shared" si="1"/>
        <v>112</v>
      </c>
      <c r="B117" s="541">
        <v>41698</v>
      </c>
      <c r="C117" s="540" t="s">
        <v>1250</v>
      </c>
      <c r="D117" s="540" t="s">
        <v>793</v>
      </c>
      <c r="E117" s="540" t="s">
        <v>1087</v>
      </c>
      <c r="F117" s="539" t="s">
        <v>714</v>
      </c>
      <c r="G117" s="544">
        <v>-693.7</v>
      </c>
      <c r="H117" s="540">
        <v>856</v>
      </c>
      <c r="I117" s="540" t="s">
        <v>1100</v>
      </c>
    </row>
    <row r="118" spans="1:10">
      <c r="A118" s="568">
        <f t="shared" si="1"/>
        <v>113</v>
      </c>
      <c r="B118" s="541">
        <v>41698</v>
      </c>
      <c r="C118" s="540" t="s">
        <v>1250</v>
      </c>
      <c r="D118" s="540" t="s">
        <v>793</v>
      </c>
      <c r="E118" s="540" t="s">
        <v>1123</v>
      </c>
      <c r="F118" s="539" t="s">
        <v>654</v>
      </c>
      <c r="G118" s="544">
        <v>-8.34</v>
      </c>
      <c r="H118" s="540">
        <v>856</v>
      </c>
      <c r="I118" s="540" t="s">
        <v>1100</v>
      </c>
    </row>
    <row r="119" spans="1:10">
      <c r="A119" s="568">
        <f t="shared" si="1"/>
        <v>114</v>
      </c>
      <c r="B119" s="541">
        <v>41698</v>
      </c>
      <c r="C119" s="540" t="s">
        <v>1244</v>
      </c>
      <c r="D119" s="540" t="s">
        <v>793</v>
      </c>
      <c r="E119" s="540" t="s">
        <v>1088</v>
      </c>
      <c r="F119" s="539" t="s">
        <v>654</v>
      </c>
      <c r="G119" s="544">
        <v>-25</v>
      </c>
      <c r="H119" s="540">
        <v>856</v>
      </c>
      <c r="I119" s="540" t="s">
        <v>1100</v>
      </c>
    </row>
    <row r="120" spans="1:10">
      <c r="A120" s="568">
        <f t="shared" si="1"/>
        <v>115</v>
      </c>
      <c r="B120" s="541">
        <v>41698</v>
      </c>
      <c r="C120" s="540" t="s">
        <v>1250</v>
      </c>
      <c r="D120" s="540" t="s">
        <v>793</v>
      </c>
      <c r="E120" s="540" t="s">
        <v>1253</v>
      </c>
      <c r="F120" s="539" t="s">
        <v>654</v>
      </c>
      <c r="G120" s="544">
        <v>-8.33</v>
      </c>
      <c r="H120" s="540">
        <v>856</v>
      </c>
      <c r="I120" s="540" t="s">
        <v>1100</v>
      </c>
    </row>
    <row r="121" spans="1:10">
      <c r="A121" s="568">
        <f t="shared" si="1"/>
        <v>116</v>
      </c>
      <c r="B121" s="541">
        <v>41698</v>
      </c>
      <c r="C121" s="540" t="s">
        <v>1250</v>
      </c>
      <c r="D121" s="540" t="s">
        <v>793</v>
      </c>
      <c r="E121" s="540" t="s">
        <v>1089</v>
      </c>
      <c r="F121" s="539" t="s">
        <v>959</v>
      </c>
      <c r="G121" s="544">
        <v>-25</v>
      </c>
      <c r="H121" s="540">
        <v>856</v>
      </c>
      <c r="I121" s="540" t="s">
        <v>1100</v>
      </c>
    </row>
    <row r="122" spans="1:10">
      <c r="A122" s="568">
        <f t="shared" si="1"/>
        <v>117</v>
      </c>
      <c r="B122" s="541">
        <v>41698</v>
      </c>
      <c r="C122" s="540" t="s">
        <v>1244</v>
      </c>
      <c r="D122" s="540" t="s">
        <v>793</v>
      </c>
      <c r="E122" s="540" t="s">
        <v>1254</v>
      </c>
      <c r="F122" s="539" t="s">
        <v>654</v>
      </c>
      <c r="G122" s="544">
        <v>-8.33</v>
      </c>
      <c r="H122" s="540">
        <v>856</v>
      </c>
      <c r="I122" s="540" t="s">
        <v>1100</v>
      </c>
    </row>
    <row r="123" spans="1:10">
      <c r="A123" s="568">
        <f t="shared" si="1"/>
        <v>118</v>
      </c>
      <c r="B123" s="541">
        <v>41698</v>
      </c>
      <c r="C123" s="540" t="s">
        <v>1244</v>
      </c>
      <c r="D123" s="540" t="s">
        <v>793</v>
      </c>
      <c r="E123" s="540" t="s">
        <v>1090</v>
      </c>
      <c r="F123" s="539" t="s">
        <v>959</v>
      </c>
      <c r="G123" s="544">
        <v>-95</v>
      </c>
      <c r="H123" s="540">
        <v>856</v>
      </c>
      <c r="I123" s="540" t="s">
        <v>1100</v>
      </c>
    </row>
    <row r="124" spans="1:10">
      <c r="A124" s="568">
        <f t="shared" si="1"/>
        <v>119</v>
      </c>
      <c r="B124" s="541">
        <v>41698</v>
      </c>
      <c r="C124" s="540" t="s">
        <v>1244</v>
      </c>
      <c r="D124" s="540" t="s">
        <v>793</v>
      </c>
      <c r="E124" s="540" t="s">
        <v>1273</v>
      </c>
      <c r="F124" s="539" t="s">
        <v>959</v>
      </c>
      <c r="G124" s="544">
        <v>-37.26</v>
      </c>
      <c r="H124" s="540">
        <v>856</v>
      </c>
      <c r="I124" s="540" t="s">
        <v>1100</v>
      </c>
    </row>
    <row r="125" spans="1:10">
      <c r="A125" s="568">
        <f t="shared" si="1"/>
        <v>120</v>
      </c>
      <c r="B125" s="541">
        <v>41698</v>
      </c>
      <c r="C125" s="540" t="s">
        <v>1244</v>
      </c>
      <c r="D125" s="540" t="s">
        <v>793</v>
      </c>
      <c r="E125" s="540" t="s">
        <v>1273</v>
      </c>
      <c r="F125" s="539" t="s">
        <v>959</v>
      </c>
      <c r="G125" s="544">
        <v>-23.29</v>
      </c>
      <c r="H125" s="540">
        <v>856</v>
      </c>
      <c r="I125" s="540" t="s">
        <v>1100</v>
      </c>
    </row>
    <row r="126" spans="1:10">
      <c r="A126" s="568">
        <f t="shared" si="1"/>
        <v>121</v>
      </c>
      <c r="B126" s="541">
        <v>41698</v>
      </c>
      <c r="C126" s="540" t="s">
        <v>1244</v>
      </c>
      <c r="D126" s="540" t="s">
        <v>793</v>
      </c>
      <c r="E126" s="540" t="s">
        <v>1091</v>
      </c>
      <c r="F126" s="539" t="s">
        <v>714</v>
      </c>
      <c r="G126" s="544">
        <v>-73.13</v>
      </c>
      <c r="H126" s="540">
        <v>856</v>
      </c>
      <c r="I126" s="540" t="s">
        <v>1100</v>
      </c>
    </row>
    <row r="127" spans="1:10">
      <c r="A127" s="568">
        <f t="shared" si="1"/>
        <v>122</v>
      </c>
      <c r="B127" s="541">
        <v>41698</v>
      </c>
      <c r="C127" s="540" t="s">
        <v>1250</v>
      </c>
      <c r="D127" s="540" t="s">
        <v>793</v>
      </c>
      <c r="E127" s="540" t="s">
        <v>1092</v>
      </c>
      <c r="F127" s="539" t="s">
        <v>959</v>
      </c>
      <c r="G127" s="544">
        <v>-171.66</v>
      </c>
      <c r="H127" s="540">
        <v>856</v>
      </c>
      <c r="I127" s="540" t="s">
        <v>1100</v>
      </c>
    </row>
    <row r="128" spans="1:10">
      <c r="A128" s="568">
        <f t="shared" si="1"/>
        <v>123</v>
      </c>
      <c r="B128" s="541">
        <v>41698</v>
      </c>
      <c r="C128" s="540" t="s">
        <v>1250</v>
      </c>
      <c r="D128" s="540" t="s">
        <v>793</v>
      </c>
      <c r="E128" s="540" t="s">
        <v>1092</v>
      </c>
      <c r="F128" s="539" t="s">
        <v>959</v>
      </c>
      <c r="G128" s="544">
        <v>-41.66</v>
      </c>
      <c r="H128" s="540">
        <v>856</v>
      </c>
      <c r="I128" s="540" t="s">
        <v>1100</v>
      </c>
    </row>
    <row r="129" spans="1:10">
      <c r="A129" s="568">
        <f t="shared" si="1"/>
        <v>124</v>
      </c>
      <c r="B129" s="541">
        <v>41698</v>
      </c>
      <c r="C129" s="540" t="s">
        <v>1250</v>
      </c>
      <c r="D129" s="540" t="s">
        <v>793</v>
      </c>
      <c r="E129" s="540" t="s">
        <v>1092</v>
      </c>
      <c r="F129" s="539" t="s">
        <v>959</v>
      </c>
      <c r="G129" s="544">
        <v>-16.66</v>
      </c>
      <c r="H129" s="540">
        <v>856</v>
      </c>
      <c r="I129" s="540" t="s">
        <v>1100</v>
      </c>
    </row>
    <row r="130" spans="1:10">
      <c r="A130" s="568">
        <f t="shared" si="1"/>
        <v>125</v>
      </c>
      <c r="B130" s="541">
        <v>41698</v>
      </c>
      <c r="C130" s="540" t="s">
        <v>1250</v>
      </c>
      <c r="D130" s="540" t="s">
        <v>793</v>
      </c>
      <c r="E130" s="540" t="s">
        <v>1092</v>
      </c>
      <c r="F130" s="539" t="s">
        <v>959</v>
      </c>
      <c r="G130" s="544">
        <v>-363.87</v>
      </c>
      <c r="H130" s="540">
        <v>856</v>
      </c>
      <c r="I130" s="540" t="s">
        <v>1100</v>
      </c>
    </row>
    <row r="131" spans="1:10">
      <c r="A131" s="568">
        <f t="shared" si="1"/>
        <v>126</v>
      </c>
      <c r="B131" s="541">
        <v>41698</v>
      </c>
      <c r="C131" s="540" t="s">
        <v>1244</v>
      </c>
      <c r="D131" s="540" t="s">
        <v>793</v>
      </c>
      <c r="E131" s="540" t="s">
        <v>1092</v>
      </c>
      <c r="F131" s="539" t="s">
        <v>959</v>
      </c>
      <c r="G131" s="544">
        <v>-150</v>
      </c>
      <c r="H131" s="540">
        <v>856</v>
      </c>
      <c r="I131" s="540" t="s">
        <v>1100</v>
      </c>
    </row>
    <row r="132" spans="1:10">
      <c r="A132" s="568">
        <f t="shared" si="1"/>
        <v>127</v>
      </c>
      <c r="B132" s="541">
        <v>41698</v>
      </c>
      <c r="C132" s="540" t="s">
        <v>1244</v>
      </c>
      <c r="D132" s="540" t="s">
        <v>793</v>
      </c>
      <c r="E132" s="540" t="s">
        <v>1126</v>
      </c>
      <c r="F132" s="539" t="s">
        <v>714</v>
      </c>
      <c r="G132" s="544">
        <v>-100</v>
      </c>
      <c r="H132" s="540">
        <v>856</v>
      </c>
      <c r="I132" s="540" t="s">
        <v>1100</v>
      </c>
    </row>
    <row r="133" spans="1:10">
      <c r="A133" s="568">
        <f t="shared" si="1"/>
        <v>128</v>
      </c>
      <c r="B133" s="541">
        <v>41698</v>
      </c>
      <c r="C133" s="540" t="s">
        <v>1244</v>
      </c>
      <c r="D133" s="540" t="s">
        <v>793</v>
      </c>
      <c r="E133" s="540" t="s">
        <v>1255</v>
      </c>
      <c r="F133" s="539" t="s">
        <v>959</v>
      </c>
      <c r="G133" s="544">
        <v>-8.33</v>
      </c>
      <c r="H133" s="540">
        <v>856</v>
      </c>
      <c r="I133" s="540" t="s">
        <v>1100</v>
      </c>
      <c r="J133" s="605"/>
    </row>
    <row r="134" spans="1:10">
      <c r="A134" s="568">
        <f t="shared" si="1"/>
        <v>129</v>
      </c>
      <c r="B134" s="541">
        <v>41698</v>
      </c>
      <c r="C134" s="540" t="s">
        <v>1244</v>
      </c>
      <c r="D134" s="540" t="s">
        <v>793</v>
      </c>
      <c r="E134" s="540" t="s">
        <v>1093</v>
      </c>
      <c r="F134" s="539" t="s">
        <v>654</v>
      </c>
      <c r="G134" s="544">
        <v>-500</v>
      </c>
      <c r="H134" s="540">
        <v>856</v>
      </c>
      <c r="I134" s="540" t="s">
        <v>1100</v>
      </c>
      <c r="J134" s="605"/>
    </row>
    <row r="135" spans="1:10">
      <c r="A135" s="568">
        <f t="shared" si="1"/>
        <v>130</v>
      </c>
      <c r="B135" s="541">
        <v>41698</v>
      </c>
      <c r="C135" s="540" t="s">
        <v>1244</v>
      </c>
      <c r="D135" s="540" t="s">
        <v>793</v>
      </c>
      <c r="E135" s="540" t="s">
        <v>1094</v>
      </c>
      <c r="F135" s="539" t="s">
        <v>958</v>
      </c>
      <c r="G135" s="544">
        <v>-14.58</v>
      </c>
      <c r="H135" s="540">
        <v>856</v>
      </c>
      <c r="I135" s="540" t="s">
        <v>1100</v>
      </c>
    </row>
    <row r="136" spans="1:10">
      <c r="A136" s="568">
        <f t="shared" ref="A136:A199" si="2">A135+1</f>
        <v>131</v>
      </c>
      <c r="B136" s="541">
        <v>41698</v>
      </c>
      <c r="C136" s="540" t="s">
        <v>1244</v>
      </c>
      <c r="D136" s="540" t="s">
        <v>793</v>
      </c>
      <c r="E136" s="540" t="s">
        <v>1095</v>
      </c>
      <c r="F136" s="539" t="s">
        <v>959</v>
      </c>
      <c r="G136" s="544">
        <v>-8.33</v>
      </c>
      <c r="H136" s="540">
        <v>856</v>
      </c>
      <c r="I136" s="540" t="s">
        <v>1100</v>
      </c>
    </row>
    <row r="137" spans="1:10">
      <c r="A137" s="568">
        <f t="shared" si="2"/>
        <v>132</v>
      </c>
      <c r="B137" s="541">
        <v>41698</v>
      </c>
      <c r="C137" s="540" t="s">
        <v>1244</v>
      </c>
      <c r="D137" s="540" t="s">
        <v>793</v>
      </c>
      <c r="E137" s="540" t="s">
        <v>1256</v>
      </c>
      <c r="F137" s="539" t="s">
        <v>714</v>
      </c>
      <c r="G137" s="544">
        <v>-565.41</v>
      </c>
      <c r="H137" s="540">
        <v>856</v>
      </c>
      <c r="I137" s="540" t="s">
        <v>1100</v>
      </c>
    </row>
    <row r="138" spans="1:10">
      <c r="A138" s="568">
        <f t="shared" si="2"/>
        <v>133</v>
      </c>
      <c r="B138" s="541">
        <v>41698</v>
      </c>
      <c r="C138" s="540" t="s">
        <v>1244</v>
      </c>
      <c r="D138" s="540" t="s">
        <v>793</v>
      </c>
      <c r="E138" s="540" t="s">
        <v>1096</v>
      </c>
      <c r="F138" s="539" t="s">
        <v>959</v>
      </c>
      <c r="G138" s="544">
        <v>-10.83</v>
      </c>
      <c r="H138" s="540">
        <v>856</v>
      </c>
      <c r="I138" s="540" t="s">
        <v>1100</v>
      </c>
    </row>
    <row r="139" spans="1:10">
      <c r="A139" s="568">
        <f t="shared" si="2"/>
        <v>134</v>
      </c>
      <c r="B139" s="541">
        <v>41698</v>
      </c>
      <c r="C139" s="540" t="s">
        <v>1244</v>
      </c>
      <c r="D139" s="540" t="s">
        <v>793</v>
      </c>
      <c r="E139" s="540" t="s">
        <v>1097</v>
      </c>
      <c r="F139" s="539" t="s">
        <v>714</v>
      </c>
      <c r="G139" s="544">
        <v>-757.35</v>
      </c>
      <c r="H139" s="540">
        <v>856</v>
      </c>
      <c r="I139" s="540" t="s">
        <v>1100</v>
      </c>
    </row>
    <row r="140" spans="1:10">
      <c r="A140" s="568">
        <f t="shared" si="2"/>
        <v>135</v>
      </c>
      <c r="B140" s="541">
        <v>41698</v>
      </c>
      <c r="C140" s="540" t="s">
        <v>1250</v>
      </c>
      <c r="D140" s="540" t="s">
        <v>793</v>
      </c>
      <c r="E140" s="540" t="s">
        <v>1257</v>
      </c>
      <c r="F140" s="539" t="s">
        <v>959</v>
      </c>
      <c r="G140" s="544">
        <v>-8.33</v>
      </c>
      <c r="H140" s="540">
        <v>856</v>
      </c>
      <c r="I140" s="540" t="s">
        <v>1100</v>
      </c>
    </row>
    <row r="141" spans="1:10">
      <c r="A141" s="568">
        <f t="shared" si="2"/>
        <v>136</v>
      </c>
      <c r="B141" s="541">
        <v>41698</v>
      </c>
      <c r="C141" s="540" t="s">
        <v>1244</v>
      </c>
      <c r="D141" s="540" t="s">
        <v>793</v>
      </c>
      <c r="E141" s="540" t="s">
        <v>1107</v>
      </c>
      <c r="F141" s="539" t="s">
        <v>958</v>
      </c>
      <c r="G141" s="544">
        <v>-1166</v>
      </c>
      <c r="H141" s="540">
        <v>856</v>
      </c>
      <c r="I141" s="540" t="s">
        <v>1100</v>
      </c>
      <c r="J141" s="607"/>
    </row>
    <row r="142" spans="1:10">
      <c r="A142" s="568">
        <f t="shared" si="2"/>
        <v>137</v>
      </c>
      <c r="B142" s="541">
        <v>41698</v>
      </c>
      <c r="C142" s="540" t="s">
        <v>1244</v>
      </c>
      <c r="D142" s="540" t="s">
        <v>793</v>
      </c>
      <c r="E142" s="540" t="s">
        <v>1124</v>
      </c>
      <c r="F142" s="539" t="s">
        <v>959</v>
      </c>
      <c r="G142" s="544">
        <v>-183.82333333333335</v>
      </c>
      <c r="H142" s="540">
        <v>856</v>
      </c>
      <c r="I142" s="540" t="s">
        <v>1100</v>
      </c>
    </row>
    <row r="143" spans="1:10">
      <c r="A143" s="568">
        <f t="shared" si="2"/>
        <v>138</v>
      </c>
      <c r="B143" s="541">
        <v>41698</v>
      </c>
      <c r="C143" s="540" t="s">
        <v>1244</v>
      </c>
      <c r="D143" s="540" t="s">
        <v>793</v>
      </c>
      <c r="E143" s="540" t="s">
        <v>1112</v>
      </c>
      <c r="F143" s="539" t="s">
        <v>958</v>
      </c>
      <c r="G143" s="544">
        <v>-416.31</v>
      </c>
      <c r="H143" s="540">
        <v>856</v>
      </c>
      <c r="I143" s="540" t="s">
        <v>1100</v>
      </c>
    </row>
    <row r="144" spans="1:10">
      <c r="A144" s="568">
        <f t="shared" si="2"/>
        <v>139</v>
      </c>
      <c r="B144" s="541">
        <v>41698</v>
      </c>
      <c r="C144" s="540" t="s">
        <v>1244</v>
      </c>
      <c r="D144" s="540" t="s">
        <v>793</v>
      </c>
      <c r="E144" s="540" t="s">
        <v>1112</v>
      </c>
      <c r="F144" s="539" t="s">
        <v>958</v>
      </c>
      <c r="G144" s="544">
        <v>-612.85</v>
      </c>
      <c r="H144" s="540">
        <v>856</v>
      </c>
      <c r="I144" s="540" t="s">
        <v>1100</v>
      </c>
    </row>
    <row r="145" spans="1:10">
      <c r="A145" s="568">
        <f t="shared" si="2"/>
        <v>140</v>
      </c>
      <c r="B145" s="541">
        <v>41698</v>
      </c>
      <c r="C145" s="540" t="s">
        <v>1244</v>
      </c>
      <c r="D145" s="540" t="s">
        <v>793</v>
      </c>
      <c r="E145" s="540" t="s">
        <v>1258</v>
      </c>
      <c r="F145" s="539" t="s">
        <v>714</v>
      </c>
      <c r="G145" s="544">
        <v>-575</v>
      </c>
      <c r="H145" s="540" t="s">
        <v>790</v>
      </c>
      <c r="I145" s="540" t="s">
        <v>1101</v>
      </c>
    </row>
    <row r="146" spans="1:10">
      <c r="A146" s="568">
        <f t="shared" si="2"/>
        <v>141</v>
      </c>
      <c r="B146" s="541">
        <v>41698</v>
      </c>
      <c r="C146" s="540" t="s">
        <v>1244</v>
      </c>
      <c r="D146" s="540" t="s">
        <v>793</v>
      </c>
      <c r="E146" s="540" t="s">
        <v>1259</v>
      </c>
      <c r="F146" s="539" t="s">
        <v>714</v>
      </c>
      <c r="G146" s="544">
        <v>-500</v>
      </c>
      <c r="H146" s="540" t="s">
        <v>790</v>
      </c>
      <c r="I146" s="540" t="s">
        <v>1101</v>
      </c>
      <c r="J146" s="607"/>
    </row>
    <row r="147" spans="1:10">
      <c r="A147" s="568">
        <f t="shared" si="2"/>
        <v>142</v>
      </c>
      <c r="B147" s="541">
        <v>41698</v>
      </c>
      <c r="C147" s="540" t="s">
        <v>1244</v>
      </c>
      <c r="D147" s="540" t="s">
        <v>793</v>
      </c>
      <c r="E147" s="540" t="s">
        <v>1260</v>
      </c>
      <c r="F147" s="539" t="s">
        <v>714</v>
      </c>
      <c r="G147" s="544">
        <v>-400</v>
      </c>
      <c r="H147" s="540" t="s">
        <v>790</v>
      </c>
      <c r="I147" s="540" t="s">
        <v>1101</v>
      </c>
    </row>
    <row r="148" spans="1:10">
      <c r="A148" s="568">
        <f t="shared" si="2"/>
        <v>143</v>
      </c>
      <c r="B148" s="541">
        <v>41698</v>
      </c>
      <c r="C148" s="540" t="s">
        <v>1244</v>
      </c>
      <c r="D148" s="540" t="s">
        <v>793</v>
      </c>
      <c r="E148" s="540" t="s">
        <v>1261</v>
      </c>
      <c r="F148" s="539" t="s">
        <v>714</v>
      </c>
      <c r="G148" s="544">
        <v>-2800</v>
      </c>
      <c r="H148" s="540" t="s">
        <v>790</v>
      </c>
      <c r="I148" s="540" t="s">
        <v>1101</v>
      </c>
    </row>
    <row r="149" spans="1:10">
      <c r="A149" s="568">
        <f t="shared" si="2"/>
        <v>144</v>
      </c>
      <c r="B149" s="541">
        <v>41698</v>
      </c>
      <c r="C149" s="540" t="s">
        <v>1244</v>
      </c>
      <c r="D149" s="540" t="s">
        <v>793</v>
      </c>
      <c r="E149" s="540" t="s">
        <v>1262</v>
      </c>
      <c r="F149" s="539" t="s">
        <v>654</v>
      </c>
      <c r="G149" s="544">
        <v>-1890</v>
      </c>
      <c r="H149" s="540" t="s">
        <v>790</v>
      </c>
      <c r="I149" s="540" t="s">
        <v>1101</v>
      </c>
    </row>
    <row r="150" spans="1:10">
      <c r="A150" s="568">
        <f t="shared" si="2"/>
        <v>145</v>
      </c>
      <c r="B150" s="541">
        <v>41698</v>
      </c>
      <c r="C150" s="540" t="s">
        <v>1244</v>
      </c>
      <c r="D150" s="540" t="s">
        <v>793</v>
      </c>
      <c r="E150" s="540" t="s">
        <v>365</v>
      </c>
      <c r="F150" s="539" t="s">
        <v>714</v>
      </c>
      <c r="G150" s="544">
        <v>-2735.68</v>
      </c>
      <c r="H150" s="540" t="s">
        <v>790</v>
      </c>
      <c r="I150" s="540" t="s">
        <v>1101</v>
      </c>
    </row>
    <row r="151" spans="1:10">
      <c r="A151" s="568">
        <f t="shared" si="2"/>
        <v>146</v>
      </c>
      <c r="B151" s="541">
        <v>41698</v>
      </c>
      <c r="C151" s="540" t="s">
        <v>1250</v>
      </c>
      <c r="D151" s="540" t="s">
        <v>793</v>
      </c>
      <c r="E151" s="540" t="s">
        <v>1263</v>
      </c>
      <c r="F151" s="539" t="s">
        <v>959</v>
      </c>
      <c r="G151" s="544">
        <v>-50</v>
      </c>
      <c r="H151" s="540" t="s">
        <v>790</v>
      </c>
      <c r="I151" s="540" t="s">
        <v>1101</v>
      </c>
    </row>
    <row r="152" spans="1:10">
      <c r="A152" s="568">
        <f t="shared" si="2"/>
        <v>147</v>
      </c>
      <c r="B152" s="541">
        <v>41698</v>
      </c>
      <c r="C152" s="540" t="s">
        <v>1244</v>
      </c>
      <c r="D152" s="540" t="s">
        <v>953</v>
      </c>
      <c r="E152" s="540" t="s">
        <v>1141</v>
      </c>
      <c r="F152" s="539" t="s">
        <v>959</v>
      </c>
      <c r="G152" s="544">
        <v>-700</v>
      </c>
      <c r="H152" s="540" t="s">
        <v>1264</v>
      </c>
      <c r="I152" s="540" t="s">
        <v>1274</v>
      </c>
    </row>
    <row r="153" spans="1:10">
      <c r="A153" s="568">
        <f t="shared" si="2"/>
        <v>148</v>
      </c>
      <c r="B153" s="541">
        <v>41698</v>
      </c>
      <c r="C153" s="540" t="s">
        <v>1244</v>
      </c>
      <c r="D153" s="540" t="s">
        <v>953</v>
      </c>
      <c r="E153" s="540" t="s">
        <v>1142</v>
      </c>
      <c r="F153" s="539" t="s">
        <v>959</v>
      </c>
      <c r="G153" s="544">
        <v>-40</v>
      </c>
      <c r="H153" s="540" t="s">
        <v>956</v>
      </c>
      <c r="I153" s="540" t="s">
        <v>1274</v>
      </c>
    </row>
    <row r="154" spans="1:10">
      <c r="A154" s="568">
        <f t="shared" si="2"/>
        <v>149</v>
      </c>
      <c r="B154" s="541">
        <v>41698</v>
      </c>
      <c r="C154" s="540" t="s">
        <v>1244</v>
      </c>
      <c r="D154" s="540" t="s">
        <v>953</v>
      </c>
      <c r="E154" s="540" t="s">
        <v>1143</v>
      </c>
      <c r="F154" s="539" t="s">
        <v>959</v>
      </c>
      <c r="G154" s="544">
        <v>-350</v>
      </c>
      <c r="H154" s="540" t="s">
        <v>1021</v>
      </c>
      <c r="I154" s="540" t="s">
        <v>1274</v>
      </c>
    </row>
    <row r="155" spans="1:10">
      <c r="A155" s="568">
        <f t="shared" si="2"/>
        <v>150</v>
      </c>
      <c r="B155" s="541">
        <v>41698</v>
      </c>
      <c r="C155" s="540" t="s">
        <v>1244</v>
      </c>
      <c r="D155" s="540" t="s">
        <v>953</v>
      </c>
      <c r="E155" s="540" t="s">
        <v>1114</v>
      </c>
      <c r="F155" s="539" t="s">
        <v>959</v>
      </c>
      <c r="G155" s="544">
        <v>-40</v>
      </c>
      <c r="H155" s="540" t="s">
        <v>792</v>
      </c>
      <c r="I155" s="540" t="s">
        <v>1274</v>
      </c>
    </row>
    <row r="156" spans="1:10">
      <c r="A156" s="568">
        <f t="shared" si="2"/>
        <v>151</v>
      </c>
      <c r="B156" s="541">
        <v>41698</v>
      </c>
      <c r="C156" s="540" t="s">
        <v>1250</v>
      </c>
      <c r="D156" s="540" t="s">
        <v>953</v>
      </c>
      <c r="E156" s="540" t="s">
        <v>1275</v>
      </c>
      <c r="F156" s="539" t="s">
        <v>959</v>
      </c>
      <c r="G156" s="544">
        <v>-180</v>
      </c>
      <c r="H156" s="540">
        <v>614</v>
      </c>
      <c r="I156" s="540" t="s">
        <v>1276</v>
      </c>
    </row>
    <row r="157" spans="1:10">
      <c r="A157" s="568">
        <f t="shared" si="2"/>
        <v>152</v>
      </c>
      <c r="B157" s="541">
        <v>41698</v>
      </c>
      <c r="C157" s="540" t="s">
        <v>712</v>
      </c>
      <c r="D157" s="540" t="s">
        <v>1277</v>
      </c>
      <c r="E157" s="540" t="s">
        <v>1266</v>
      </c>
      <c r="F157" s="539" t="s">
        <v>959</v>
      </c>
      <c r="G157" s="544">
        <v>-500</v>
      </c>
      <c r="H157" s="540" t="s">
        <v>920</v>
      </c>
      <c r="I157" s="540" t="s">
        <v>1267</v>
      </c>
    </row>
    <row r="158" spans="1:10">
      <c r="A158" s="568">
        <f t="shared" si="2"/>
        <v>153</v>
      </c>
      <c r="B158" s="541">
        <v>41698</v>
      </c>
      <c r="C158" s="540" t="s">
        <v>1244</v>
      </c>
      <c r="D158" s="540" t="s">
        <v>1058</v>
      </c>
      <c r="E158" s="540" t="s">
        <v>1269</v>
      </c>
      <c r="F158" s="539" t="s">
        <v>714</v>
      </c>
      <c r="G158" s="544">
        <v>-1055</v>
      </c>
      <c r="H158" s="540" t="s">
        <v>1020</v>
      </c>
      <c r="I158" s="540" t="s">
        <v>1267</v>
      </c>
    </row>
    <row r="159" spans="1:10">
      <c r="A159" s="568">
        <f t="shared" si="2"/>
        <v>154</v>
      </c>
      <c r="B159" s="541">
        <v>41729</v>
      </c>
      <c r="C159" s="540">
        <v>454151</v>
      </c>
      <c r="D159" s="540" t="s">
        <v>13</v>
      </c>
      <c r="E159" s="540" t="s">
        <v>1278</v>
      </c>
      <c r="F159" s="539" t="s">
        <v>959</v>
      </c>
      <c r="G159" s="544">
        <v>-1000</v>
      </c>
      <c r="H159" s="540">
        <v>856</v>
      </c>
      <c r="I159" s="540" t="s">
        <v>1246</v>
      </c>
    </row>
    <row r="160" spans="1:10">
      <c r="A160" s="568">
        <f t="shared" si="2"/>
        <v>155</v>
      </c>
      <c r="B160" s="541">
        <v>41729</v>
      </c>
      <c r="C160" s="540" t="s">
        <v>1244</v>
      </c>
      <c r="D160" s="540" t="s">
        <v>13</v>
      </c>
      <c r="E160" s="540" t="s">
        <v>1249</v>
      </c>
      <c r="F160" s="539" t="s">
        <v>714</v>
      </c>
      <c r="G160" s="544">
        <v>-44.38</v>
      </c>
      <c r="H160" s="540">
        <v>856</v>
      </c>
      <c r="I160" s="540" t="s">
        <v>1279</v>
      </c>
    </row>
    <row r="161" spans="1:10">
      <c r="A161" s="568">
        <f t="shared" si="2"/>
        <v>156</v>
      </c>
      <c r="B161" s="541">
        <v>41729</v>
      </c>
      <c r="C161" s="540" t="s">
        <v>1244</v>
      </c>
      <c r="D161" s="540" t="s">
        <v>13</v>
      </c>
      <c r="E161" s="540" t="s">
        <v>365</v>
      </c>
      <c r="F161" s="539" t="s">
        <v>714</v>
      </c>
      <c r="G161" s="544">
        <v>-87.54</v>
      </c>
      <c r="H161" s="540" t="s">
        <v>790</v>
      </c>
      <c r="I161" s="540" t="s">
        <v>1280</v>
      </c>
    </row>
    <row r="162" spans="1:10">
      <c r="A162" s="568">
        <f t="shared" si="2"/>
        <v>157</v>
      </c>
      <c r="B162" s="541">
        <v>41729</v>
      </c>
      <c r="C162" s="540" t="s">
        <v>1244</v>
      </c>
      <c r="D162" s="540" t="s">
        <v>13</v>
      </c>
      <c r="E162" s="540" t="s">
        <v>1247</v>
      </c>
      <c r="F162" s="539" t="s">
        <v>654</v>
      </c>
      <c r="G162" s="544">
        <v>-2.09</v>
      </c>
      <c r="H162" s="540">
        <v>856</v>
      </c>
      <c r="I162" s="540" t="s">
        <v>1102</v>
      </c>
    </row>
    <row r="163" spans="1:10">
      <c r="A163" s="568">
        <f t="shared" si="2"/>
        <v>158</v>
      </c>
      <c r="B163" s="541">
        <v>41729</v>
      </c>
      <c r="C163" s="540" t="s">
        <v>1244</v>
      </c>
      <c r="D163" s="540" t="s">
        <v>13</v>
      </c>
      <c r="E163" s="540" t="s">
        <v>1245</v>
      </c>
      <c r="F163" s="539" t="s">
        <v>714</v>
      </c>
      <c r="G163" s="544">
        <v>-118.92</v>
      </c>
      <c r="H163" s="540">
        <v>856</v>
      </c>
      <c r="I163" s="540" t="s">
        <v>1102</v>
      </c>
    </row>
    <row r="164" spans="1:10">
      <c r="A164" s="568">
        <f t="shared" si="2"/>
        <v>159</v>
      </c>
      <c r="B164" s="541">
        <v>41729</v>
      </c>
      <c r="C164" s="540" t="s">
        <v>1244</v>
      </c>
      <c r="D164" s="540" t="s">
        <v>13</v>
      </c>
      <c r="E164" s="540" t="s">
        <v>1248</v>
      </c>
      <c r="F164" s="539" t="s">
        <v>714</v>
      </c>
      <c r="G164" s="544">
        <v>-684.91</v>
      </c>
      <c r="H164" s="540">
        <v>856</v>
      </c>
      <c r="I164" s="540" t="s">
        <v>1102</v>
      </c>
    </row>
    <row r="165" spans="1:10">
      <c r="A165" s="568">
        <f t="shared" si="2"/>
        <v>160</v>
      </c>
      <c r="B165" s="541">
        <v>41729</v>
      </c>
      <c r="C165" s="540" t="s">
        <v>1244</v>
      </c>
      <c r="D165" s="540" t="s">
        <v>13</v>
      </c>
      <c r="E165" s="540" t="s">
        <v>1248</v>
      </c>
      <c r="F165" s="539" t="s">
        <v>714</v>
      </c>
      <c r="G165" s="544">
        <v>-70.34</v>
      </c>
      <c r="H165" s="540">
        <v>856</v>
      </c>
      <c r="I165" s="540" t="s">
        <v>1102</v>
      </c>
    </row>
    <row r="166" spans="1:10">
      <c r="A166" s="568">
        <f t="shared" si="2"/>
        <v>161</v>
      </c>
      <c r="B166" s="541">
        <v>41729</v>
      </c>
      <c r="C166" s="540" t="s">
        <v>1244</v>
      </c>
      <c r="D166" s="540" t="s">
        <v>13</v>
      </c>
      <c r="E166" s="540" t="s">
        <v>1128</v>
      </c>
      <c r="F166" s="539" t="s">
        <v>959</v>
      </c>
      <c r="G166" s="544">
        <v>-8.34</v>
      </c>
      <c r="H166" s="540">
        <v>856</v>
      </c>
      <c r="I166" s="540" t="s">
        <v>1102</v>
      </c>
    </row>
    <row r="167" spans="1:10">
      <c r="A167" s="568">
        <f t="shared" si="2"/>
        <v>162</v>
      </c>
      <c r="B167" s="541">
        <v>41729</v>
      </c>
      <c r="C167" s="540" t="s">
        <v>1244</v>
      </c>
      <c r="D167" s="540" t="s">
        <v>13</v>
      </c>
      <c r="E167" s="540" t="s">
        <v>1249</v>
      </c>
      <c r="F167" s="539" t="s">
        <v>714</v>
      </c>
      <c r="G167" s="544">
        <v>-105.62</v>
      </c>
      <c r="H167" s="540">
        <v>856</v>
      </c>
      <c r="I167" s="540" t="s">
        <v>1102</v>
      </c>
    </row>
    <row r="168" spans="1:10">
      <c r="A168" s="568">
        <f t="shared" si="2"/>
        <v>163</v>
      </c>
      <c r="B168" s="541">
        <v>41729</v>
      </c>
      <c r="C168" s="540" t="s">
        <v>1244</v>
      </c>
      <c r="D168" s="540" t="s">
        <v>13</v>
      </c>
      <c r="E168" s="540" t="s">
        <v>1082</v>
      </c>
      <c r="F168" s="539" t="s">
        <v>959</v>
      </c>
      <c r="G168" s="544">
        <v>-8.33</v>
      </c>
      <c r="H168" s="540">
        <v>856</v>
      </c>
      <c r="I168" s="540" t="s">
        <v>1102</v>
      </c>
      <c r="J168" s="607"/>
    </row>
    <row r="169" spans="1:10">
      <c r="A169" s="568">
        <f t="shared" si="2"/>
        <v>164</v>
      </c>
      <c r="B169" s="541">
        <v>41729</v>
      </c>
      <c r="C169" s="540" t="s">
        <v>1250</v>
      </c>
      <c r="D169" s="540" t="s">
        <v>13</v>
      </c>
      <c r="E169" s="540" t="s">
        <v>1103</v>
      </c>
      <c r="F169" s="539" t="s">
        <v>959</v>
      </c>
      <c r="G169" s="544">
        <v>-8.33</v>
      </c>
      <c r="H169" s="540">
        <v>856</v>
      </c>
      <c r="I169" s="540" t="s">
        <v>1102</v>
      </c>
    </row>
    <row r="170" spans="1:10">
      <c r="A170" s="568">
        <f t="shared" si="2"/>
        <v>165</v>
      </c>
      <c r="B170" s="541">
        <v>41729</v>
      </c>
      <c r="C170" s="540" t="s">
        <v>1250</v>
      </c>
      <c r="D170" s="540" t="s">
        <v>13</v>
      </c>
      <c r="E170" s="540" t="s">
        <v>1084</v>
      </c>
      <c r="F170" s="539" t="s">
        <v>959</v>
      </c>
      <c r="G170" s="544">
        <v>-8.34</v>
      </c>
      <c r="H170" s="540">
        <v>856</v>
      </c>
      <c r="I170" s="540" t="s">
        <v>1102</v>
      </c>
    </row>
    <row r="171" spans="1:10">
      <c r="A171" s="568">
        <f t="shared" si="2"/>
        <v>166</v>
      </c>
      <c r="B171" s="541">
        <v>41729</v>
      </c>
      <c r="C171" s="540" t="s">
        <v>1250</v>
      </c>
      <c r="D171" s="540" t="s">
        <v>13</v>
      </c>
      <c r="E171" s="540" t="s">
        <v>1116</v>
      </c>
      <c r="F171" s="539" t="s">
        <v>959</v>
      </c>
      <c r="G171" s="544">
        <v>-20.84</v>
      </c>
      <c r="H171" s="540">
        <v>856</v>
      </c>
      <c r="I171" s="540" t="s">
        <v>1102</v>
      </c>
    </row>
    <row r="172" spans="1:10">
      <c r="A172" s="568">
        <f t="shared" si="2"/>
        <v>167</v>
      </c>
      <c r="B172" s="541">
        <v>41729</v>
      </c>
      <c r="C172" s="540" t="s">
        <v>1244</v>
      </c>
      <c r="D172" s="540" t="s">
        <v>13</v>
      </c>
      <c r="E172" s="540" t="s">
        <v>1117</v>
      </c>
      <c r="F172" s="539" t="s">
        <v>654</v>
      </c>
      <c r="G172" s="544">
        <v>-41.65</v>
      </c>
      <c r="H172" s="540">
        <v>856</v>
      </c>
      <c r="I172" s="540" t="s">
        <v>1102</v>
      </c>
    </row>
    <row r="173" spans="1:10">
      <c r="A173" s="568">
        <f t="shared" si="2"/>
        <v>168</v>
      </c>
      <c r="B173" s="541">
        <v>41729</v>
      </c>
      <c r="C173" s="540" t="s">
        <v>1250</v>
      </c>
      <c r="D173" s="540" t="s">
        <v>13</v>
      </c>
      <c r="E173" s="540" t="s">
        <v>1118</v>
      </c>
      <c r="F173" s="539" t="s">
        <v>959</v>
      </c>
      <c r="G173" s="544">
        <v>-45</v>
      </c>
      <c r="H173" s="540">
        <v>856</v>
      </c>
      <c r="I173" s="540" t="s">
        <v>1102</v>
      </c>
    </row>
    <row r="174" spans="1:10">
      <c r="A174" s="568">
        <f t="shared" si="2"/>
        <v>169</v>
      </c>
      <c r="B174" s="541">
        <v>41729</v>
      </c>
      <c r="C174" s="540" t="s">
        <v>1250</v>
      </c>
      <c r="D174" s="540" t="s">
        <v>13</v>
      </c>
      <c r="E174" s="540" t="s">
        <v>1118</v>
      </c>
      <c r="F174" s="539" t="s">
        <v>959</v>
      </c>
      <c r="G174" s="544">
        <v>-11.25</v>
      </c>
      <c r="H174" s="540">
        <v>856</v>
      </c>
      <c r="I174" s="540" t="s">
        <v>1102</v>
      </c>
    </row>
    <row r="175" spans="1:10">
      <c r="A175" s="568">
        <f t="shared" si="2"/>
        <v>170</v>
      </c>
      <c r="B175" s="541">
        <v>41729</v>
      </c>
      <c r="C175" s="540" t="s">
        <v>1250</v>
      </c>
      <c r="D175" s="540" t="s">
        <v>13</v>
      </c>
      <c r="E175" s="540" t="s">
        <v>1118</v>
      </c>
      <c r="F175" s="539" t="s">
        <v>959</v>
      </c>
      <c r="G175" s="544">
        <v>-29.17</v>
      </c>
      <c r="H175" s="540">
        <v>856</v>
      </c>
      <c r="I175" s="540" t="s">
        <v>1102</v>
      </c>
    </row>
    <row r="176" spans="1:10">
      <c r="A176" s="568">
        <f t="shared" si="2"/>
        <v>171</v>
      </c>
      <c r="B176" s="541">
        <v>41729</v>
      </c>
      <c r="C176" s="540" t="s">
        <v>1244</v>
      </c>
      <c r="D176" s="540" t="s">
        <v>13</v>
      </c>
      <c r="E176" s="540" t="s">
        <v>1085</v>
      </c>
      <c r="F176" s="539" t="s">
        <v>654</v>
      </c>
      <c r="G176" s="544">
        <v>-8.34</v>
      </c>
      <c r="H176" s="540">
        <v>856</v>
      </c>
      <c r="I176" s="540" t="s">
        <v>1102</v>
      </c>
    </row>
    <row r="177" spans="1:10">
      <c r="A177" s="568">
        <f t="shared" si="2"/>
        <v>172</v>
      </c>
      <c r="B177" s="541">
        <v>41729</v>
      </c>
      <c r="C177" s="540" t="s">
        <v>1244</v>
      </c>
      <c r="D177" s="540" t="s">
        <v>13</v>
      </c>
      <c r="E177" s="540" t="s">
        <v>1110</v>
      </c>
      <c r="F177" s="539" t="s">
        <v>959</v>
      </c>
      <c r="G177" s="544">
        <v>-4.166666666666667</v>
      </c>
      <c r="H177" s="540">
        <v>856</v>
      </c>
      <c r="I177" s="540" t="s">
        <v>1102</v>
      </c>
    </row>
    <row r="178" spans="1:10">
      <c r="A178" s="568">
        <f t="shared" si="2"/>
        <v>173</v>
      </c>
      <c r="B178" s="541">
        <v>41729</v>
      </c>
      <c r="C178" s="540" t="s">
        <v>1244</v>
      </c>
      <c r="D178" s="540" t="s">
        <v>13</v>
      </c>
      <c r="E178" s="540" t="s">
        <v>1104</v>
      </c>
      <c r="F178" s="539" t="s">
        <v>959</v>
      </c>
      <c r="G178" s="544">
        <v>-41.64</v>
      </c>
      <c r="H178" s="540">
        <v>856</v>
      </c>
      <c r="I178" s="540" t="s">
        <v>1102</v>
      </c>
    </row>
    <row r="179" spans="1:10">
      <c r="A179" s="568">
        <f t="shared" si="2"/>
        <v>174</v>
      </c>
      <c r="B179" s="541">
        <v>41729</v>
      </c>
      <c r="C179" s="540" t="s">
        <v>1244</v>
      </c>
      <c r="D179" s="540" t="s">
        <v>13</v>
      </c>
      <c r="E179" s="540" t="s">
        <v>1129</v>
      </c>
      <c r="F179" s="539" t="s">
        <v>958</v>
      </c>
      <c r="G179" s="544">
        <v>-41.66</v>
      </c>
      <c r="H179" s="540">
        <v>856</v>
      </c>
      <c r="I179" s="540" t="s">
        <v>1102</v>
      </c>
    </row>
    <row r="180" spans="1:10">
      <c r="A180" s="568">
        <f t="shared" si="2"/>
        <v>175</v>
      </c>
      <c r="B180" s="541">
        <v>41729</v>
      </c>
      <c r="C180" s="540" t="s">
        <v>1244</v>
      </c>
      <c r="D180" s="540" t="s">
        <v>13</v>
      </c>
      <c r="E180" s="540" t="s">
        <v>1135</v>
      </c>
      <c r="F180" s="539" t="s">
        <v>958</v>
      </c>
      <c r="G180" s="544">
        <v>-29.17</v>
      </c>
      <c r="H180" s="540">
        <v>856</v>
      </c>
      <c r="I180" s="540" t="s">
        <v>1102</v>
      </c>
    </row>
    <row r="181" spans="1:10">
      <c r="A181" s="568">
        <f t="shared" si="2"/>
        <v>176</v>
      </c>
      <c r="B181" s="541">
        <v>41729</v>
      </c>
      <c r="C181" s="540" t="s">
        <v>1250</v>
      </c>
      <c r="D181" s="540" t="s">
        <v>13</v>
      </c>
      <c r="E181" s="540" t="s">
        <v>1105</v>
      </c>
      <c r="F181" s="539" t="s">
        <v>959</v>
      </c>
      <c r="G181" s="544">
        <v>-8.33</v>
      </c>
      <c r="H181" s="540">
        <v>856</v>
      </c>
      <c r="I181" s="540" t="s">
        <v>1102</v>
      </c>
    </row>
    <row r="182" spans="1:10">
      <c r="A182" s="568">
        <f t="shared" si="2"/>
        <v>177</v>
      </c>
      <c r="B182" s="541">
        <v>41729</v>
      </c>
      <c r="C182" s="540" t="s">
        <v>1250</v>
      </c>
      <c r="D182" s="540" t="s">
        <v>13</v>
      </c>
      <c r="E182" s="540" t="s">
        <v>1105</v>
      </c>
      <c r="F182" s="539" t="s">
        <v>959</v>
      </c>
      <c r="G182" s="544">
        <v>-14.58</v>
      </c>
      <c r="H182" s="540">
        <v>856</v>
      </c>
      <c r="I182" s="540" t="s">
        <v>1102</v>
      </c>
      <c r="J182" s="605"/>
    </row>
    <row r="183" spans="1:10">
      <c r="A183" s="568">
        <f t="shared" si="2"/>
        <v>178</v>
      </c>
      <c r="B183" s="541">
        <v>41729</v>
      </c>
      <c r="C183" s="540" t="s">
        <v>1244</v>
      </c>
      <c r="D183" s="540" t="s">
        <v>13</v>
      </c>
      <c r="E183" s="540" t="s">
        <v>1251</v>
      </c>
      <c r="F183" s="539" t="s">
        <v>714</v>
      </c>
      <c r="G183" s="544">
        <v>-179.17</v>
      </c>
      <c r="H183" s="540">
        <v>856</v>
      </c>
      <c r="I183" s="540" t="s">
        <v>1102</v>
      </c>
    </row>
    <row r="184" spans="1:10">
      <c r="A184" s="568">
        <f t="shared" si="2"/>
        <v>179</v>
      </c>
      <c r="B184" s="541">
        <v>41729</v>
      </c>
      <c r="C184" s="540" t="s">
        <v>1244</v>
      </c>
      <c r="D184" s="540" t="s">
        <v>13</v>
      </c>
      <c r="E184" s="540" t="s">
        <v>1106</v>
      </c>
      <c r="F184" s="539" t="s">
        <v>654</v>
      </c>
      <c r="G184" s="544">
        <v>-4.17</v>
      </c>
      <c r="H184" s="540">
        <v>856</v>
      </c>
      <c r="I184" s="540" t="s">
        <v>1102</v>
      </c>
    </row>
    <row r="185" spans="1:10">
      <c r="A185" s="568">
        <f t="shared" si="2"/>
        <v>180</v>
      </c>
      <c r="B185" s="541">
        <v>41729</v>
      </c>
      <c r="C185" s="540" t="s">
        <v>1244</v>
      </c>
      <c r="D185" s="540" t="s">
        <v>13</v>
      </c>
      <c r="E185" s="540" t="s">
        <v>1122</v>
      </c>
      <c r="F185" s="539" t="s">
        <v>714</v>
      </c>
      <c r="G185" s="544">
        <v>-8.34</v>
      </c>
      <c r="H185" s="540">
        <v>856</v>
      </c>
      <c r="I185" s="540" t="s">
        <v>1102</v>
      </c>
    </row>
    <row r="186" spans="1:10">
      <c r="A186" s="568">
        <f t="shared" si="2"/>
        <v>181</v>
      </c>
      <c r="B186" s="541">
        <v>41729</v>
      </c>
      <c r="C186" s="540" t="s">
        <v>1244</v>
      </c>
      <c r="D186" s="540" t="s">
        <v>13</v>
      </c>
      <c r="E186" s="540" t="s">
        <v>1086</v>
      </c>
      <c r="F186" s="539" t="s">
        <v>959</v>
      </c>
      <c r="G186" s="544">
        <v>-8.33</v>
      </c>
      <c r="H186" s="540">
        <v>856</v>
      </c>
      <c r="I186" s="540" t="s">
        <v>1102</v>
      </c>
    </row>
    <row r="187" spans="1:10">
      <c r="A187" s="568">
        <f t="shared" si="2"/>
        <v>182</v>
      </c>
      <c r="B187" s="541">
        <v>41729</v>
      </c>
      <c r="C187" s="540" t="s">
        <v>1250</v>
      </c>
      <c r="D187" s="540" t="s">
        <v>13</v>
      </c>
      <c r="E187" s="540" t="s">
        <v>1111</v>
      </c>
      <c r="F187" s="539" t="s">
        <v>959</v>
      </c>
      <c r="G187" s="544">
        <v>-41.65</v>
      </c>
      <c r="H187" s="540">
        <v>856</v>
      </c>
      <c r="I187" s="540" t="s">
        <v>1102</v>
      </c>
    </row>
    <row r="188" spans="1:10">
      <c r="A188" s="568">
        <f t="shared" si="2"/>
        <v>183</v>
      </c>
      <c r="B188" s="541">
        <v>41729</v>
      </c>
      <c r="C188" s="540" t="s">
        <v>1244</v>
      </c>
      <c r="D188" s="540" t="s">
        <v>13</v>
      </c>
      <c r="E188" s="540" t="s">
        <v>1132</v>
      </c>
      <c r="F188" s="539" t="s">
        <v>959</v>
      </c>
      <c r="G188" s="544">
        <v>-8.34</v>
      </c>
      <c r="H188" s="540">
        <v>856</v>
      </c>
      <c r="I188" s="540" t="s">
        <v>1102</v>
      </c>
    </row>
    <row r="189" spans="1:10">
      <c r="A189" s="568">
        <f t="shared" si="2"/>
        <v>184</v>
      </c>
      <c r="B189" s="541">
        <v>41729</v>
      </c>
      <c r="C189" s="540" t="s">
        <v>1244</v>
      </c>
      <c r="D189" s="540" t="s">
        <v>13</v>
      </c>
      <c r="E189" s="540" t="s">
        <v>1252</v>
      </c>
      <c r="F189" s="539" t="s">
        <v>714</v>
      </c>
      <c r="G189" s="544">
        <v>-199.095</v>
      </c>
      <c r="H189" s="540">
        <v>856</v>
      </c>
      <c r="I189" s="540" t="s">
        <v>1102</v>
      </c>
    </row>
    <row r="190" spans="1:10">
      <c r="A190" s="568">
        <f t="shared" si="2"/>
        <v>185</v>
      </c>
      <c r="B190" s="541">
        <v>41729</v>
      </c>
      <c r="C190" s="540" t="s">
        <v>1244</v>
      </c>
      <c r="D190" s="540" t="s">
        <v>13</v>
      </c>
      <c r="E190" s="540" t="s">
        <v>1252</v>
      </c>
      <c r="F190" s="539" t="s">
        <v>714</v>
      </c>
      <c r="G190" s="544">
        <v>-142.79</v>
      </c>
      <c r="H190" s="540">
        <v>856</v>
      </c>
      <c r="I190" s="540" t="s">
        <v>1102</v>
      </c>
    </row>
    <row r="191" spans="1:10">
      <c r="A191" s="568">
        <f t="shared" si="2"/>
        <v>186</v>
      </c>
      <c r="B191" s="541">
        <v>41729</v>
      </c>
      <c r="C191" s="540" t="s">
        <v>1244</v>
      </c>
      <c r="D191" s="540" t="s">
        <v>13</v>
      </c>
      <c r="E191" s="540" t="s">
        <v>1252</v>
      </c>
      <c r="F191" s="539" t="s">
        <v>714</v>
      </c>
      <c r="G191" s="544">
        <v>-142.79</v>
      </c>
      <c r="H191" s="540">
        <v>856</v>
      </c>
      <c r="I191" s="540" t="s">
        <v>1102</v>
      </c>
    </row>
    <row r="192" spans="1:10">
      <c r="A192" s="568">
        <f t="shared" si="2"/>
        <v>187</v>
      </c>
      <c r="B192" s="541">
        <v>41729</v>
      </c>
      <c r="C192" s="540" t="s">
        <v>1244</v>
      </c>
      <c r="D192" s="540" t="s">
        <v>13</v>
      </c>
      <c r="E192" s="540" t="s">
        <v>1252</v>
      </c>
      <c r="F192" s="539" t="s">
        <v>714</v>
      </c>
      <c r="G192" s="544">
        <v>-141.28</v>
      </c>
      <c r="H192" s="540">
        <v>856</v>
      </c>
      <c r="I192" s="540" t="s">
        <v>1102</v>
      </c>
    </row>
    <row r="193" spans="1:10">
      <c r="A193" s="568">
        <f t="shared" si="2"/>
        <v>188</v>
      </c>
      <c r="B193" s="541">
        <v>41729</v>
      </c>
      <c r="C193" s="540" t="s">
        <v>1244</v>
      </c>
      <c r="D193" s="540" t="s">
        <v>13</v>
      </c>
      <c r="E193" s="540" t="s">
        <v>1252</v>
      </c>
      <c r="F193" s="539" t="s">
        <v>714</v>
      </c>
      <c r="G193" s="544">
        <v>-122.2</v>
      </c>
      <c r="H193" s="540">
        <v>856</v>
      </c>
      <c r="I193" s="540" t="s">
        <v>1102</v>
      </c>
    </row>
    <row r="194" spans="1:10">
      <c r="A194" s="568">
        <f t="shared" si="2"/>
        <v>189</v>
      </c>
      <c r="B194" s="541">
        <v>41729</v>
      </c>
      <c r="C194" s="540" t="s">
        <v>1244</v>
      </c>
      <c r="D194" s="540" t="s">
        <v>13</v>
      </c>
      <c r="E194" s="540" t="s">
        <v>1252</v>
      </c>
      <c r="F194" s="539" t="s">
        <v>714</v>
      </c>
      <c r="G194" s="544">
        <v>-141.28</v>
      </c>
      <c r="H194" s="540">
        <v>856</v>
      </c>
      <c r="I194" s="540" t="s">
        <v>1102</v>
      </c>
      <c r="J194" s="485"/>
    </row>
    <row r="195" spans="1:10">
      <c r="A195" s="568">
        <f t="shared" si="2"/>
        <v>190</v>
      </c>
      <c r="B195" s="541">
        <v>41729</v>
      </c>
      <c r="C195" s="540" t="s">
        <v>1244</v>
      </c>
      <c r="D195" s="540" t="s">
        <v>13</v>
      </c>
      <c r="E195" s="540" t="s">
        <v>1119</v>
      </c>
      <c r="F195" s="539" t="s">
        <v>654</v>
      </c>
      <c r="G195" s="544">
        <v>-54.16</v>
      </c>
      <c r="H195" s="540">
        <v>856</v>
      </c>
      <c r="I195" s="540" t="s">
        <v>1102</v>
      </c>
      <c r="J195" s="485"/>
    </row>
    <row r="196" spans="1:10">
      <c r="A196" s="568">
        <f t="shared" si="2"/>
        <v>191</v>
      </c>
      <c r="B196" s="541">
        <v>41729</v>
      </c>
      <c r="C196" s="540" t="s">
        <v>1250</v>
      </c>
      <c r="D196" s="540" t="s">
        <v>13</v>
      </c>
      <c r="E196" s="540" t="s">
        <v>1087</v>
      </c>
      <c r="F196" s="539" t="s">
        <v>714</v>
      </c>
      <c r="G196" s="544">
        <v>-693.7</v>
      </c>
      <c r="H196" s="540">
        <v>856</v>
      </c>
      <c r="I196" s="540" t="s">
        <v>1102</v>
      </c>
      <c r="J196" s="485"/>
    </row>
    <row r="197" spans="1:10">
      <c r="A197" s="568">
        <f t="shared" si="2"/>
        <v>192</v>
      </c>
      <c r="B197" s="541">
        <v>41729</v>
      </c>
      <c r="C197" s="540" t="s">
        <v>1250</v>
      </c>
      <c r="D197" s="540" t="s">
        <v>13</v>
      </c>
      <c r="E197" s="540" t="s">
        <v>1123</v>
      </c>
      <c r="F197" s="539" t="s">
        <v>654</v>
      </c>
      <c r="G197" s="544">
        <v>-8.34</v>
      </c>
      <c r="H197" s="540">
        <v>856</v>
      </c>
      <c r="I197" s="540" t="s">
        <v>1102</v>
      </c>
      <c r="J197" s="485"/>
    </row>
    <row r="198" spans="1:10">
      <c r="A198" s="568">
        <f t="shared" si="2"/>
        <v>193</v>
      </c>
      <c r="B198" s="541">
        <v>41729</v>
      </c>
      <c r="C198" s="540" t="s">
        <v>1244</v>
      </c>
      <c r="D198" s="540" t="s">
        <v>13</v>
      </c>
      <c r="E198" s="540" t="s">
        <v>1088</v>
      </c>
      <c r="F198" s="539" t="s">
        <v>654</v>
      </c>
      <c r="G198" s="544">
        <v>-25</v>
      </c>
      <c r="H198" s="540">
        <v>856</v>
      </c>
      <c r="I198" s="540" t="s">
        <v>1102</v>
      </c>
      <c r="J198" s="485"/>
    </row>
    <row r="199" spans="1:10">
      <c r="A199" s="568">
        <f t="shared" si="2"/>
        <v>194</v>
      </c>
      <c r="B199" s="541">
        <v>41729</v>
      </c>
      <c r="C199" s="540" t="s">
        <v>1250</v>
      </c>
      <c r="D199" s="540" t="s">
        <v>13</v>
      </c>
      <c r="E199" s="540" t="s">
        <v>1253</v>
      </c>
      <c r="F199" s="539" t="s">
        <v>654</v>
      </c>
      <c r="G199" s="544">
        <v>-8.33</v>
      </c>
      <c r="H199" s="540">
        <v>856</v>
      </c>
      <c r="I199" s="540" t="s">
        <v>1102</v>
      </c>
      <c r="J199" s="485"/>
    </row>
    <row r="200" spans="1:10">
      <c r="A200" s="568">
        <f t="shared" ref="A200:A278" si="3">A199+1</f>
        <v>195</v>
      </c>
      <c r="B200" s="541">
        <v>41729</v>
      </c>
      <c r="C200" s="540" t="s">
        <v>1250</v>
      </c>
      <c r="D200" s="540" t="s">
        <v>13</v>
      </c>
      <c r="E200" s="540" t="s">
        <v>1089</v>
      </c>
      <c r="F200" s="539" t="s">
        <v>959</v>
      </c>
      <c r="G200" s="544">
        <v>-25</v>
      </c>
      <c r="H200" s="540">
        <v>856</v>
      </c>
      <c r="I200" s="540" t="s">
        <v>1102</v>
      </c>
      <c r="J200" s="485"/>
    </row>
    <row r="201" spans="1:10">
      <c r="A201" s="568">
        <f t="shared" si="3"/>
        <v>196</v>
      </c>
      <c r="B201" s="541">
        <v>41729</v>
      </c>
      <c r="C201" s="540" t="s">
        <v>1244</v>
      </c>
      <c r="D201" s="540" t="s">
        <v>13</v>
      </c>
      <c r="E201" s="540" t="s">
        <v>1254</v>
      </c>
      <c r="F201" s="539" t="s">
        <v>654</v>
      </c>
      <c r="G201" s="544">
        <v>-8.33</v>
      </c>
      <c r="H201" s="540">
        <v>856</v>
      </c>
      <c r="I201" s="540" t="s">
        <v>1102</v>
      </c>
      <c r="J201" s="485"/>
    </row>
    <row r="202" spans="1:10">
      <c r="A202" s="568">
        <f t="shared" si="3"/>
        <v>197</v>
      </c>
      <c r="B202" s="541">
        <v>41729</v>
      </c>
      <c r="C202" s="540" t="s">
        <v>1244</v>
      </c>
      <c r="D202" s="540" t="s">
        <v>13</v>
      </c>
      <c r="E202" s="540" t="s">
        <v>1090</v>
      </c>
      <c r="F202" s="539" t="s">
        <v>959</v>
      </c>
      <c r="G202" s="544">
        <v>-95</v>
      </c>
      <c r="H202" s="540">
        <v>856</v>
      </c>
      <c r="I202" s="540" t="s">
        <v>1102</v>
      </c>
      <c r="J202" s="485"/>
    </row>
    <row r="203" spans="1:10">
      <c r="A203" s="568">
        <f t="shared" si="3"/>
        <v>198</v>
      </c>
      <c r="B203" s="541">
        <v>41729</v>
      </c>
      <c r="C203" s="540" t="s">
        <v>1244</v>
      </c>
      <c r="D203" s="540" t="s">
        <v>13</v>
      </c>
      <c r="E203" s="540" t="s">
        <v>1273</v>
      </c>
      <c r="F203" s="539" t="s">
        <v>959</v>
      </c>
      <c r="G203" s="544">
        <v>-66.67</v>
      </c>
      <c r="H203" s="540">
        <v>856</v>
      </c>
      <c r="I203" s="540" t="s">
        <v>1102</v>
      </c>
      <c r="J203" s="485"/>
    </row>
    <row r="204" spans="1:10">
      <c r="A204" s="568">
        <f t="shared" si="3"/>
        <v>199</v>
      </c>
      <c r="B204" s="541">
        <v>41729</v>
      </c>
      <c r="C204" s="540" t="s">
        <v>1244</v>
      </c>
      <c r="D204" s="540" t="s">
        <v>13</v>
      </c>
      <c r="E204" s="540" t="s">
        <v>1273</v>
      </c>
      <c r="F204" s="539" t="s">
        <v>959</v>
      </c>
      <c r="G204" s="544">
        <v>-41.67</v>
      </c>
      <c r="H204" s="540">
        <v>856</v>
      </c>
      <c r="I204" s="540" t="s">
        <v>1102</v>
      </c>
      <c r="J204" s="485"/>
    </row>
    <row r="205" spans="1:10">
      <c r="A205" s="568">
        <f t="shared" si="3"/>
        <v>200</v>
      </c>
      <c r="B205" s="541">
        <v>41729</v>
      </c>
      <c r="C205" s="540" t="s">
        <v>1244</v>
      </c>
      <c r="D205" s="540" t="s">
        <v>13</v>
      </c>
      <c r="E205" s="540" t="s">
        <v>1091</v>
      </c>
      <c r="F205" s="539" t="s">
        <v>714</v>
      </c>
      <c r="G205" s="544">
        <v>-731.24</v>
      </c>
      <c r="H205" s="540">
        <v>856</v>
      </c>
      <c r="I205" s="540" t="s">
        <v>1102</v>
      </c>
      <c r="J205" s="485"/>
    </row>
    <row r="206" spans="1:10">
      <c r="A206" s="568">
        <f t="shared" si="3"/>
        <v>201</v>
      </c>
      <c r="B206" s="541">
        <v>41729</v>
      </c>
      <c r="C206" s="540" t="s">
        <v>1244</v>
      </c>
      <c r="D206" s="540" t="s">
        <v>13</v>
      </c>
      <c r="E206" s="540" t="s">
        <v>1092</v>
      </c>
      <c r="F206" s="539" t="s">
        <v>959</v>
      </c>
      <c r="G206" s="544">
        <v>-150</v>
      </c>
      <c r="H206" s="540">
        <v>856</v>
      </c>
      <c r="I206" s="540" t="s">
        <v>1102</v>
      </c>
      <c r="J206" s="485"/>
    </row>
    <row r="207" spans="1:10">
      <c r="A207" s="568">
        <f t="shared" si="3"/>
        <v>202</v>
      </c>
      <c r="B207" s="541">
        <v>41729</v>
      </c>
      <c r="C207" s="540" t="s">
        <v>1250</v>
      </c>
      <c r="D207" s="540" t="s">
        <v>13</v>
      </c>
      <c r="E207" s="540" t="s">
        <v>1092</v>
      </c>
      <c r="F207" s="539" t="s">
        <v>959</v>
      </c>
      <c r="G207" s="544">
        <v>-171.65</v>
      </c>
      <c r="H207" s="540">
        <v>856</v>
      </c>
      <c r="I207" s="540" t="s">
        <v>1102</v>
      </c>
      <c r="J207" s="485"/>
    </row>
    <row r="208" spans="1:10">
      <c r="A208" s="568">
        <f t="shared" si="3"/>
        <v>203</v>
      </c>
      <c r="B208" s="541">
        <v>41729</v>
      </c>
      <c r="C208" s="540" t="s">
        <v>1250</v>
      </c>
      <c r="D208" s="540" t="s">
        <v>13</v>
      </c>
      <c r="E208" s="540" t="s">
        <v>1092</v>
      </c>
      <c r="F208" s="539" t="s">
        <v>959</v>
      </c>
      <c r="G208" s="544">
        <v>-41.66</v>
      </c>
      <c r="H208" s="540">
        <v>856</v>
      </c>
      <c r="I208" s="540" t="s">
        <v>1102</v>
      </c>
      <c r="J208" s="485"/>
    </row>
    <row r="209" spans="1:11">
      <c r="A209" s="568">
        <f t="shared" si="3"/>
        <v>204</v>
      </c>
      <c r="B209" s="541">
        <v>41729</v>
      </c>
      <c r="C209" s="540" t="s">
        <v>1250</v>
      </c>
      <c r="D209" s="540" t="s">
        <v>13</v>
      </c>
      <c r="E209" s="540" t="s">
        <v>1092</v>
      </c>
      <c r="F209" s="539" t="s">
        <v>959</v>
      </c>
      <c r="G209" s="544">
        <v>-16.66</v>
      </c>
      <c r="H209" s="540">
        <v>856</v>
      </c>
      <c r="I209" s="540" t="s">
        <v>1102</v>
      </c>
      <c r="J209" s="485"/>
    </row>
    <row r="210" spans="1:11">
      <c r="A210" s="568">
        <f t="shared" si="3"/>
        <v>205</v>
      </c>
      <c r="B210" s="541">
        <v>41729</v>
      </c>
      <c r="C210" s="540" t="s">
        <v>1250</v>
      </c>
      <c r="D210" s="540" t="s">
        <v>13</v>
      </c>
      <c r="E210" s="540" t="s">
        <v>1092</v>
      </c>
      <c r="F210" s="539" t="s">
        <v>959</v>
      </c>
      <c r="G210" s="544">
        <v>-363.87</v>
      </c>
      <c r="H210" s="540">
        <v>856</v>
      </c>
      <c r="I210" s="540" t="s">
        <v>1102</v>
      </c>
      <c r="J210" s="485"/>
    </row>
    <row r="211" spans="1:11">
      <c r="A211" s="568">
        <f t="shared" si="3"/>
        <v>206</v>
      </c>
      <c r="B211" s="541">
        <v>41729</v>
      </c>
      <c r="C211" s="540" t="s">
        <v>1244</v>
      </c>
      <c r="D211" s="540" t="s">
        <v>13</v>
      </c>
      <c r="E211" s="540" t="s">
        <v>1126</v>
      </c>
      <c r="F211" s="539" t="s">
        <v>714</v>
      </c>
      <c r="G211" s="544">
        <v>-100</v>
      </c>
      <c r="H211" s="540">
        <v>856</v>
      </c>
      <c r="I211" s="540" t="s">
        <v>1102</v>
      </c>
      <c r="J211" s="485"/>
    </row>
    <row r="212" spans="1:11">
      <c r="A212" s="568">
        <f t="shared" si="3"/>
        <v>207</v>
      </c>
      <c r="B212" s="541">
        <v>41729</v>
      </c>
      <c r="C212" s="540" t="s">
        <v>1244</v>
      </c>
      <c r="D212" s="540" t="s">
        <v>13</v>
      </c>
      <c r="E212" s="540" t="s">
        <v>1255</v>
      </c>
      <c r="F212" s="539" t="s">
        <v>959</v>
      </c>
      <c r="G212" s="544">
        <v>-8.33</v>
      </c>
      <c r="H212" s="540">
        <v>856</v>
      </c>
      <c r="I212" s="540" t="s">
        <v>1102</v>
      </c>
      <c r="J212" s="485"/>
    </row>
    <row r="213" spans="1:11">
      <c r="A213" s="568">
        <f t="shared" si="3"/>
        <v>208</v>
      </c>
      <c r="B213" s="541">
        <v>41729</v>
      </c>
      <c r="C213" s="540" t="s">
        <v>1244</v>
      </c>
      <c r="D213" s="540" t="s">
        <v>13</v>
      </c>
      <c r="E213" s="540" t="s">
        <v>1093</v>
      </c>
      <c r="F213" s="539" t="s">
        <v>654</v>
      </c>
      <c r="G213" s="544">
        <v>-500</v>
      </c>
      <c r="H213" s="540">
        <v>856</v>
      </c>
      <c r="I213" s="540" t="s">
        <v>1102</v>
      </c>
      <c r="J213" s="485"/>
    </row>
    <row r="214" spans="1:11">
      <c r="A214" s="568">
        <f t="shared" si="3"/>
        <v>209</v>
      </c>
      <c r="B214" s="541">
        <v>41729</v>
      </c>
      <c r="C214" s="540" t="s">
        <v>1244</v>
      </c>
      <c r="D214" s="540" t="s">
        <v>13</v>
      </c>
      <c r="E214" s="540" t="s">
        <v>1094</v>
      </c>
      <c r="F214" s="539" t="s">
        <v>958</v>
      </c>
      <c r="G214" s="544">
        <v>-14.58</v>
      </c>
      <c r="H214" s="540">
        <v>856</v>
      </c>
      <c r="I214" s="540" t="s">
        <v>1102</v>
      </c>
      <c r="J214" s="485"/>
    </row>
    <row r="215" spans="1:11">
      <c r="A215" s="568">
        <f t="shared" si="3"/>
        <v>210</v>
      </c>
      <c r="B215" s="541">
        <v>41729</v>
      </c>
      <c r="C215" s="540" t="s">
        <v>1244</v>
      </c>
      <c r="D215" s="540" t="s">
        <v>13</v>
      </c>
      <c r="E215" s="540" t="s">
        <v>1095</v>
      </c>
      <c r="F215" s="539" t="s">
        <v>959</v>
      </c>
      <c r="G215" s="544">
        <v>-8.33</v>
      </c>
      <c r="H215" s="540">
        <v>856</v>
      </c>
      <c r="I215" s="540" t="s">
        <v>1102</v>
      </c>
      <c r="J215" s="485"/>
    </row>
    <row r="216" spans="1:11">
      <c r="A216" s="568">
        <f t="shared" si="3"/>
        <v>211</v>
      </c>
      <c r="B216" s="541">
        <v>41729</v>
      </c>
      <c r="C216" s="540" t="s">
        <v>1244</v>
      </c>
      <c r="D216" s="540" t="s">
        <v>13</v>
      </c>
      <c r="E216" s="540" t="s">
        <v>1256</v>
      </c>
      <c r="F216" s="539" t="s">
        <v>714</v>
      </c>
      <c r="G216" s="544">
        <v>-565.41</v>
      </c>
      <c r="H216" s="540">
        <v>856</v>
      </c>
      <c r="I216" s="540" t="s">
        <v>1102</v>
      </c>
      <c r="J216" s="485"/>
    </row>
    <row r="217" spans="1:11">
      <c r="A217" s="568">
        <f t="shared" si="3"/>
        <v>212</v>
      </c>
      <c r="B217" s="541">
        <v>41729</v>
      </c>
      <c r="C217" s="540" t="s">
        <v>1244</v>
      </c>
      <c r="D217" s="540" t="s">
        <v>13</v>
      </c>
      <c r="E217" s="540" t="s">
        <v>1096</v>
      </c>
      <c r="F217" s="539" t="s">
        <v>959</v>
      </c>
      <c r="G217" s="544">
        <v>-10.83</v>
      </c>
      <c r="H217" s="540">
        <v>856</v>
      </c>
      <c r="I217" s="540" t="s">
        <v>1102</v>
      </c>
      <c r="J217" s="485"/>
      <c r="K217" s="485"/>
    </row>
    <row r="218" spans="1:11">
      <c r="A218" s="568">
        <f t="shared" si="3"/>
        <v>213</v>
      </c>
      <c r="B218" s="541">
        <v>41729</v>
      </c>
      <c r="C218" s="540" t="s">
        <v>1244</v>
      </c>
      <c r="D218" s="540" t="s">
        <v>13</v>
      </c>
      <c r="E218" s="540" t="s">
        <v>1097</v>
      </c>
      <c r="F218" s="539" t="s">
        <v>714</v>
      </c>
      <c r="G218" s="544">
        <v>-757.35</v>
      </c>
      <c r="H218" s="540">
        <v>856</v>
      </c>
      <c r="I218" s="540" t="s">
        <v>1102</v>
      </c>
      <c r="J218" s="485"/>
    </row>
    <row r="219" spans="1:11">
      <c r="A219" s="568">
        <f t="shared" si="3"/>
        <v>214</v>
      </c>
      <c r="B219" s="541">
        <v>41729</v>
      </c>
      <c r="C219" s="540" t="s">
        <v>1250</v>
      </c>
      <c r="D219" s="540" t="s">
        <v>13</v>
      </c>
      <c r="E219" s="540" t="s">
        <v>1257</v>
      </c>
      <c r="F219" s="539" t="s">
        <v>959</v>
      </c>
      <c r="G219" s="544">
        <v>-8.33</v>
      </c>
      <c r="H219" s="540">
        <v>856</v>
      </c>
      <c r="I219" s="540" t="s">
        <v>1102</v>
      </c>
      <c r="J219" s="485"/>
    </row>
    <row r="220" spans="1:11">
      <c r="A220" s="568">
        <f t="shared" si="3"/>
        <v>215</v>
      </c>
      <c r="B220" s="541">
        <v>41729</v>
      </c>
      <c r="C220" s="540" t="s">
        <v>1244</v>
      </c>
      <c r="D220" s="540" t="s">
        <v>13</v>
      </c>
      <c r="E220" s="540" t="s">
        <v>1107</v>
      </c>
      <c r="F220" s="539" t="s">
        <v>958</v>
      </c>
      <c r="G220" s="544">
        <v>-1166</v>
      </c>
      <c r="H220" s="540">
        <v>856</v>
      </c>
      <c r="I220" s="540" t="s">
        <v>1102</v>
      </c>
      <c r="J220" s="485"/>
    </row>
    <row r="221" spans="1:11">
      <c r="A221" s="568">
        <f t="shared" si="3"/>
        <v>216</v>
      </c>
      <c r="B221" s="541">
        <v>41729</v>
      </c>
      <c r="C221" s="540" t="s">
        <v>1244</v>
      </c>
      <c r="D221" s="540" t="s">
        <v>13</v>
      </c>
      <c r="E221" s="540" t="s">
        <v>1124</v>
      </c>
      <c r="F221" s="539" t="s">
        <v>959</v>
      </c>
      <c r="G221" s="544">
        <v>-183.82333333333335</v>
      </c>
      <c r="H221" s="540">
        <v>856</v>
      </c>
      <c r="I221" s="540" t="s">
        <v>1102</v>
      </c>
      <c r="J221" s="485"/>
    </row>
    <row r="222" spans="1:11">
      <c r="A222" s="568">
        <f t="shared" si="3"/>
        <v>217</v>
      </c>
      <c r="B222" s="541">
        <v>41729</v>
      </c>
      <c r="C222" s="540" t="s">
        <v>1244</v>
      </c>
      <c r="D222" s="540" t="s">
        <v>13</v>
      </c>
      <c r="E222" s="540" t="s">
        <v>1112</v>
      </c>
      <c r="F222" s="539" t="s">
        <v>958</v>
      </c>
      <c r="G222" s="544">
        <v>-416.31</v>
      </c>
      <c r="H222" s="540">
        <v>856</v>
      </c>
      <c r="I222" s="540" t="s">
        <v>1102</v>
      </c>
    </row>
    <row r="223" spans="1:11">
      <c r="A223" s="568">
        <f t="shared" si="3"/>
        <v>218</v>
      </c>
      <c r="B223" s="541">
        <v>41729</v>
      </c>
      <c r="C223" s="540" t="s">
        <v>1244</v>
      </c>
      <c r="D223" s="540" t="s">
        <v>13</v>
      </c>
      <c r="E223" s="540" t="s">
        <v>1112</v>
      </c>
      <c r="F223" s="539" t="s">
        <v>958</v>
      </c>
      <c r="G223" s="544">
        <v>-612.85</v>
      </c>
      <c r="H223" s="540">
        <v>856</v>
      </c>
      <c r="I223" s="540" t="s">
        <v>1102</v>
      </c>
    </row>
    <row r="224" spans="1:11">
      <c r="A224" s="568">
        <f t="shared" si="3"/>
        <v>219</v>
      </c>
      <c r="B224" s="541">
        <v>41729</v>
      </c>
      <c r="C224" s="540" t="s">
        <v>1244</v>
      </c>
      <c r="D224" s="540" t="s">
        <v>13</v>
      </c>
      <c r="E224" s="540" t="s">
        <v>1258</v>
      </c>
      <c r="F224" s="539" t="s">
        <v>714</v>
      </c>
      <c r="G224" s="544">
        <v>-575</v>
      </c>
      <c r="H224" s="540" t="s">
        <v>790</v>
      </c>
      <c r="I224" s="540" t="s">
        <v>1108</v>
      </c>
      <c r="J224" s="605"/>
    </row>
    <row r="225" spans="1:10">
      <c r="A225" s="568">
        <f t="shared" si="3"/>
        <v>220</v>
      </c>
      <c r="B225" s="541">
        <v>41729</v>
      </c>
      <c r="C225" s="540" t="s">
        <v>1244</v>
      </c>
      <c r="D225" s="540" t="s">
        <v>13</v>
      </c>
      <c r="E225" s="540" t="s">
        <v>1259</v>
      </c>
      <c r="F225" s="539" t="s">
        <v>714</v>
      </c>
      <c r="G225" s="544">
        <v>-500</v>
      </c>
      <c r="H225" s="540" t="s">
        <v>790</v>
      </c>
      <c r="I225" s="540" t="s">
        <v>1108</v>
      </c>
      <c r="J225" s="605"/>
    </row>
    <row r="226" spans="1:10">
      <c r="A226" s="568">
        <f t="shared" si="3"/>
        <v>221</v>
      </c>
      <c r="B226" s="541">
        <v>41729</v>
      </c>
      <c r="C226" s="540" t="s">
        <v>1244</v>
      </c>
      <c r="D226" s="540" t="s">
        <v>13</v>
      </c>
      <c r="E226" s="540" t="s">
        <v>1260</v>
      </c>
      <c r="F226" s="539" t="s">
        <v>714</v>
      </c>
      <c r="G226" s="544">
        <v>-400</v>
      </c>
      <c r="H226" s="540" t="s">
        <v>790</v>
      </c>
      <c r="I226" s="540" t="s">
        <v>1108</v>
      </c>
      <c r="J226" s="605"/>
    </row>
    <row r="227" spans="1:10">
      <c r="A227" s="568">
        <f t="shared" si="3"/>
        <v>222</v>
      </c>
      <c r="B227" s="541">
        <v>41729</v>
      </c>
      <c r="C227" s="540" t="s">
        <v>1244</v>
      </c>
      <c r="D227" s="540" t="s">
        <v>13</v>
      </c>
      <c r="E227" s="540" t="s">
        <v>1261</v>
      </c>
      <c r="F227" s="539" t="s">
        <v>714</v>
      </c>
      <c r="G227" s="544">
        <v>-2800</v>
      </c>
      <c r="H227" s="540" t="s">
        <v>790</v>
      </c>
      <c r="I227" s="540" t="s">
        <v>1108</v>
      </c>
      <c r="J227" s="605"/>
    </row>
    <row r="228" spans="1:10">
      <c r="A228" s="568">
        <f t="shared" si="3"/>
        <v>223</v>
      </c>
      <c r="B228" s="541">
        <v>41729</v>
      </c>
      <c r="C228" s="540" t="s">
        <v>1244</v>
      </c>
      <c r="D228" s="540" t="s">
        <v>13</v>
      </c>
      <c r="E228" s="540" t="s">
        <v>1262</v>
      </c>
      <c r="F228" s="539" t="s">
        <v>654</v>
      </c>
      <c r="G228" s="544">
        <v>-1890</v>
      </c>
      <c r="H228" s="540" t="s">
        <v>790</v>
      </c>
      <c r="I228" s="540" t="s">
        <v>1108</v>
      </c>
      <c r="J228" s="605"/>
    </row>
    <row r="229" spans="1:10">
      <c r="A229" s="568">
        <f t="shared" si="3"/>
        <v>224</v>
      </c>
      <c r="B229" s="541">
        <v>41729</v>
      </c>
      <c r="C229" s="540" t="s">
        <v>1244</v>
      </c>
      <c r="D229" s="540" t="s">
        <v>13</v>
      </c>
      <c r="E229" s="540" t="s">
        <v>365</v>
      </c>
      <c r="F229" s="539" t="s">
        <v>714</v>
      </c>
      <c r="G229" s="544">
        <v>-2735.68</v>
      </c>
      <c r="H229" s="540" t="s">
        <v>790</v>
      </c>
      <c r="I229" s="540" t="s">
        <v>1108</v>
      </c>
      <c r="J229" s="605"/>
    </row>
    <row r="230" spans="1:10">
      <c r="A230" s="568">
        <f t="shared" si="3"/>
        <v>225</v>
      </c>
      <c r="B230" s="541">
        <v>41729</v>
      </c>
      <c r="C230" s="540" t="s">
        <v>1250</v>
      </c>
      <c r="D230" s="540" t="s">
        <v>13</v>
      </c>
      <c r="E230" s="540" t="s">
        <v>1263</v>
      </c>
      <c r="F230" s="539" t="s">
        <v>959</v>
      </c>
      <c r="G230" s="544">
        <v>-50</v>
      </c>
      <c r="H230" s="540" t="s">
        <v>790</v>
      </c>
      <c r="I230" s="540" t="s">
        <v>1108</v>
      </c>
      <c r="J230" s="605"/>
    </row>
    <row r="231" spans="1:10">
      <c r="A231" s="568">
        <f t="shared" si="3"/>
        <v>226</v>
      </c>
      <c r="B231" s="541">
        <v>41729</v>
      </c>
      <c r="C231" s="540" t="s">
        <v>1244</v>
      </c>
      <c r="D231" s="540" t="s">
        <v>954</v>
      </c>
      <c r="E231" s="540" t="s">
        <v>1141</v>
      </c>
      <c r="F231" s="539" t="s">
        <v>959</v>
      </c>
      <c r="G231" s="544">
        <v>-700</v>
      </c>
      <c r="H231" s="540" t="s">
        <v>1264</v>
      </c>
      <c r="I231" s="540" t="s">
        <v>1281</v>
      </c>
    </row>
    <row r="232" spans="1:10">
      <c r="A232" s="568">
        <f t="shared" si="3"/>
        <v>227</v>
      </c>
      <c r="B232" s="541">
        <v>41729</v>
      </c>
      <c r="C232" s="540" t="s">
        <v>1244</v>
      </c>
      <c r="D232" s="540" t="s">
        <v>954</v>
      </c>
      <c r="E232" s="540" t="s">
        <v>1142</v>
      </c>
      <c r="F232" s="539" t="s">
        <v>959</v>
      </c>
      <c r="G232" s="544">
        <v>-40</v>
      </c>
      <c r="H232" s="540" t="s">
        <v>956</v>
      </c>
      <c r="I232" s="540" t="s">
        <v>1281</v>
      </c>
    </row>
    <row r="233" spans="1:10">
      <c r="A233" s="568">
        <f t="shared" si="3"/>
        <v>228</v>
      </c>
      <c r="B233" s="541">
        <v>41729</v>
      </c>
      <c r="C233" s="540" t="s">
        <v>1244</v>
      </c>
      <c r="D233" s="540" t="s">
        <v>954</v>
      </c>
      <c r="E233" s="540" t="s">
        <v>1143</v>
      </c>
      <c r="F233" s="539" t="s">
        <v>959</v>
      </c>
      <c r="G233" s="544">
        <v>-350</v>
      </c>
      <c r="H233" s="540" t="s">
        <v>1021</v>
      </c>
      <c r="I233" s="540" t="s">
        <v>1281</v>
      </c>
      <c r="J233" s="606"/>
    </row>
    <row r="234" spans="1:10">
      <c r="A234" s="568">
        <f t="shared" si="3"/>
        <v>229</v>
      </c>
      <c r="B234" s="541">
        <v>41729</v>
      </c>
      <c r="C234" s="540" t="s">
        <v>1244</v>
      </c>
      <c r="D234" s="540" t="s">
        <v>954</v>
      </c>
      <c r="E234" s="540" t="s">
        <v>1114</v>
      </c>
      <c r="F234" s="539" t="s">
        <v>959</v>
      </c>
      <c r="G234" s="544">
        <v>-40</v>
      </c>
      <c r="H234" s="540" t="s">
        <v>792</v>
      </c>
      <c r="I234" s="540" t="s">
        <v>1281</v>
      </c>
      <c r="J234" s="606"/>
    </row>
    <row r="235" spans="1:10">
      <c r="A235" s="568">
        <f t="shared" si="3"/>
        <v>230</v>
      </c>
      <c r="B235" s="541">
        <v>41729</v>
      </c>
      <c r="C235" s="540" t="s">
        <v>712</v>
      </c>
      <c r="D235" s="540" t="s">
        <v>1059</v>
      </c>
      <c r="E235" s="540" t="s">
        <v>1266</v>
      </c>
      <c r="F235" s="539" t="s">
        <v>959</v>
      </c>
      <c r="G235" s="544">
        <v>-500</v>
      </c>
      <c r="H235" s="540" t="s">
        <v>920</v>
      </c>
      <c r="I235" s="540" t="s">
        <v>1267</v>
      </c>
    </row>
    <row r="236" spans="1:10">
      <c r="A236" s="568">
        <f t="shared" si="3"/>
        <v>231</v>
      </c>
      <c r="B236" s="541">
        <v>41729</v>
      </c>
      <c r="C236" s="540" t="s">
        <v>712</v>
      </c>
      <c r="D236" s="540" t="s">
        <v>1059</v>
      </c>
      <c r="E236" s="540" t="s">
        <v>1268</v>
      </c>
      <c r="F236" s="539" t="s">
        <v>959</v>
      </c>
      <c r="G236" s="544">
        <v>-500</v>
      </c>
      <c r="H236" s="540" t="s">
        <v>920</v>
      </c>
      <c r="I236" s="540" t="s">
        <v>1267</v>
      </c>
    </row>
    <row r="237" spans="1:10">
      <c r="A237" s="568">
        <f t="shared" si="3"/>
        <v>232</v>
      </c>
      <c r="B237" s="541">
        <v>41729</v>
      </c>
      <c r="C237" s="540" t="s">
        <v>1244</v>
      </c>
      <c r="D237" s="540" t="s">
        <v>1060</v>
      </c>
      <c r="E237" s="540" t="s">
        <v>1269</v>
      </c>
      <c r="F237" s="539" t="s">
        <v>714</v>
      </c>
      <c r="G237" s="544">
        <v>-1055</v>
      </c>
      <c r="H237" s="540" t="s">
        <v>1020</v>
      </c>
      <c r="I237" s="540" t="s">
        <v>1267</v>
      </c>
    </row>
    <row r="238" spans="1:10">
      <c r="A238" s="568">
        <f t="shared" si="3"/>
        <v>233</v>
      </c>
      <c r="B238" s="541">
        <v>41759</v>
      </c>
      <c r="C238" s="540">
        <v>454151</v>
      </c>
      <c r="D238" s="540" t="s">
        <v>794</v>
      </c>
      <c r="E238" s="540" t="s">
        <v>1282</v>
      </c>
      <c r="F238" s="539" t="s">
        <v>958</v>
      </c>
      <c r="G238" s="544">
        <v>500</v>
      </c>
      <c r="H238" s="540">
        <v>856</v>
      </c>
      <c r="I238" s="540" t="s">
        <v>1246</v>
      </c>
    </row>
    <row r="239" spans="1:10">
      <c r="A239" s="568">
        <f t="shared" si="3"/>
        <v>234</v>
      </c>
      <c r="B239" s="541">
        <v>41759</v>
      </c>
      <c r="C239" s="540">
        <v>454152</v>
      </c>
      <c r="D239" s="540" t="s">
        <v>794</v>
      </c>
      <c r="E239" s="540" t="s">
        <v>1283</v>
      </c>
      <c r="F239" s="539" t="s">
        <v>959</v>
      </c>
      <c r="G239" s="544">
        <v>-1800</v>
      </c>
      <c r="H239" s="540">
        <v>856</v>
      </c>
      <c r="I239" s="540" t="s">
        <v>1284</v>
      </c>
    </row>
    <row r="240" spans="1:10">
      <c r="A240" s="568">
        <f t="shared" si="3"/>
        <v>235</v>
      </c>
      <c r="B240" s="541">
        <v>41759</v>
      </c>
      <c r="C240" s="540" t="s">
        <v>1244</v>
      </c>
      <c r="D240" s="540" t="s">
        <v>794</v>
      </c>
      <c r="E240" s="540" t="s">
        <v>1129</v>
      </c>
      <c r="F240" s="539" t="s">
        <v>958</v>
      </c>
      <c r="G240" s="544">
        <v>-166.67</v>
      </c>
      <c r="H240" s="540">
        <v>856</v>
      </c>
      <c r="I240" s="540" t="s">
        <v>1284</v>
      </c>
    </row>
    <row r="241" spans="1:10">
      <c r="A241" s="568">
        <f t="shared" si="3"/>
        <v>236</v>
      </c>
      <c r="B241" s="541">
        <v>41759</v>
      </c>
      <c r="C241" s="540" t="s">
        <v>1244</v>
      </c>
      <c r="D241" s="540" t="s">
        <v>794</v>
      </c>
      <c r="E241" s="540" t="s">
        <v>1247</v>
      </c>
      <c r="F241" s="539" t="s">
        <v>654</v>
      </c>
      <c r="G241" s="544">
        <v>-2.09</v>
      </c>
      <c r="H241" s="540">
        <v>856</v>
      </c>
      <c r="I241" s="540" t="s">
        <v>1109</v>
      </c>
    </row>
    <row r="242" spans="1:10">
      <c r="A242" s="568">
        <f t="shared" si="3"/>
        <v>237</v>
      </c>
      <c r="B242" s="541">
        <v>41759</v>
      </c>
      <c r="C242" s="540" t="s">
        <v>1244</v>
      </c>
      <c r="D242" s="540" t="s">
        <v>794</v>
      </c>
      <c r="E242" s="540" t="s">
        <v>1245</v>
      </c>
      <c r="F242" s="539" t="s">
        <v>714</v>
      </c>
      <c r="G242" s="544">
        <v>-118.92</v>
      </c>
      <c r="H242" s="540">
        <v>856</v>
      </c>
      <c r="I242" s="540" t="s">
        <v>1109</v>
      </c>
    </row>
    <row r="243" spans="1:10">
      <c r="A243" s="568">
        <f t="shared" si="3"/>
        <v>238</v>
      </c>
      <c r="B243" s="541">
        <v>41759</v>
      </c>
      <c r="C243" s="540" t="s">
        <v>1244</v>
      </c>
      <c r="D243" s="540" t="s">
        <v>794</v>
      </c>
      <c r="E243" s="540" t="s">
        <v>1248</v>
      </c>
      <c r="F243" s="539" t="s">
        <v>714</v>
      </c>
      <c r="G243" s="544">
        <v>-684.91</v>
      </c>
      <c r="H243" s="540">
        <v>856</v>
      </c>
      <c r="I243" s="540" t="s">
        <v>1109</v>
      </c>
    </row>
    <row r="244" spans="1:10">
      <c r="A244" s="568">
        <f t="shared" si="3"/>
        <v>239</v>
      </c>
      <c r="B244" s="541">
        <v>41759</v>
      </c>
      <c r="C244" s="540" t="s">
        <v>1244</v>
      </c>
      <c r="D244" s="540" t="s">
        <v>794</v>
      </c>
      <c r="E244" s="540" t="s">
        <v>1248</v>
      </c>
      <c r="F244" s="539" t="s">
        <v>714</v>
      </c>
      <c r="G244" s="544">
        <v>-70.34</v>
      </c>
      <c r="H244" s="540">
        <v>856</v>
      </c>
      <c r="I244" s="540" t="s">
        <v>1109</v>
      </c>
      <c r="J244" s="605"/>
    </row>
    <row r="245" spans="1:10">
      <c r="A245" s="568">
        <f t="shared" si="3"/>
        <v>240</v>
      </c>
      <c r="B245" s="541">
        <v>41759</v>
      </c>
      <c r="C245" s="540" t="s">
        <v>1244</v>
      </c>
      <c r="D245" s="540" t="s">
        <v>794</v>
      </c>
      <c r="E245" s="540" t="s">
        <v>1128</v>
      </c>
      <c r="F245" s="539" t="s">
        <v>959</v>
      </c>
      <c r="G245" s="544">
        <v>-8.34</v>
      </c>
      <c r="H245" s="540">
        <v>856</v>
      </c>
      <c r="I245" s="540" t="s">
        <v>1109</v>
      </c>
    </row>
    <row r="246" spans="1:10">
      <c r="A246" s="568">
        <f t="shared" si="3"/>
        <v>241</v>
      </c>
      <c r="B246" s="541">
        <v>41759</v>
      </c>
      <c r="C246" s="540" t="s">
        <v>1244</v>
      </c>
      <c r="D246" s="540" t="s">
        <v>794</v>
      </c>
      <c r="E246" s="540" t="s">
        <v>1249</v>
      </c>
      <c r="F246" s="539" t="s">
        <v>714</v>
      </c>
      <c r="G246" s="544">
        <v>-147.94999999999999</v>
      </c>
      <c r="H246" s="540">
        <v>856</v>
      </c>
      <c r="I246" s="540" t="s">
        <v>1109</v>
      </c>
    </row>
    <row r="247" spans="1:10">
      <c r="A247" s="568">
        <f t="shared" si="3"/>
        <v>242</v>
      </c>
      <c r="B247" s="541">
        <v>41759</v>
      </c>
      <c r="C247" s="540" t="s">
        <v>1244</v>
      </c>
      <c r="D247" s="540" t="s">
        <v>794</v>
      </c>
      <c r="E247" s="540" t="s">
        <v>1082</v>
      </c>
      <c r="F247" s="539" t="s">
        <v>959</v>
      </c>
      <c r="G247" s="544">
        <v>-8.33</v>
      </c>
      <c r="H247" s="540">
        <v>856</v>
      </c>
      <c r="I247" s="540" t="s">
        <v>1109</v>
      </c>
    </row>
    <row r="248" spans="1:10">
      <c r="A248" s="568">
        <f t="shared" si="3"/>
        <v>243</v>
      </c>
      <c r="B248" s="541">
        <v>41759</v>
      </c>
      <c r="C248" s="540" t="s">
        <v>1250</v>
      </c>
      <c r="D248" s="540" t="s">
        <v>794</v>
      </c>
      <c r="E248" s="540" t="s">
        <v>1103</v>
      </c>
      <c r="F248" s="539" t="s">
        <v>959</v>
      </c>
      <c r="G248" s="544">
        <v>-8.33</v>
      </c>
      <c r="H248" s="540">
        <v>856</v>
      </c>
      <c r="I248" s="540" t="s">
        <v>1109</v>
      </c>
    </row>
    <row r="249" spans="1:10">
      <c r="A249" s="568">
        <f t="shared" si="3"/>
        <v>244</v>
      </c>
      <c r="B249" s="541">
        <v>41759</v>
      </c>
      <c r="C249" s="540" t="s">
        <v>1250</v>
      </c>
      <c r="D249" s="540" t="s">
        <v>794</v>
      </c>
      <c r="E249" s="540" t="s">
        <v>1084</v>
      </c>
      <c r="F249" s="539" t="s">
        <v>959</v>
      </c>
      <c r="G249" s="544">
        <v>-8.34</v>
      </c>
      <c r="H249" s="540">
        <v>856</v>
      </c>
      <c r="I249" s="540" t="s">
        <v>1109</v>
      </c>
      <c r="J249" s="607"/>
    </row>
    <row r="250" spans="1:10">
      <c r="A250" s="568">
        <f t="shared" si="3"/>
        <v>245</v>
      </c>
      <c r="B250" s="541">
        <v>41759</v>
      </c>
      <c r="C250" s="540" t="s">
        <v>1250</v>
      </c>
      <c r="D250" s="540" t="s">
        <v>794</v>
      </c>
      <c r="E250" s="540" t="s">
        <v>1116</v>
      </c>
      <c r="F250" s="539" t="s">
        <v>959</v>
      </c>
      <c r="G250" s="544">
        <v>-20.84</v>
      </c>
      <c r="H250" s="540">
        <v>856</v>
      </c>
      <c r="I250" s="540" t="s">
        <v>1109</v>
      </c>
    </row>
    <row r="251" spans="1:10">
      <c r="A251" s="568">
        <f t="shared" si="3"/>
        <v>246</v>
      </c>
      <c r="B251" s="541">
        <v>41759</v>
      </c>
      <c r="C251" s="540" t="s">
        <v>1244</v>
      </c>
      <c r="D251" s="540" t="s">
        <v>794</v>
      </c>
      <c r="E251" s="540" t="s">
        <v>1117</v>
      </c>
      <c r="F251" s="539" t="s">
        <v>654</v>
      </c>
      <c r="G251" s="544">
        <v>-41.67</v>
      </c>
      <c r="H251" s="540">
        <v>856</v>
      </c>
      <c r="I251" s="540" t="s">
        <v>1109</v>
      </c>
    </row>
    <row r="252" spans="1:10">
      <c r="A252" s="568">
        <f t="shared" si="3"/>
        <v>247</v>
      </c>
      <c r="B252" s="541">
        <v>41759</v>
      </c>
      <c r="C252" s="540" t="s">
        <v>1250</v>
      </c>
      <c r="D252" s="540" t="s">
        <v>794</v>
      </c>
      <c r="E252" s="540" t="s">
        <v>1118</v>
      </c>
      <c r="F252" s="539" t="s">
        <v>959</v>
      </c>
      <c r="G252" s="544">
        <v>-45</v>
      </c>
      <c r="H252" s="540">
        <v>856</v>
      </c>
      <c r="I252" s="540" t="s">
        <v>1109</v>
      </c>
    </row>
    <row r="253" spans="1:10">
      <c r="A253" s="568">
        <f t="shared" si="3"/>
        <v>248</v>
      </c>
      <c r="B253" s="541">
        <v>41759</v>
      </c>
      <c r="C253" s="540" t="s">
        <v>1250</v>
      </c>
      <c r="D253" s="540" t="s">
        <v>794</v>
      </c>
      <c r="E253" s="540" t="s">
        <v>1118</v>
      </c>
      <c r="F253" s="539" t="s">
        <v>959</v>
      </c>
      <c r="G253" s="544">
        <v>-11.25</v>
      </c>
      <c r="H253" s="540">
        <v>856</v>
      </c>
      <c r="I253" s="540" t="s">
        <v>1109</v>
      </c>
    </row>
    <row r="254" spans="1:10">
      <c r="A254" s="568">
        <f t="shared" si="3"/>
        <v>249</v>
      </c>
      <c r="B254" s="541">
        <v>41759</v>
      </c>
      <c r="C254" s="540" t="s">
        <v>1250</v>
      </c>
      <c r="D254" s="540" t="s">
        <v>794</v>
      </c>
      <c r="E254" s="540" t="s">
        <v>1118</v>
      </c>
      <c r="F254" s="539" t="s">
        <v>959</v>
      </c>
      <c r="G254" s="544">
        <v>-29.17</v>
      </c>
      <c r="H254" s="540">
        <v>856</v>
      </c>
      <c r="I254" s="540" t="s">
        <v>1109</v>
      </c>
    </row>
    <row r="255" spans="1:10">
      <c r="A255" s="568">
        <f t="shared" si="3"/>
        <v>250</v>
      </c>
      <c r="B255" s="541">
        <v>41759</v>
      </c>
      <c r="C255" s="540" t="s">
        <v>1244</v>
      </c>
      <c r="D255" s="540" t="s">
        <v>794</v>
      </c>
      <c r="E255" s="540" t="s">
        <v>1085</v>
      </c>
      <c r="F255" s="539" t="s">
        <v>654</v>
      </c>
      <c r="G255" s="544">
        <v>-8.34</v>
      </c>
      <c r="H255" s="540">
        <v>856</v>
      </c>
      <c r="I255" s="540" t="s">
        <v>1109</v>
      </c>
    </row>
    <row r="256" spans="1:10">
      <c r="A256" s="568">
        <f t="shared" si="3"/>
        <v>251</v>
      </c>
      <c r="B256" s="541">
        <v>41759</v>
      </c>
      <c r="C256" s="540" t="s">
        <v>1244</v>
      </c>
      <c r="D256" s="540" t="s">
        <v>794</v>
      </c>
      <c r="E256" s="540" t="s">
        <v>1110</v>
      </c>
      <c r="F256" s="539" t="s">
        <v>959</v>
      </c>
      <c r="G256" s="544">
        <v>-1.95</v>
      </c>
      <c r="H256" s="540">
        <v>856</v>
      </c>
      <c r="I256" s="540" t="s">
        <v>1109</v>
      </c>
    </row>
    <row r="257" spans="1:10">
      <c r="A257" s="568">
        <f t="shared" si="3"/>
        <v>252</v>
      </c>
      <c r="B257" s="541">
        <v>41759</v>
      </c>
      <c r="C257" s="540" t="s">
        <v>1244</v>
      </c>
      <c r="D257" s="540" t="s">
        <v>794</v>
      </c>
      <c r="E257" s="540" t="s">
        <v>1110</v>
      </c>
      <c r="F257" s="539" t="s">
        <v>959</v>
      </c>
      <c r="G257" s="544">
        <v>-2.19</v>
      </c>
      <c r="H257" s="540">
        <v>856</v>
      </c>
      <c r="I257" s="540" t="s">
        <v>1109</v>
      </c>
    </row>
    <row r="258" spans="1:10">
      <c r="A258" s="568">
        <f t="shared" si="3"/>
        <v>253</v>
      </c>
      <c r="B258" s="541">
        <v>41759</v>
      </c>
      <c r="C258" s="540" t="s">
        <v>1244</v>
      </c>
      <c r="D258" s="540" t="s">
        <v>794</v>
      </c>
      <c r="E258" s="540" t="s">
        <v>1285</v>
      </c>
      <c r="F258" s="539" t="s">
        <v>959</v>
      </c>
      <c r="G258" s="544">
        <v>-41.67</v>
      </c>
      <c r="H258" s="540">
        <v>856</v>
      </c>
      <c r="I258" s="540" t="s">
        <v>1109</v>
      </c>
    </row>
    <row r="259" spans="1:10">
      <c r="A259" s="568">
        <f t="shared" si="3"/>
        <v>254</v>
      </c>
      <c r="B259" s="541">
        <v>41759</v>
      </c>
      <c r="C259" s="540" t="s">
        <v>1244</v>
      </c>
      <c r="D259" s="540" t="s">
        <v>794</v>
      </c>
      <c r="E259" s="540" t="s">
        <v>1135</v>
      </c>
      <c r="F259" s="539" t="s">
        <v>958</v>
      </c>
      <c r="G259" s="544">
        <v>-29.17</v>
      </c>
      <c r="H259" s="540">
        <v>856</v>
      </c>
      <c r="I259" s="540" t="s">
        <v>1109</v>
      </c>
    </row>
    <row r="260" spans="1:10">
      <c r="A260" s="568">
        <f t="shared" si="3"/>
        <v>255</v>
      </c>
      <c r="B260" s="541">
        <v>41759</v>
      </c>
      <c r="C260" s="540" t="s">
        <v>1250</v>
      </c>
      <c r="D260" s="540" t="s">
        <v>794</v>
      </c>
      <c r="E260" s="540" t="s">
        <v>1105</v>
      </c>
      <c r="F260" s="539" t="s">
        <v>959</v>
      </c>
      <c r="G260" s="544">
        <v>-8.33</v>
      </c>
      <c r="H260" s="540">
        <v>856</v>
      </c>
      <c r="I260" s="540" t="s">
        <v>1109</v>
      </c>
    </row>
    <row r="261" spans="1:10">
      <c r="A261" s="568">
        <f t="shared" si="3"/>
        <v>256</v>
      </c>
      <c r="B261" s="541">
        <v>41759</v>
      </c>
      <c r="C261" s="540" t="s">
        <v>1250</v>
      </c>
      <c r="D261" s="540" t="s">
        <v>794</v>
      </c>
      <c r="E261" s="540" t="s">
        <v>1105</v>
      </c>
      <c r="F261" s="539" t="s">
        <v>959</v>
      </c>
      <c r="G261" s="544">
        <v>-14.58</v>
      </c>
      <c r="H261" s="540">
        <v>856</v>
      </c>
      <c r="I261" s="540" t="s">
        <v>1109</v>
      </c>
    </row>
    <row r="262" spans="1:10">
      <c r="A262" s="568">
        <f t="shared" si="3"/>
        <v>257</v>
      </c>
      <c r="B262" s="541">
        <v>41759</v>
      </c>
      <c r="C262" s="540" t="s">
        <v>1244</v>
      </c>
      <c r="D262" s="540" t="s">
        <v>794</v>
      </c>
      <c r="E262" s="540" t="s">
        <v>1251</v>
      </c>
      <c r="F262" s="539" t="s">
        <v>714</v>
      </c>
      <c r="G262" s="544">
        <v>-179.17</v>
      </c>
      <c r="H262" s="540">
        <v>856</v>
      </c>
      <c r="I262" s="540" t="s">
        <v>1109</v>
      </c>
    </row>
    <row r="263" spans="1:10">
      <c r="A263" s="568">
        <f t="shared" si="3"/>
        <v>258</v>
      </c>
      <c r="B263" s="541">
        <v>41759</v>
      </c>
      <c r="C263" s="540" t="s">
        <v>1244</v>
      </c>
      <c r="D263" s="540" t="s">
        <v>794</v>
      </c>
      <c r="E263" s="540" t="s">
        <v>1106</v>
      </c>
      <c r="F263" s="539" t="s">
        <v>654</v>
      </c>
      <c r="G263" s="544">
        <v>-4.17</v>
      </c>
      <c r="H263" s="540">
        <v>856</v>
      </c>
      <c r="I263" s="540" t="s">
        <v>1109</v>
      </c>
    </row>
    <row r="264" spans="1:10">
      <c r="A264" s="568">
        <f t="shared" si="3"/>
        <v>259</v>
      </c>
      <c r="B264" s="541">
        <v>41759</v>
      </c>
      <c r="C264" s="540" t="s">
        <v>1244</v>
      </c>
      <c r="D264" s="540" t="s">
        <v>794</v>
      </c>
      <c r="E264" s="540" t="s">
        <v>1122</v>
      </c>
      <c r="F264" s="539" t="s">
        <v>714</v>
      </c>
      <c r="G264" s="544">
        <v>-8.34</v>
      </c>
      <c r="H264" s="540">
        <v>856</v>
      </c>
      <c r="I264" s="540" t="s">
        <v>1109</v>
      </c>
    </row>
    <row r="265" spans="1:10">
      <c r="A265" s="568">
        <f t="shared" si="3"/>
        <v>260</v>
      </c>
      <c r="B265" s="541">
        <v>41759</v>
      </c>
      <c r="C265" s="540" t="s">
        <v>1244</v>
      </c>
      <c r="D265" s="540" t="s">
        <v>794</v>
      </c>
      <c r="E265" s="540" t="s">
        <v>1086</v>
      </c>
      <c r="F265" s="539" t="s">
        <v>959</v>
      </c>
      <c r="G265" s="544">
        <v>-8.33</v>
      </c>
      <c r="H265" s="540">
        <v>856</v>
      </c>
      <c r="I265" s="540" t="s">
        <v>1109</v>
      </c>
    </row>
    <row r="266" spans="1:10">
      <c r="A266" s="568">
        <f t="shared" si="3"/>
        <v>261</v>
      </c>
      <c r="B266" s="541">
        <v>41759</v>
      </c>
      <c r="C266" s="540" t="s">
        <v>1250</v>
      </c>
      <c r="D266" s="540" t="s">
        <v>794</v>
      </c>
      <c r="E266" s="540" t="s">
        <v>1111</v>
      </c>
      <c r="F266" s="539" t="s">
        <v>959</v>
      </c>
      <c r="G266" s="544">
        <v>-41.67</v>
      </c>
      <c r="H266" s="540">
        <v>856</v>
      </c>
      <c r="I266" s="540" t="s">
        <v>1109</v>
      </c>
    </row>
    <row r="267" spans="1:10">
      <c r="A267" s="568">
        <f t="shared" si="3"/>
        <v>262</v>
      </c>
      <c r="B267" s="541">
        <v>41759</v>
      </c>
      <c r="C267" s="540" t="s">
        <v>1244</v>
      </c>
      <c r="D267" s="540" t="s">
        <v>794</v>
      </c>
      <c r="E267" s="540" t="s">
        <v>1132</v>
      </c>
      <c r="F267" s="539" t="s">
        <v>959</v>
      </c>
      <c r="G267" s="544">
        <v>-8.34</v>
      </c>
      <c r="H267" s="540">
        <v>856</v>
      </c>
      <c r="I267" s="540" t="s">
        <v>1109</v>
      </c>
    </row>
    <row r="268" spans="1:10">
      <c r="A268" s="568">
        <f t="shared" si="3"/>
        <v>263</v>
      </c>
      <c r="B268" s="541">
        <v>41759</v>
      </c>
      <c r="C268" s="540" t="s">
        <v>1244</v>
      </c>
      <c r="D268" s="540" t="s">
        <v>794</v>
      </c>
      <c r="E268" s="540" t="s">
        <v>1252</v>
      </c>
      <c r="F268" s="539" t="s">
        <v>714</v>
      </c>
      <c r="G268" s="544">
        <v>-113.96</v>
      </c>
      <c r="H268" s="540">
        <v>856</v>
      </c>
      <c r="I268" s="540" t="s">
        <v>1109</v>
      </c>
      <c r="J268" s="607"/>
    </row>
    <row r="269" spans="1:10">
      <c r="A269" s="568">
        <f t="shared" si="3"/>
        <v>264</v>
      </c>
      <c r="B269" s="541">
        <v>41759</v>
      </c>
      <c r="C269" s="540" t="s">
        <v>1244</v>
      </c>
      <c r="D269" s="540" t="s">
        <v>794</v>
      </c>
      <c r="E269" s="540" t="s">
        <v>1252</v>
      </c>
      <c r="F269" s="539" t="s">
        <v>714</v>
      </c>
      <c r="G269" s="544">
        <v>-142.79</v>
      </c>
      <c r="H269" s="540">
        <v>856</v>
      </c>
      <c r="I269" s="540" t="s">
        <v>1109</v>
      </c>
      <c r="J269" s="607"/>
    </row>
    <row r="270" spans="1:10">
      <c r="A270" s="568">
        <f t="shared" si="3"/>
        <v>265</v>
      </c>
      <c r="B270" s="541">
        <v>41759</v>
      </c>
      <c r="C270" s="540" t="s">
        <v>1244</v>
      </c>
      <c r="D270" s="540" t="s">
        <v>794</v>
      </c>
      <c r="E270" s="540" t="s">
        <v>1252</v>
      </c>
      <c r="F270" s="539" t="s">
        <v>714</v>
      </c>
      <c r="G270" s="544">
        <v>-142.79</v>
      </c>
      <c r="H270" s="540">
        <v>856</v>
      </c>
      <c r="I270" s="540" t="s">
        <v>1109</v>
      </c>
      <c r="J270" s="607"/>
    </row>
    <row r="271" spans="1:10">
      <c r="A271" s="568">
        <f t="shared" si="3"/>
        <v>266</v>
      </c>
      <c r="B271" s="541">
        <v>41759</v>
      </c>
      <c r="C271" s="540" t="s">
        <v>1244</v>
      </c>
      <c r="D271" s="540" t="s">
        <v>794</v>
      </c>
      <c r="E271" s="540" t="s">
        <v>1252</v>
      </c>
      <c r="F271" s="539" t="s">
        <v>714</v>
      </c>
      <c r="G271" s="544">
        <v>-141.28</v>
      </c>
      <c r="H271" s="540">
        <v>856</v>
      </c>
      <c r="I271" s="540" t="s">
        <v>1109</v>
      </c>
    </row>
    <row r="272" spans="1:10">
      <c r="A272" s="568">
        <f t="shared" si="3"/>
        <v>267</v>
      </c>
      <c r="B272" s="541">
        <v>41759</v>
      </c>
      <c r="C272" s="540" t="s">
        <v>1244</v>
      </c>
      <c r="D272" s="540" t="s">
        <v>794</v>
      </c>
      <c r="E272" s="540" t="s">
        <v>1252</v>
      </c>
      <c r="F272" s="539" t="s">
        <v>714</v>
      </c>
      <c r="G272" s="544">
        <v>-122.2</v>
      </c>
      <c r="H272" s="540">
        <v>856</v>
      </c>
      <c r="I272" s="540" t="s">
        <v>1109</v>
      </c>
      <c r="J272" s="605"/>
    </row>
    <row r="273" spans="1:10">
      <c r="A273" s="568">
        <f t="shared" si="3"/>
        <v>268</v>
      </c>
      <c r="B273" s="541">
        <v>41759</v>
      </c>
      <c r="C273" s="540" t="s">
        <v>1244</v>
      </c>
      <c r="D273" s="540" t="s">
        <v>794</v>
      </c>
      <c r="E273" s="540" t="s">
        <v>1252</v>
      </c>
      <c r="F273" s="539" t="s">
        <v>714</v>
      </c>
      <c r="G273" s="544">
        <v>-141.28</v>
      </c>
      <c r="H273" s="540">
        <v>856</v>
      </c>
      <c r="I273" s="540" t="s">
        <v>1109</v>
      </c>
    </row>
    <row r="274" spans="1:10">
      <c r="A274" s="568">
        <f t="shared" si="3"/>
        <v>269</v>
      </c>
      <c r="B274" s="541">
        <v>41759</v>
      </c>
      <c r="C274" s="540" t="s">
        <v>1244</v>
      </c>
      <c r="D274" s="540" t="s">
        <v>794</v>
      </c>
      <c r="E274" s="540" t="s">
        <v>1252</v>
      </c>
      <c r="F274" s="539" t="s">
        <v>714</v>
      </c>
      <c r="G274" s="544">
        <v>-87.65</v>
      </c>
      <c r="H274" s="540">
        <v>856</v>
      </c>
      <c r="I274" s="540" t="s">
        <v>1109</v>
      </c>
    </row>
    <row r="275" spans="1:10">
      <c r="A275" s="568">
        <f t="shared" si="3"/>
        <v>270</v>
      </c>
      <c r="B275" s="541">
        <v>41759</v>
      </c>
      <c r="C275" s="540" t="s">
        <v>1244</v>
      </c>
      <c r="D275" s="540" t="s">
        <v>794</v>
      </c>
      <c r="E275" s="540" t="s">
        <v>1119</v>
      </c>
      <c r="F275" s="539" t="s">
        <v>654</v>
      </c>
      <c r="G275" s="544">
        <v>-54.16</v>
      </c>
      <c r="H275" s="540">
        <v>856</v>
      </c>
      <c r="I275" s="540" t="s">
        <v>1109</v>
      </c>
    </row>
    <row r="276" spans="1:10">
      <c r="A276" s="568">
        <f t="shared" si="3"/>
        <v>271</v>
      </c>
      <c r="B276" s="541">
        <v>41759</v>
      </c>
      <c r="C276" s="540" t="s">
        <v>1250</v>
      </c>
      <c r="D276" s="540" t="s">
        <v>794</v>
      </c>
      <c r="E276" s="540" t="s">
        <v>1087</v>
      </c>
      <c r="F276" s="539" t="s">
        <v>714</v>
      </c>
      <c r="G276" s="544">
        <v>-693.7</v>
      </c>
      <c r="H276" s="540">
        <v>856</v>
      </c>
      <c r="I276" s="540" t="s">
        <v>1109</v>
      </c>
    </row>
    <row r="277" spans="1:10">
      <c r="A277" s="568">
        <f t="shared" si="3"/>
        <v>272</v>
      </c>
      <c r="B277" s="541">
        <v>41759</v>
      </c>
      <c r="C277" s="540" t="s">
        <v>1250</v>
      </c>
      <c r="D277" s="540" t="s">
        <v>794</v>
      </c>
      <c r="E277" s="540" t="s">
        <v>1123</v>
      </c>
      <c r="F277" s="539" t="s">
        <v>654</v>
      </c>
      <c r="G277" s="544">
        <v>-8.34</v>
      </c>
      <c r="H277" s="540">
        <v>856</v>
      </c>
      <c r="I277" s="540" t="s">
        <v>1109</v>
      </c>
      <c r="J277" s="485"/>
    </row>
    <row r="278" spans="1:10">
      <c r="A278" s="568">
        <f t="shared" si="3"/>
        <v>273</v>
      </c>
      <c r="B278" s="541">
        <v>41759</v>
      </c>
      <c r="C278" s="540" t="s">
        <v>1244</v>
      </c>
      <c r="D278" s="540" t="s">
        <v>794</v>
      </c>
      <c r="E278" s="540" t="s">
        <v>1088</v>
      </c>
      <c r="F278" s="539" t="s">
        <v>654</v>
      </c>
      <c r="G278" s="544">
        <v>-25</v>
      </c>
      <c r="H278" s="540">
        <v>856</v>
      </c>
      <c r="I278" s="540" t="s">
        <v>1109</v>
      </c>
    </row>
    <row r="279" spans="1:10">
      <c r="A279" s="568">
        <f t="shared" ref="A279:A342" si="4">A278+1</f>
        <v>274</v>
      </c>
      <c r="B279" s="541">
        <v>41759</v>
      </c>
      <c r="C279" s="540" t="s">
        <v>1250</v>
      </c>
      <c r="D279" s="540" t="s">
        <v>794</v>
      </c>
      <c r="E279" s="540" t="s">
        <v>1253</v>
      </c>
      <c r="F279" s="539" t="s">
        <v>654</v>
      </c>
      <c r="G279" s="544">
        <v>-8.33</v>
      </c>
      <c r="H279" s="540">
        <v>856</v>
      </c>
      <c r="I279" s="540" t="s">
        <v>1109</v>
      </c>
    </row>
    <row r="280" spans="1:10">
      <c r="A280" s="568">
        <f t="shared" si="4"/>
        <v>275</v>
      </c>
      <c r="B280" s="541">
        <v>41759</v>
      </c>
      <c r="C280" s="540" t="s">
        <v>1250</v>
      </c>
      <c r="D280" s="540" t="s">
        <v>794</v>
      </c>
      <c r="E280" s="540" t="s">
        <v>1089</v>
      </c>
      <c r="F280" s="539" t="s">
        <v>959</v>
      </c>
      <c r="G280" s="544">
        <v>-25</v>
      </c>
      <c r="H280" s="540">
        <v>856</v>
      </c>
      <c r="I280" s="540" t="s">
        <v>1109</v>
      </c>
    </row>
    <row r="281" spans="1:10">
      <c r="A281" s="568">
        <f t="shared" si="4"/>
        <v>276</v>
      </c>
      <c r="B281" s="541">
        <v>41759</v>
      </c>
      <c r="C281" s="540" t="s">
        <v>1244</v>
      </c>
      <c r="D281" s="540" t="s">
        <v>794</v>
      </c>
      <c r="E281" s="540" t="s">
        <v>1254</v>
      </c>
      <c r="F281" s="539" t="s">
        <v>654</v>
      </c>
      <c r="G281" s="544">
        <v>-8.33</v>
      </c>
      <c r="H281" s="540">
        <v>856</v>
      </c>
      <c r="I281" s="540" t="s">
        <v>1109</v>
      </c>
    </row>
    <row r="282" spans="1:10">
      <c r="A282" s="568">
        <f t="shared" si="4"/>
        <v>277</v>
      </c>
      <c r="B282" s="541">
        <v>41759</v>
      </c>
      <c r="C282" s="540" t="s">
        <v>1244</v>
      </c>
      <c r="D282" s="540" t="s">
        <v>794</v>
      </c>
      <c r="E282" s="540" t="s">
        <v>1090</v>
      </c>
      <c r="F282" s="539" t="s">
        <v>959</v>
      </c>
      <c r="G282" s="544">
        <v>-95</v>
      </c>
      <c r="H282" s="540">
        <v>856</v>
      </c>
      <c r="I282" s="540" t="s">
        <v>1109</v>
      </c>
    </row>
    <row r="283" spans="1:10">
      <c r="A283" s="568">
        <f t="shared" si="4"/>
        <v>278</v>
      </c>
      <c r="B283" s="541">
        <v>41759</v>
      </c>
      <c r="C283" s="540" t="s">
        <v>1244</v>
      </c>
      <c r="D283" s="540" t="s">
        <v>794</v>
      </c>
      <c r="E283" s="540" t="s">
        <v>1273</v>
      </c>
      <c r="F283" s="539" t="s">
        <v>959</v>
      </c>
      <c r="G283" s="544">
        <v>-66.67</v>
      </c>
      <c r="H283" s="540">
        <v>856</v>
      </c>
      <c r="I283" s="540" t="s">
        <v>1109</v>
      </c>
    </row>
    <row r="284" spans="1:10">
      <c r="A284" s="568">
        <f t="shared" si="4"/>
        <v>279</v>
      </c>
      <c r="B284" s="541">
        <v>41759</v>
      </c>
      <c r="C284" s="540" t="s">
        <v>1244</v>
      </c>
      <c r="D284" s="540" t="s">
        <v>794</v>
      </c>
      <c r="E284" s="540" t="s">
        <v>1273</v>
      </c>
      <c r="F284" s="539" t="s">
        <v>959</v>
      </c>
      <c r="G284" s="544">
        <v>-41.67</v>
      </c>
      <c r="H284" s="540">
        <v>856</v>
      </c>
      <c r="I284" s="540" t="s">
        <v>1109</v>
      </c>
    </row>
    <row r="285" spans="1:10">
      <c r="A285" s="568">
        <f t="shared" si="4"/>
        <v>280</v>
      </c>
      <c r="B285" s="541">
        <v>41759</v>
      </c>
      <c r="C285" s="540" t="s">
        <v>1244</v>
      </c>
      <c r="D285" s="540" t="s">
        <v>794</v>
      </c>
      <c r="E285" s="540" t="s">
        <v>1091</v>
      </c>
      <c r="F285" s="539" t="s">
        <v>714</v>
      </c>
      <c r="G285" s="544">
        <v>-109.69</v>
      </c>
      <c r="H285" s="540">
        <v>856</v>
      </c>
      <c r="I285" s="540" t="s">
        <v>1109</v>
      </c>
    </row>
    <row r="286" spans="1:10">
      <c r="A286" s="568">
        <f t="shared" si="4"/>
        <v>281</v>
      </c>
      <c r="B286" s="541">
        <v>41759</v>
      </c>
      <c r="C286" s="540" t="s">
        <v>1244</v>
      </c>
      <c r="D286" s="540" t="s">
        <v>794</v>
      </c>
      <c r="E286" s="540" t="s">
        <v>1092</v>
      </c>
      <c r="F286" s="539" t="s">
        <v>959</v>
      </c>
      <c r="G286" s="544">
        <v>-150</v>
      </c>
      <c r="H286" s="540">
        <v>856</v>
      </c>
      <c r="I286" s="540" t="s">
        <v>1109</v>
      </c>
    </row>
    <row r="287" spans="1:10">
      <c r="A287" s="568">
        <f t="shared" si="4"/>
        <v>282</v>
      </c>
      <c r="B287" s="541">
        <v>41759</v>
      </c>
      <c r="C287" s="540" t="s">
        <v>1250</v>
      </c>
      <c r="D287" s="540" t="s">
        <v>794</v>
      </c>
      <c r="E287" s="540" t="s">
        <v>1092</v>
      </c>
      <c r="F287" s="539" t="s">
        <v>959</v>
      </c>
      <c r="G287" s="544">
        <v>-41.66</v>
      </c>
      <c r="H287" s="540">
        <v>856</v>
      </c>
      <c r="I287" s="540" t="s">
        <v>1109</v>
      </c>
    </row>
    <row r="288" spans="1:10">
      <c r="A288" s="568">
        <f t="shared" si="4"/>
        <v>283</v>
      </c>
      <c r="B288" s="541">
        <v>41759</v>
      </c>
      <c r="C288" s="540" t="s">
        <v>1250</v>
      </c>
      <c r="D288" s="540" t="s">
        <v>794</v>
      </c>
      <c r="E288" s="540" t="s">
        <v>1092</v>
      </c>
      <c r="F288" s="539" t="s">
        <v>959</v>
      </c>
      <c r="G288" s="544">
        <v>-16.66</v>
      </c>
      <c r="H288" s="540">
        <v>856</v>
      </c>
      <c r="I288" s="540" t="s">
        <v>1109</v>
      </c>
    </row>
    <row r="289" spans="1:9">
      <c r="A289" s="568">
        <f t="shared" si="4"/>
        <v>284</v>
      </c>
      <c r="B289" s="541">
        <v>41759</v>
      </c>
      <c r="C289" s="540" t="s">
        <v>1250</v>
      </c>
      <c r="D289" s="540" t="s">
        <v>794</v>
      </c>
      <c r="E289" s="540" t="s">
        <v>1092</v>
      </c>
      <c r="F289" s="539" t="s">
        <v>959</v>
      </c>
      <c r="G289" s="544">
        <v>-363.87</v>
      </c>
      <c r="H289" s="540">
        <v>856</v>
      </c>
      <c r="I289" s="540" t="s">
        <v>1109</v>
      </c>
    </row>
    <row r="290" spans="1:9">
      <c r="A290" s="568">
        <f t="shared" si="4"/>
        <v>285</v>
      </c>
      <c r="B290" s="541">
        <v>41759</v>
      </c>
      <c r="C290" s="540" t="s">
        <v>1250</v>
      </c>
      <c r="D290" s="540" t="s">
        <v>794</v>
      </c>
      <c r="E290" s="540" t="s">
        <v>1092</v>
      </c>
      <c r="F290" s="539" t="s">
        <v>959</v>
      </c>
      <c r="G290" s="544">
        <v>-176.82</v>
      </c>
      <c r="H290" s="540">
        <v>856</v>
      </c>
      <c r="I290" s="540" t="s">
        <v>1109</v>
      </c>
    </row>
    <row r="291" spans="1:9">
      <c r="A291" s="568">
        <f t="shared" si="4"/>
        <v>286</v>
      </c>
      <c r="B291" s="541">
        <v>41759</v>
      </c>
      <c r="C291" s="540" t="s">
        <v>1244</v>
      </c>
      <c r="D291" s="540" t="s">
        <v>794</v>
      </c>
      <c r="E291" s="540" t="s">
        <v>1126</v>
      </c>
      <c r="F291" s="539" t="s">
        <v>714</v>
      </c>
      <c r="G291" s="544">
        <v>-100</v>
      </c>
      <c r="H291" s="540">
        <v>856</v>
      </c>
      <c r="I291" s="540" t="s">
        <v>1109</v>
      </c>
    </row>
    <row r="292" spans="1:9">
      <c r="A292" s="568">
        <f t="shared" si="4"/>
        <v>287</v>
      </c>
      <c r="B292" s="541">
        <v>41759</v>
      </c>
      <c r="C292" s="540" t="s">
        <v>1244</v>
      </c>
      <c r="D292" s="540" t="s">
        <v>794</v>
      </c>
      <c r="E292" s="540" t="s">
        <v>1255</v>
      </c>
      <c r="F292" s="539" t="s">
        <v>959</v>
      </c>
      <c r="G292" s="544">
        <v>-8.33</v>
      </c>
      <c r="H292" s="540">
        <v>856</v>
      </c>
      <c r="I292" s="540" t="s">
        <v>1109</v>
      </c>
    </row>
    <row r="293" spans="1:9">
      <c r="A293" s="568">
        <f t="shared" si="4"/>
        <v>288</v>
      </c>
      <c r="B293" s="541">
        <v>41759</v>
      </c>
      <c r="C293" s="540" t="s">
        <v>1244</v>
      </c>
      <c r="D293" s="540" t="s">
        <v>794</v>
      </c>
      <c r="E293" s="540" t="s">
        <v>1093</v>
      </c>
      <c r="F293" s="539" t="s">
        <v>654</v>
      </c>
      <c r="G293" s="544">
        <v>-500</v>
      </c>
      <c r="H293" s="540">
        <v>856</v>
      </c>
      <c r="I293" s="540" t="s">
        <v>1109</v>
      </c>
    </row>
    <row r="294" spans="1:9">
      <c r="A294" s="568">
        <f t="shared" si="4"/>
        <v>289</v>
      </c>
      <c r="B294" s="541">
        <v>41759</v>
      </c>
      <c r="C294" s="540" t="s">
        <v>1244</v>
      </c>
      <c r="D294" s="540" t="s">
        <v>794</v>
      </c>
      <c r="E294" s="540" t="s">
        <v>1094</v>
      </c>
      <c r="F294" s="539" t="s">
        <v>958</v>
      </c>
      <c r="G294" s="544">
        <v>-14.58</v>
      </c>
      <c r="H294" s="540">
        <v>856</v>
      </c>
      <c r="I294" s="540" t="s">
        <v>1109</v>
      </c>
    </row>
    <row r="295" spans="1:9">
      <c r="A295" s="568">
        <f t="shared" si="4"/>
        <v>290</v>
      </c>
      <c r="B295" s="541">
        <v>41759</v>
      </c>
      <c r="C295" s="540" t="s">
        <v>1244</v>
      </c>
      <c r="D295" s="540" t="s">
        <v>794</v>
      </c>
      <c r="E295" s="540" t="s">
        <v>1095</v>
      </c>
      <c r="F295" s="539" t="s">
        <v>959</v>
      </c>
      <c r="G295" s="544">
        <v>-8.33</v>
      </c>
      <c r="H295" s="540">
        <v>856</v>
      </c>
      <c r="I295" s="540" t="s">
        <v>1109</v>
      </c>
    </row>
    <row r="296" spans="1:9">
      <c r="A296" s="568">
        <f t="shared" si="4"/>
        <v>291</v>
      </c>
      <c r="B296" s="541">
        <v>41759</v>
      </c>
      <c r="C296" s="540" t="s">
        <v>1244</v>
      </c>
      <c r="D296" s="540" t="s">
        <v>794</v>
      </c>
      <c r="E296" s="540" t="s">
        <v>1256</v>
      </c>
      <c r="F296" s="539" t="s">
        <v>714</v>
      </c>
      <c r="G296" s="544">
        <v>-565.41</v>
      </c>
      <c r="H296" s="540">
        <v>856</v>
      </c>
      <c r="I296" s="540" t="s">
        <v>1109</v>
      </c>
    </row>
    <row r="297" spans="1:9">
      <c r="A297" s="568">
        <f t="shared" si="4"/>
        <v>292</v>
      </c>
      <c r="B297" s="541">
        <v>41759</v>
      </c>
      <c r="C297" s="540" t="s">
        <v>1244</v>
      </c>
      <c r="D297" s="540" t="s">
        <v>794</v>
      </c>
      <c r="E297" s="540" t="s">
        <v>1096</v>
      </c>
      <c r="F297" s="539" t="s">
        <v>959</v>
      </c>
      <c r="G297" s="544">
        <v>-10.83</v>
      </c>
      <c r="H297" s="540">
        <v>856</v>
      </c>
      <c r="I297" s="540" t="s">
        <v>1109</v>
      </c>
    </row>
    <row r="298" spans="1:9">
      <c r="A298" s="568">
        <f t="shared" si="4"/>
        <v>293</v>
      </c>
      <c r="B298" s="541">
        <v>41759</v>
      </c>
      <c r="C298" s="540" t="s">
        <v>1244</v>
      </c>
      <c r="D298" s="540" t="s">
        <v>794</v>
      </c>
      <c r="E298" s="540" t="s">
        <v>1097</v>
      </c>
      <c r="F298" s="539" t="s">
        <v>714</v>
      </c>
      <c r="G298" s="544">
        <v>-757.35</v>
      </c>
      <c r="H298" s="540">
        <v>856</v>
      </c>
      <c r="I298" s="540" t="s">
        <v>1109</v>
      </c>
    </row>
    <row r="299" spans="1:9">
      <c r="A299" s="568">
        <f t="shared" si="4"/>
        <v>294</v>
      </c>
      <c r="B299" s="541">
        <v>41759</v>
      </c>
      <c r="C299" s="540" t="s">
        <v>1250</v>
      </c>
      <c r="D299" s="540" t="s">
        <v>794</v>
      </c>
      <c r="E299" s="540" t="s">
        <v>1257</v>
      </c>
      <c r="F299" s="539" t="s">
        <v>959</v>
      </c>
      <c r="G299" s="544">
        <v>-8.33</v>
      </c>
      <c r="H299" s="540">
        <v>856</v>
      </c>
      <c r="I299" s="540" t="s">
        <v>1109</v>
      </c>
    </row>
    <row r="300" spans="1:9">
      <c r="A300" s="568">
        <f t="shared" si="4"/>
        <v>295</v>
      </c>
      <c r="B300" s="541">
        <v>41759</v>
      </c>
      <c r="C300" s="540" t="s">
        <v>1244</v>
      </c>
      <c r="D300" s="540" t="s">
        <v>794</v>
      </c>
      <c r="E300" s="540" t="s">
        <v>1107</v>
      </c>
      <c r="F300" s="539" t="s">
        <v>958</v>
      </c>
      <c r="G300" s="544">
        <v>-1166</v>
      </c>
      <c r="H300" s="540">
        <v>856</v>
      </c>
      <c r="I300" s="540" t="s">
        <v>1109</v>
      </c>
    </row>
    <row r="301" spans="1:9">
      <c r="A301" s="568">
        <f t="shared" si="4"/>
        <v>296</v>
      </c>
      <c r="B301" s="541">
        <v>41759</v>
      </c>
      <c r="C301" s="540" t="s">
        <v>1244</v>
      </c>
      <c r="D301" s="540" t="s">
        <v>794</v>
      </c>
      <c r="E301" s="540" t="s">
        <v>1124</v>
      </c>
      <c r="F301" s="539" t="s">
        <v>959</v>
      </c>
      <c r="G301" s="544">
        <v>-183.82333333333335</v>
      </c>
      <c r="H301" s="540">
        <v>856</v>
      </c>
      <c r="I301" s="540" t="s">
        <v>1109</v>
      </c>
    </row>
    <row r="302" spans="1:9">
      <c r="A302" s="568">
        <f t="shared" si="4"/>
        <v>297</v>
      </c>
      <c r="B302" s="541">
        <v>41759</v>
      </c>
      <c r="C302" s="540" t="s">
        <v>1244</v>
      </c>
      <c r="D302" s="540" t="s">
        <v>794</v>
      </c>
      <c r="E302" s="540" t="s">
        <v>1112</v>
      </c>
      <c r="F302" s="539" t="s">
        <v>958</v>
      </c>
      <c r="G302" s="544">
        <v>-416.3</v>
      </c>
      <c r="H302" s="540">
        <v>856</v>
      </c>
      <c r="I302" s="540" t="s">
        <v>1109</v>
      </c>
    </row>
    <row r="303" spans="1:9">
      <c r="A303" s="568">
        <f t="shared" si="4"/>
        <v>298</v>
      </c>
      <c r="B303" s="541">
        <v>41759</v>
      </c>
      <c r="C303" s="540" t="s">
        <v>1244</v>
      </c>
      <c r="D303" s="540" t="s">
        <v>794</v>
      </c>
      <c r="E303" s="540" t="s">
        <v>1112</v>
      </c>
      <c r="F303" s="539" t="s">
        <v>958</v>
      </c>
      <c r="G303" s="544">
        <v>-612.85</v>
      </c>
      <c r="H303" s="540">
        <v>856</v>
      </c>
      <c r="I303" s="540" t="s">
        <v>1109</v>
      </c>
    </row>
    <row r="304" spans="1:9">
      <c r="A304" s="568">
        <f t="shared" si="4"/>
        <v>299</v>
      </c>
      <c r="B304" s="541">
        <v>41759</v>
      </c>
      <c r="C304" s="540" t="s">
        <v>1244</v>
      </c>
      <c r="D304" s="540" t="s">
        <v>794</v>
      </c>
      <c r="E304" s="540" t="s">
        <v>1258</v>
      </c>
      <c r="F304" s="539" t="s">
        <v>714</v>
      </c>
      <c r="G304" s="544">
        <v>-575</v>
      </c>
      <c r="H304" s="540" t="s">
        <v>790</v>
      </c>
      <c r="I304" s="540" t="s">
        <v>1113</v>
      </c>
    </row>
    <row r="305" spans="1:9">
      <c r="A305" s="568">
        <f t="shared" si="4"/>
        <v>300</v>
      </c>
      <c r="B305" s="541">
        <v>41759</v>
      </c>
      <c r="C305" s="540" t="s">
        <v>1244</v>
      </c>
      <c r="D305" s="540" t="s">
        <v>794</v>
      </c>
      <c r="E305" s="540" t="s">
        <v>1259</v>
      </c>
      <c r="F305" s="539" t="s">
        <v>714</v>
      </c>
      <c r="G305" s="544">
        <v>-500</v>
      </c>
      <c r="H305" s="540" t="s">
        <v>790</v>
      </c>
      <c r="I305" s="540" t="s">
        <v>1113</v>
      </c>
    </row>
    <row r="306" spans="1:9">
      <c r="A306" s="568">
        <f t="shared" si="4"/>
        <v>301</v>
      </c>
      <c r="B306" s="541">
        <v>41759</v>
      </c>
      <c r="C306" s="540" t="s">
        <v>1244</v>
      </c>
      <c r="D306" s="540" t="s">
        <v>794</v>
      </c>
      <c r="E306" s="540" t="s">
        <v>1260</v>
      </c>
      <c r="F306" s="539" t="s">
        <v>714</v>
      </c>
      <c r="G306" s="544">
        <v>-400</v>
      </c>
      <c r="H306" s="540" t="s">
        <v>790</v>
      </c>
      <c r="I306" s="540" t="s">
        <v>1113</v>
      </c>
    </row>
    <row r="307" spans="1:9">
      <c r="A307" s="568">
        <f t="shared" si="4"/>
        <v>302</v>
      </c>
      <c r="B307" s="541">
        <v>41759</v>
      </c>
      <c r="C307" s="540" t="s">
        <v>1244</v>
      </c>
      <c r="D307" s="540" t="s">
        <v>794</v>
      </c>
      <c r="E307" s="540" t="s">
        <v>1261</v>
      </c>
      <c r="F307" s="539" t="s">
        <v>714</v>
      </c>
      <c r="G307" s="544">
        <v>-2800</v>
      </c>
      <c r="H307" s="540" t="s">
        <v>790</v>
      </c>
      <c r="I307" s="540" t="s">
        <v>1113</v>
      </c>
    </row>
    <row r="308" spans="1:9">
      <c r="A308" s="568">
        <f t="shared" si="4"/>
        <v>303</v>
      </c>
      <c r="B308" s="541">
        <v>41759</v>
      </c>
      <c r="C308" s="540" t="s">
        <v>1244</v>
      </c>
      <c r="D308" s="540" t="s">
        <v>794</v>
      </c>
      <c r="E308" s="540" t="s">
        <v>1262</v>
      </c>
      <c r="F308" s="539" t="s">
        <v>654</v>
      </c>
      <c r="G308" s="544">
        <v>-1890</v>
      </c>
      <c r="H308" s="540" t="s">
        <v>790</v>
      </c>
      <c r="I308" s="540" t="s">
        <v>1113</v>
      </c>
    </row>
    <row r="309" spans="1:9">
      <c r="A309" s="568">
        <f t="shared" si="4"/>
        <v>304</v>
      </c>
      <c r="B309" s="541">
        <v>41759</v>
      </c>
      <c r="C309" s="540" t="s">
        <v>1244</v>
      </c>
      <c r="D309" s="540" t="s">
        <v>794</v>
      </c>
      <c r="E309" s="540" t="s">
        <v>365</v>
      </c>
      <c r="F309" s="539" t="s">
        <v>714</v>
      </c>
      <c r="G309" s="544">
        <v>-2779.45</v>
      </c>
      <c r="H309" s="540" t="s">
        <v>790</v>
      </c>
      <c r="I309" s="540" t="s">
        <v>1113</v>
      </c>
    </row>
    <row r="310" spans="1:9">
      <c r="A310" s="568">
        <f t="shared" si="4"/>
        <v>305</v>
      </c>
      <c r="B310" s="541">
        <v>41759</v>
      </c>
      <c r="C310" s="540" t="s">
        <v>1250</v>
      </c>
      <c r="D310" s="540" t="s">
        <v>794</v>
      </c>
      <c r="E310" s="540" t="s">
        <v>1263</v>
      </c>
      <c r="F310" s="539" t="s">
        <v>959</v>
      </c>
      <c r="G310" s="544">
        <v>-50</v>
      </c>
      <c r="H310" s="540" t="s">
        <v>790</v>
      </c>
      <c r="I310" s="540" t="s">
        <v>1113</v>
      </c>
    </row>
    <row r="311" spans="1:9">
      <c r="A311" s="568">
        <f t="shared" si="4"/>
        <v>306</v>
      </c>
      <c r="B311" s="541">
        <v>41759</v>
      </c>
      <c r="C311" s="540" t="s">
        <v>1244</v>
      </c>
      <c r="D311" s="540" t="s">
        <v>955</v>
      </c>
      <c r="E311" s="540" t="s">
        <v>1141</v>
      </c>
      <c r="F311" s="539" t="s">
        <v>959</v>
      </c>
      <c r="G311" s="544">
        <v>-700</v>
      </c>
      <c r="H311" s="540" t="s">
        <v>1264</v>
      </c>
      <c r="I311" s="540" t="s">
        <v>1286</v>
      </c>
    </row>
    <row r="312" spans="1:9">
      <c r="A312" s="568">
        <f t="shared" si="4"/>
        <v>307</v>
      </c>
      <c r="B312" s="541">
        <v>41759</v>
      </c>
      <c r="C312" s="540" t="s">
        <v>1244</v>
      </c>
      <c r="D312" s="540" t="s">
        <v>955</v>
      </c>
      <c r="E312" s="540" t="s">
        <v>1142</v>
      </c>
      <c r="F312" s="539" t="s">
        <v>959</v>
      </c>
      <c r="G312" s="544">
        <v>-40</v>
      </c>
      <c r="H312" s="540" t="s">
        <v>956</v>
      </c>
      <c r="I312" s="540" t="s">
        <v>1286</v>
      </c>
    </row>
    <row r="313" spans="1:9">
      <c r="A313" s="568">
        <f t="shared" si="4"/>
        <v>308</v>
      </c>
      <c r="B313" s="541">
        <v>41759</v>
      </c>
      <c r="C313" s="540" t="s">
        <v>1244</v>
      </c>
      <c r="D313" s="540" t="s">
        <v>955</v>
      </c>
      <c r="E313" s="540" t="s">
        <v>1143</v>
      </c>
      <c r="F313" s="539" t="s">
        <v>959</v>
      </c>
      <c r="G313" s="544">
        <v>-350</v>
      </c>
      <c r="H313" s="540" t="s">
        <v>1021</v>
      </c>
      <c r="I313" s="540" t="s">
        <v>1286</v>
      </c>
    </row>
    <row r="314" spans="1:9">
      <c r="A314" s="568">
        <f t="shared" si="4"/>
        <v>309</v>
      </c>
      <c r="B314" s="541">
        <v>41759</v>
      </c>
      <c r="C314" s="540" t="s">
        <v>1244</v>
      </c>
      <c r="D314" s="540" t="s">
        <v>955</v>
      </c>
      <c r="E314" s="540" t="s">
        <v>1114</v>
      </c>
      <c r="F314" s="539" t="s">
        <v>959</v>
      </c>
      <c r="G314" s="544">
        <v>-40</v>
      </c>
      <c r="H314" s="540" t="s">
        <v>792</v>
      </c>
      <c r="I314" s="540" t="s">
        <v>1286</v>
      </c>
    </row>
    <row r="315" spans="1:9">
      <c r="A315" s="568">
        <f t="shared" si="4"/>
        <v>310</v>
      </c>
      <c r="B315" s="541">
        <v>41759</v>
      </c>
      <c r="C315" s="540" t="s">
        <v>712</v>
      </c>
      <c r="D315" s="540" t="s">
        <v>1061</v>
      </c>
      <c r="E315" s="540" t="s">
        <v>1266</v>
      </c>
      <c r="F315" s="539" t="s">
        <v>959</v>
      </c>
      <c r="G315" s="544">
        <v>-500</v>
      </c>
      <c r="H315" s="540" t="s">
        <v>920</v>
      </c>
      <c r="I315" s="540" t="s">
        <v>1267</v>
      </c>
    </row>
    <row r="316" spans="1:9">
      <c r="A316" s="568">
        <f t="shared" si="4"/>
        <v>311</v>
      </c>
      <c r="B316" s="541">
        <v>41759</v>
      </c>
      <c r="C316" s="540" t="s">
        <v>712</v>
      </c>
      <c r="D316" s="540" t="s">
        <v>1061</v>
      </c>
      <c r="E316" s="540" t="s">
        <v>1268</v>
      </c>
      <c r="F316" s="539" t="s">
        <v>959</v>
      </c>
      <c r="G316" s="544">
        <v>-500</v>
      </c>
      <c r="H316" s="540" t="s">
        <v>920</v>
      </c>
      <c r="I316" s="540" t="s">
        <v>1267</v>
      </c>
    </row>
    <row r="317" spans="1:9">
      <c r="A317" s="568">
        <f t="shared" si="4"/>
        <v>312</v>
      </c>
      <c r="B317" s="541">
        <v>41759</v>
      </c>
      <c r="C317" s="540" t="s">
        <v>1244</v>
      </c>
      <c r="D317" s="540" t="s">
        <v>1062</v>
      </c>
      <c r="E317" s="540" t="s">
        <v>1269</v>
      </c>
      <c r="F317" s="539" t="s">
        <v>714</v>
      </c>
      <c r="G317" s="544">
        <v>-1055</v>
      </c>
      <c r="H317" s="540" t="s">
        <v>1020</v>
      </c>
      <c r="I317" s="540" t="s">
        <v>1267</v>
      </c>
    </row>
    <row r="318" spans="1:9">
      <c r="A318" s="568">
        <f t="shared" si="4"/>
        <v>313</v>
      </c>
      <c r="B318" s="541">
        <v>41759</v>
      </c>
      <c r="C318" s="540" t="s">
        <v>1244</v>
      </c>
      <c r="D318" s="540" t="s">
        <v>794</v>
      </c>
      <c r="E318" s="540" t="s">
        <v>1287</v>
      </c>
      <c r="F318" s="539" t="s">
        <v>714</v>
      </c>
      <c r="G318" s="544">
        <v>-3151.94</v>
      </c>
      <c r="H318" s="540" t="s">
        <v>790</v>
      </c>
      <c r="I318" s="540" t="s">
        <v>1271</v>
      </c>
    </row>
    <row r="319" spans="1:9">
      <c r="A319" s="568">
        <f t="shared" si="4"/>
        <v>314</v>
      </c>
      <c r="B319" s="541">
        <v>41790</v>
      </c>
      <c r="C319" s="540" t="s">
        <v>1244</v>
      </c>
      <c r="D319" s="540" t="s">
        <v>795</v>
      </c>
      <c r="E319" s="540" t="s">
        <v>1247</v>
      </c>
      <c r="F319" s="539" t="s">
        <v>654</v>
      </c>
      <c r="G319" s="544">
        <v>-2.09</v>
      </c>
      <c r="H319" s="540">
        <v>856</v>
      </c>
      <c r="I319" s="540" t="s">
        <v>1115</v>
      </c>
    </row>
    <row r="320" spans="1:9">
      <c r="A320" s="568">
        <f t="shared" si="4"/>
        <v>315</v>
      </c>
      <c r="B320" s="541">
        <v>41790</v>
      </c>
      <c r="C320" s="540" t="s">
        <v>1244</v>
      </c>
      <c r="D320" s="540" t="s">
        <v>795</v>
      </c>
      <c r="E320" s="540" t="s">
        <v>1245</v>
      </c>
      <c r="F320" s="539" t="s">
        <v>714</v>
      </c>
      <c r="G320" s="544">
        <v>-118.92</v>
      </c>
      <c r="H320" s="540">
        <v>856</v>
      </c>
      <c r="I320" s="540" t="s">
        <v>1115</v>
      </c>
    </row>
    <row r="321" spans="1:9">
      <c r="A321" s="568">
        <f t="shared" si="4"/>
        <v>316</v>
      </c>
      <c r="B321" s="541">
        <v>41790</v>
      </c>
      <c r="C321" s="540" t="s">
        <v>1244</v>
      </c>
      <c r="D321" s="540" t="s">
        <v>795</v>
      </c>
      <c r="E321" s="540" t="s">
        <v>1248</v>
      </c>
      <c r="F321" s="539" t="s">
        <v>714</v>
      </c>
      <c r="G321" s="544">
        <v>-684.91</v>
      </c>
      <c r="H321" s="540">
        <v>856</v>
      </c>
      <c r="I321" s="540" t="s">
        <v>1115</v>
      </c>
    </row>
    <row r="322" spans="1:9">
      <c r="A322" s="568">
        <f t="shared" si="4"/>
        <v>317</v>
      </c>
      <c r="B322" s="541">
        <v>41790</v>
      </c>
      <c r="C322" s="540" t="s">
        <v>1244</v>
      </c>
      <c r="D322" s="540" t="s">
        <v>795</v>
      </c>
      <c r="E322" s="540" t="s">
        <v>1248</v>
      </c>
      <c r="F322" s="539" t="s">
        <v>714</v>
      </c>
      <c r="G322" s="544">
        <v>-70.34</v>
      </c>
      <c r="H322" s="540">
        <v>856</v>
      </c>
      <c r="I322" s="540" t="s">
        <v>1115</v>
      </c>
    </row>
    <row r="323" spans="1:9">
      <c r="A323" s="568">
        <f t="shared" si="4"/>
        <v>318</v>
      </c>
      <c r="B323" s="541">
        <v>41790</v>
      </c>
      <c r="C323" s="540" t="s">
        <v>1244</v>
      </c>
      <c r="D323" s="540" t="s">
        <v>795</v>
      </c>
      <c r="E323" s="540" t="s">
        <v>1128</v>
      </c>
      <c r="F323" s="539" t="s">
        <v>959</v>
      </c>
      <c r="G323" s="544">
        <v>-8.34</v>
      </c>
      <c r="H323" s="540">
        <v>856</v>
      </c>
      <c r="I323" s="540" t="s">
        <v>1115</v>
      </c>
    </row>
    <row r="324" spans="1:9">
      <c r="A324" s="568">
        <f t="shared" si="4"/>
        <v>319</v>
      </c>
      <c r="B324" s="541">
        <v>41790</v>
      </c>
      <c r="C324" s="540" t="s">
        <v>1244</v>
      </c>
      <c r="D324" s="540" t="s">
        <v>795</v>
      </c>
      <c r="E324" s="540" t="s">
        <v>1249</v>
      </c>
      <c r="F324" s="539" t="s">
        <v>714</v>
      </c>
      <c r="G324" s="544">
        <v>-152.88</v>
      </c>
      <c r="H324" s="540">
        <v>856</v>
      </c>
      <c r="I324" s="540" t="s">
        <v>1115</v>
      </c>
    </row>
    <row r="325" spans="1:9">
      <c r="A325" s="568">
        <f t="shared" si="4"/>
        <v>320</v>
      </c>
      <c r="B325" s="541">
        <v>41790</v>
      </c>
      <c r="C325" s="540" t="s">
        <v>1244</v>
      </c>
      <c r="D325" s="540" t="s">
        <v>795</v>
      </c>
      <c r="E325" s="540" t="s">
        <v>1082</v>
      </c>
      <c r="F325" s="539" t="s">
        <v>959</v>
      </c>
      <c r="G325" s="544">
        <v>-8.33</v>
      </c>
      <c r="H325" s="540">
        <v>856</v>
      </c>
      <c r="I325" s="540" t="s">
        <v>1115</v>
      </c>
    </row>
    <row r="326" spans="1:9">
      <c r="A326" s="568">
        <f t="shared" si="4"/>
        <v>321</v>
      </c>
      <c r="B326" s="541">
        <v>41790</v>
      </c>
      <c r="C326" s="540" t="s">
        <v>1250</v>
      </c>
      <c r="D326" s="540" t="s">
        <v>795</v>
      </c>
      <c r="E326" s="540" t="s">
        <v>1103</v>
      </c>
      <c r="F326" s="539" t="s">
        <v>959</v>
      </c>
      <c r="G326" s="544">
        <v>-8.33</v>
      </c>
      <c r="H326" s="540">
        <v>856</v>
      </c>
      <c r="I326" s="540" t="s">
        <v>1115</v>
      </c>
    </row>
    <row r="327" spans="1:9">
      <c r="A327" s="568">
        <f t="shared" si="4"/>
        <v>322</v>
      </c>
      <c r="B327" s="541">
        <v>41790</v>
      </c>
      <c r="C327" s="540" t="s">
        <v>1250</v>
      </c>
      <c r="D327" s="540" t="s">
        <v>795</v>
      </c>
      <c r="E327" s="540" t="s">
        <v>1084</v>
      </c>
      <c r="F327" s="539" t="s">
        <v>959</v>
      </c>
      <c r="G327" s="544">
        <v>-8.33</v>
      </c>
      <c r="H327" s="540">
        <v>856</v>
      </c>
      <c r="I327" s="540" t="s">
        <v>1115</v>
      </c>
    </row>
    <row r="328" spans="1:9">
      <c r="A328" s="568">
        <f t="shared" si="4"/>
        <v>323</v>
      </c>
      <c r="B328" s="541">
        <v>41790</v>
      </c>
      <c r="C328" s="540" t="s">
        <v>1244</v>
      </c>
      <c r="D328" s="540" t="s">
        <v>795</v>
      </c>
      <c r="E328" s="540" t="s">
        <v>1116</v>
      </c>
      <c r="F328" s="539" t="s">
        <v>959</v>
      </c>
      <c r="G328" s="544">
        <v>-20.83</v>
      </c>
      <c r="H328" s="540">
        <v>856</v>
      </c>
      <c r="I328" s="540" t="s">
        <v>1115</v>
      </c>
    </row>
    <row r="329" spans="1:9">
      <c r="A329" s="568">
        <f t="shared" si="4"/>
        <v>324</v>
      </c>
      <c r="B329" s="541">
        <v>41790</v>
      </c>
      <c r="C329" s="540" t="s">
        <v>1244</v>
      </c>
      <c r="D329" s="540" t="s">
        <v>795</v>
      </c>
      <c r="E329" s="540" t="s">
        <v>1117</v>
      </c>
      <c r="F329" s="539" t="s">
        <v>654</v>
      </c>
      <c r="G329" s="544">
        <v>-41.67</v>
      </c>
      <c r="H329" s="540">
        <v>856</v>
      </c>
      <c r="I329" s="540" t="s">
        <v>1115</v>
      </c>
    </row>
    <row r="330" spans="1:9">
      <c r="A330" s="568">
        <f t="shared" si="4"/>
        <v>325</v>
      </c>
      <c r="B330" s="541">
        <v>41790</v>
      </c>
      <c r="C330" s="540" t="s">
        <v>1250</v>
      </c>
      <c r="D330" s="540" t="s">
        <v>795</v>
      </c>
      <c r="E330" s="540" t="s">
        <v>1118</v>
      </c>
      <c r="F330" s="539" t="s">
        <v>959</v>
      </c>
      <c r="G330" s="544">
        <v>-11.25</v>
      </c>
      <c r="H330" s="540">
        <v>856</v>
      </c>
      <c r="I330" s="540" t="s">
        <v>1115</v>
      </c>
    </row>
    <row r="331" spans="1:9">
      <c r="A331" s="568">
        <f t="shared" si="4"/>
        <v>326</v>
      </c>
      <c r="B331" s="541">
        <v>41790</v>
      </c>
      <c r="C331" s="540" t="s">
        <v>1250</v>
      </c>
      <c r="D331" s="540" t="s">
        <v>795</v>
      </c>
      <c r="E331" s="540" t="s">
        <v>1118</v>
      </c>
      <c r="F331" s="539" t="s">
        <v>959</v>
      </c>
      <c r="G331" s="544">
        <v>-29.17</v>
      </c>
      <c r="H331" s="540">
        <v>856</v>
      </c>
      <c r="I331" s="540" t="s">
        <v>1115</v>
      </c>
    </row>
    <row r="332" spans="1:9">
      <c r="A332" s="568">
        <f t="shared" si="4"/>
        <v>327</v>
      </c>
      <c r="B332" s="541">
        <v>41790</v>
      </c>
      <c r="C332" s="540" t="s">
        <v>1250</v>
      </c>
      <c r="D332" s="540" t="s">
        <v>795</v>
      </c>
      <c r="E332" s="540" t="s">
        <v>1118</v>
      </c>
      <c r="F332" s="539" t="s">
        <v>959</v>
      </c>
      <c r="G332" s="544">
        <v>-45</v>
      </c>
      <c r="H332" s="540">
        <v>856</v>
      </c>
      <c r="I332" s="540" t="s">
        <v>1115</v>
      </c>
    </row>
    <row r="333" spans="1:9">
      <c r="A333" s="568">
        <f t="shared" si="4"/>
        <v>328</v>
      </c>
      <c r="B333" s="541">
        <v>41790</v>
      </c>
      <c r="C333" s="540" t="s">
        <v>1244</v>
      </c>
      <c r="D333" s="540" t="s">
        <v>795</v>
      </c>
      <c r="E333" s="540" t="s">
        <v>1085</v>
      </c>
      <c r="F333" s="539" t="s">
        <v>654</v>
      </c>
      <c r="G333" s="544">
        <v>-8.34</v>
      </c>
      <c r="H333" s="540">
        <v>856</v>
      </c>
      <c r="I333" s="540" t="s">
        <v>1115</v>
      </c>
    </row>
    <row r="334" spans="1:9">
      <c r="A334" s="568">
        <f t="shared" si="4"/>
        <v>329</v>
      </c>
      <c r="B334" s="541">
        <v>41790</v>
      </c>
      <c r="C334" s="540" t="s">
        <v>1244</v>
      </c>
      <c r="D334" s="540" t="s">
        <v>795</v>
      </c>
      <c r="E334" s="540" t="s">
        <v>1110</v>
      </c>
      <c r="F334" s="539" t="s">
        <v>959</v>
      </c>
      <c r="G334" s="544">
        <v>-4.25</v>
      </c>
      <c r="H334" s="540">
        <v>856</v>
      </c>
      <c r="I334" s="540" t="s">
        <v>1115</v>
      </c>
    </row>
    <row r="335" spans="1:9">
      <c r="A335" s="568">
        <f t="shared" si="4"/>
        <v>330</v>
      </c>
      <c r="B335" s="541">
        <v>41790</v>
      </c>
      <c r="C335" s="540" t="s">
        <v>1244</v>
      </c>
      <c r="D335" s="540" t="s">
        <v>795</v>
      </c>
      <c r="E335" s="540" t="s">
        <v>1285</v>
      </c>
      <c r="F335" s="539" t="s">
        <v>959</v>
      </c>
      <c r="G335" s="544">
        <v>-41.67</v>
      </c>
      <c r="H335" s="540">
        <v>856</v>
      </c>
      <c r="I335" s="540" t="s">
        <v>1115</v>
      </c>
    </row>
    <row r="336" spans="1:9">
      <c r="A336" s="568">
        <f t="shared" si="4"/>
        <v>331</v>
      </c>
      <c r="B336" s="541">
        <v>41790</v>
      </c>
      <c r="C336" s="540" t="s">
        <v>1244</v>
      </c>
      <c r="D336" s="540" t="s">
        <v>795</v>
      </c>
      <c r="E336" s="540" t="s">
        <v>1135</v>
      </c>
      <c r="F336" s="539" t="s">
        <v>958</v>
      </c>
      <c r="G336" s="544">
        <v>-29.17</v>
      </c>
      <c r="H336" s="540">
        <v>856</v>
      </c>
      <c r="I336" s="540" t="s">
        <v>1115</v>
      </c>
    </row>
    <row r="337" spans="1:9">
      <c r="A337" s="568">
        <f t="shared" si="4"/>
        <v>332</v>
      </c>
      <c r="B337" s="541">
        <v>41790</v>
      </c>
      <c r="C337" s="540" t="s">
        <v>1250</v>
      </c>
      <c r="D337" s="540" t="s">
        <v>795</v>
      </c>
      <c r="E337" s="540" t="s">
        <v>1105</v>
      </c>
      <c r="F337" s="539" t="s">
        <v>959</v>
      </c>
      <c r="G337" s="544">
        <v>-8.33</v>
      </c>
      <c r="H337" s="540">
        <v>856</v>
      </c>
      <c r="I337" s="540" t="s">
        <v>1115</v>
      </c>
    </row>
    <row r="338" spans="1:9">
      <c r="A338" s="568">
        <f t="shared" si="4"/>
        <v>333</v>
      </c>
      <c r="B338" s="541">
        <v>41790</v>
      </c>
      <c r="C338" s="540" t="s">
        <v>1250</v>
      </c>
      <c r="D338" s="540" t="s">
        <v>795</v>
      </c>
      <c r="E338" s="540" t="s">
        <v>1105</v>
      </c>
      <c r="F338" s="539" t="s">
        <v>959</v>
      </c>
      <c r="G338" s="544">
        <v>-14.58</v>
      </c>
      <c r="H338" s="540">
        <v>856</v>
      </c>
      <c r="I338" s="540" t="s">
        <v>1115</v>
      </c>
    </row>
    <row r="339" spans="1:9">
      <c r="A339" s="568">
        <f t="shared" si="4"/>
        <v>334</v>
      </c>
      <c r="B339" s="541">
        <v>41790</v>
      </c>
      <c r="C339" s="540" t="s">
        <v>1244</v>
      </c>
      <c r="D339" s="540" t="s">
        <v>795</v>
      </c>
      <c r="E339" s="540" t="s">
        <v>1251</v>
      </c>
      <c r="F339" s="539" t="s">
        <v>714</v>
      </c>
      <c r="G339" s="544">
        <v>-179.17</v>
      </c>
      <c r="H339" s="540">
        <v>856</v>
      </c>
      <c r="I339" s="540" t="s">
        <v>1115</v>
      </c>
    </row>
    <row r="340" spans="1:9">
      <c r="A340" s="568">
        <f t="shared" si="4"/>
        <v>335</v>
      </c>
      <c r="B340" s="541">
        <v>41790</v>
      </c>
      <c r="C340" s="540" t="s">
        <v>1244</v>
      </c>
      <c r="D340" s="540" t="s">
        <v>795</v>
      </c>
      <c r="E340" s="540" t="s">
        <v>1106</v>
      </c>
      <c r="F340" s="539" t="s">
        <v>654</v>
      </c>
      <c r="G340" s="544">
        <v>-4.17</v>
      </c>
      <c r="H340" s="540">
        <v>856</v>
      </c>
      <c r="I340" s="540" t="s">
        <v>1115</v>
      </c>
    </row>
    <row r="341" spans="1:9">
      <c r="A341" s="568">
        <f t="shared" si="4"/>
        <v>336</v>
      </c>
      <c r="B341" s="541">
        <v>41790</v>
      </c>
      <c r="C341" s="540" t="s">
        <v>1244</v>
      </c>
      <c r="D341" s="540" t="s">
        <v>795</v>
      </c>
      <c r="E341" s="540" t="s">
        <v>1122</v>
      </c>
      <c r="F341" s="539" t="s">
        <v>714</v>
      </c>
      <c r="G341" s="544">
        <v>-8.33</v>
      </c>
      <c r="H341" s="540">
        <v>856</v>
      </c>
      <c r="I341" s="540" t="s">
        <v>1115</v>
      </c>
    </row>
    <row r="342" spans="1:9">
      <c r="A342" s="568">
        <f t="shared" si="4"/>
        <v>337</v>
      </c>
      <c r="B342" s="541">
        <v>41790</v>
      </c>
      <c r="C342" s="540" t="s">
        <v>1244</v>
      </c>
      <c r="D342" s="540" t="s">
        <v>795</v>
      </c>
      <c r="E342" s="540" t="s">
        <v>1086</v>
      </c>
      <c r="F342" s="539" t="s">
        <v>959</v>
      </c>
      <c r="G342" s="544">
        <v>-8.33</v>
      </c>
      <c r="H342" s="540">
        <v>856</v>
      </c>
      <c r="I342" s="540" t="s">
        <v>1115</v>
      </c>
    </row>
    <row r="343" spans="1:9">
      <c r="A343" s="568">
        <f t="shared" ref="A343:A406" si="5">A342+1</f>
        <v>338</v>
      </c>
      <c r="B343" s="541">
        <v>41790</v>
      </c>
      <c r="C343" s="540" t="s">
        <v>1250</v>
      </c>
      <c r="D343" s="540" t="s">
        <v>795</v>
      </c>
      <c r="E343" s="540" t="s">
        <v>1111</v>
      </c>
      <c r="F343" s="539" t="s">
        <v>959</v>
      </c>
      <c r="G343" s="544">
        <v>-41.67</v>
      </c>
      <c r="H343" s="540">
        <v>856</v>
      </c>
      <c r="I343" s="540" t="s">
        <v>1115</v>
      </c>
    </row>
    <row r="344" spans="1:9">
      <c r="A344" s="568">
        <f t="shared" si="5"/>
        <v>339</v>
      </c>
      <c r="B344" s="541">
        <v>41790</v>
      </c>
      <c r="C344" s="540" t="s">
        <v>1244</v>
      </c>
      <c r="D344" s="540" t="s">
        <v>795</v>
      </c>
      <c r="E344" s="540" t="s">
        <v>1132</v>
      </c>
      <c r="F344" s="539" t="s">
        <v>959</v>
      </c>
      <c r="G344" s="544">
        <v>-8.34</v>
      </c>
      <c r="H344" s="540">
        <v>856</v>
      </c>
      <c r="I344" s="540" t="s">
        <v>1115</v>
      </c>
    </row>
    <row r="345" spans="1:9">
      <c r="A345" s="568">
        <f t="shared" si="5"/>
        <v>340</v>
      </c>
      <c r="B345" s="541">
        <v>41790</v>
      </c>
      <c r="C345" s="540" t="s">
        <v>1244</v>
      </c>
      <c r="D345" s="540" t="s">
        <v>795</v>
      </c>
      <c r="E345" s="540" t="s">
        <v>1252</v>
      </c>
      <c r="F345" s="539" t="s">
        <v>714</v>
      </c>
      <c r="G345" s="544">
        <v>-142.79</v>
      </c>
      <c r="H345" s="540">
        <v>856</v>
      </c>
      <c r="I345" s="540" t="s">
        <v>1115</v>
      </c>
    </row>
    <row r="346" spans="1:9">
      <c r="A346" s="568">
        <f t="shared" si="5"/>
        <v>341</v>
      </c>
      <c r="B346" s="541">
        <v>41790</v>
      </c>
      <c r="C346" s="540" t="s">
        <v>1244</v>
      </c>
      <c r="D346" s="540" t="s">
        <v>795</v>
      </c>
      <c r="E346" s="540" t="s">
        <v>1252</v>
      </c>
      <c r="F346" s="539" t="s">
        <v>714</v>
      </c>
      <c r="G346" s="544">
        <v>-142.79</v>
      </c>
      <c r="H346" s="540">
        <v>856</v>
      </c>
      <c r="I346" s="540" t="s">
        <v>1115</v>
      </c>
    </row>
    <row r="347" spans="1:9">
      <c r="A347" s="568">
        <f t="shared" si="5"/>
        <v>342</v>
      </c>
      <c r="B347" s="541">
        <v>41790</v>
      </c>
      <c r="C347" s="540" t="s">
        <v>1244</v>
      </c>
      <c r="D347" s="540" t="s">
        <v>795</v>
      </c>
      <c r="E347" s="540" t="s">
        <v>1252</v>
      </c>
      <c r="F347" s="539" t="s">
        <v>714</v>
      </c>
      <c r="G347" s="544">
        <v>-141.28</v>
      </c>
      <c r="H347" s="540">
        <v>856</v>
      </c>
      <c r="I347" s="540" t="s">
        <v>1115</v>
      </c>
    </row>
    <row r="348" spans="1:9">
      <c r="A348" s="568">
        <f t="shared" si="5"/>
        <v>343</v>
      </c>
      <c r="B348" s="541">
        <v>41790</v>
      </c>
      <c r="C348" s="540" t="s">
        <v>1244</v>
      </c>
      <c r="D348" s="540" t="s">
        <v>795</v>
      </c>
      <c r="E348" s="540" t="s">
        <v>1252</v>
      </c>
      <c r="F348" s="539" t="s">
        <v>714</v>
      </c>
      <c r="G348" s="544">
        <v>-122.2</v>
      </c>
      <c r="H348" s="540">
        <v>856</v>
      </c>
      <c r="I348" s="540" t="s">
        <v>1115</v>
      </c>
    </row>
    <row r="349" spans="1:9">
      <c r="A349" s="568">
        <f t="shared" si="5"/>
        <v>344</v>
      </c>
      <c r="B349" s="541">
        <v>41790</v>
      </c>
      <c r="C349" s="540" t="s">
        <v>1244</v>
      </c>
      <c r="D349" s="540" t="s">
        <v>795</v>
      </c>
      <c r="E349" s="540" t="s">
        <v>1252</v>
      </c>
      <c r="F349" s="539" t="s">
        <v>714</v>
      </c>
      <c r="G349" s="544">
        <v>-141.28</v>
      </c>
      <c r="H349" s="540">
        <v>856</v>
      </c>
      <c r="I349" s="540" t="s">
        <v>1115</v>
      </c>
    </row>
    <row r="350" spans="1:9">
      <c r="A350" s="568">
        <f t="shared" si="5"/>
        <v>345</v>
      </c>
      <c r="B350" s="541">
        <v>41790</v>
      </c>
      <c r="C350" s="540" t="s">
        <v>1244</v>
      </c>
      <c r="D350" s="540" t="s">
        <v>795</v>
      </c>
      <c r="E350" s="540" t="s">
        <v>1252</v>
      </c>
      <c r="F350" s="539" t="s">
        <v>714</v>
      </c>
      <c r="G350" s="544">
        <v>-209</v>
      </c>
      <c r="H350" s="540">
        <v>856</v>
      </c>
      <c r="I350" s="540" t="s">
        <v>1115</v>
      </c>
    </row>
    <row r="351" spans="1:9">
      <c r="A351" s="568">
        <f t="shared" si="5"/>
        <v>346</v>
      </c>
      <c r="B351" s="541">
        <v>41790</v>
      </c>
      <c r="C351" s="540" t="s">
        <v>1250</v>
      </c>
      <c r="D351" s="540" t="s">
        <v>795</v>
      </c>
      <c r="E351" s="540" t="s">
        <v>1087</v>
      </c>
      <c r="F351" s="539" t="s">
        <v>714</v>
      </c>
      <c r="G351" s="544">
        <v>-693.7</v>
      </c>
      <c r="H351" s="540">
        <v>856</v>
      </c>
      <c r="I351" s="540" t="s">
        <v>1115</v>
      </c>
    </row>
    <row r="352" spans="1:9">
      <c r="A352" s="568">
        <f t="shared" si="5"/>
        <v>347</v>
      </c>
      <c r="B352" s="541">
        <v>41790</v>
      </c>
      <c r="C352" s="540" t="s">
        <v>1250</v>
      </c>
      <c r="D352" s="540" t="s">
        <v>795</v>
      </c>
      <c r="E352" s="540" t="s">
        <v>1123</v>
      </c>
      <c r="F352" s="539" t="s">
        <v>654</v>
      </c>
      <c r="G352" s="544">
        <v>-8.33</v>
      </c>
      <c r="H352" s="540">
        <v>856</v>
      </c>
      <c r="I352" s="540" t="s">
        <v>1115</v>
      </c>
    </row>
    <row r="353" spans="1:9">
      <c r="A353" s="568">
        <f t="shared" si="5"/>
        <v>348</v>
      </c>
      <c r="B353" s="541">
        <v>41790</v>
      </c>
      <c r="C353" s="540" t="s">
        <v>1244</v>
      </c>
      <c r="D353" s="540" t="s">
        <v>795</v>
      </c>
      <c r="E353" s="540" t="s">
        <v>1088</v>
      </c>
      <c r="F353" s="539" t="s">
        <v>654</v>
      </c>
      <c r="G353" s="544">
        <v>-25</v>
      </c>
      <c r="H353" s="540">
        <v>856</v>
      </c>
      <c r="I353" s="540" t="s">
        <v>1115</v>
      </c>
    </row>
    <row r="354" spans="1:9">
      <c r="A354" s="568">
        <f t="shared" si="5"/>
        <v>349</v>
      </c>
      <c r="B354" s="541">
        <v>41790</v>
      </c>
      <c r="C354" s="540" t="s">
        <v>1250</v>
      </c>
      <c r="D354" s="540" t="s">
        <v>795</v>
      </c>
      <c r="E354" s="540" t="s">
        <v>1253</v>
      </c>
      <c r="F354" s="539" t="s">
        <v>654</v>
      </c>
      <c r="G354" s="544">
        <v>-8.33</v>
      </c>
      <c r="H354" s="540">
        <v>856</v>
      </c>
      <c r="I354" s="540" t="s">
        <v>1115</v>
      </c>
    </row>
    <row r="355" spans="1:9">
      <c r="A355" s="568">
        <f t="shared" si="5"/>
        <v>350</v>
      </c>
      <c r="B355" s="541">
        <v>41790</v>
      </c>
      <c r="C355" s="540" t="s">
        <v>1250</v>
      </c>
      <c r="D355" s="540" t="s">
        <v>795</v>
      </c>
      <c r="E355" s="540" t="s">
        <v>1089</v>
      </c>
      <c r="F355" s="539" t="s">
        <v>959</v>
      </c>
      <c r="G355" s="544">
        <v>-25</v>
      </c>
      <c r="H355" s="540">
        <v>856</v>
      </c>
      <c r="I355" s="540" t="s">
        <v>1115</v>
      </c>
    </row>
    <row r="356" spans="1:9">
      <c r="A356" s="568">
        <f t="shared" si="5"/>
        <v>351</v>
      </c>
      <c r="B356" s="541">
        <v>41790</v>
      </c>
      <c r="C356" s="540" t="s">
        <v>1244</v>
      </c>
      <c r="D356" s="540" t="s">
        <v>795</v>
      </c>
      <c r="E356" s="540" t="s">
        <v>1254</v>
      </c>
      <c r="F356" s="539" t="s">
        <v>654</v>
      </c>
      <c r="G356" s="544">
        <v>-8.33</v>
      </c>
      <c r="H356" s="540">
        <v>856</v>
      </c>
      <c r="I356" s="540" t="s">
        <v>1115</v>
      </c>
    </row>
    <row r="357" spans="1:9">
      <c r="A357" s="568">
        <f t="shared" si="5"/>
        <v>352</v>
      </c>
      <c r="B357" s="541">
        <v>41790</v>
      </c>
      <c r="C357" s="540" t="s">
        <v>1244</v>
      </c>
      <c r="D357" s="540" t="s">
        <v>795</v>
      </c>
      <c r="E357" s="540" t="s">
        <v>1090</v>
      </c>
      <c r="F357" s="539" t="s">
        <v>959</v>
      </c>
      <c r="G357" s="544">
        <v>-95</v>
      </c>
      <c r="H357" s="540">
        <v>856</v>
      </c>
      <c r="I357" s="540" t="s">
        <v>1115</v>
      </c>
    </row>
    <row r="358" spans="1:9">
      <c r="A358" s="568">
        <f t="shared" si="5"/>
        <v>353</v>
      </c>
      <c r="B358" s="541">
        <v>41790</v>
      </c>
      <c r="C358" s="540" t="s">
        <v>1244</v>
      </c>
      <c r="D358" s="540" t="s">
        <v>795</v>
      </c>
      <c r="E358" s="540" t="s">
        <v>1273</v>
      </c>
      <c r="F358" s="539" t="s">
        <v>959</v>
      </c>
      <c r="G358" s="544">
        <v>-66.67</v>
      </c>
      <c r="H358" s="540">
        <v>856</v>
      </c>
      <c r="I358" s="540" t="s">
        <v>1115</v>
      </c>
    </row>
    <row r="359" spans="1:9">
      <c r="A359" s="568">
        <f t="shared" si="5"/>
        <v>354</v>
      </c>
      <c r="B359" s="541">
        <v>41790</v>
      </c>
      <c r="C359" s="540" t="s">
        <v>1244</v>
      </c>
      <c r="D359" s="540" t="s">
        <v>795</v>
      </c>
      <c r="E359" s="540" t="s">
        <v>1273</v>
      </c>
      <c r="F359" s="539" t="s">
        <v>959</v>
      </c>
      <c r="G359" s="544">
        <v>-41.67</v>
      </c>
      <c r="H359" s="540">
        <v>856</v>
      </c>
      <c r="I359" s="540" t="s">
        <v>1115</v>
      </c>
    </row>
    <row r="360" spans="1:9">
      <c r="A360" s="568">
        <f t="shared" si="5"/>
        <v>355</v>
      </c>
      <c r="B360" s="541">
        <v>41790</v>
      </c>
      <c r="C360" s="540" t="s">
        <v>1244</v>
      </c>
      <c r="D360" s="540" t="s">
        <v>795</v>
      </c>
      <c r="E360" s="540" t="s">
        <v>1091</v>
      </c>
      <c r="F360" s="539" t="s">
        <v>714</v>
      </c>
      <c r="G360" s="544">
        <v>-109.69</v>
      </c>
      <c r="H360" s="540">
        <v>856</v>
      </c>
      <c r="I360" s="540" t="s">
        <v>1115</v>
      </c>
    </row>
    <row r="361" spans="1:9">
      <c r="A361" s="568">
        <f t="shared" si="5"/>
        <v>356</v>
      </c>
      <c r="B361" s="541">
        <v>41790</v>
      </c>
      <c r="C361" s="540" t="s">
        <v>1250</v>
      </c>
      <c r="D361" s="540" t="s">
        <v>795</v>
      </c>
      <c r="E361" s="540" t="s">
        <v>1092</v>
      </c>
      <c r="F361" s="539" t="s">
        <v>959</v>
      </c>
      <c r="G361" s="544">
        <v>-41.669999999999995</v>
      </c>
      <c r="H361" s="540">
        <v>856</v>
      </c>
      <c r="I361" s="540" t="s">
        <v>1115</v>
      </c>
    </row>
    <row r="362" spans="1:9">
      <c r="A362" s="568">
        <f t="shared" si="5"/>
        <v>357</v>
      </c>
      <c r="B362" s="541">
        <v>41790</v>
      </c>
      <c r="C362" s="540" t="s">
        <v>1250</v>
      </c>
      <c r="D362" s="540" t="s">
        <v>795</v>
      </c>
      <c r="E362" s="540" t="s">
        <v>1092</v>
      </c>
      <c r="F362" s="539" t="s">
        <v>959</v>
      </c>
      <c r="G362" s="544">
        <v>-16.670000000000002</v>
      </c>
      <c r="H362" s="540">
        <v>856</v>
      </c>
      <c r="I362" s="540" t="s">
        <v>1115</v>
      </c>
    </row>
    <row r="363" spans="1:9">
      <c r="A363" s="568">
        <f t="shared" si="5"/>
        <v>358</v>
      </c>
      <c r="B363" s="541">
        <v>41790</v>
      </c>
      <c r="C363" s="540" t="s">
        <v>1250</v>
      </c>
      <c r="D363" s="540" t="s">
        <v>795</v>
      </c>
      <c r="E363" s="540" t="s">
        <v>1092</v>
      </c>
      <c r="F363" s="539" t="s">
        <v>959</v>
      </c>
      <c r="G363" s="544">
        <v>-363.87</v>
      </c>
      <c r="H363" s="540">
        <v>856</v>
      </c>
      <c r="I363" s="540" t="s">
        <v>1115</v>
      </c>
    </row>
    <row r="364" spans="1:9">
      <c r="A364" s="568">
        <f t="shared" si="5"/>
        <v>359</v>
      </c>
      <c r="B364" s="541">
        <v>41790</v>
      </c>
      <c r="C364" s="540" t="s">
        <v>1250</v>
      </c>
      <c r="D364" s="540" t="s">
        <v>795</v>
      </c>
      <c r="E364" s="540" t="s">
        <v>1092</v>
      </c>
      <c r="F364" s="539" t="s">
        <v>959</v>
      </c>
      <c r="G364" s="544">
        <v>-176.82</v>
      </c>
      <c r="H364" s="540">
        <v>856</v>
      </c>
      <c r="I364" s="540" t="s">
        <v>1115</v>
      </c>
    </row>
    <row r="365" spans="1:9">
      <c r="A365" s="568">
        <f t="shared" si="5"/>
        <v>360</v>
      </c>
      <c r="B365" s="541">
        <v>41790</v>
      </c>
      <c r="C365" s="540" t="s">
        <v>1244</v>
      </c>
      <c r="D365" s="540" t="s">
        <v>795</v>
      </c>
      <c r="E365" s="540" t="s">
        <v>1092</v>
      </c>
      <c r="F365" s="539" t="s">
        <v>959</v>
      </c>
      <c r="G365" s="544">
        <v>-150</v>
      </c>
      <c r="H365" s="540">
        <v>856</v>
      </c>
      <c r="I365" s="540" t="s">
        <v>1115</v>
      </c>
    </row>
    <row r="366" spans="1:9">
      <c r="A366" s="568">
        <f t="shared" si="5"/>
        <v>361</v>
      </c>
      <c r="B366" s="541">
        <v>41790</v>
      </c>
      <c r="C366" s="540" t="s">
        <v>1244</v>
      </c>
      <c r="D366" s="540" t="s">
        <v>795</v>
      </c>
      <c r="E366" s="540" t="s">
        <v>1126</v>
      </c>
      <c r="F366" s="539" t="s">
        <v>714</v>
      </c>
      <c r="G366" s="544">
        <v>-100</v>
      </c>
      <c r="H366" s="540">
        <v>856</v>
      </c>
      <c r="I366" s="540" t="s">
        <v>1115</v>
      </c>
    </row>
    <row r="367" spans="1:9">
      <c r="A367" s="568">
        <f t="shared" si="5"/>
        <v>362</v>
      </c>
      <c r="B367" s="541">
        <v>41790</v>
      </c>
      <c r="C367" s="540" t="s">
        <v>1244</v>
      </c>
      <c r="D367" s="540" t="s">
        <v>795</v>
      </c>
      <c r="E367" s="540" t="s">
        <v>1255</v>
      </c>
      <c r="F367" s="539" t="s">
        <v>959</v>
      </c>
      <c r="G367" s="544">
        <v>-8.33</v>
      </c>
      <c r="H367" s="540">
        <v>856</v>
      </c>
      <c r="I367" s="540" t="s">
        <v>1115</v>
      </c>
    </row>
    <row r="368" spans="1:9">
      <c r="A368" s="568">
        <f t="shared" si="5"/>
        <v>363</v>
      </c>
      <c r="B368" s="541">
        <v>41790</v>
      </c>
      <c r="C368" s="540" t="s">
        <v>1244</v>
      </c>
      <c r="D368" s="540" t="s">
        <v>795</v>
      </c>
      <c r="E368" s="540" t="s">
        <v>1093</v>
      </c>
      <c r="F368" s="539" t="s">
        <v>654</v>
      </c>
      <c r="G368" s="544">
        <v>-500</v>
      </c>
      <c r="H368" s="540">
        <v>856</v>
      </c>
      <c r="I368" s="540" t="s">
        <v>1115</v>
      </c>
    </row>
    <row r="369" spans="1:9">
      <c r="A369" s="568">
        <f t="shared" si="5"/>
        <v>364</v>
      </c>
      <c r="B369" s="541">
        <v>41790</v>
      </c>
      <c r="C369" s="540" t="s">
        <v>1244</v>
      </c>
      <c r="D369" s="540" t="s">
        <v>795</v>
      </c>
      <c r="E369" s="540" t="s">
        <v>1094</v>
      </c>
      <c r="F369" s="539" t="s">
        <v>958</v>
      </c>
      <c r="G369" s="544">
        <v>-14.58</v>
      </c>
      <c r="H369" s="540">
        <v>856</v>
      </c>
      <c r="I369" s="540" t="s">
        <v>1115</v>
      </c>
    </row>
    <row r="370" spans="1:9">
      <c r="A370" s="568">
        <f t="shared" si="5"/>
        <v>365</v>
      </c>
      <c r="B370" s="541">
        <v>41790</v>
      </c>
      <c r="C370" s="540" t="s">
        <v>1244</v>
      </c>
      <c r="D370" s="540" t="s">
        <v>795</v>
      </c>
      <c r="E370" s="540" t="s">
        <v>1095</v>
      </c>
      <c r="F370" s="539" t="s">
        <v>959</v>
      </c>
      <c r="G370" s="544">
        <v>-8.33</v>
      </c>
      <c r="H370" s="540">
        <v>856</v>
      </c>
      <c r="I370" s="540" t="s">
        <v>1115</v>
      </c>
    </row>
    <row r="371" spans="1:9">
      <c r="A371" s="568">
        <f t="shared" si="5"/>
        <v>366</v>
      </c>
      <c r="B371" s="541">
        <v>41790</v>
      </c>
      <c r="C371" s="540" t="s">
        <v>1244</v>
      </c>
      <c r="D371" s="540" t="s">
        <v>795</v>
      </c>
      <c r="E371" s="540" t="s">
        <v>1256</v>
      </c>
      <c r="F371" s="539" t="s">
        <v>714</v>
      </c>
      <c r="G371" s="544">
        <v>-565.41</v>
      </c>
      <c r="H371" s="540">
        <v>856</v>
      </c>
      <c r="I371" s="540" t="s">
        <v>1115</v>
      </c>
    </row>
    <row r="372" spans="1:9">
      <c r="A372" s="568">
        <f t="shared" si="5"/>
        <v>367</v>
      </c>
      <c r="B372" s="541">
        <v>41790</v>
      </c>
      <c r="C372" s="540" t="s">
        <v>1244</v>
      </c>
      <c r="D372" s="540" t="s">
        <v>795</v>
      </c>
      <c r="E372" s="540" t="s">
        <v>1096</v>
      </c>
      <c r="F372" s="539" t="s">
        <v>959</v>
      </c>
      <c r="G372" s="544">
        <v>-10.83</v>
      </c>
      <c r="H372" s="540">
        <v>856</v>
      </c>
      <c r="I372" s="540" t="s">
        <v>1115</v>
      </c>
    </row>
    <row r="373" spans="1:9">
      <c r="A373" s="568">
        <f t="shared" si="5"/>
        <v>368</v>
      </c>
      <c r="B373" s="541">
        <v>41790</v>
      </c>
      <c r="C373" s="540" t="s">
        <v>1244</v>
      </c>
      <c r="D373" s="540" t="s">
        <v>795</v>
      </c>
      <c r="E373" s="540" t="s">
        <v>1097</v>
      </c>
      <c r="F373" s="539" t="s">
        <v>714</v>
      </c>
      <c r="G373" s="544">
        <v>-757.35</v>
      </c>
      <c r="H373" s="540">
        <v>856</v>
      </c>
      <c r="I373" s="540" t="s">
        <v>1115</v>
      </c>
    </row>
    <row r="374" spans="1:9">
      <c r="A374" s="568">
        <f t="shared" si="5"/>
        <v>369</v>
      </c>
      <c r="B374" s="541">
        <v>41790</v>
      </c>
      <c r="C374" s="540" t="s">
        <v>1250</v>
      </c>
      <c r="D374" s="540" t="s">
        <v>795</v>
      </c>
      <c r="E374" s="540" t="s">
        <v>1257</v>
      </c>
      <c r="F374" s="539" t="s">
        <v>959</v>
      </c>
      <c r="G374" s="544">
        <v>-8.33</v>
      </c>
      <c r="H374" s="540">
        <v>856</v>
      </c>
      <c r="I374" s="540" t="s">
        <v>1115</v>
      </c>
    </row>
    <row r="375" spans="1:9">
      <c r="A375" s="568">
        <f t="shared" si="5"/>
        <v>370</v>
      </c>
      <c r="B375" s="541">
        <v>41790</v>
      </c>
      <c r="C375" s="540" t="s">
        <v>1244</v>
      </c>
      <c r="D375" s="540" t="s">
        <v>795</v>
      </c>
      <c r="E375" s="540" t="s">
        <v>1107</v>
      </c>
      <c r="F375" s="539" t="s">
        <v>958</v>
      </c>
      <c r="G375" s="544">
        <v>-1166</v>
      </c>
      <c r="H375" s="540">
        <v>856</v>
      </c>
      <c r="I375" s="540" t="s">
        <v>1115</v>
      </c>
    </row>
    <row r="376" spans="1:9">
      <c r="A376" s="568">
        <f t="shared" si="5"/>
        <v>371</v>
      </c>
      <c r="B376" s="541">
        <v>41790</v>
      </c>
      <c r="C376" s="540" t="s">
        <v>1244</v>
      </c>
      <c r="D376" s="540" t="s">
        <v>795</v>
      </c>
      <c r="E376" s="540" t="s">
        <v>1124</v>
      </c>
      <c r="F376" s="539" t="s">
        <v>959</v>
      </c>
      <c r="G376" s="544">
        <v>-183.85</v>
      </c>
      <c r="H376" s="540">
        <v>856</v>
      </c>
      <c r="I376" s="540" t="s">
        <v>1115</v>
      </c>
    </row>
    <row r="377" spans="1:9">
      <c r="A377" s="568">
        <f t="shared" si="5"/>
        <v>372</v>
      </c>
      <c r="B377" s="541">
        <v>41790</v>
      </c>
      <c r="C377" s="540" t="s">
        <v>1244</v>
      </c>
      <c r="D377" s="540" t="s">
        <v>795</v>
      </c>
      <c r="E377" s="540" t="s">
        <v>1112</v>
      </c>
      <c r="F377" s="539" t="s">
        <v>958</v>
      </c>
      <c r="G377" s="544">
        <v>-612.85</v>
      </c>
      <c r="H377" s="540">
        <v>856</v>
      </c>
      <c r="I377" s="540" t="s">
        <v>1115</v>
      </c>
    </row>
    <row r="378" spans="1:9">
      <c r="A378" s="568">
        <f t="shared" si="5"/>
        <v>373</v>
      </c>
      <c r="B378" s="541">
        <v>41790</v>
      </c>
      <c r="C378" s="540" t="s">
        <v>1244</v>
      </c>
      <c r="D378" s="540" t="s">
        <v>795</v>
      </c>
      <c r="E378" s="540" t="s">
        <v>1112</v>
      </c>
      <c r="F378" s="539" t="s">
        <v>958</v>
      </c>
      <c r="G378" s="544">
        <v>-416.3</v>
      </c>
      <c r="H378" s="540">
        <v>856</v>
      </c>
      <c r="I378" s="540" t="s">
        <v>1115</v>
      </c>
    </row>
    <row r="379" spans="1:9">
      <c r="A379" s="568">
        <f t="shared" si="5"/>
        <v>374</v>
      </c>
      <c r="B379" s="541">
        <v>41790</v>
      </c>
      <c r="C379" s="540" t="s">
        <v>1244</v>
      </c>
      <c r="D379" s="540" t="s">
        <v>795</v>
      </c>
      <c r="E379" s="540" t="s">
        <v>1258</v>
      </c>
      <c r="F379" s="539" t="s">
        <v>714</v>
      </c>
      <c r="G379" s="544">
        <v>-575</v>
      </c>
      <c r="H379" s="540" t="s">
        <v>790</v>
      </c>
      <c r="I379" s="540" t="s">
        <v>1120</v>
      </c>
    </row>
    <row r="380" spans="1:9">
      <c r="A380" s="568">
        <f t="shared" si="5"/>
        <v>375</v>
      </c>
      <c r="B380" s="541">
        <v>41790</v>
      </c>
      <c r="C380" s="540" t="s">
        <v>1244</v>
      </c>
      <c r="D380" s="540" t="s">
        <v>795</v>
      </c>
      <c r="E380" s="540" t="s">
        <v>1259</v>
      </c>
      <c r="F380" s="539" t="s">
        <v>714</v>
      </c>
      <c r="G380" s="544">
        <v>-500</v>
      </c>
      <c r="H380" s="540" t="s">
        <v>790</v>
      </c>
      <c r="I380" s="540" t="s">
        <v>1120</v>
      </c>
    </row>
    <row r="381" spans="1:9">
      <c r="A381" s="568">
        <f t="shared" si="5"/>
        <v>376</v>
      </c>
      <c r="B381" s="541">
        <v>41790</v>
      </c>
      <c r="C381" s="540" t="s">
        <v>1244</v>
      </c>
      <c r="D381" s="540" t="s">
        <v>795</v>
      </c>
      <c r="E381" s="540" t="s">
        <v>1260</v>
      </c>
      <c r="F381" s="539" t="s">
        <v>714</v>
      </c>
      <c r="G381" s="544">
        <v>-400</v>
      </c>
      <c r="H381" s="540" t="s">
        <v>790</v>
      </c>
      <c r="I381" s="540" t="s">
        <v>1120</v>
      </c>
    </row>
    <row r="382" spans="1:9">
      <c r="A382" s="568">
        <f t="shared" si="5"/>
        <v>377</v>
      </c>
      <c r="B382" s="541">
        <v>41790</v>
      </c>
      <c r="C382" s="540" t="s">
        <v>1244</v>
      </c>
      <c r="D382" s="540" t="s">
        <v>795</v>
      </c>
      <c r="E382" s="540" t="s">
        <v>1261</v>
      </c>
      <c r="F382" s="539" t="s">
        <v>714</v>
      </c>
      <c r="G382" s="544">
        <v>-2800</v>
      </c>
      <c r="H382" s="540" t="s">
        <v>790</v>
      </c>
      <c r="I382" s="540" t="s">
        <v>1120</v>
      </c>
    </row>
    <row r="383" spans="1:9">
      <c r="A383" s="568">
        <f t="shared" si="5"/>
        <v>378</v>
      </c>
      <c r="B383" s="541">
        <v>41790</v>
      </c>
      <c r="C383" s="540" t="s">
        <v>1244</v>
      </c>
      <c r="D383" s="540" t="s">
        <v>795</v>
      </c>
      <c r="E383" s="540" t="s">
        <v>1262</v>
      </c>
      <c r="F383" s="539" t="s">
        <v>654</v>
      </c>
      <c r="G383" s="544">
        <v>-1890</v>
      </c>
      <c r="H383" s="540" t="s">
        <v>790</v>
      </c>
      <c r="I383" s="540" t="s">
        <v>1120</v>
      </c>
    </row>
    <row r="384" spans="1:9">
      <c r="A384" s="568">
        <f t="shared" si="5"/>
        <v>379</v>
      </c>
      <c r="B384" s="541">
        <v>41790</v>
      </c>
      <c r="C384" s="540" t="s">
        <v>1244</v>
      </c>
      <c r="D384" s="540" t="s">
        <v>795</v>
      </c>
      <c r="E384" s="540" t="s">
        <v>365</v>
      </c>
      <c r="F384" s="539" t="s">
        <v>714</v>
      </c>
      <c r="G384" s="544">
        <v>-2779.45</v>
      </c>
      <c r="H384" s="540" t="s">
        <v>790</v>
      </c>
      <c r="I384" s="540" t="s">
        <v>1120</v>
      </c>
    </row>
    <row r="385" spans="1:9">
      <c r="A385" s="568">
        <f t="shared" si="5"/>
        <v>380</v>
      </c>
      <c r="B385" s="541">
        <v>41790</v>
      </c>
      <c r="C385" s="540" t="s">
        <v>1250</v>
      </c>
      <c r="D385" s="540" t="s">
        <v>795</v>
      </c>
      <c r="E385" s="540" t="s">
        <v>1263</v>
      </c>
      <c r="F385" s="539" t="s">
        <v>959</v>
      </c>
      <c r="G385" s="544">
        <v>-50</v>
      </c>
      <c r="H385" s="540" t="s">
        <v>790</v>
      </c>
      <c r="I385" s="540" t="s">
        <v>1120</v>
      </c>
    </row>
    <row r="386" spans="1:9">
      <c r="A386" s="568">
        <f t="shared" si="5"/>
        <v>381</v>
      </c>
      <c r="B386" s="541">
        <v>41790</v>
      </c>
      <c r="C386" s="540" t="s">
        <v>1244</v>
      </c>
      <c r="D386" s="540" t="s">
        <v>1063</v>
      </c>
      <c r="E386" s="540" t="s">
        <v>1141</v>
      </c>
      <c r="F386" s="539" t="s">
        <v>959</v>
      </c>
      <c r="G386" s="544">
        <v>-700</v>
      </c>
      <c r="H386" s="540" t="s">
        <v>1264</v>
      </c>
      <c r="I386" s="540" t="s">
        <v>1288</v>
      </c>
    </row>
    <row r="387" spans="1:9">
      <c r="A387" s="568">
        <f t="shared" si="5"/>
        <v>382</v>
      </c>
      <c r="B387" s="541">
        <v>41790</v>
      </c>
      <c r="C387" s="540" t="s">
        <v>1244</v>
      </c>
      <c r="D387" s="540" t="s">
        <v>1063</v>
      </c>
      <c r="E387" s="540" t="s">
        <v>1142</v>
      </c>
      <c r="F387" s="539" t="s">
        <v>959</v>
      </c>
      <c r="G387" s="544">
        <v>-40</v>
      </c>
      <c r="H387" s="540" t="s">
        <v>956</v>
      </c>
      <c r="I387" s="540" t="s">
        <v>1288</v>
      </c>
    </row>
    <row r="388" spans="1:9">
      <c r="A388" s="568">
        <f t="shared" si="5"/>
        <v>383</v>
      </c>
      <c r="B388" s="541">
        <v>41790</v>
      </c>
      <c r="C388" s="540" t="s">
        <v>1244</v>
      </c>
      <c r="D388" s="540" t="s">
        <v>1063</v>
      </c>
      <c r="E388" s="540" t="s">
        <v>1143</v>
      </c>
      <c r="F388" s="539" t="s">
        <v>959</v>
      </c>
      <c r="G388" s="544">
        <v>-350</v>
      </c>
      <c r="H388" s="540" t="s">
        <v>1021</v>
      </c>
      <c r="I388" s="540" t="s">
        <v>1288</v>
      </c>
    </row>
    <row r="389" spans="1:9">
      <c r="A389" s="568">
        <f t="shared" si="5"/>
        <v>384</v>
      </c>
      <c r="B389" s="541">
        <v>41790</v>
      </c>
      <c r="C389" s="540" t="s">
        <v>1244</v>
      </c>
      <c r="D389" s="540" t="s">
        <v>1063</v>
      </c>
      <c r="E389" s="540" t="s">
        <v>1114</v>
      </c>
      <c r="F389" s="539" t="s">
        <v>959</v>
      </c>
      <c r="G389" s="544">
        <v>-40</v>
      </c>
      <c r="H389" s="540" t="s">
        <v>792</v>
      </c>
      <c r="I389" s="540" t="s">
        <v>1288</v>
      </c>
    </row>
    <row r="390" spans="1:9">
      <c r="A390" s="568">
        <f t="shared" si="5"/>
        <v>385</v>
      </c>
      <c r="B390" s="541">
        <v>41790</v>
      </c>
      <c r="C390" s="540" t="s">
        <v>712</v>
      </c>
      <c r="D390" s="540" t="s">
        <v>1064</v>
      </c>
      <c r="E390" s="540" t="s">
        <v>1266</v>
      </c>
      <c r="F390" s="539" t="s">
        <v>959</v>
      </c>
      <c r="G390" s="544">
        <v>-500</v>
      </c>
      <c r="H390" s="540" t="s">
        <v>920</v>
      </c>
      <c r="I390" s="540" t="s">
        <v>1267</v>
      </c>
    </row>
    <row r="391" spans="1:9">
      <c r="A391" s="568">
        <f t="shared" si="5"/>
        <v>386</v>
      </c>
      <c r="B391" s="541">
        <v>41790</v>
      </c>
      <c r="C391" s="540" t="s">
        <v>712</v>
      </c>
      <c r="D391" s="540" t="s">
        <v>1064</v>
      </c>
      <c r="E391" s="540" t="s">
        <v>1268</v>
      </c>
      <c r="F391" s="539" t="s">
        <v>959</v>
      </c>
      <c r="G391" s="544">
        <v>-500</v>
      </c>
      <c r="H391" s="540" t="s">
        <v>920</v>
      </c>
      <c r="I391" s="540" t="s">
        <v>1267</v>
      </c>
    </row>
    <row r="392" spans="1:9">
      <c r="A392" s="568">
        <f t="shared" si="5"/>
        <v>387</v>
      </c>
      <c r="B392" s="541">
        <v>41790</v>
      </c>
      <c r="C392" s="540" t="s">
        <v>1244</v>
      </c>
      <c r="D392" s="540" t="s">
        <v>1013</v>
      </c>
      <c r="E392" s="540" t="s">
        <v>1269</v>
      </c>
      <c r="F392" s="539" t="s">
        <v>714</v>
      </c>
      <c r="G392" s="544">
        <v>-1055</v>
      </c>
      <c r="H392" s="540" t="s">
        <v>1020</v>
      </c>
      <c r="I392" s="540" t="s">
        <v>1267</v>
      </c>
    </row>
    <row r="393" spans="1:9">
      <c r="A393" s="568">
        <f t="shared" si="5"/>
        <v>388</v>
      </c>
      <c r="B393" s="541">
        <v>41820</v>
      </c>
      <c r="C393" s="540">
        <v>454151</v>
      </c>
      <c r="D393" s="540" t="s">
        <v>796</v>
      </c>
      <c r="E393" s="540" t="s">
        <v>1247</v>
      </c>
      <c r="F393" s="539" t="s">
        <v>654</v>
      </c>
      <c r="G393" s="544">
        <v>-25</v>
      </c>
      <c r="H393" s="540">
        <v>856</v>
      </c>
      <c r="I393" s="540" t="s">
        <v>1246</v>
      </c>
    </row>
    <row r="394" spans="1:9">
      <c r="A394" s="568">
        <f t="shared" si="5"/>
        <v>389</v>
      </c>
      <c r="B394" s="541">
        <v>41820</v>
      </c>
      <c r="C394" s="540" t="s">
        <v>1244</v>
      </c>
      <c r="D394" s="540" t="s">
        <v>796</v>
      </c>
      <c r="E394" s="540" t="s">
        <v>1247</v>
      </c>
      <c r="F394" s="539" t="s">
        <v>654</v>
      </c>
      <c r="G394" s="544">
        <v>-2.0699999999999998</v>
      </c>
      <c r="H394" s="540">
        <v>856</v>
      </c>
      <c r="I394" s="540" t="s">
        <v>1289</v>
      </c>
    </row>
    <row r="395" spans="1:9">
      <c r="A395" s="568">
        <f t="shared" si="5"/>
        <v>390</v>
      </c>
      <c r="B395" s="541">
        <v>41820</v>
      </c>
      <c r="C395" s="540" t="s">
        <v>1244</v>
      </c>
      <c r="D395" s="540" t="s">
        <v>796</v>
      </c>
      <c r="E395" s="540" t="s">
        <v>1245</v>
      </c>
      <c r="F395" s="539" t="s">
        <v>714</v>
      </c>
      <c r="G395" s="544">
        <v>-118.92</v>
      </c>
      <c r="H395" s="540">
        <v>856</v>
      </c>
      <c r="I395" s="540" t="s">
        <v>1289</v>
      </c>
    </row>
    <row r="396" spans="1:9">
      <c r="A396" s="568">
        <f t="shared" si="5"/>
        <v>391</v>
      </c>
      <c r="B396" s="541">
        <v>41820</v>
      </c>
      <c r="C396" s="540" t="s">
        <v>1244</v>
      </c>
      <c r="D396" s="540" t="s">
        <v>796</v>
      </c>
      <c r="E396" s="540" t="s">
        <v>1248</v>
      </c>
      <c r="F396" s="539" t="s">
        <v>714</v>
      </c>
      <c r="G396" s="544">
        <v>-684.88</v>
      </c>
      <c r="H396" s="540">
        <v>856</v>
      </c>
      <c r="I396" s="540" t="s">
        <v>1289</v>
      </c>
    </row>
    <row r="397" spans="1:9">
      <c r="A397" s="568">
        <f t="shared" si="5"/>
        <v>392</v>
      </c>
      <c r="B397" s="541">
        <v>41820</v>
      </c>
      <c r="C397" s="540" t="s">
        <v>1244</v>
      </c>
      <c r="D397" s="540" t="s">
        <v>796</v>
      </c>
      <c r="E397" s="540" t="s">
        <v>1248</v>
      </c>
      <c r="F397" s="539" t="s">
        <v>714</v>
      </c>
      <c r="G397" s="544">
        <v>-70.36</v>
      </c>
      <c r="H397" s="540">
        <v>856</v>
      </c>
      <c r="I397" s="540" t="s">
        <v>1289</v>
      </c>
    </row>
    <row r="398" spans="1:9">
      <c r="A398" s="568">
        <f t="shared" si="5"/>
        <v>393</v>
      </c>
      <c r="B398" s="541">
        <v>41820</v>
      </c>
      <c r="C398" s="540" t="s">
        <v>1244</v>
      </c>
      <c r="D398" s="540" t="s">
        <v>796</v>
      </c>
      <c r="E398" s="540" t="s">
        <v>1128</v>
      </c>
      <c r="F398" s="539" t="s">
        <v>959</v>
      </c>
      <c r="G398" s="544">
        <v>-8.34</v>
      </c>
      <c r="H398" s="540">
        <v>856</v>
      </c>
      <c r="I398" s="540" t="s">
        <v>1289</v>
      </c>
    </row>
    <row r="399" spans="1:9">
      <c r="A399" s="568">
        <f t="shared" si="5"/>
        <v>394</v>
      </c>
      <c r="B399" s="541">
        <v>41820</v>
      </c>
      <c r="C399" s="540" t="s">
        <v>1244</v>
      </c>
      <c r="D399" s="540" t="s">
        <v>796</v>
      </c>
      <c r="E399" s="540" t="s">
        <v>1249</v>
      </c>
      <c r="F399" s="539" t="s">
        <v>714</v>
      </c>
      <c r="G399" s="544">
        <v>-147.94999999999999</v>
      </c>
      <c r="H399" s="540">
        <v>856</v>
      </c>
      <c r="I399" s="540" t="s">
        <v>1289</v>
      </c>
    </row>
    <row r="400" spans="1:9">
      <c r="A400" s="568">
        <f t="shared" si="5"/>
        <v>395</v>
      </c>
      <c r="B400" s="541">
        <v>41820</v>
      </c>
      <c r="C400" s="540" t="s">
        <v>1244</v>
      </c>
      <c r="D400" s="540" t="s">
        <v>796</v>
      </c>
      <c r="E400" s="540" t="s">
        <v>1082</v>
      </c>
      <c r="F400" s="539" t="s">
        <v>959</v>
      </c>
      <c r="G400" s="544">
        <v>-8.33</v>
      </c>
      <c r="H400" s="540">
        <v>856</v>
      </c>
      <c r="I400" s="540" t="s">
        <v>1289</v>
      </c>
    </row>
    <row r="401" spans="1:9">
      <c r="A401" s="568">
        <f t="shared" si="5"/>
        <v>396</v>
      </c>
      <c r="B401" s="541">
        <v>41820</v>
      </c>
      <c r="C401" s="540" t="s">
        <v>1250</v>
      </c>
      <c r="D401" s="540" t="s">
        <v>796</v>
      </c>
      <c r="E401" s="540" t="s">
        <v>1103</v>
      </c>
      <c r="F401" s="539" t="s">
        <v>959</v>
      </c>
      <c r="G401" s="544">
        <v>-8.33</v>
      </c>
      <c r="H401" s="540">
        <v>856</v>
      </c>
      <c r="I401" s="540" t="s">
        <v>1289</v>
      </c>
    </row>
    <row r="402" spans="1:9">
      <c r="A402" s="568">
        <f t="shared" si="5"/>
        <v>397</v>
      </c>
      <c r="B402" s="541">
        <v>41820</v>
      </c>
      <c r="C402" s="540" t="s">
        <v>1250</v>
      </c>
      <c r="D402" s="540" t="s">
        <v>796</v>
      </c>
      <c r="E402" s="540" t="s">
        <v>1084</v>
      </c>
      <c r="F402" s="539" t="s">
        <v>959</v>
      </c>
      <c r="G402" s="544">
        <v>-8.33</v>
      </c>
      <c r="H402" s="540">
        <v>856</v>
      </c>
      <c r="I402" s="540" t="s">
        <v>1289</v>
      </c>
    </row>
    <row r="403" spans="1:9">
      <c r="A403" s="568">
        <f t="shared" si="5"/>
        <v>398</v>
      </c>
      <c r="B403" s="541">
        <v>41820</v>
      </c>
      <c r="C403" s="540" t="s">
        <v>1244</v>
      </c>
      <c r="D403" s="540" t="s">
        <v>796</v>
      </c>
      <c r="E403" s="540" t="s">
        <v>1116</v>
      </c>
      <c r="F403" s="539" t="s">
        <v>959</v>
      </c>
      <c r="G403" s="544">
        <v>-20.83</v>
      </c>
      <c r="H403" s="540">
        <v>856</v>
      </c>
      <c r="I403" s="540" t="s">
        <v>1289</v>
      </c>
    </row>
    <row r="404" spans="1:9">
      <c r="A404" s="568">
        <f t="shared" si="5"/>
        <v>399</v>
      </c>
      <c r="B404" s="541">
        <v>41820</v>
      </c>
      <c r="C404" s="540" t="s">
        <v>1244</v>
      </c>
      <c r="D404" s="540" t="s">
        <v>796</v>
      </c>
      <c r="E404" s="540" t="s">
        <v>1117</v>
      </c>
      <c r="F404" s="539" t="s">
        <v>654</v>
      </c>
      <c r="G404" s="544">
        <v>-41.67</v>
      </c>
      <c r="H404" s="540">
        <v>856</v>
      </c>
      <c r="I404" s="540" t="s">
        <v>1289</v>
      </c>
    </row>
    <row r="405" spans="1:9">
      <c r="A405" s="568">
        <f t="shared" si="5"/>
        <v>400</v>
      </c>
      <c r="B405" s="541">
        <v>41820</v>
      </c>
      <c r="C405" s="540" t="s">
        <v>1250</v>
      </c>
      <c r="D405" s="540" t="s">
        <v>796</v>
      </c>
      <c r="E405" s="540" t="s">
        <v>1118</v>
      </c>
      <c r="F405" s="539" t="s">
        <v>959</v>
      </c>
      <c r="G405" s="544">
        <v>-11.25</v>
      </c>
      <c r="H405" s="540">
        <v>856</v>
      </c>
      <c r="I405" s="540" t="s">
        <v>1289</v>
      </c>
    </row>
    <row r="406" spans="1:9">
      <c r="A406" s="568">
        <f t="shared" si="5"/>
        <v>401</v>
      </c>
      <c r="B406" s="541">
        <v>41820</v>
      </c>
      <c r="C406" s="540" t="s">
        <v>1250</v>
      </c>
      <c r="D406" s="540" t="s">
        <v>796</v>
      </c>
      <c r="E406" s="540" t="s">
        <v>1118</v>
      </c>
      <c r="F406" s="539" t="s">
        <v>959</v>
      </c>
      <c r="G406" s="544">
        <v>-29.17</v>
      </c>
      <c r="H406" s="540">
        <v>856</v>
      </c>
      <c r="I406" s="540" t="s">
        <v>1289</v>
      </c>
    </row>
    <row r="407" spans="1:9">
      <c r="A407" s="568">
        <f t="shared" ref="A407:A470" si="6">A406+1</f>
        <v>402</v>
      </c>
      <c r="B407" s="541">
        <v>41820</v>
      </c>
      <c r="C407" s="540" t="s">
        <v>1250</v>
      </c>
      <c r="D407" s="540" t="s">
        <v>796</v>
      </c>
      <c r="E407" s="540" t="s">
        <v>1118</v>
      </c>
      <c r="F407" s="539" t="s">
        <v>959</v>
      </c>
      <c r="G407" s="544">
        <v>-45</v>
      </c>
      <c r="H407" s="540">
        <v>856</v>
      </c>
      <c r="I407" s="540" t="s">
        <v>1289</v>
      </c>
    </row>
    <row r="408" spans="1:9">
      <c r="A408" s="568">
        <f t="shared" si="6"/>
        <v>403</v>
      </c>
      <c r="B408" s="541">
        <v>41820</v>
      </c>
      <c r="C408" s="540" t="s">
        <v>1244</v>
      </c>
      <c r="D408" s="540" t="s">
        <v>796</v>
      </c>
      <c r="E408" s="540" t="s">
        <v>1085</v>
      </c>
      <c r="F408" s="539" t="s">
        <v>654</v>
      </c>
      <c r="G408" s="544">
        <v>-8.34</v>
      </c>
      <c r="H408" s="540">
        <v>856</v>
      </c>
      <c r="I408" s="540" t="s">
        <v>1289</v>
      </c>
    </row>
    <row r="409" spans="1:9">
      <c r="A409" s="568">
        <f t="shared" si="6"/>
        <v>404</v>
      </c>
      <c r="B409" s="541">
        <v>41820</v>
      </c>
      <c r="C409" s="540" t="s">
        <v>1244</v>
      </c>
      <c r="D409" s="540" t="s">
        <v>796</v>
      </c>
      <c r="E409" s="540" t="s">
        <v>1110</v>
      </c>
      <c r="F409" s="539" t="s">
        <v>959</v>
      </c>
      <c r="G409" s="544">
        <v>-4.1100000000000003</v>
      </c>
      <c r="H409" s="540">
        <v>856</v>
      </c>
      <c r="I409" s="540" t="s">
        <v>1289</v>
      </c>
    </row>
    <row r="410" spans="1:9">
      <c r="A410" s="568">
        <f t="shared" si="6"/>
        <v>405</v>
      </c>
      <c r="B410" s="541">
        <v>41820</v>
      </c>
      <c r="C410" s="540" t="s">
        <v>1244</v>
      </c>
      <c r="D410" s="540" t="s">
        <v>796</v>
      </c>
      <c r="E410" s="540" t="s">
        <v>1285</v>
      </c>
      <c r="F410" s="539" t="s">
        <v>959</v>
      </c>
      <c r="G410" s="544">
        <v>-41.67</v>
      </c>
      <c r="H410" s="540">
        <v>856</v>
      </c>
      <c r="I410" s="540" t="s">
        <v>1289</v>
      </c>
    </row>
    <row r="411" spans="1:9">
      <c r="A411" s="568">
        <f t="shared" si="6"/>
        <v>406</v>
      </c>
      <c r="B411" s="541">
        <v>41820</v>
      </c>
      <c r="C411" s="540" t="s">
        <v>1244</v>
      </c>
      <c r="D411" s="540" t="s">
        <v>796</v>
      </c>
      <c r="E411" s="540" t="s">
        <v>1135</v>
      </c>
      <c r="F411" s="539" t="s">
        <v>958</v>
      </c>
      <c r="G411" s="544">
        <v>-29.17</v>
      </c>
      <c r="H411" s="540">
        <v>856</v>
      </c>
      <c r="I411" s="540" t="s">
        <v>1289</v>
      </c>
    </row>
    <row r="412" spans="1:9">
      <c r="A412" s="568">
        <f t="shared" si="6"/>
        <v>407</v>
      </c>
      <c r="B412" s="541">
        <v>41820</v>
      </c>
      <c r="C412" s="540" t="s">
        <v>1250</v>
      </c>
      <c r="D412" s="540" t="s">
        <v>796</v>
      </c>
      <c r="E412" s="540" t="s">
        <v>1105</v>
      </c>
      <c r="F412" s="539" t="s">
        <v>959</v>
      </c>
      <c r="G412" s="544">
        <v>-8.33</v>
      </c>
      <c r="H412" s="540">
        <v>856</v>
      </c>
      <c r="I412" s="540" t="s">
        <v>1289</v>
      </c>
    </row>
    <row r="413" spans="1:9">
      <c r="A413" s="568">
        <f t="shared" si="6"/>
        <v>408</v>
      </c>
      <c r="B413" s="541">
        <v>41820</v>
      </c>
      <c r="C413" s="540" t="s">
        <v>1250</v>
      </c>
      <c r="D413" s="540" t="s">
        <v>796</v>
      </c>
      <c r="E413" s="540" t="s">
        <v>1105</v>
      </c>
      <c r="F413" s="539" t="s">
        <v>959</v>
      </c>
      <c r="G413" s="544">
        <v>-14.58</v>
      </c>
      <c r="H413" s="540">
        <v>856</v>
      </c>
      <c r="I413" s="540" t="s">
        <v>1289</v>
      </c>
    </row>
    <row r="414" spans="1:9">
      <c r="A414" s="568">
        <f t="shared" si="6"/>
        <v>409</v>
      </c>
      <c r="B414" s="541">
        <v>41820</v>
      </c>
      <c r="C414" s="540" t="s">
        <v>1244</v>
      </c>
      <c r="D414" s="540" t="s">
        <v>796</v>
      </c>
      <c r="E414" s="540" t="s">
        <v>1251</v>
      </c>
      <c r="F414" s="539" t="s">
        <v>714</v>
      </c>
      <c r="G414" s="544">
        <v>-179.17</v>
      </c>
      <c r="H414" s="540">
        <v>856</v>
      </c>
      <c r="I414" s="540" t="s">
        <v>1289</v>
      </c>
    </row>
    <row r="415" spans="1:9">
      <c r="A415" s="568">
        <f t="shared" si="6"/>
        <v>410</v>
      </c>
      <c r="B415" s="541">
        <v>41820</v>
      </c>
      <c r="C415" s="540" t="s">
        <v>1244</v>
      </c>
      <c r="D415" s="540" t="s">
        <v>796</v>
      </c>
      <c r="E415" s="540" t="s">
        <v>1106</v>
      </c>
      <c r="F415" s="539" t="s">
        <v>654</v>
      </c>
      <c r="G415" s="544">
        <v>-4.17</v>
      </c>
      <c r="H415" s="540">
        <v>856</v>
      </c>
      <c r="I415" s="540" t="s">
        <v>1289</v>
      </c>
    </row>
    <row r="416" spans="1:9">
      <c r="A416" s="568">
        <f t="shared" si="6"/>
        <v>411</v>
      </c>
      <c r="B416" s="541">
        <v>41820</v>
      </c>
      <c r="C416" s="540" t="s">
        <v>1244</v>
      </c>
      <c r="D416" s="540" t="s">
        <v>796</v>
      </c>
      <c r="E416" s="540" t="s">
        <v>1086</v>
      </c>
      <c r="F416" s="539" t="s">
        <v>959</v>
      </c>
      <c r="G416" s="544">
        <v>-8.33</v>
      </c>
      <c r="H416" s="540">
        <v>856</v>
      </c>
      <c r="I416" s="540" t="s">
        <v>1289</v>
      </c>
    </row>
    <row r="417" spans="1:9">
      <c r="A417" s="568">
        <f t="shared" si="6"/>
        <v>412</v>
      </c>
      <c r="B417" s="541">
        <v>41820</v>
      </c>
      <c r="C417" s="540" t="s">
        <v>1250</v>
      </c>
      <c r="D417" s="540" t="s">
        <v>796</v>
      </c>
      <c r="E417" s="540" t="s">
        <v>1111</v>
      </c>
      <c r="F417" s="539" t="s">
        <v>959</v>
      </c>
      <c r="G417" s="544">
        <v>-41.67</v>
      </c>
      <c r="H417" s="540">
        <v>856</v>
      </c>
      <c r="I417" s="540" t="s">
        <v>1289</v>
      </c>
    </row>
    <row r="418" spans="1:9">
      <c r="A418" s="568">
        <f t="shared" si="6"/>
        <v>413</v>
      </c>
      <c r="B418" s="541">
        <v>41820</v>
      </c>
      <c r="C418" s="540" t="s">
        <v>1244</v>
      </c>
      <c r="D418" s="540" t="s">
        <v>796</v>
      </c>
      <c r="E418" s="540" t="s">
        <v>1132</v>
      </c>
      <c r="F418" s="539" t="s">
        <v>959</v>
      </c>
      <c r="G418" s="544">
        <v>-8.34</v>
      </c>
      <c r="H418" s="540">
        <v>856</v>
      </c>
      <c r="I418" s="540" t="s">
        <v>1289</v>
      </c>
    </row>
    <row r="419" spans="1:9">
      <c r="A419" s="568">
        <f t="shared" si="6"/>
        <v>414</v>
      </c>
      <c r="B419" s="541">
        <v>41820</v>
      </c>
      <c r="C419" s="540" t="s">
        <v>1244</v>
      </c>
      <c r="D419" s="540" t="s">
        <v>796</v>
      </c>
      <c r="E419" s="540" t="s">
        <v>1252</v>
      </c>
      <c r="F419" s="539" t="s">
        <v>714</v>
      </c>
      <c r="G419" s="544">
        <v>-142.79</v>
      </c>
      <c r="H419" s="540">
        <v>856</v>
      </c>
      <c r="I419" s="540" t="s">
        <v>1289</v>
      </c>
    </row>
    <row r="420" spans="1:9">
      <c r="A420" s="568">
        <f t="shared" si="6"/>
        <v>415</v>
      </c>
      <c r="B420" s="541">
        <v>41820</v>
      </c>
      <c r="C420" s="540" t="s">
        <v>1244</v>
      </c>
      <c r="D420" s="540" t="s">
        <v>796</v>
      </c>
      <c r="E420" s="540" t="s">
        <v>1252</v>
      </c>
      <c r="F420" s="539" t="s">
        <v>714</v>
      </c>
      <c r="G420" s="544">
        <v>-142.79</v>
      </c>
      <c r="H420" s="540">
        <v>856</v>
      </c>
      <c r="I420" s="540" t="s">
        <v>1289</v>
      </c>
    </row>
    <row r="421" spans="1:9">
      <c r="A421" s="568">
        <f t="shared" si="6"/>
        <v>416</v>
      </c>
      <c r="B421" s="541">
        <v>41820</v>
      </c>
      <c r="C421" s="540" t="s">
        <v>1244</v>
      </c>
      <c r="D421" s="540" t="s">
        <v>796</v>
      </c>
      <c r="E421" s="540" t="s">
        <v>1252</v>
      </c>
      <c r="F421" s="539" t="s">
        <v>714</v>
      </c>
      <c r="G421" s="544">
        <v>-141.28</v>
      </c>
      <c r="H421" s="540">
        <v>856</v>
      </c>
      <c r="I421" s="540" t="s">
        <v>1289</v>
      </c>
    </row>
    <row r="422" spans="1:9">
      <c r="A422" s="568">
        <f t="shared" si="6"/>
        <v>417</v>
      </c>
      <c r="B422" s="541">
        <v>41820</v>
      </c>
      <c r="C422" s="540" t="s">
        <v>1244</v>
      </c>
      <c r="D422" s="540" t="s">
        <v>796</v>
      </c>
      <c r="E422" s="540" t="s">
        <v>1252</v>
      </c>
      <c r="F422" s="539" t="s">
        <v>714</v>
      </c>
      <c r="G422" s="544">
        <v>-122.2</v>
      </c>
      <c r="H422" s="540">
        <v>856</v>
      </c>
      <c r="I422" s="540" t="s">
        <v>1289</v>
      </c>
    </row>
    <row r="423" spans="1:9">
      <c r="A423" s="568">
        <f t="shared" si="6"/>
        <v>418</v>
      </c>
      <c r="B423" s="541">
        <v>41820</v>
      </c>
      <c r="C423" s="540" t="s">
        <v>1244</v>
      </c>
      <c r="D423" s="540" t="s">
        <v>796</v>
      </c>
      <c r="E423" s="540" t="s">
        <v>1252</v>
      </c>
      <c r="F423" s="539" t="s">
        <v>714</v>
      </c>
      <c r="G423" s="544">
        <v>-141.28</v>
      </c>
      <c r="H423" s="540">
        <v>856</v>
      </c>
      <c r="I423" s="540" t="s">
        <v>1289</v>
      </c>
    </row>
    <row r="424" spans="1:9">
      <c r="A424" s="568">
        <f t="shared" si="6"/>
        <v>419</v>
      </c>
      <c r="B424" s="541">
        <v>41820</v>
      </c>
      <c r="C424" s="540" t="s">
        <v>1244</v>
      </c>
      <c r="D424" s="540" t="s">
        <v>796</v>
      </c>
      <c r="E424" s="540" t="s">
        <v>1252</v>
      </c>
      <c r="F424" s="539" t="s">
        <v>714</v>
      </c>
      <c r="G424" s="544">
        <v>-202.26</v>
      </c>
      <c r="H424" s="540">
        <v>856</v>
      </c>
      <c r="I424" s="540" t="s">
        <v>1289</v>
      </c>
    </row>
    <row r="425" spans="1:9">
      <c r="A425" s="568">
        <f t="shared" si="6"/>
        <v>420</v>
      </c>
      <c r="B425" s="541">
        <v>41820</v>
      </c>
      <c r="C425" s="540" t="s">
        <v>1244</v>
      </c>
      <c r="D425" s="540" t="s">
        <v>796</v>
      </c>
      <c r="E425" s="540" t="s">
        <v>1119</v>
      </c>
      <c r="F425" s="539" t="s">
        <v>654</v>
      </c>
      <c r="G425" s="544">
        <v>-108.34</v>
      </c>
      <c r="H425" s="540">
        <v>856</v>
      </c>
      <c r="I425" s="540" t="s">
        <v>1289</v>
      </c>
    </row>
    <row r="426" spans="1:9">
      <c r="A426" s="568">
        <f t="shared" si="6"/>
        <v>421</v>
      </c>
      <c r="B426" s="541">
        <v>41820</v>
      </c>
      <c r="C426" s="540" t="s">
        <v>1250</v>
      </c>
      <c r="D426" s="540" t="s">
        <v>796</v>
      </c>
      <c r="E426" s="540" t="s">
        <v>1087</v>
      </c>
      <c r="F426" s="539" t="s">
        <v>714</v>
      </c>
      <c r="G426" s="544">
        <v>-693.7</v>
      </c>
      <c r="H426" s="540">
        <v>856</v>
      </c>
      <c r="I426" s="540" t="s">
        <v>1289</v>
      </c>
    </row>
    <row r="427" spans="1:9">
      <c r="A427" s="568">
        <f t="shared" si="6"/>
        <v>422</v>
      </c>
      <c r="B427" s="541">
        <v>41820</v>
      </c>
      <c r="C427" s="540" t="s">
        <v>1250</v>
      </c>
      <c r="D427" s="540" t="s">
        <v>796</v>
      </c>
      <c r="E427" s="540" t="s">
        <v>1123</v>
      </c>
      <c r="F427" s="539" t="s">
        <v>654</v>
      </c>
      <c r="G427" s="544">
        <v>-8.33</v>
      </c>
      <c r="H427" s="540">
        <v>856</v>
      </c>
      <c r="I427" s="540" t="s">
        <v>1289</v>
      </c>
    </row>
    <row r="428" spans="1:9">
      <c r="A428" s="568">
        <f t="shared" si="6"/>
        <v>423</v>
      </c>
      <c r="B428" s="541">
        <v>41820</v>
      </c>
      <c r="C428" s="540" t="s">
        <v>1244</v>
      </c>
      <c r="D428" s="540" t="s">
        <v>796</v>
      </c>
      <c r="E428" s="540" t="s">
        <v>1088</v>
      </c>
      <c r="F428" s="539" t="s">
        <v>654</v>
      </c>
      <c r="G428" s="544">
        <v>-25</v>
      </c>
      <c r="H428" s="540">
        <v>856</v>
      </c>
      <c r="I428" s="540" t="s">
        <v>1289</v>
      </c>
    </row>
    <row r="429" spans="1:9">
      <c r="A429" s="568">
        <f t="shared" si="6"/>
        <v>424</v>
      </c>
      <c r="B429" s="541">
        <v>41820</v>
      </c>
      <c r="C429" s="540" t="s">
        <v>1250</v>
      </c>
      <c r="D429" s="540" t="s">
        <v>796</v>
      </c>
      <c r="E429" s="540" t="s">
        <v>1253</v>
      </c>
      <c r="F429" s="539" t="s">
        <v>654</v>
      </c>
      <c r="G429" s="544">
        <v>-8.33</v>
      </c>
      <c r="H429" s="540">
        <v>856</v>
      </c>
      <c r="I429" s="540" t="s">
        <v>1289</v>
      </c>
    </row>
    <row r="430" spans="1:9">
      <c r="A430" s="568">
        <f t="shared" si="6"/>
        <v>425</v>
      </c>
      <c r="B430" s="541">
        <v>41820</v>
      </c>
      <c r="C430" s="540" t="s">
        <v>1250</v>
      </c>
      <c r="D430" s="540" t="s">
        <v>796</v>
      </c>
      <c r="E430" s="540" t="s">
        <v>1089</v>
      </c>
      <c r="F430" s="539" t="s">
        <v>959</v>
      </c>
      <c r="G430" s="544">
        <v>-25</v>
      </c>
      <c r="H430" s="540">
        <v>856</v>
      </c>
      <c r="I430" s="540" t="s">
        <v>1289</v>
      </c>
    </row>
    <row r="431" spans="1:9">
      <c r="A431" s="568">
        <f t="shared" si="6"/>
        <v>426</v>
      </c>
      <c r="B431" s="541">
        <v>41820</v>
      </c>
      <c r="C431" s="540" t="s">
        <v>1244</v>
      </c>
      <c r="D431" s="540" t="s">
        <v>796</v>
      </c>
      <c r="E431" s="540" t="s">
        <v>1254</v>
      </c>
      <c r="F431" s="539" t="s">
        <v>654</v>
      </c>
      <c r="G431" s="544">
        <v>-8.33</v>
      </c>
      <c r="H431" s="540">
        <v>856</v>
      </c>
      <c r="I431" s="540" t="s">
        <v>1289</v>
      </c>
    </row>
    <row r="432" spans="1:9">
      <c r="A432" s="568">
        <f t="shared" si="6"/>
        <v>427</v>
      </c>
      <c r="B432" s="541">
        <v>41820</v>
      </c>
      <c r="C432" s="540" t="s">
        <v>1244</v>
      </c>
      <c r="D432" s="540" t="s">
        <v>796</v>
      </c>
      <c r="E432" s="540" t="s">
        <v>1090</v>
      </c>
      <c r="F432" s="539" t="s">
        <v>959</v>
      </c>
      <c r="G432" s="544">
        <v>-95</v>
      </c>
      <c r="H432" s="540">
        <v>856</v>
      </c>
      <c r="I432" s="540" t="s">
        <v>1289</v>
      </c>
    </row>
    <row r="433" spans="1:9">
      <c r="A433" s="568">
        <f t="shared" si="6"/>
        <v>428</v>
      </c>
      <c r="B433" s="541">
        <v>41820</v>
      </c>
      <c r="C433" s="540" t="s">
        <v>1244</v>
      </c>
      <c r="D433" s="540" t="s">
        <v>796</v>
      </c>
      <c r="E433" s="540" t="s">
        <v>1273</v>
      </c>
      <c r="F433" s="539" t="s">
        <v>959</v>
      </c>
      <c r="G433" s="544">
        <v>-66.67</v>
      </c>
      <c r="H433" s="540">
        <v>856</v>
      </c>
      <c r="I433" s="540" t="s">
        <v>1289</v>
      </c>
    </row>
    <row r="434" spans="1:9">
      <c r="A434" s="568">
        <f t="shared" si="6"/>
        <v>429</v>
      </c>
      <c r="B434" s="541">
        <v>41820</v>
      </c>
      <c r="C434" s="540" t="s">
        <v>1244</v>
      </c>
      <c r="D434" s="540" t="s">
        <v>796</v>
      </c>
      <c r="E434" s="540" t="s">
        <v>1273</v>
      </c>
      <c r="F434" s="539" t="s">
        <v>959</v>
      </c>
      <c r="G434" s="544">
        <v>-41.67</v>
      </c>
      <c r="H434" s="540">
        <v>856</v>
      </c>
      <c r="I434" s="540" t="s">
        <v>1289</v>
      </c>
    </row>
    <row r="435" spans="1:9">
      <c r="A435" s="568">
        <f t="shared" si="6"/>
        <v>430</v>
      </c>
      <c r="B435" s="541">
        <v>41820</v>
      </c>
      <c r="C435" s="540" t="s">
        <v>1244</v>
      </c>
      <c r="D435" s="540" t="s">
        <v>796</v>
      </c>
      <c r="E435" s="540" t="s">
        <v>1091</v>
      </c>
      <c r="F435" s="539" t="s">
        <v>714</v>
      </c>
      <c r="G435" s="544">
        <v>-109.69</v>
      </c>
      <c r="H435" s="540">
        <v>856</v>
      </c>
      <c r="I435" s="540" t="s">
        <v>1289</v>
      </c>
    </row>
    <row r="436" spans="1:9">
      <c r="A436" s="568">
        <f t="shared" si="6"/>
        <v>431</v>
      </c>
      <c r="B436" s="541">
        <v>41820</v>
      </c>
      <c r="C436" s="540" t="s">
        <v>1250</v>
      </c>
      <c r="D436" s="540" t="s">
        <v>796</v>
      </c>
      <c r="E436" s="540" t="s">
        <v>1092</v>
      </c>
      <c r="F436" s="539" t="s">
        <v>959</v>
      </c>
      <c r="G436" s="544">
        <v>-363.87</v>
      </c>
      <c r="H436" s="540">
        <v>856</v>
      </c>
      <c r="I436" s="540" t="s">
        <v>1289</v>
      </c>
    </row>
    <row r="437" spans="1:9">
      <c r="A437" s="568">
        <f t="shared" si="6"/>
        <v>432</v>
      </c>
      <c r="B437" s="541">
        <v>41820</v>
      </c>
      <c r="C437" s="540" t="s">
        <v>1250</v>
      </c>
      <c r="D437" s="540" t="s">
        <v>796</v>
      </c>
      <c r="E437" s="540" t="s">
        <v>1092</v>
      </c>
      <c r="F437" s="539" t="s">
        <v>959</v>
      </c>
      <c r="G437" s="544">
        <v>-176.82</v>
      </c>
      <c r="H437" s="540">
        <v>856</v>
      </c>
      <c r="I437" s="540" t="s">
        <v>1289</v>
      </c>
    </row>
    <row r="438" spans="1:9">
      <c r="A438" s="568">
        <f t="shared" si="6"/>
        <v>433</v>
      </c>
      <c r="B438" s="541">
        <v>41820</v>
      </c>
      <c r="C438" s="540" t="s">
        <v>1250</v>
      </c>
      <c r="D438" s="540" t="s">
        <v>796</v>
      </c>
      <c r="E438" s="540" t="s">
        <v>1092</v>
      </c>
      <c r="F438" s="539" t="s">
        <v>959</v>
      </c>
      <c r="G438" s="544">
        <v>-150</v>
      </c>
      <c r="H438" s="540">
        <v>856</v>
      </c>
      <c r="I438" s="540" t="s">
        <v>1289</v>
      </c>
    </row>
    <row r="439" spans="1:9">
      <c r="A439" s="568">
        <f t="shared" si="6"/>
        <v>434</v>
      </c>
      <c r="B439" s="541">
        <v>41820</v>
      </c>
      <c r="C439" s="540" t="s">
        <v>1250</v>
      </c>
      <c r="D439" s="540" t="s">
        <v>796</v>
      </c>
      <c r="E439" s="540" t="s">
        <v>1092</v>
      </c>
      <c r="F439" s="539" t="s">
        <v>959</v>
      </c>
      <c r="G439" s="544">
        <v>-16.670000000000002</v>
      </c>
      <c r="H439" s="540">
        <v>856</v>
      </c>
      <c r="I439" s="540" t="s">
        <v>1289</v>
      </c>
    </row>
    <row r="440" spans="1:9">
      <c r="A440" s="568">
        <f t="shared" si="6"/>
        <v>435</v>
      </c>
      <c r="B440" s="541">
        <v>41820</v>
      </c>
      <c r="C440" s="540" t="s">
        <v>1250</v>
      </c>
      <c r="D440" s="540" t="s">
        <v>796</v>
      </c>
      <c r="E440" s="540" t="s">
        <v>1092</v>
      </c>
      <c r="F440" s="539" t="s">
        <v>959</v>
      </c>
      <c r="G440" s="544">
        <v>-41.67</v>
      </c>
      <c r="H440" s="540">
        <v>856</v>
      </c>
      <c r="I440" s="540" t="s">
        <v>1289</v>
      </c>
    </row>
    <row r="441" spans="1:9">
      <c r="A441" s="568">
        <f t="shared" si="6"/>
        <v>436</v>
      </c>
      <c r="B441" s="541">
        <v>41820</v>
      </c>
      <c r="C441" s="540" t="s">
        <v>1244</v>
      </c>
      <c r="D441" s="540" t="s">
        <v>796</v>
      </c>
      <c r="E441" s="540" t="s">
        <v>1126</v>
      </c>
      <c r="F441" s="539" t="s">
        <v>714</v>
      </c>
      <c r="G441" s="544">
        <v>-100</v>
      </c>
      <c r="H441" s="540">
        <v>856</v>
      </c>
      <c r="I441" s="540" t="s">
        <v>1289</v>
      </c>
    </row>
    <row r="442" spans="1:9">
      <c r="A442" s="568">
        <f t="shared" si="6"/>
        <v>437</v>
      </c>
      <c r="B442" s="541">
        <v>41820</v>
      </c>
      <c r="C442" s="540" t="s">
        <v>1244</v>
      </c>
      <c r="D442" s="540" t="s">
        <v>796</v>
      </c>
      <c r="E442" s="540" t="s">
        <v>1255</v>
      </c>
      <c r="F442" s="539" t="s">
        <v>959</v>
      </c>
      <c r="G442" s="544">
        <v>-8.33</v>
      </c>
      <c r="H442" s="540">
        <v>856</v>
      </c>
      <c r="I442" s="540" t="s">
        <v>1289</v>
      </c>
    </row>
    <row r="443" spans="1:9">
      <c r="A443" s="568">
        <f t="shared" si="6"/>
        <v>438</v>
      </c>
      <c r="B443" s="541">
        <v>41820</v>
      </c>
      <c r="C443" s="540" t="s">
        <v>1244</v>
      </c>
      <c r="D443" s="540" t="s">
        <v>796</v>
      </c>
      <c r="E443" s="540" t="s">
        <v>1093</v>
      </c>
      <c r="F443" s="539" t="s">
        <v>654</v>
      </c>
      <c r="G443" s="544">
        <v>-500</v>
      </c>
      <c r="H443" s="540">
        <v>856</v>
      </c>
      <c r="I443" s="540" t="s">
        <v>1289</v>
      </c>
    </row>
    <row r="444" spans="1:9">
      <c r="A444" s="568">
        <f t="shared" si="6"/>
        <v>439</v>
      </c>
      <c r="B444" s="541">
        <v>41820</v>
      </c>
      <c r="C444" s="540" t="s">
        <v>1244</v>
      </c>
      <c r="D444" s="540" t="s">
        <v>796</v>
      </c>
      <c r="E444" s="540" t="s">
        <v>1094</v>
      </c>
      <c r="F444" s="539" t="s">
        <v>958</v>
      </c>
      <c r="G444" s="544">
        <v>-14.58</v>
      </c>
      <c r="H444" s="540">
        <v>856</v>
      </c>
      <c r="I444" s="540" t="s">
        <v>1289</v>
      </c>
    </row>
    <row r="445" spans="1:9">
      <c r="A445" s="568">
        <f t="shared" si="6"/>
        <v>440</v>
      </c>
      <c r="B445" s="541">
        <v>41820</v>
      </c>
      <c r="C445" s="540" t="s">
        <v>1244</v>
      </c>
      <c r="D445" s="540" t="s">
        <v>796</v>
      </c>
      <c r="E445" s="540" t="s">
        <v>1095</v>
      </c>
      <c r="F445" s="539" t="s">
        <v>959</v>
      </c>
      <c r="G445" s="544">
        <v>-8.33</v>
      </c>
      <c r="H445" s="540">
        <v>856</v>
      </c>
      <c r="I445" s="540" t="s">
        <v>1289</v>
      </c>
    </row>
    <row r="446" spans="1:9">
      <c r="A446" s="568">
        <f t="shared" si="6"/>
        <v>441</v>
      </c>
      <c r="B446" s="541">
        <v>41820</v>
      </c>
      <c r="C446" s="540" t="s">
        <v>1244</v>
      </c>
      <c r="D446" s="540" t="s">
        <v>796</v>
      </c>
      <c r="E446" s="540" t="s">
        <v>1256</v>
      </c>
      <c r="F446" s="539" t="s">
        <v>714</v>
      </c>
      <c r="G446" s="544">
        <v>-565.41</v>
      </c>
      <c r="H446" s="540">
        <v>856</v>
      </c>
      <c r="I446" s="540" t="s">
        <v>1289</v>
      </c>
    </row>
    <row r="447" spans="1:9">
      <c r="A447" s="568">
        <f t="shared" si="6"/>
        <v>442</v>
      </c>
      <c r="B447" s="541">
        <v>41820</v>
      </c>
      <c r="C447" s="540" t="s">
        <v>1244</v>
      </c>
      <c r="D447" s="540" t="s">
        <v>796</v>
      </c>
      <c r="E447" s="540" t="s">
        <v>1096</v>
      </c>
      <c r="F447" s="539" t="s">
        <v>959</v>
      </c>
      <c r="G447" s="544">
        <v>-10.83</v>
      </c>
      <c r="H447" s="540">
        <v>856</v>
      </c>
      <c r="I447" s="540" t="s">
        <v>1289</v>
      </c>
    </row>
    <row r="448" spans="1:9">
      <c r="A448" s="568">
        <f t="shared" si="6"/>
        <v>443</v>
      </c>
      <c r="B448" s="541">
        <v>41820</v>
      </c>
      <c r="C448" s="540" t="s">
        <v>1244</v>
      </c>
      <c r="D448" s="540" t="s">
        <v>796</v>
      </c>
      <c r="E448" s="540" t="s">
        <v>1097</v>
      </c>
      <c r="F448" s="539" t="s">
        <v>714</v>
      </c>
      <c r="G448" s="544">
        <v>-757.35</v>
      </c>
      <c r="H448" s="540">
        <v>856</v>
      </c>
      <c r="I448" s="540" t="s">
        <v>1289</v>
      </c>
    </row>
    <row r="449" spans="1:9">
      <c r="A449" s="568">
        <f t="shared" si="6"/>
        <v>444</v>
      </c>
      <c r="B449" s="541">
        <v>41820</v>
      </c>
      <c r="C449" s="540" t="s">
        <v>1250</v>
      </c>
      <c r="D449" s="540" t="s">
        <v>796</v>
      </c>
      <c r="E449" s="540" t="s">
        <v>1257</v>
      </c>
      <c r="F449" s="539" t="s">
        <v>959</v>
      </c>
      <c r="G449" s="544">
        <v>-8.33</v>
      </c>
      <c r="H449" s="540">
        <v>856</v>
      </c>
      <c r="I449" s="540" t="s">
        <v>1289</v>
      </c>
    </row>
    <row r="450" spans="1:9">
      <c r="A450" s="568">
        <f t="shared" si="6"/>
        <v>445</v>
      </c>
      <c r="B450" s="541">
        <v>41820</v>
      </c>
      <c r="C450" s="540" t="s">
        <v>1244</v>
      </c>
      <c r="D450" s="540" t="s">
        <v>796</v>
      </c>
      <c r="E450" s="540" t="s">
        <v>1107</v>
      </c>
      <c r="F450" s="539" t="s">
        <v>958</v>
      </c>
      <c r="G450" s="544">
        <v>-1166</v>
      </c>
      <c r="H450" s="540">
        <v>856</v>
      </c>
      <c r="I450" s="540" t="s">
        <v>1289</v>
      </c>
    </row>
    <row r="451" spans="1:9">
      <c r="A451" s="568">
        <f t="shared" si="6"/>
        <v>446</v>
      </c>
      <c r="B451" s="541">
        <v>41820</v>
      </c>
      <c r="C451" s="540" t="s">
        <v>1244</v>
      </c>
      <c r="D451" s="540" t="s">
        <v>796</v>
      </c>
      <c r="E451" s="540" t="s">
        <v>1124</v>
      </c>
      <c r="F451" s="539" t="s">
        <v>959</v>
      </c>
      <c r="G451" s="544">
        <v>-183.82</v>
      </c>
      <c r="H451" s="540">
        <v>856</v>
      </c>
      <c r="I451" s="540" t="s">
        <v>1289</v>
      </c>
    </row>
    <row r="452" spans="1:9">
      <c r="A452" s="568">
        <f t="shared" si="6"/>
        <v>447</v>
      </c>
      <c r="B452" s="541">
        <v>41820</v>
      </c>
      <c r="C452" s="540" t="s">
        <v>1244</v>
      </c>
      <c r="D452" s="540" t="s">
        <v>796</v>
      </c>
      <c r="E452" s="540" t="s">
        <v>1112</v>
      </c>
      <c r="F452" s="539" t="s">
        <v>958</v>
      </c>
      <c r="G452" s="544">
        <v>-612.85</v>
      </c>
      <c r="H452" s="540">
        <v>856</v>
      </c>
      <c r="I452" s="540" t="s">
        <v>1289</v>
      </c>
    </row>
    <row r="453" spans="1:9">
      <c r="A453" s="568">
        <f t="shared" si="6"/>
        <v>448</v>
      </c>
      <c r="B453" s="541">
        <v>41820</v>
      </c>
      <c r="C453" s="540" t="s">
        <v>1244</v>
      </c>
      <c r="D453" s="540" t="s">
        <v>796</v>
      </c>
      <c r="E453" s="540" t="s">
        <v>1112</v>
      </c>
      <c r="F453" s="539" t="s">
        <v>958</v>
      </c>
      <c r="G453" s="544">
        <v>-416.3</v>
      </c>
      <c r="H453" s="540">
        <v>856</v>
      </c>
      <c r="I453" s="540" t="s">
        <v>1289</v>
      </c>
    </row>
    <row r="454" spans="1:9">
      <c r="A454" s="568">
        <f t="shared" si="6"/>
        <v>449</v>
      </c>
      <c r="B454" s="541">
        <v>41820</v>
      </c>
      <c r="C454" s="540" t="s">
        <v>1244</v>
      </c>
      <c r="D454" s="540" t="s">
        <v>796</v>
      </c>
      <c r="E454" s="540" t="s">
        <v>1258</v>
      </c>
      <c r="F454" s="539" t="s">
        <v>714</v>
      </c>
      <c r="G454" s="544">
        <v>-575</v>
      </c>
      <c r="H454" s="540" t="s">
        <v>790</v>
      </c>
      <c r="I454" s="540" t="s">
        <v>1121</v>
      </c>
    </row>
    <row r="455" spans="1:9">
      <c r="A455" s="568">
        <f t="shared" si="6"/>
        <v>450</v>
      </c>
      <c r="B455" s="541">
        <v>41820</v>
      </c>
      <c r="C455" s="540" t="s">
        <v>1244</v>
      </c>
      <c r="D455" s="540" t="s">
        <v>796</v>
      </c>
      <c r="E455" s="540" t="s">
        <v>1259</v>
      </c>
      <c r="F455" s="539" t="s">
        <v>714</v>
      </c>
      <c r="G455" s="544">
        <v>-500</v>
      </c>
      <c r="H455" s="540" t="s">
        <v>790</v>
      </c>
      <c r="I455" s="540" t="s">
        <v>1121</v>
      </c>
    </row>
    <row r="456" spans="1:9">
      <c r="A456" s="568">
        <f t="shared" si="6"/>
        <v>451</v>
      </c>
      <c r="B456" s="541">
        <v>41820</v>
      </c>
      <c r="C456" s="540" t="s">
        <v>1244</v>
      </c>
      <c r="D456" s="540" t="s">
        <v>796</v>
      </c>
      <c r="E456" s="540" t="s">
        <v>1260</v>
      </c>
      <c r="F456" s="539" t="s">
        <v>714</v>
      </c>
      <c r="G456" s="544">
        <v>-400</v>
      </c>
      <c r="H456" s="540" t="s">
        <v>790</v>
      </c>
      <c r="I456" s="540" t="s">
        <v>1121</v>
      </c>
    </row>
    <row r="457" spans="1:9">
      <c r="A457" s="568">
        <f t="shared" si="6"/>
        <v>452</v>
      </c>
      <c r="B457" s="541">
        <v>41820</v>
      </c>
      <c r="C457" s="540" t="s">
        <v>1244</v>
      </c>
      <c r="D457" s="540" t="s">
        <v>796</v>
      </c>
      <c r="E457" s="540" t="s">
        <v>1261</v>
      </c>
      <c r="F457" s="539" t="s">
        <v>714</v>
      </c>
      <c r="G457" s="544">
        <v>-2800</v>
      </c>
      <c r="H457" s="540" t="s">
        <v>790</v>
      </c>
      <c r="I457" s="540" t="s">
        <v>1121</v>
      </c>
    </row>
    <row r="458" spans="1:9">
      <c r="A458" s="568">
        <f t="shared" si="6"/>
        <v>453</v>
      </c>
      <c r="B458" s="541">
        <v>41820</v>
      </c>
      <c r="C458" s="540" t="s">
        <v>1244</v>
      </c>
      <c r="D458" s="540" t="s">
        <v>796</v>
      </c>
      <c r="E458" s="540" t="s">
        <v>1262</v>
      </c>
      <c r="F458" s="539" t="s">
        <v>654</v>
      </c>
      <c r="G458" s="544">
        <v>-1890</v>
      </c>
      <c r="H458" s="540" t="s">
        <v>790</v>
      </c>
      <c r="I458" s="540" t="s">
        <v>1121</v>
      </c>
    </row>
    <row r="459" spans="1:9">
      <c r="A459" s="568">
        <f t="shared" si="6"/>
        <v>454</v>
      </c>
      <c r="B459" s="541">
        <v>41820</v>
      </c>
      <c r="C459" s="540" t="s">
        <v>1244</v>
      </c>
      <c r="D459" s="540" t="s">
        <v>796</v>
      </c>
      <c r="E459" s="540" t="s">
        <v>365</v>
      </c>
      <c r="F459" s="539" t="s">
        <v>714</v>
      </c>
      <c r="G459" s="544">
        <v>-2779.45</v>
      </c>
      <c r="H459" s="540" t="s">
        <v>790</v>
      </c>
      <c r="I459" s="540" t="s">
        <v>1121</v>
      </c>
    </row>
    <row r="460" spans="1:9">
      <c r="A460" s="568">
        <f t="shared" si="6"/>
        <v>455</v>
      </c>
      <c r="B460" s="541">
        <v>41820</v>
      </c>
      <c r="C460" s="540" t="s">
        <v>1250</v>
      </c>
      <c r="D460" s="540" t="s">
        <v>796</v>
      </c>
      <c r="E460" s="540" t="s">
        <v>1263</v>
      </c>
      <c r="F460" s="539" t="s">
        <v>959</v>
      </c>
      <c r="G460" s="544">
        <v>-50</v>
      </c>
      <c r="H460" s="540" t="s">
        <v>790</v>
      </c>
      <c r="I460" s="540" t="s">
        <v>1121</v>
      </c>
    </row>
    <row r="461" spans="1:9">
      <c r="A461" s="568">
        <f t="shared" si="6"/>
        <v>456</v>
      </c>
      <c r="B461" s="541">
        <v>41820</v>
      </c>
      <c r="C461" s="540" t="s">
        <v>1244</v>
      </c>
      <c r="D461" s="540" t="s">
        <v>1065</v>
      </c>
      <c r="E461" s="540" t="s">
        <v>1141</v>
      </c>
      <c r="F461" s="539" t="s">
        <v>959</v>
      </c>
      <c r="G461" s="544">
        <v>-700</v>
      </c>
      <c r="H461" s="540" t="s">
        <v>1264</v>
      </c>
      <c r="I461" s="540" t="s">
        <v>1290</v>
      </c>
    </row>
    <row r="462" spans="1:9">
      <c r="A462" s="568">
        <f t="shared" si="6"/>
        <v>457</v>
      </c>
      <c r="B462" s="541">
        <v>41820</v>
      </c>
      <c r="C462" s="540" t="s">
        <v>1244</v>
      </c>
      <c r="D462" s="540" t="s">
        <v>1065</v>
      </c>
      <c r="E462" s="540" t="s">
        <v>1142</v>
      </c>
      <c r="F462" s="539" t="s">
        <v>959</v>
      </c>
      <c r="G462" s="544">
        <v>-40</v>
      </c>
      <c r="H462" s="540" t="s">
        <v>956</v>
      </c>
      <c r="I462" s="540" t="s">
        <v>1290</v>
      </c>
    </row>
    <row r="463" spans="1:9">
      <c r="A463" s="568">
        <f t="shared" si="6"/>
        <v>458</v>
      </c>
      <c r="B463" s="541">
        <v>41820</v>
      </c>
      <c r="C463" s="540" t="s">
        <v>1244</v>
      </c>
      <c r="D463" s="540" t="s">
        <v>1065</v>
      </c>
      <c r="E463" s="540" t="s">
        <v>1143</v>
      </c>
      <c r="F463" s="539" t="s">
        <v>959</v>
      </c>
      <c r="G463" s="544">
        <v>-350</v>
      </c>
      <c r="H463" s="540" t="s">
        <v>1021</v>
      </c>
      <c r="I463" s="540" t="s">
        <v>1290</v>
      </c>
    </row>
    <row r="464" spans="1:9">
      <c r="A464" s="568">
        <f t="shared" si="6"/>
        <v>459</v>
      </c>
      <c r="B464" s="541">
        <v>41820</v>
      </c>
      <c r="C464" s="540" t="s">
        <v>1244</v>
      </c>
      <c r="D464" s="540" t="s">
        <v>1065</v>
      </c>
      <c r="E464" s="540" t="s">
        <v>1114</v>
      </c>
      <c r="F464" s="539" t="s">
        <v>959</v>
      </c>
      <c r="G464" s="544">
        <v>-40</v>
      </c>
      <c r="H464" s="540" t="s">
        <v>792</v>
      </c>
      <c r="I464" s="540" t="s">
        <v>1290</v>
      </c>
    </row>
    <row r="465" spans="1:9">
      <c r="A465" s="568">
        <f t="shared" si="6"/>
        <v>460</v>
      </c>
      <c r="B465" s="541">
        <v>41820</v>
      </c>
      <c r="C465" s="540" t="s">
        <v>712</v>
      </c>
      <c r="D465" s="540" t="s">
        <v>1066</v>
      </c>
      <c r="E465" s="540" t="s">
        <v>1266</v>
      </c>
      <c r="F465" s="539" t="s">
        <v>959</v>
      </c>
      <c r="G465" s="544">
        <v>-500</v>
      </c>
      <c r="H465" s="540" t="s">
        <v>920</v>
      </c>
      <c r="I465" s="540" t="s">
        <v>1267</v>
      </c>
    </row>
    <row r="466" spans="1:9">
      <c r="A466" s="568">
        <f t="shared" si="6"/>
        <v>461</v>
      </c>
      <c r="B466" s="541">
        <v>41820</v>
      </c>
      <c r="C466" s="540" t="s">
        <v>712</v>
      </c>
      <c r="D466" s="540" t="s">
        <v>1066</v>
      </c>
      <c r="E466" s="540" t="s">
        <v>1268</v>
      </c>
      <c r="F466" s="539" t="s">
        <v>959</v>
      </c>
      <c r="G466" s="544">
        <v>-500</v>
      </c>
      <c r="H466" s="540" t="s">
        <v>920</v>
      </c>
      <c r="I466" s="540" t="s">
        <v>1267</v>
      </c>
    </row>
    <row r="467" spans="1:9">
      <c r="A467" s="568">
        <f t="shared" si="6"/>
        <v>462</v>
      </c>
      <c r="B467" s="541">
        <v>41820</v>
      </c>
      <c r="C467" s="540" t="s">
        <v>1244</v>
      </c>
      <c r="D467" s="540" t="s">
        <v>1067</v>
      </c>
      <c r="E467" s="540" t="s">
        <v>1269</v>
      </c>
      <c r="F467" s="539" t="s">
        <v>714</v>
      </c>
      <c r="G467" s="544">
        <v>-1055</v>
      </c>
      <c r="H467" s="540" t="s">
        <v>1020</v>
      </c>
      <c r="I467" s="540" t="s">
        <v>1267</v>
      </c>
    </row>
    <row r="468" spans="1:9">
      <c r="A468" s="568">
        <f t="shared" si="6"/>
        <v>463</v>
      </c>
      <c r="B468" s="541">
        <v>41851</v>
      </c>
      <c r="C468" s="540" t="s">
        <v>1244</v>
      </c>
      <c r="D468" s="540" t="s">
        <v>14</v>
      </c>
      <c r="E468" s="540" t="s">
        <v>1261</v>
      </c>
      <c r="F468" s="539" t="s">
        <v>714</v>
      </c>
      <c r="G468" s="544">
        <v>-400</v>
      </c>
      <c r="H468" s="540">
        <v>856</v>
      </c>
      <c r="I468" s="540" t="s">
        <v>1279</v>
      </c>
    </row>
    <row r="469" spans="1:9">
      <c r="A469" s="568">
        <f t="shared" si="6"/>
        <v>464</v>
      </c>
      <c r="B469" s="541">
        <v>41851</v>
      </c>
      <c r="C469" s="540" t="s">
        <v>1244</v>
      </c>
      <c r="D469" s="540" t="s">
        <v>14</v>
      </c>
      <c r="E469" s="540" t="s">
        <v>1291</v>
      </c>
      <c r="F469" s="539" t="s">
        <v>714</v>
      </c>
      <c r="G469" s="544">
        <v>-750</v>
      </c>
      <c r="H469" s="540">
        <v>856</v>
      </c>
      <c r="I469" s="540" t="s">
        <v>1284</v>
      </c>
    </row>
    <row r="470" spans="1:9">
      <c r="A470" s="568">
        <f t="shared" si="6"/>
        <v>465</v>
      </c>
      <c r="B470" s="541">
        <v>41851</v>
      </c>
      <c r="C470" s="540" t="s">
        <v>1244</v>
      </c>
      <c r="D470" s="540" t="s">
        <v>14</v>
      </c>
      <c r="E470" s="540" t="s">
        <v>1245</v>
      </c>
      <c r="F470" s="539" t="s">
        <v>714</v>
      </c>
      <c r="G470" s="544">
        <v>-118.92</v>
      </c>
      <c r="H470" s="540">
        <v>856</v>
      </c>
      <c r="I470" s="540" t="s">
        <v>1292</v>
      </c>
    </row>
    <row r="471" spans="1:9">
      <c r="A471" s="568">
        <f t="shared" ref="A471:A534" si="7">A470+1</f>
        <v>466</v>
      </c>
      <c r="B471" s="541">
        <v>41851</v>
      </c>
      <c r="C471" s="540" t="s">
        <v>1244</v>
      </c>
      <c r="D471" s="540" t="s">
        <v>14</v>
      </c>
      <c r="E471" s="540" t="s">
        <v>1248</v>
      </c>
      <c r="F471" s="539" t="s">
        <v>714</v>
      </c>
      <c r="G471" s="544">
        <v>-777.9</v>
      </c>
      <c r="H471" s="540">
        <v>856</v>
      </c>
      <c r="I471" s="540" t="s">
        <v>1292</v>
      </c>
    </row>
    <row r="472" spans="1:9">
      <c r="A472" s="568">
        <f t="shared" si="7"/>
        <v>467</v>
      </c>
      <c r="B472" s="541">
        <v>41851</v>
      </c>
      <c r="C472" s="540" t="s">
        <v>1244</v>
      </c>
      <c r="D472" s="540" t="s">
        <v>14</v>
      </c>
      <c r="E472" s="540" t="s">
        <v>1128</v>
      </c>
      <c r="F472" s="539" t="s">
        <v>959</v>
      </c>
      <c r="G472" s="544">
        <v>-8.31</v>
      </c>
      <c r="H472" s="540">
        <v>856</v>
      </c>
      <c r="I472" s="540" t="s">
        <v>1292</v>
      </c>
    </row>
    <row r="473" spans="1:9">
      <c r="A473" s="568">
        <f t="shared" si="7"/>
        <v>468</v>
      </c>
      <c r="B473" s="541">
        <v>41851</v>
      </c>
      <c r="C473" s="540" t="s">
        <v>1244</v>
      </c>
      <c r="D473" s="540" t="s">
        <v>14</v>
      </c>
      <c r="E473" s="540" t="s">
        <v>1249</v>
      </c>
      <c r="F473" s="539" t="s">
        <v>714</v>
      </c>
      <c r="G473" s="544">
        <v>-152.88</v>
      </c>
      <c r="H473" s="540">
        <v>856</v>
      </c>
      <c r="I473" s="540" t="s">
        <v>1292</v>
      </c>
    </row>
    <row r="474" spans="1:9">
      <c r="A474" s="568">
        <f t="shared" si="7"/>
        <v>469</v>
      </c>
      <c r="B474" s="541">
        <v>41851</v>
      </c>
      <c r="C474" s="540" t="s">
        <v>1244</v>
      </c>
      <c r="D474" s="540" t="s">
        <v>14</v>
      </c>
      <c r="E474" s="540" t="s">
        <v>1082</v>
      </c>
      <c r="F474" s="539" t="s">
        <v>959</v>
      </c>
      <c r="G474" s="544">
        <v>-8.33</v>
      </c>
      <c r="H474" s="540">
        <v>856</v>
      </c>
      <c r="I474" s="540" t="s">
        <v>1292</v>
      </c>
    </row>
    <row r="475" spans="1:9">
      <c r="A475" s="568">
        <f t="shared" si="7"/>
        <v>470</v>
      </c>
      <c r="B475" s="541">
        <v>41851</v>
      </c>
      <c r="C475" s="540" t="s">
        <v>1250</v>
      </c>
      <c r="D475" s="540" t="s">
        <v>14</v>
      </c>
      <c r="E475" s="540" t="s">
        <v>1103</v>
      </c>
      <c r="F475" s="539" t="s">
        <v>959</v>
      </c>
      <c r="G475" s="544">
        <v>-8.33</v>
      </c>
      <c r="H475" s="540">
        <v>856</v>
      </c>
      <c r="I475" s="540" t="s">
        <v>1292</v>
      </c>
    </row>
    <row r="476" spans="1:9">
      <c r="A476" s="568">
        <f t="shared" si="7"/>
        <v>471</v>
      </c>
      <c r="B476" s="541">
        <v>41851</v>
      </c>
      <c r="C476" s="540" t="s">
        <v>1250</v>
      </c>
      <c r="D476" s="540" t="s">
        <v>14</v>
      </c>
      <c r="E476" s="540" t="s">
        <v>1084</v>
      </c>
      <c r="F476" s="539" t="s">
        <v>959</v>
      </c>
      <c r="G476" s="544">
        <v>-8.33</v>
      </c>
      <c r="H476" s="540">
        <v>856</v>
      </c>
      <c r="I476" s="540" t="s">
        <v>1292</v>
      </c>
    </row>
    <row r="477" spans="1:9">
      <c r="A477" s="568">
        <f t="shared" si="7"/>
        <v>472</v>
      </c>
      <c r="B477" s="541">
        <v>41851</v>
      </c>
      <c r="C477" s="540" t="s">
        <v>1244</v>
      </c>
      <c r="D477" s="540" t="s">
        <v>14</v>
      </c>
      <c r="E477" s="540" t="s">
        <v>1116</v>
      </c>
      <c r="F477" s="539" t="s">
        <v>959</v>
      </c>
      <c r="G477" s="544">
        <v>-20.83</v>
      </c>
      <c r="H477" s="540">
        <v>856</v>
      </c>
      <c r="I477" s="540" t="s">
        <v>1292</v>
      </c>
    </row>
    <row r="478" spans="1:9">
      <c r="A478" s="568">
        <f t="shared" si="7"/>
        <v>473</v>
      </c>
      <c r="B478" s="541">
        <v>41851</v>
      </c>
      <c r="C478" s="540" t="s">
        <v>1244</v>
      </c>
      <c r="D478" s="540" t="s">
        <v>14</v>
      </c>
      <c r="E478" s="540" t="s">
        <v>1117</v>
      </c>
      <c r="F478" s="539" t="s">
        <v>654</v>
      </c>
      <c r="G478" s="544">
        <v>-41.67</v>
      </c>
      <c r="H478" s="540">
        <v>856</v>
      </c>
      <c r="I478" s="540" t="s">
        <v>1292</v>
      </c>
    </row>
    <row r="479" spans="1:9">
      <c r="A479" s="568">
        <f t="shared" si="7"/>
        <v>474</v>
      </c>
      <c r="B479" s="541">
        <v>41851</v>
      </c>
      <c r="C479" s="540" t="s">
        <v>1250</v>
      </c>
      <c r="D479" s="540" t="s">
        <v>14</v>
      </c>
      <c r="E479" s="540" t="s">
        <v>1118</v>
      </c>
      <c r="F479" s="539" t="s">
        <v>959</v>
      </c>
      <c r="G479" s="544">
        <v>-11.25</v>
      </c>
      <c r="H479" s="540">
        <v>856</v>
      </c>
      <c r="I479" s="540" t="s">
        <v>1292</v>
      </c>
    </row>
    <row r="480" spans="1:9">
      <c r="A480" s="568">
        <f t="shared" si="7"/>
        <v>475</v>
      </c>
      <c r="B480" s="541">
        <v>41851</v>
      </c>
      <c r="C480" s="540" t="s">
        <v>1250</v>
      </c>
      <c r="D480" s="540" t="s">
        <v>14</v>
      </c>
      <c r="E480" s="540" t="s">
        <v>1118</v>
      </c>
      <c r="F480" s="539" t="s">
        <v>959</v>
      </c>
      <c r="G480" s="544">
        <v>-29.17</v>
      </c>
      <c r="H480" s="540">
        <v>856</v>
      </c>
      <c r="I480" s="540" t="s">
        <v>1292</v>
      </c>
    </row>
    <row r="481" spans="1:9">
      <c r="A481" s="568">
        <f t="shared" si="7"/>
        <v>476</v>
      </c>
      <c r="B481" s="541">
        <v>41851</v>
      </c>
      <c r="C481" s="540" t="s">
        <v>1250</v>
      </c>
      <c r="D481" s="540" t="s">
        <v>14</v>
      </c>
      <c r="E481" s="540" t="s">
        <v>1118</v>
      </c>
      <c r="F481" s="539" t="s">
        <v>959</v>
      </c>
      <c r="G481" s="544">
        <v>-45</v>
      </c>
      <c r="H481" s="540">
        <v>856</v>
      </c>
      <c r="I481" s="540" t="s">
        <v>1292</v>
      </c>
    </row>
    <row r="482" spans="1:9">
      <c r="A482" s="568">
        <f t="shared" si="7"/>
        <v>477</v>
      </c>
      <c r="B482" s="541">
        <v>41851</v>
      </c>
      <c r="C482" s="540" t="s">
        <v>1244</v>
      </c>
      <c r="D482" s="540" t="s">
        <v>14</v>
      </c>
      <c r="E482" s="540" t="s">
        <v>1085</v>
      </c>
      <c r="F482" s="539" t="s">
        <v>654</v>
      </c>
      <c r="G482" s="544">
        <v>-8.34</v>
      </c>
      <c r="H482" s="540">
        <v>856</v>
      </c>
      <c r="I482" s="540" t="s">
        <v>1292</v>
      </c>
    </row>
    <row r="483" spans="1:9">
      <c r="A483" s="568">
        <f t="shared" si="7"/>
        <v>478</v>
      </c>
      <c r="B483" s="541">
        <v>41851</v>
      </c>
      <c r="C483" s="540" t="s">
        <v>1244</v>
      </c>
      <c r="D483" s="540" t="s">
        <v>14</v>
      </c>
      <c r="E483" s="540" t="s">
        <v>1110</v>
      </c>
      <c r="F483" s="539" t="s">
        <v>959</v>
      </c>
      <c r="G483" s="544">
        <v>-4.25</v>
      </c>
      <c r="H483" s="540">
        <v>856</v>
      </c>
      <c r="I483" s="540" t="s">
        <v>1292</v>
      </c>
    </row>
    <row r="484" spans="1:9">
      <c r="A484" s="568">
        <f t="shared" si="7"/>
        <v>479</v>
      </c>
      <c r="B484" s="541">
        <v>41851</v>
      </c>
      <c r="C484" s="540" t="s">
        <v>1244</v>
      </c>
      <c r="D484" s="540" t="s">
        <v>14</v>
      </c>
      <c r="E484" s="540" t="s">
        <v>1285</v>
      </c>
      <c r="F484" s="539" t="s">
        <v>959</v>
      </c>
      <c r="G484" s="544">
        <v>-41.67</v>
      </c>
      <c r="H484" s="540">
        <v>856</v>
      </c>
      <c r="I484" s="540" t="s">
        <v>1292</v>
      </c>
    </row>
    <row r="485" spans="1:9">
      <c r="A485" s="568">
        <f t="shared" si="7"/>
        <v>480</v>
      </c>
      <c r="B485" s="541">
        <v>41851</v>
      </c>
      <c r="C485" s="540" t="s">
        <v>1244</v>
      </c>
      <c r="D485" s="540" t="s">
        <v>14</v>
      </c>
      <c r="E485" s="540" t="s">
        <v>1135</v>
      </c>
      <c r="F485" s="539" t="s">
        <v>958</v>
      </c>
      <c r="G485" s="544">
        <v>-29.17</v>
      </c>
      <c r="H485" s="540">
        <v>856</v>
      </c>
      <c r="I485" s="540" t="s">
        <v>1292</v>
      </c>
    </row>
    <row r="486" spans="1:9">
      <c r="A486" s="568">
        <f t="shared" si="7"/>
        <v>481</v>
      </c>
      <c r="B486" s="541">
        <v>41851</v>
      </c>
      <c r="C486" s="540" t="s">
        <v>1250</v>
      </c>
      <c r="D486" s="540" t="s">
        <v>14</v>
      </c>
      <c r="E486" s="540" t="s">
        <v>1105</v>
      </c>
      <c r="F486" s="539" t="s">
        <v>959</v>
      </c>
      <c r="G486" s="544">
        <v>-8.33</v>
      </c>
      <c r="H486" s="540">
        <v>856</v>
      </c>
      <c r="I486" s="540" t="s">
        <v>1292</v>
      </c>
    </row>
    <row r="487" spans="1:9">
      <c r="A487" s="568">
        <f t="shared" si="7"/>
        <v>482</v>
      </c>
      <c r="B487" s="541">
        <v>41851</v>
      </c>
      <c r="C487" s="540" t="s">
        <v>1250</v>
      </c>
      <c r="D487" s="540" t="s">
        <v>14</v>
      </c>
      <c r="E487" s="540" t="s">
        <v>1105</v>
      </c>
      <c r="F487" s="539" t="s">
        <v>959</v>
      </c>
      <c r="G487" s="544">
        <v>-14.58</v>
      </c>
      <c r="H487" s="540">
        <v>856</v>
      </c>
      <c r="I487" s="540" t="s">
        <v>1292</v>
      </c>
    </row>
    <row r="488" spans="1:9">
      <c r="A488" s="568">
        <f t="shared" si="7"/>
        <v>483</v>
      </c>
      <c r="B488" s="541">
        <v>41851</v>
      </c>
      <c r="C488" s="540" t="s">
        <v>1244</v>
      </c>
      <c r="D488" s="540" t="s">
        <v>14</v>
      </c>
      <c r="E488" s="540" t="s">
        <v>1251</v>
      </c>
      <c r="F488" s="539" t="s">
        <v>714</v>
      </c>
      <c r="G488" s="544">
        <v>-179.17</v>
      </c>
      <c r="H488" s="540">
        <v>856</v>
      </c>
      <c r="I488" s="540" t="s">
        <v>1292</v>
      </c>
    </row>
    <row r="489" spans="1:9">
      <c r="A489" s="568">
        <f t="shared" si="7"/>
        <v>484</v>
      </c>
      <c r="B489" s="541">
        <v>41851</v>
      </c>
      <c r="C489" s="540" t="s">
        <v>1244</v>
      </c>
      <c r="D489" s="540" t="s">
        <v>14</v>
      </c>
      <c r="E489" s="540" t="s">
        <v>1106</v>
      </c>
      <c r="F489" s="539" t="s">
        <v>654</v>
      </c>
      <c r="G489" s="544">
        <v>-4.17</v>
      </c>
      <c r="H489" s="540">
        <v>856</v>
      </c>
      <c r="I489" s="540" t="s">
        <v>1292</v>
      </c>
    </row>
    <row r="490" spans="1:9">
      <c r="A490" s="568">
        <f t="shared" si="7"/>
        <v>485</v>
      </c>
      <c r="B490" s="541">
        <v>41851</v>
      </c>
      <c r="C490" s="540" t="s">
        <v>1244</v>
      </c>
      <c r="D490" s="540" t="s">
        <v>14</v>
      </c>
      <c r="E490" s="540" t="s">
        <v>1086</v>
      </c>
      <c r="F490" s="539" t="s">
        <v>959</v>
      </c>
      <c r="G490" s="544">
        <v>-8.33</v>
      </c>
      <c r="H490" s="540">
        <v>856</v>
      </c>
      <c r="I490" s="540" t="s">
        <v>1292</v>
      </c>
    </row>
    <row r="491" spans="1:9">
      <c r="A491" s="568">
        <f t="shared" si="7"/>
        <v>486</v>
      </c>
      <c r="B491" s="541">
        <v>41851</v>
      </c>
      <c r="C491" s="540" t="s">
        <v>1250</v>
      </c>
      <c r="D491" s="540" t="s">
        <v>14</v>
      </c>
      <c r="E491" s="540" t="s">
        <v>1111</v>
      </c>
      <c r="F491" s="539" t="s">
        <v>959</v>
      </c>
      <c r="G491" s="544">
        <v>-41.67</v>
      </c>
      <c r="H491" s="540">
        <v>856</v>
      </c>
      <c r="I491" s="540" t="s">
        <v>1292</v>
      </c>
    </row>
    <row r="492" spans="1:9">
      <c r="A492" s="568">
        <f t="shared" si="7"/>
        <v>487</v>
      </c>
      <c r="B492" s="541">
        <v>41851</v>
      </c>
      <c r="C492" s="540" t="s">
        <v>1244</v>
      </c>
      <c r="D492" s="540" t="s">
        <v>14</v>
      </c>
      <c r="E492" s="540" t="s">
        <v>1132</v>
      </c>
      <c r="F492" s="539" t="s">
        <v>959</v>
      </c>
      <c r="G492" s="544">
        <v>-8.34</v>
      </c>
      <c r="H492" s="540">
        <v>856</v>
      </c>
      <c r="I492" s="540" t="s">
        <v>1292</v>
      </c>
    </row>
    <row r="493" spans="1:9">
      <c r="A493" s="568">
        <f t="shared" si="7"/>
        <v>488</v>
      </c>
      <c r="B493" s="541">
        <v>41851</v>
      </c>
      <c r="C493" s="540" t="s">
        <v>1244</v>
      </c>
      <c r="D493" s="540" t="s">
        <v>14</v>
      </c>
      <c r="E493" s="540" t="s">
        <v>1252</v>
      </c>
      <c r="F493" s="539" t="s">
        <v>714</v>
      </c>
      <c r="G493" s="544">
        <v>-142.79</v>
      </c>
      <c r="H493" s="540">
        <v>856</v>
      </c>
      <c r="I493" s="540" t="s">
        <v>1292</v>
      </c>
    </row>
    <row r="494" spans="1:9">
      <c r="A494" s="568">
        <f t="shared" si="7"/>
        <v>489</v>
      </c>
      <c r="B494" s="541">
        <v>41851</v>
      </c>
      <c r="C494" s="540" t="s">
        <v>1244</v>
      </c>
      <c r="D494" s="540" t="s">
        <v>14</v>
      </c>
      <c r="E494" s="540" t="s">
        <v>1252</v>
      </c>
      <c r="F494" s="539" t="s">
        <v>714</v>
      </c>
      <c r="G494" s="544">
        <v>-142.79</v>
      </c>
      <c r="H494" s="540">
        <v>856</v>
      </c>
      <c r="I494" s="540" t="s">
        <v>1292</v>
      </c>
    </row>
    <row r="495" spans="1:9">
      <c r="A495" s="568">
        <f t="shared" si="7"/>
        <v>490</v>
      </c>
      <c r="B495" s="541">
        <v>41851</v>
      </c>
      <c r="C495" s="540" t="s">
        <v>1244</v>
      </c>
      <c r="D495" s="540" t="s">
        <v>14</v>
      </c>
      <c r="E495" s="540" t="s">
        <v>1252</v>
      </c>
      <c r="F495" s="539" t="s">
        <v>714</v>
      </c>
      <c r="G495" s="544">
        <v>-141.28</v>
      </c>
      <c r="H495" s="540">
        <v>856</v>
      </c>
      <c r="I495" s="540" t="s">
        <v>1292</v>
      </c>
    </row>
    <row r="496" spans="1:9">
      <c r="A496" s="568">
        <f t="shared" si="7"/>
        <v>491</v>
      </c>
      <c r="B496" s="541">
        <v>41851</v>
      </c>
      <c r="C496" s="540" t="s">
        <v>1244</v>
      </c>
      <c r="D496" s="540" t="s">
        <v>14</v>
      </c>
      <c r="E496" s="540" t="s">
        <v>1252</v>
      </c>
      <c r="F496" s="539" t="s">
        <v>714</v>
      </c>
      <c r="G496" s="544">
        <v>-122.2</v>
      </c>
      <c r="H496" s="540">
        <v>856</v>
      </c>
      <c r="I496" s="540" t="s">
        <v>1292</v>
      </c>
    </row>
    <row r="497" spans="1:9">
      <c r="A497" s="568">
        <f t="shared" si="7"/>
        <v>492</v>
      </c>
      <c r="B497" s="541">
        <v>41851</v>
      </c>
      <c r="C497" s="540" t="s">
        <v>1244</v>
      </c>
      <c r="D497" s="540" t="s">
        <v>14</v>
      </c>
      <c r="E497" s="540" t="s">
        <v>1252</v>
      </c>
      <c r="F497" s="539" t="s">
        <v>714</v>
      </c>
      <c r="G497" s="544">
        <v>-141.28</v>
      </c>
      <c r="H497" s="540">
        <v>856</v>
      </c>
      <c r="I497" s="540" t="s">
        <v>1292</v>
      </c>
    </row>
    <row r="498" spans="1:9">
      <c r="A498" s="568">
        <f t="shared" si="7"/>
        <v>493</v>
      </c>
      <c r="B498" s="541">
        <v>41851</v>
      </c>
      <c r="C498" s="540" t="s">
        <v>1244</v>
      </c>
      <c r="D498" s="540" t="s">
        <v>14</v>
      </c>
      <c r="E498" s="540" t="s">
        <v>1252</v>
      </c>
      <c r="F498" s="539" t="s">
        <v>714</v>
      </c>
      <c r="G498" s="544">
        <v>-209</v>
      </c>
      <c r="H498" s="540">
        <v>856</v>
      </c>
      <c r="I498" s="540" t="s">
        <v>1292</v>
      </c>
    </row>
    <row r="499" spans="1:9">
      <c r="A499" s="568">
        <f t="shared" si="7"/>
        <v>494</v>
      </c>
      <c r="B499" s="541">
        <v>41851</v>
      </c>
      <c r="C499" s="540" t="s">
        <v>1244</v>
      </c>
      <c r="D499" s="540" t="s">
        <v>14</v>
      </c>
      <c r="E499" s="540" t="s">
        <v>1119</v>
      </c>
      <c r="F499" s="539" t="s">
        <v>654</v>
      </c>
      <c r="G499" s="544">
        <v>-54.17</v>
      </c>
      <c r="H499" s="540">
        <v>856</v>
      </c>
      <c r="I499" s="540" t="s">
        <v>1292</v>
      </c>
    </row>
    <row r="500" spans="1:9">
      <c r="A500" s="568">
        <f t="shared" si="7"/>
        <v>495</v>
      </c>
      <c r="B500" s="541">
        <v>41851</v>
      </c>
      <c r="C500" s="540" t="s">
        <v>1250</v>
      </c>
      <c r="D500" s="540" t="s">
        <v>14</v>
      </c>
      <c r="E500" s="540" t="s">
        <v>1087</v>
      </c>
      <c r="F500" s="539" t="s">
        <v>714</v>
      </c>
      <c r="G500" s="544">
        <v>-693.7</v>
      </c>
      <c r="H500" s="540">
        <v>856</v>
      </c>
      <c r="I500" s="540" t="s">
        <v>1292</v>
      </c>
    </row>
    <row r="501" spans="1:9">
      <c r="A501" s="568">
        <f t="shared" si="7"/>
        <v>496</v>
      </c>
      <c r="B501" s="541">
        <v>41851</v>
      </c>
      <c r="C501" s="540" t="s">
        <v>1250</v>
      </c>
      <c r="D501" s="540" t="s">
        <v>14</v>
      </c>
      <c r="E501" s="540" t="s">
        <v>1123</v>
      </c>
      <c r="F501" s="539" t="s">
        <v>654</v>
      </c>
      <c r="G501" s="544">
        <v>-8.33</v>
      </c>
      <c r="H501" s="540">
        <v>856</v>
      </c>
      <c r="I501" s="540" t="s">
        <v>1292</v>
      </c>
    </row>
    <row r="502" spans="1:9">
      <c r="A502" s="568">
        <f t="shared" si="7"/>
        <v>497</v>
      </c>
      <c r="B502" s="541">
        <v>41851</v>
      </c>
      <c r="C502" s="540" t="s">
        <v>1244</v>
      </c>
      <c r="D502" s="540" t="s">
        <v>14</v>
      </c>
      <c r="E502" s="540" t="s">
        <v>1088</v>
      </c>
      <c r="F502" s="539" t="s">
        <v>654</v>
      </c>
      <c r="G502" s="544">
        <v>-25</v>
      </c>
      <c r="H502" s="540">
        <v>856</v>
      </c>
      <c r="I502" s="540" t="s">
        <v>1292</v>
      </c>
    </row>
    <row r="503" spans="1:9">
      <c r="A503" s="568">
        <f t="shared" si="7"/>
        <v>498</v>
      </c>
      <c r="B503" s="541">
        <v>41851</v>
      </c>
      <c r="C503" s="540" t="s">
        <v>1250</v>
      </c>
      <c r="D503" s="540" t="s">
        <v>14</v>
      </c>
      <c r="E503" s="540" t="s">
        <v>1253</v>
      </c>
      <c r="F503" s="539" t="s">
        <v>654</v>
      </c>
      <c r="G503" s="544">
        <v>-8.33</v>
      </c>
      <c r="H503" s="540">
        <v>856</v>
      </c>
      <c r="I503" s="540" t="s">
        <v>1292</v>
      </c>
    </row>
    <row r="504" spans="1:9">
      <c r="A504" s="568">
        <f t="shared" si="7"/>
        <v>499</v>
      </c>
      <c r="B504" s="541">
        <v>41851</v>
      </c>
      <c r="C504" s="540" t="s">
        <v>1250</v>
      </c>
      <c r="D504" s="540" t="s">
        <v>14</v>
      </c>
      <c r="E504" s="540" t="s">
        <v>1089</v>
      </c>
      <c r="F504" s="539" t="s">
        <v>959</v>
      </c>
      <c r="G504" s="544">
        <v>-25</v>
      </c>
      <c r="H504" s="540">
        <v>856</v>
      </c>
      <c r="I504" s="540" t="s">
        <v>1292</v>
      </c>
    </row>
    <row r="505" spans="1:9">
      <c r="A505" s="568">
        <f t="shared" si="7"/>
        <v>500</v>
      </c>
      <c r="B505" s="541">
        <v>41851</v>
      </c>
      <c r="C505" s="540" t="s">
        <v>1244</v>
      </c>
      <c r="D505" s="540" t="s">
        <v>14</v>
      </c>
      <c r="E505" s="540" t="s">
        <v>1254</v>
      </c>
      <c r="F505" s="539" t="s">
        <v>654</v>
      </c>
      <c r="G505" s="544">
        <v>-8.33</v>
      </c>
      <c r="H505" s="540">
        <v>856</v>
      </c>
      <c r="I505" s="540" t="s">
        <v>1292</v>
      </c>
    </row>
    <row r="506" spans="1:9">
      <c r="A506" s="568">
        <f t="shared" si="7"/>
        <v>501</v>
      </c>
      <c r="B506" s="541">
        <v>41851</v>
      </c>
      <c r="C506" s="540" t="s">
        <v>1244</v>
      </c>
      <c r="D506" s="540" t="s">
        <v>14</v>
      </c>
      <c r="E506" s="540" t="s">
        <v>1090</v>
      </c>
      <c r="F506" s="539" t="s">
        <v>959</v>
      </c>
      <c r="G506" s="544">
        <v>-95</v>
      </c>
      <c r="H506" s="540">
        <v>856</v>
      </c>
      <c r="I506" s="540" t="s">
        <v>1292</v>
      </c>
    </row>
    <row r="507" spans="1:9">
      <c r="A507" s="568">
        <f t="shared" si="7"/>
        <v>502</v>
      </c>
      <c r="B507" s="541">
        <v>41851</v>
      </c>
      <c r="C507" s="540" t="s">
        <v>1244</v>
      </c>
      <c r="D507" s="540" t="s">
        <v>14</v>
      </c>
      <c r="E507" s="540" t="s">
        <v>1273</v>
      </c>
      <c r="F507" s="539" t="s">
        <v>959</v>
      </c>
      <c r="G507" s="544">
        <v>-66.67</v>
      </c>
      <c r="H507" s="540">
        <v>856</v>
      </c>
      <c r="I507" s="540" t="s">
        <v>1292</v>
      </c>
    </row>
    <row r="508" spans="1:9">
      <c r="A508" s="568">
        <f t="shared" si="7"/>
        <v>503</v>
      </c>
      <c r="B508" s="541">
        <v>41851</v>
      </c>
      <c r="C508" s="540" t="s">
        <v>1244</v>
      </c>
      <c r="D508" s="540" t="s">
        <v>14</v>
      </c>
      <c r="E508" s="540" t="s">
        <v>1273</v>
      </c>
      <c r="F508" s="539" t="s">
        <v>959</v>
      </c>
      <c r="G508" s="544">
        <v>-41.67</v>
      </c>
      <c r="H508" s="540">
        <v>856</v>
      </c>
      <c r="I508" s="540" t="s">
        <v>1292</v>
      </c>
    </row>
    <row r="509" spans="1:9">
      <c r="A509" s="568">
        <f t="shared" si="7"/>
        <v>504</v>
      </c>
      <c r="B509" s="541">
        <v>41851</v>
      </c>
      <c r="C509" s="540" t="s">
        <v>1244</v>
      </c>
      <c r="D509" s="540" t="s">
        <v>14</v>
      </c>
      <c r="E509" s="540" t="s">
        <v>1091</v>
      </c>
      <c r="F509" s="539" t="s">
        <v>714</v>
      </c>
      <c r="G509" s="544">
        <v>-109.69</v>
      </c>
      <c r="H509" s="540">
        <v>856</v>
      </c>
      <c r="I509" s="540" t="s">
        <v>1292</v>
      </c>
    </row>
    <row r="510" spans="1:9">
      <c r="A510" s="568">
        <f t="shared" si="7"/>
        <v>505</v>
      </c>
      <c r="B510" s="541">
        <v>41851</v>
      </c>
      <c r="C510" s="540" t="s">
        <v>1250</v>
      </c>
      <c r="D510" s="540" t="s">
        <v>14</v>
      </c>
      <c r="E510" s="540" t="s">
        <v>1092</v>
      </c>
      <c r="F510" s="539" t="s">
        <v>959</v>
      </c>
      <c r="G510" s="544">
        <v>-363.87</v>
      </c>
      <c r="H510" s="540">
        <v>856</v>
      </c>
      <c r="I510" s="540" t="s">
        <v>1292</v>
      </c>
    </row>
    <row r="511" spans="1:9">
      <c r="A511" s="568">
        <f t="shared" si="7"/>
        <v>506</v>
      </c>
      <c r="B511" s="541">
        <v>41851</v>
      </c>
      <c r="C511" s="540" t="s">
        <v>1250</v>
      </c>
      <c r="D511" s="540" t="s">
        <v>14</v>
      </c>
      <c r="E511" s="540" t="s">
        <v>1092</v>
      </c>
      <c r="F511" s="539" t="s">
        <v>959</v>
      </c>
      <c r="G511" s="544">
        <v>-176.82</v>
      </c>
      <c r="H511" s="540">
        <v>856</v>
      </c>
      <c r="I511" s="540" t="s">
        <v>1292</v>
      </c>
    </row>
    <row r="512" spans="1:9">
      <c r="A512" s="568">
        <f t="shared" si="7"/>
        <v>507</v>
      </c>
      <c r="B512" s="541">
        <v>41851</v>
      </c>
      <c r="C512" s="540" t="s">
        <v>1250</v>
      </c>
      <c r="D512" s="540" t="s">
        <v>14</v>
      </c>
      <c r="E512" s="540" t="s">
        <v>1092</v>
      </c>
      <c r="F512" s="539" t="s">
        <v>959</v>
      </c>
      <c r="G512" s="544">
        <v>-150</v>
      </c>
      <c r="H512" s="540">
        <v>856</v>
      </c>
      <c r="I512" s="540" t="s">
        <v>1292</v>
      </c>
    </row>
    <row r="513" spans="1:9">
      <c r="A513" s="568">
        <f t="shared" si="7"/>
        <v>508</v>
      </c>
      <c r="B513" s="541">
        <v>41851</v>
      </c>
      <c r="C513" s="540" t="s">
        <v>1250</v>
      </c>
      <c r="D513" s="540" t="s">
        <v>14</v>
      </c>
      <c r="E513" s="540" t="s">
        <v>1092</v>
      </c>
      <c r="F513" s="539" t="s">
        <v>959</v>
      </c>
      <c r="G513" s="544">
        <v>-16.670000000000002</v>
      </c>
      <c r="H513" s="540">
        <v>856</v>
      </c>
      <c r="I513" s="540" t="s">
        <v>1292</v>
      </c>
    </row>
    <row r="514" spans="1:9">
      <c r="A514" s="568">
        <f t="shared" si="7"/>
        <v>509</v>
      </c>
      <c r="B514" s="541">
        <v>41851</v>
      </c>
      <c r="C514" s="540" t="s">
        <v>1250</v>
      </c>
      <c r="D514" s="540" t="s">
        <v>14</v>
      </c>
      <c r="E514" s="540" t="s">
        <v>1092</v>
      </c>
      <c r="F514" s="539" t="s">
        <v>959</v>
      </c>
      <c r="G514" s="544">
        <v>-41.67</v>
      </c>
      <c r="H514" s="540">
        <v>856</v>
      </c>
      <c r="I514" s="540" t="s">
        <v>1292</v>
      </c>
    </row>
    <row r="515" spans="1:9">
      <c r="A515" s="568">
        <f t="shared" si="7"/>
        <v>510</v>
      </c>
      <c r="B515" s="541">
        <v>41851</v>
      </c>
      <c r="C515" s="540" t="s">
        <v>1244</v>
      </c>
      <c r="D515" s="540" t="s">
        <v>14</v>
      </c>
      <c r="E515" s="540" t="s">
        <v>1126</v>
      </c>
      <c r="F515" s="539" t="s">
        <v>714</v>
      </c>
      <c r="G515" s="544">
        <v>-100</v>
      </c>
      <c r="H515" s="540">
        <v>856</v>
      </c>
      <c r="I515" s="540" t="s">
        <v>1292</v>
      </c>
    </row>
    <row r="516" spans="1:9">
      <c r="A516" s="568">
        <f t="shared" si="7"/>
        <v>511</v>
      </c>
      <c r="B516" s="541">
        <v>41851</v>
      </c>
      <c r="C516" s="540" t="s">
        <v>1244</v>
      </c>
      <c r="D516" s="540" t="s">
        <v>14</v>
      </c>
      <c r="E516" s="540" t="s">
        <v>1255</v>
      </c>
      <c r="F516" s="539" t="s">
        <v>959</v>
      </c>
      <c r="G516" s="544">
        <v>-8.33</v>
      </c>
      <c r="H516" s="540">
        <v>856</v>
      </c>
      <c r="I516" s="540" t="s">
        <v>1292</v>
      </c>
    </row>
    <row r="517" spans="1:9">
      <c r="A517" s="568">
        <f t="shared" si="7"/>
        <v>512</v>
      </c>
      <c r="B517" s="541">
        <v>41851</v>
      </c>
      <c r="C517" s="540" t="s">
        <v>1244</v>
      </c>
      <c r="D517" s="540" t="s">
        <v>14</v>
      </c>
      <c r="E517" s="540" t="s">
        <v>1093</v>
      </c>
      <c r="F517" s="539" t="s">
        <v>654</v>
      </c>
      <c r="G517" s="544">
        <v>-500</v>
      </c>
      <c r="H517" s="540">
        <v>856</v>
      </c>
      <c r="I517" s="540" t="s">
        <v>1292</v>
      </c>
    </row>
    <row r="518" spans="1:9">
      <c r="A518" s="568">
        <f t="shared" si="7"/>
        <v>513</v>
      </c>
      <c r="B518" s="541">
        <v>41851</v>
      </c>
      <c r="C518" s="540" t="s">
        <v>1244</v>
      </c>
      <c r="D518" s="540" t="s">
        <v>14</v>
      </c>
      <c r="E518" s="540" t="s">
        <v>1094</v>
      </c>
      <c r="F518" s="539" t="s">
        <v>958</v>
      </c>
      <c r="G518" s="544">
        <v>-14.58</v>
      </c>
      <c r="H518" s="540">
        <v>856</v>
      </c>
      <c r="I518" s="540" t="s">
        <v>1292</v>
      </c>
    </row>
    <row r="519" spans="1:9">
      <c r="A519" s="568">
        <f t="shared" si="7"/>
        <v>514</v>
      </c>
      <c r="B519" s="541">
        <v>41851</v>
      </c>
      <c r="C519" s="540" t="s">
        <v>1244</v>
      </c>
      <c r="D519" s="540" t="s">
        <v>14</v>
      </c>
      <c r="E519" s="540" t="s">
        <v>1095</v>
      </c>
      <c r="F519" s="539" t="s">
        <v>959</v>
      </c>
      <c r="G519" s="544">
        <v>-8.33</v>
      </c>
      <c r="H519" s="540">
        <v>856</v>
      </c>
      <c r="I519" s="540" t="s">
        <v>1292</v>
      </c>
    </row>
    <row r="520" spans="1:9">
      <c r="A520" s="568">
        <f t="shared" si="7"/>
        <v>515</v>
      </c>
      <c r="B520" s="541">
        <v>41851</v>
      </c>
      <c r="C520" s="540" t="s">
        <v>1244</v>
      </c>
      <c r="D520" s="540" t="s">
        <v>14</v>
      </c>
      <c r="E520" s="540" t="s">
        <v>1256</v>
      </c>
      <c r="F520" s="539" t="s">
        <v>714</v>
      </c>
      <c r="G520" s="544">
        <v>-565.43999999999994</v>
      </c>
      <c r="H520" s="540">
        <v>856</v>
      </c>
      <c r="I520" s="540" t="s">
        <v>1292</v>
      </c>
    </row>
    <row r="521" spans="1:9">
      <c r="A521" s="568">
        <f t="shared" si="7"/>
        <v>516</v>
      </c>
      <c r="B521" s="541">
        <v>41851</v>
      </c>
      <c r="C521" s="540" t="s">
        <v>1244</v>
      </c>
      <c r="D521" s="540" t="s">
        <v>14</v>
      </c>
      <c r="E521" s="540" t="s">
        <v>1096</v>
      </c>
      <c r="F521" s="539" t="s">
        <v>959</v>
      </c>
      <c r="G521" s="544">
        <v>-10.83</v>
      </c>
      <c r="H521" s="540">
        <v>856</v>
      </c>
      <c r="I521" s="540" t="s">
        <v>1292</v>
      </c>
    </row>
    <row r="522" spans="1:9">
      <c r="A522" s="568">
        <f t="shared" si="7"/>
        <v>517</v>
      </c>
      <c r="B522" s="541">
        <v>41851</v>
      </c>
      <c r="C522" s="540" t="s">
        <v>1244</v>
      </c>
      <c r="D522" s="540" t="s">
        <v>14</v>
      </c>
      <c r="E522" s="540" t="s">
        <v>1097</v>
      </c>
      <c r="F522" s="539" t="s">
        <v>714</v>
      </c>
      <c r="G522" s="544">
        <v>-757.35</v>
      </c>
      <c r="H522" s="540">
        <v>856</v>
      </c>
      <c r="I522" s="540" t="s">
        <v>1292</v>
      </c>
    </row>
    <row r="523" spans="1:9">
      <c r="A523" s="568">
        <f t="shared" si="7"/>
        <v>518</v>
      </c>
      <c r="B523" s="541">
        <v>41851</v>
      </c>
      <c r="C523" s="540" t="s">
        <v>1250</v>
      </c>
      <c r="D523" s="540" t="s">
        <v>14</v>
      </c>
      <c r="E523" s="540" t="s">
        <v>1257</v>
      </c>
      <c r="F523" s="539" t="s">
        <v>959</v>
      </c>
      <c r="G523" s="544">
        <v>-8.33</v>
      </c>
      <c r="H523" s="540">
        <v>856</v>
      </c>
      <c r="I523" s="540" t="s">
        <v>1292</v>
      </c>
    </row>
    <row r="524" spans="1:9">
      <c r="A524" s="568">
        <f t="shared" si="7"/>
        <v>519</v>
      </c>
      <c r="B524" s="541">
        <v>41851</v>
      </c>
      <c r="C524" s="540" t="s">
        <v>1244</v>
      </c>
      <c r="D524" s="540" t="s">
        <v>14</v>
      </c>
      <c r="E524" s="540" t="s">
        <v>1107</v>
      </c>
      <c r="F524" s="539" t="s">
        <v>958</v>
      </c>
      <c r="G524" s="544">
        <v>-1166</v>
      </c>
      <c r="H524" s="540">
        <v>856</v>
      </c>
      <c r="I524" s="540" t="s">
        <v>1292</v>
      </c>
    </row>
    <row r="525" spans="1:9">
      <c r="A525" s="568">
        <f t="shared" si="7"/>
        <v>520</v>
      </c>
      <c r="B525" s="541">
        <v>41851</v>
      </c>
      <c r="C525" s="540" t="s">
        <v>1244</v>
      </c>
      <c r="D525" s="540" t="s">
        <v>14</v>
      </c>
      <c r="E525" s="540" t="s">
        <v>1124</v>
      </c>
      <c r="F525" s="539" t="s">
        <v>959</v>
      </c>
      <c r="G525" s="544">
        <v>-183.82</v>
      </c>
      <c r="H525" s="540">
        <v>856</v>
      </c>
      <c r="I525" s="540" t="s">
        <v>1292</v>
      </c>
    </row>
    <row r="526" spans="1:9">
      <c r="A526" s="568">
        <f t="shared" si="7"/>
        <v>521</v>
      </c>
      <c r="B526" s="541">
        <v>41851</v>
      </c>
      <c r="C526" s="540" t="s">
        <v>1244</v>
      </c>
      <c r="D526" s="540" t="s">
        <v>14</v>
      </c>
      <c r="E526" s="540" t="s">
        <v>1112</v>
      </c>
      <c r="F526" s="539" t="s">
        <v>958</v>
      </c>
      <c r="G526" s="544">
        <v>-612.85</v>
      </c>
      <c r="H526" s="540">
        <v>856</v>
      </c>
      <c r="I526" s="540" t="s">
        <v>1292</v>
      </c>
    </row>
    <row r="527" spans="1:9">
      <c r="A527" s="568">
        <f t="shared" si="7"/>
        <v>522</v>
      </c>
      <c r="B527" s="541">
        <v>41851</v>
      </c>
      <c r="C527" s="540" t="s">
        <v>1244</v>
      </c>
      <c r="D527" s="540" t="s">
        <v>14</v>
      </c>
      <c r="E527" s="540" t="s">
        <v>1112</v>
      </c>
      <c r="F527" s="539" t="s">
        <v>958</v>
      </c>
      <c r="G527" s="544">
        <v>-416.3</v>
      </c>
      <c r="H527" s="540">
        <v>856</v>
      </c>
      <c r="I527" s="540" t="s">
        <v>1292</v>
      </c>
    </row>
    <row r="528" spans="1:9">
      <c r="A528" s="568">
        <f t="shared" si="7"/>
        <v>523</v>
      </c>
      <c r="B528" s="541">
        <v>41851</v>
      </c>
      <c r="C528" s="540" t="s">
        <v>1244</v>
      </c>
      <c r="D528" s="540" t="s">
        <v>14</v>
      </c>
      <c r="E528" s="540" t="s">
        <v>1258</v>
      </c>
      <c r="F528" s="539" t="s">
        <v>714</v>
      </c>
      <c r="G528" s="544">
        <v>-575</v>
      </c>
      <c r="H528" s="540" t="s">
        <v>790</v>
      </c>
      <c r="I528" s="540" t="s">
        <v>1125</v>
      </c>
    </row>
    <row r="529" spans="1:9">
      <c r="A529" s="568">
        <f t="shared" si="7"/>
        <v>524</v>
      </c>
      <c r="B529" s="541">
        <v>41851</v>
      </c>
      <c r="C529" s="540" t="s">
        <v>1244</v>
      </c>
      <c r="D529" s="540" t="s">
        <v>14</v>
      </c>
      <c r="E529" s="540" t="s">
        <v>1259</v>
      </c>
      <c r="F529" s="539" t="s">
        <v>714</v>
      </c>
      <c r="G529" s="544">
        <v>-500</v>
      </c>
      <c r="H529" s="540" t="s">
        <v>790</v>
      </c>
      <c r="I529" s="540" t="s">
        <v>1125</v>
      </c>
    </row>
    <row r="530" spans="1:9">
      <c r="A530" s="568">
        <f t="shared" si="7"/>
        <v>525</v>
      </c>
      <c r="B530" s="541">
        <v>41851</v>
      </c>
      <c r="C530" s="540" t="s">
        <v>1244</v>
      </c>
      <c r="D530" s="540" t="s">
        <v>14</v>
      </c>
      <c r="E530" s="540" t="s">
        <v>1260</v>
      </c>
      <c r="F530" s="539" t="s">
        <v>714</v>
      </c>
      <c r="G530" s="544">
        <v>-400</v>
      </c>
      <c r="H530" s="540" t="s">
        <v>790</v>
      </c>
      <c r="I530" s="540" t="s">
        <v>1125</v>
      </c>
    </row>
    <row r="531" spans="1:9">
      <c r="A531" s="568">
        <f t="shared" si="7"/>
        <v>526</v>
      </c>
      <c r="B531" s="541">
        <v>41851</v>
      </c>
      <c r="C531" s="540" t="s">
        <v>1244</v>
      </c>
      <c r="D531" s="540" t="s">
        <v>14</v>
      </c>
      <c r="E531" s="540" t="s">
        <v>1261</v>
      </c>
      <c r="F531" s="539" t="s">
        <v>714</v>
      </c>
      <c r="G531" s="544">
        <v>-2800</v>
      </c>
      <c r="H531" s="540" t="s">
        <v>790</v>
      </c>
      <c r="I531" s="540" t="s">
        <v>1125</v>
      </c>
    </row>
    <row r="532" spans="1:9">
      <c r="A532" s="568">
        <f t="shared" si="7"/>
        <v>527</v>
      </c>
      <c r="B532" s="541">
        <v>41851</v>
      </c>
      <c r="C532" s="540" t="s">
        <v>1244</v>
      </c>
      <c r="D532" s="540" t="s">
        <v>14</v>
      </c>
      <c r="E532" s="540" t="s">
        <v>1262</v>
      </c>
      <c r="F532" s="539" t="s">
        <v>654</v>
      </c>
      <c r="G532" s="544">
        <v>-1890</v>
      </c>
      <c r="H532" s="540" t="s">
        <v>790</v>
      </c>
      <c r="I532" s="540" t="s">
        <v>1125</v>
      </c>
    </row>
    <row r="533" spans="1:9">
      <c r="A533" s="568">
        <f t="shared" si="7"/>
        <v>528</v>
      </c>
      <c r="B533" s="541">
        <v>41851</v>
      </c>
      <c r="C533" s="540" t="s">
        <v>1244</v>
      </c>
      <c r="D533" s="540" t="s">
        <v>14</v>
      </c>
      <c r="E533" s="540" t="s">
        <v>365</v>
      </c>
      <c r="F533" s="539" t="s">
        <v>714</v>
      </c>
      <c r="G533" s="544">
        <v>-2779.45</v>
      </c>
      <c r="H533" s="540" t="s">
        <v>790</v>
      </c>
      <c r="I533" s="540" t="s">
        <v>1125</v>
      </c>
    </row>
    <row r="534" spans="1:9">
      <c r="A534" s="568">
        <f t="shared" si="7"/>
        <v>529</v>
      </c>
      <c r="B534" s="541">
        <v>41851</v>
      </c>
      <c r="C534" s="540" t="s">
        <v>1250</v>
      </c>
      <c r="D534" s="540" t="s">
        <v>14</v>
      </c>
      <c r="E534" s="540" t="s">
        <v>1263</v>
      </c>
      <c r="F534" s="539" t="s">
        <v>959</v>
      </c>
      <c r="G534" s="544">
        <v>-50</v>
      </c>
      <c r="H534" s="540" t="s">
        <v>790</v>
      </c>
      <c r="I534" s="540" t="s">
        <v>1125</v>
      </c>
    </row>
    <row r="535" spans="1:9">
      <c r="A535" s="568">
        <f t="shared" ref="A535:A598" si="8">A534+1</f>
        <v>530</v>
      </c>
      <c r="B535" s="541">
        <v>41851</v>
      </c>
      <c r="C535" s="540" t="s">
        <v>1244</v>
      </c>
      <c r="D535" s="540" t="s">
        <v>1068</v>
      </c>
      <c r="E535" s="540" t="s">
        <v>1141</v>
      </c>
      <c r="F535" s="539" t="s">
        <v>959</v>
      </c>
      <c r="G535" s="544">
        <v>-700</v>
      </c>
      <c r="H535" s="540">
        <v>624</v>
      </c>
      <c r="I535" s="540" t="s">
        <v>1293</v>
      </c>
    </row>
    <row r="536" spans="1:9">
      <c r="A536" s="568">
        <f t="shared" si="8"/>
        <v>531</v>
      </c>
      <c r="B536" s="541">
        <v>41851</v>
      </c>
      <c r="C536" s="540" t="s">
        <v>1244</v>
      </c>
      <c r="D536" s="540" t="s">
        <v>1068</v>
      </c>
      <c r="E536" s="540" t="s">
        <v>1142</v>
      </c>
      <c r="F536" s="539" t="s">
        <v>959</v>
      </c>
      <c r="G536" s="544">
        <v>-40</v>
      </c>
      <c r="H536" s="540" t="s">
        <v>956</v>
      </c>
      <c r="I536" s="540" t="s">
        <v>1293</v>
      </c>
    </row>
    <row r="537" spans="1:9">
      <c r="A537" s="568">
        <f t="shared" si="8"/>
        <v>532</v>
      </c>
      <c r="B537" s="541">
        <v>41851</v>
      </c>
      <c r="C537" s="540" t="s">
        <v>1244</v>
      </c>
      <c r="D537" s="540" t="s">
        <v>1068</v>
      </c>
      <c r="E537" s="540" t="s">
        <v>1143</v>
      </c>
      <c r="F537" s="539" t="s">
        <v>959</v>
      </c>
      <c r="G537" s="544">
        <v>-350</v>
      </c>
      <c r="H537" s="540" t="s">
        <v>1021</v>
      </c>
      <c r="I537" s="540" t="s">
        <v>1293</v>
      </c>
    </row>
    <row r="538" spans="1:9">
      <c r="A538" s="568">
        <f t="shared" si="8"/>
        <v>533</v>
      </c>
      <c r="B538" s="541">
        <v>41851</v>
      </c>
      <c r="C538" s="540" t="s">
        <v>1244</v>
      </c>
      <c r="D538" s="540" t="s">
        <v>1068</v>
      </c>
      <c r="E538" s="540" t="s">
        <v>1114</v>
      </c>
      <c r="F538" s="539" t="s">
        <v>959</v>
      </c>
      <c r="G538" s="544">
        <v>-40</v>
      </c>
      <c r="H538" s="540" t="s">
        <v>792</v>
      </c>
      <c r="I538" s="540" t="s">
        <v>1293</v>
      </c>
    </row>
    <row r="539" spans="1:9">
      <c r="A539" s="568">
        <f t="shared" si="8"/>
        <v>534</v>
      </c>
      <c r="B539" s="541">
        <v>41851</v>
      </c>
      <c r="C539" s="540" t="s">
        <v>712</v>
      </c>
      <c r="D539" s="540" t="s">
        <v>1069</v>
      </c>
      <c r="E539" s="540" t="s">
        <v>1266</v>
      </c>
      <c r="F539" s="539" t="s">
        <v>959</v>
      </c>
      <c r="G539" s="544">
        <v>-500</v>
      </c>
      <c r="H539" s="540" t="s">
        <v>920</v>
      </c>
      <c r="I539" s="540" t="s">
        <v>1267</v>
      </c>
    </row>
    <row r="540" spans="1:9">
      <c r="A540" s="568">
        <f t="shared" si="8"/>
        <v>535</v>
      </c>
      <c r="B540" s="541">
        <v>41851</v>
      </c>
      <c r="C540" s="540" t="s">
        <v>712</v>
      </c>
      <c r="D540" s="540" t="s">
        <v>1069</v>
      </c>
      <c r="E540" s="540" t="s">
        <v>1268</v>
      </c>
      <c r="F540" s="539" t="s">
        <v>959</v>
      </c>
      <c r="G540" s="544">
        <v>-500</v>
      </c>
      <c r="H540" s="540" t="s">
        <v>920</v>
      </c>
      <c r="I540" s="540" t="s">
        <v>1267</v>
      </c>
    </row>
    <row r="541" spans="1:9">
      <c r="A541" s="568">
        <f t="shared" si="8"/>
        <v>536</v>
      </c>
      <c r="B541" s="541">
        <v>41851</v>
      </c>
      <c r="C541" s="540" t="s">
        <v>1244</v>
      </c>
      <c r="D541" s="540" t="s">
        <v>1014</v>
      </c>
      <c r="E541" s="540" t="s">
        <v>1269</v>
      </c>
      <c r="F541" s="539" t="s">
        <v>714</v>
      </c>
      <c r="G541" s="544">
        <v>-1055</v>
      </c>
      <c r="H541" s="540" t="s">
        <v>1020</v>
      </c>
      <c r="I541" s="540" t="s">
        <v>1267</v>
      </c>
    </row>
    <row r="542" spans="1:9">
      <c r="A542" s="568">
        <f t="shared" si="8"/>
        <v>537</v>
      </c>
      <c r="B542" s="541">
        <v>41851</v>
      </c>
      <c r="C542" s="540" t="s">
        <v>1244</v>
      </c>
      <c r="D542" s="540" t="s">
        <v>14</v>
      </c>
      <c r="E542" s="540" t="s">
        <v>1294</v>
      </c>
      <c r="F542" s="539" t="s">
        <v>714</v>
      </c>
      <c r="G542" s="544">
        <v>-7793.47</v>
      </c>
      <c r="H542" s="540">
        <v>856</v>
      </c>
      <c r="I542" s="540" t="s">
        <v>1271</v>
      </c>
    </row>
    <row r="543" spans="1:9">
      <c r="A543" s="568">
        <f t="shared" si="8"/>
        <v>538</v>
      </c>
      <c r="B543" s="541">
        <v>41882</v>
      </c>
      <c r="C543" s="540" t="s">
        <v>1244</v>
      </c>
      <c r="D543" s="540" t="s">
        <v>797</v>
      </c>
      <c r="E543" s="540" t="s">
        <v>1128</v>
      </c>
      <c r="F543" s="539" t="s">
        <v>959</v>
      </c>
      <c r="G543" s="544">
        <v>-100</v>
      </c>
      <c r="H543" s="540">
        <v>856</v>
      </c>
      <c r="I543" s="540" t="s">
        <v>1284</v>
      </c>
    </row>
    <row r="544" spans="1:9">
      <c r="A544" s="568">
        <f t="shared" si="8"/>
        <v>539</v>
      </c>
      <c r="B544" s="541">
        <v>41882</v>
      </c>
      <c r="C544" s="540" t="s">
        <v>1244</v>
      </c>
      <c r="D544" s="540" t="s">
        <v>797</v>
      </c>
      <c r="E544" s="540" t="s">
        <v>1295</v>
      </c>
      <c r="F544" s="539" t="s">
        <v>654</v>
      </c>
      <c r="G544" s="544">
        <v>-100</v>
      </c>
      <c r="H544" s="540">
        <v>856</v>
      </c>
      <c r="I544" s="540" t="s">
        <v>1284</v>
      </c>
    </row>
    <row r="545" spans="1:9">
      <c r="A545" s="568">
        <f t="shared" si="8"/>
        <v>540</v>
      </c>
      <c r="B545" s="541">
        <v>41882</v>
      </c>
      <c r="C545" s="540" t="s">
        <v>1244</v>
      </c>
      <c r="D545" s="540" t="s">
        <v>797</v>
      </c>
      <c r="E545" s="540" t="s">
        <v>1245</v>
      </c>
      <c r="F545" s="539" t="s">
        <v>714</v>
      </c>
      <c r="G545" s="544">
        <v>-118.92</v>
      </c>
      <c r="H545" s="540">
        <v>856</v>
      </c>
      <c r="I545" s="540" t="s">
        <v>1127</v>
      </c>
    </row>
    <row r="546" spans="1:9">
      <c r="A546" s="568">
        <f t="shared" si="8"/>
        <v>541</v>
      </c>
      <c r="B546" s="541">
        <v>41882</v>
      </c>
      <c r="C546" s="540" t="s">
        <v>1244</v>
      </c>
      <c r="D546" s="540" t="s">
        <v>797</v>
      </c>
      <c r="E546" s="540" t="s">
        <v>1248</v>
      </c>
      <c r="F546" s="539" t="s">
        <v>714</v>
      </c>
      <c r="G546" s="544">
        <v>-777.9</v>
      </c>
      <c r="H546" s="540">
        <v>856</v>
      </c>
      <c r="I546" s="540" t="s">
        <v>1127</v>
      </c>
    </row>
    <row r="547" spans="1:9">
      <c r="A547" s="568">
        <f t="shared" si="8"/>
        <v>542</v>
      </c>
      <c r="B547" s="541">
        <v>41882</v>
      </c>
      <c r="C547" s="540" t="s">
        <v>1244</v>
      </c>
      <c r="D547" s="540" t="s">
        <v>797</v>
      </c>
      <c r="E547" s="540" t="s">
        <v>1249</v>
      </c>
      <c r="F547" s="539" t="s">
        <v>714</v>
      </c>
      <c r="G547" s="544">
        <v>-152.88</v>
      </c>
      <c r="H547" s="540">
        <v>856</v>
      </c>
      <c r="I547" s="540" t="s">
        <v>1127</v>
      </c>
    </row>
    <row r="548" spans="1:9">
      <c r="A548" s="568">
        <f t="shared" si="8"/>
        <v>543</v>
      </c>
      <c r="B548" s="541">
        <v>41882</v>
      </c>
      <c r="C548" s="540" t="s">
        <v>1244</v>
      </c>
      <c r="D548" s="540" t="s">
        <v>797</v>
      </c>
      <c r="E548" s="540" t="s">
        <v>1082</v>
      </c>
      <c r="F548" s="539" t="s">
        <v>959</v>
      </c>
      <c r="G548" s="544">
        <v>-8.33</v>
      </c>
      <c r="H548" s="540">
        <v>856</v>
      </c>
      <c r="I548" s="540" t="s">
        <v>1127</v>
      </c>
    </row>
    <row r="549" spans="1:9">
      <c r="A549" s="568">
        <f t="shared" si="8"/>
        <v>544</v>
      </c>
      <c r="B549" s="541">
        <v>41882</v>
      </c>
      <c r="C549" s="540" t="s">
        <v>1250</v>
      </c>
      <c r="D549" s="540" t="s">
        <v>797</v>
      </c>
      <c r="E549" s="540" t="s">
        <v>1103</v>
      </c>
      <c r="F549" s="539" t="s">
        <v>959</v>
      </c>
      <c r="G549" s="544">
        <v>-8.33</v>
      </c>
      <c r="H549" s="540">
        <v>856</v>
      </c>
      <c r="I549" s="540" t="s">
        <v>1127</v>
      </c>
    </row>
    <row r="550" spans="1:9">
      <c r="A550" s="568">
        <f t="shared" si="8"/>
        <v>545</v>
      </c>
      <c r="B550" s="541">
        <v>41882</v>
      </c>
      <c r="C550" s="540" t="s">
        <v>1250</v>
      </c>
      <c r="D550" s="540" t="s">
        <v>797</v>
      </c>
      <c r="E550" s="540" t="s">
        <v>1084</v>
      </c>
      <c r="F550" s="539" t="s">
        <v>959</v>
      </c>
      <c r="G550" s="544">
        <v>-8.33</v>
      </c>
      <c r="H550" s="540">
        <v>856</v>
      </c>
      <c r="I550" s="540" t="s">
        <v>1127</v>
      </c>
    </row>
    <row r="551" spans="1:9">
      <c r="A551" s="568">
        <f t="shared" si="8"/>
        <v>546</v>
      </c>
      <c r="B551" s="541">
        <v>41882</v>
      </c>
      <c r="C551" s="540" t="s">
        <v>1244</v>
      </c>
      <c r="D551" s="540" t="s">
        <v>797</v>
      </c>
      <c r="E551" s="540" t="s">
        <v>1116</v>
      </c>
      <c r="F551" s="539" t="s">
        <v>959</v>
      </c>
      <c r="G551" s="544">
        <v>-20.83</v>
      </c>
      <c r="H551" s="540">
        <v>856</v>
      </c>
      <c r="I551" s="540" t="s">
        <v>1127</v>
      </c>
    </row>
    <row r="552" spans="1:9">
      <c r="A552" s="568">
        <f t="shared" si="8"/>
        <v>547</v>
      </c>
      <c r="B552" s="541">
        <v>41882</v>
      </c>
      <c r="C552" s="540" t="s">
        <v>1244</v>
      </c>
      <c r="D552" s="540" t="s">
        <v>797</v>
      </c>
      <c r="E552" s="540" t="s">
        <v>1117</v>
      </c>
      <c r="F552" s="539" t="s">
        <v>654</v>
      </c>
      <c r="G552" s="544">
        <v>-41.67</v>
      </c>
      <c r="H552" s="540">
        <v>856</v>
      </c>
      <c r="I552" s="540" t="s">
        <v>1127</v>
      </c>
    </row>
    <row r="553" spans="1:9">
      <c r="A553" s="568">
        <f t="shared" si="8"/>
        <v>548</v>
      </c>
      <c r="B553" s="541">
        <v>41882</v>
      </c>
      <c r="C553" s="540" t="s">
        <v>1250</v>
      </c>
      <c r="D553" s="540" t="s">
        <v>797</v>
      </c>
      <c r="E553" s="540" t="s">
        <v>1118</v>
      </c>
      <c r="F553" s="539" t="s">
        <v>959</v>
      </c>
      <c r="G553" s="544">
        <v>-11.25</v>
      </c>
      <c r="H553" s="540">
        <v>856</v>
      </c>
      <c r="I553" s="540" t="s">
        <v>1127</v>
      </c>
    </row>
    <row r="554" spans="1:9">
      <c r="A554" s="568">
        <f t="shared" si="8"/>
        <v>549</v>
      </c>
      <c r="B554" s="541">
        <v>41882</v>
      </c>
      <c r="C554" s="540" t="s">
        <v>1250</v>
      </c>
      <c r="D554" s="540" t="s">
        <v>797</v>
      </c>
      <c r="E554" s="540" t="s">
        <v>1118</v>
      </c>
      <c r="F554" s="539" t="s">
        <v>959</v>
      </c>
      <c r="G554" s="544">
        <v>-29.17</v>
      </c>
      <c r="H554" s="540">
        <v>856</v>
      </c>
      <c r="I554" s="540" t="s">
        <v>1127</v>
      </c>
    </row>
    <row r="555" spans="1:9">
      <c r="A555" s="568">
        <f t="shared" si="8"/>
        <v>550</v>
      </c>
      <c r="B555" s="541">
        <v>41882</v>
      </c>
      <c r="C555" s="540" t="s">
        <v>1250</v>
      </c>
      <c r="D555" s="540" t="s">
        <v>797</v>
      </c>
      <c r="E555" s="540" t="s">
        <v>1118</v>
      </c>
      <c r="F555" s="539" t="s">
        <v>959</v>
      </c>
      <c r="G555" s="544">
        <v>-45</v>
      </c>
      <c r="H555" s="540">
        <v>856</v>
      </c>
      <c r="I555" s="540" t="s">
        <v>1127</v>
      </c>
    </row>
    <row r="556" spans="1:9">
      <c r="A556" s="568">
        <f t="shared" si="8"/>
        <v>551</v>
      </c>
      <c r="B556" s="541">
        <v>41882</v>
      </c>
      <c r="C556" s="540" t="s">
        <v>1244</v>
      </c>
      <c r="D556" s="540" t="s">
        <v>797</v>
      </c>
      <c r="E556" s="540" t="s">
        <v>1085</v>
      </c>
      <c r="F556" s="539" t="s">
        <v>654</v>
      </c>
      <c r="G556" s="544">
        <v>-8.3000000000000007</v>
      </c>
      <c r="H556" s="540">
        <v>856</v>
      </c>
      <c r="I556" s="540" t="s">
        <v>1127</v>
      </c>
    </row>
    <row r="557" spans="1:9">
      <c r="A557" s="568">
        <f t="shared" si="8"/>
        <v>552</v>
      </c>
      <c r="B557" s="541">
        <v>41882</v>
      </c>
      <c r="C557" s="540" t="s">
        <v>1244</v>
      </c>
      <c r="D557" s="540" t="s">
        <v>797</v>
      </c>
      <c r="E557" s="540" t="s">
        <v>1110</v>
      </c>
      <c r="F557" s="539" t="s">
        <v>959</v>
      </c>
      <c r="G557" s="544">
        <v>-4.25</v>
      </c>
      <c r="H557" s="540">
        <v>856</v>
      </c>
      <c r="I557" s="540" t="s">
        <v>1127</v>
      </c>
    </row>
    <row r="558" spans="1:9">
      <c r="A558" s="568">
        <f t="shared" si="8"/>
        <v>553</v>
      </c>
      <c r="B558" s="541">
        <v>41882</v>
      </c>
      <c r="C558" s="540" t="s">
        <v>1244</v>
      </c>
      <c r="D558" s="540" t="s">
        <v>797</v>
      </c>
      <c r="E558" s="540" t="s">
        <v>1285</v>
      </c>
      <c r="F558" s="539" t="s">
        <v>959</v>
      </c>
      <c r="G558" s="544">
        <v>-41.67</v>
      </c>
      <c r="H558" s="540">
        <v>856</v>
      </c>
      <c r="I558" s="540" t="s">
        <v>1127</v>
      </c>
    </row>
    <row r="559" spans="1:9">
      <c r="A559" s="568">
        <f t="shared" si="8"/>
        <v>554</v>
      </c>
      <c r="B559" s="541">
        <v>41882</v>
      </c>
      <c r="C559" s="540" t="s">
        <v>1244</v>
      </c>
      <c r="D559" s="540" t="s">
        <v>797</v>
      </c>
      <c r="E559" s="540" t="s">
        <v>1135</v>
      </c>
      <c r="F559" s="539" t="s">
        <v>958</v>
      </c>
      <c r="G559" s="544">
        <v>-29.17</v>
      </c>
      <c r="H559" s="540">
        <v>856</v>
      </c>
      <c r="I559" s="540" t="s">
        <v>1127</v>
      </c>
    </row>
    <row r="560" spans="1:9">
      <c r="A560" s="568">
        <f t="shared" si="8"/>
        <v>555</v>
      </c>
      <c r="B560" s="541">
        <v>41882</v>
      </c>
      <c r="C560" s="540" t="s">
        <v>1250</v>
      </c>
      <c r="D560" s="540" t="s">
        <v>797</v>
      </c>
      <c r="E560" s="540" t="s">
        <v>1105</v>
      </c>
      <c r="F560" s="539" t="s">
        <v>959</v>
      </c>
      <c r="G560" s="544">
        <v>-8.33</v>
      </c>
      <c r="H560" s="540">
        <v>856</v>
      </c>
      <c r="I560" s="540" t="s">
        <v>1127</v>
      </c>
    </row>
    <row r="561" spans="1:9">
      <c r="A561" s="568">
        <f t="shared" si="8"/>
        <v>556</v>
      </c>
      <c r="B561" s="541">
        <v>41882</v>
      </c>
      <c r="C561" s="540" t="s">
        <v>1250</v>
      </c>
      <c r="D561" s="540" t="s">
        <v>797</v>
      </c>
      <c r="E561" s="540" t="s">
        <v>1105</v>
      </c>
      <c r="F561" s="539" t="s">
        <v>959</v>
      </c>
      <c r="G561" s="544">
        <v>-14.58</v>
      </c>
      <c r="H561" s="540">
        <v>856</v>
      </c>
      <c r="I561" s="540" t="s">
        <v>1127</v>
      </c>
    </row>
    <row r="562" spans="1:9">
      <c r="A562" s="568">
        <f t="shared" si="8"/>
        <v>557</v>
      </c>
      <c r="B562" s="541">
        <v>41882</v>
      </c>
      <c r="C562" s="540" t="s">
        <v>1244</v>
      </c>
      <c r="D562" s="540" t="s">
        <v>797</v>
      </c>
      <c r="E562" s="540" t="s">
        <v>1251</v>
      </c>
      <c r="F562" s="539" t="s">
        <v>714</v>
      </c>
      <c r="G562" s="544">
        <v>-179.17</v>
      </c>
      <c r="H562" s="540">
        <v>856</v>
      </c>
      <c r="I562" s="540" t="s">
        <v>1127</v>
      </c>
    </row>
    <row r="563" spans="1:9">
      <c r="A563" s="568">
        <f t="shared" si="8"/>
        <v>558</v>
      </c>
      <c r="B563" s="541">
        <v>41882</v>
      </c>
      <c r="C563" s="540" t="s">
        <v>1244</v>
      </c>
      <c r="D563" s="540" t="s">
        <v>797</v>
      </c>
      <c r="E563" s="540" t="s">
        <v>1106</v>
      </c>
      <c r="F563" s="539" t="s">
        <v>654</v>
      </c>
      <c r="G563" s="544">
        <v>-4.17</v>
      </c>
      <c r="H563" s="540">
        <v>856</v>
      </c>
      <c r="I563" s="540" t="s">
        <v>1127</v>
      </c>
    </row>
    <row r="564" spans="1:9">
      <c r="A564" s="568">
        <f t="shared" si="8"/>
        <v>559</v>
      </c>
      <c r="B564" s="541">
        <v>41882</v>
      </c>
      <c r="C564" s="540" t="s">
        <v>1244</v>
      </c>
      <c r="D564" s="540" t="s">
        <v>797</v>
      </c>
      <c r="E564" s="540" t="s">
        <v>1086</v>
      </c>
      <c r="F564" s="539" t="s">
        <v>959</v>
      </c>
      <c r="G564" s="544">
        <v>-8.33</v>
      </c>
      <c r="H564" s="540">
        <v>856</v>
      </c>
      <c r="I564" s="540" t="s">
        <v>1127</v>
      </c>
    </row>
    <row r="565" spans="1:9">
      <c r="A565" s="568">
        <f t="shared" si="8"/>
        <v>560</v>
      </c>
      <c r="B565" s="541">
        <v>41882</v>
      </c>
      <c r="C565" s="540" t="s">
        <v>1250</v>
      </c>
      <c r="D565" s="540" t="s">
        <v>797</v>
      </c>
      <c r="E565" s="540" t="s">
        <v>1111</v>
      </c>
      <c r="F565" s="539" t="s">
        <v>959</v>
      </c>
      <c r="G565" s="544">
        <v>-41.67</v>
      </c>
      <c r="H565" s="540">
        <v>856</v>
      </c>
      <c r="I565" s="540" t="s">
        <v>1127</v>
      </c>
    </row>
    <row r="566" spans="1:9">
      <c r="A566" s="568">
        <f t="shared" si="8"/>
        <v>561</v>
      </c>
      <c r="B566" s="541">
        <v>41882</v>
      </c>
      <c r="C566" s="540" t="s">
        <v>1244</v>
      </c>
      <c r="D566" s="540" t="s">
        <v>797</v>
      </c>
      <c r="E566" s="540" t="s">
        <v>1132</v>
      </c>
      <c r="F566" s="539" t="s">
        <v>959</v>
      </c>
      <c r="G566" s="544">
        <v>-8.3000000000000007</v>
      </c>
      <c r="H566" s="540">
        <v>856</v>
      </c>
      <c r="I566" s="540" t="s">
        <v>1127</v>
      </c>
    </row>
    <row r="567" spans="1:9">
      <c r="A567" s="568">
        <f t="shared" si="8"/>
        <v>562</v>
      </c>
      <c r="B567" s="541">
        <v>41882</v>
      </c>
      <c r="C567" s="540" t="s">
        <v>1244</v>
      </c>
      <c r="D567" s="540" t="s">
        <v>797</v>
      </c>
      <c r="E567" s="540" t="s">
        <v>1252</v>
      </c>
      <c r="F567" s="539" t="s">
        <v>714</v>
      </c>
      <c r="G567" s="544">
        <v>-142.79999999999998</v>
      </c>
      <c r="H567" s="540">
        <v>856</v>
      </c>
      <c r="I567" s="540" t="s">
        <v>1127</v>
      </c>
    </row>
    <row r="568" spans="1:9">
      <c r="A568" s="568">
        <f t="shared" si="8"/>
        <v>563</v>
      </c>
      <c r="B568" s="541">
        <v>41882</v>
      </c>
      <c r="C568" s="540" t="s">
        <v>1244</v>
      </c>
      <c r="D568" s="540" t="s">
        <v>797</v>
      </c>
      <c r="E568" s="540" t="s">
        <v>1252</v>
      </c>
      <c r="F568" s="539" t="s">
        <v>714</v>
      </c>
      <c r="G568" s="544">
        <v>-142.79999999999998</v>
      </c>
      <c r="H568" s="540">
        <v>856</v>
      </c>
      <c r="I568" s="540" t="s">
        <v>1127</v>
      </c>
    </row>
    <row r="569" spans="1:9">
      <c r="A569" s="568">
        <f t="shared" si="8"/>
        <v>564</v>
      </c>
      <c r="B569" s="541">
        <v>41882</v>
      </c>
      <c r="C569" s="540" t="s">
        <v>1244</v>
      </c>
      <c r="D569" s="540" t="s">
        <v>797</v>
      </c>
      <c r="E569" s="540" t="s">
        <v>1252</v>
      </c>
      <c r="F569" s="539" t="s">
        <v>714</v>
      </c>
      <c r="G569" s="544">
        <v>-141.28</v>
      </c>
      <c r="H569" s="540">
        <v>856</v>
      </c>
      <c r="I569" s="540" t="s">
        <v>1127</v>
      </c>
    </row>
    <row r="570" spans="1:9">
      <c r="A570" s="568">
        <f t="shared" si="8"/>
        <v>565</v>
      </c>
      <c r="B570" s="541">
        <v>41882</v>
      </c>
      <c r="C570" s="540" t="s">
        <v>1244</v>
      </c>
      <c r="D570" s="540" t="s">
        <v>797</v>
      </c>
      <c r="E570" s="540" t="s">
        <v>1252</v>
      </c>
      <c r="F570" s="539" t="s">
        <v>714</v>
      </c>
      <c r="G570" s="544">
        <v>-122.2</v>
      </c>
      <c r="H570" s="540">
        <v>856</v>
      </c>
      <c r="I570" s="540" t="s">
        <v>1127</v>
      </c>
    </row>
    <row r="571" spans="1:9">
      <c r="A571" s="568">
        <f t="shared" si="8"/>
        <v>566</v>
      </c>
      <c r="B571" s="541">
        <v>41882</v>
      </c>
      <c r="C571" s="540" t="s">
        <v>1244</v>
      </c>
      <c r="D571" s="540" t="s">
        <v>797</v>
      </c>
      <c r="E571" s="540" t="s">
        <v>1252</v>
      </c>
      <c r="F571" s="539" t="s">
        <v>714</v>
      </c>
      <c r="G571" s="544">
        <v>-141.28</v>
      </c>
      <c r="H571" s="540">
        <v>856</v>
      </c>
      <c r="I571" s="540" t="s">
        <v>1127</v>
      </c>
    </row>
    <row r="572" spans="1:9">
      <c r="A572" s="568">
        <f t="shared" si="8"/>
        <v>567</v>
      </c>
      <c r="B572" s="541">
        <v>41882</v>
      </c>
      <c r="C572" s="540" t="s">
        <v>1244</v>
      </c>
      <c r="D572" s="540" t="s">
        <v>797</v>
      </c>
      <c r="E572" s="540" t="s">
        <v>1252</v>
      </c>
      <c r="F572" s="539" t="s">
        <v>714</v>
      </c>
      <c r="G572" s="544">
        <v>-209</v>
      </c>
      <c r="H572" s="540">
        <v>856</v>
      </c>
      <c r="I572" s="540" t="s">
        <v>1127</v>
      </c>
    </row>
    <row r="573" spans="1:9">
      <c r="A573" s="568">
        <f t="shared" si="8"/>
        <v>568</v>
      </c>
      <c r="B573" s="541">
        <v>41882</v>
      </c>
      <c r="C573" s="540" t="s">
        <v>1244</v>
      </c>
      <c r="D573" s="540" t="s">
        <v>797</v>
      </c>
      <c r="E573" s="540" t="s">
        <v>1119</v>
      </c>
      <c r="F573" s="539" t="s">
        <v>654</v>
      </c>
      <c r="G573" s="544">
        <v>-54.17</v>
      </c>
      <c r="H573" s="540">
        <v>856</v>
      </c>
      <c r="I573" s="540" t="s">
        <v>1127</v>
      </c>
    </row>
    <row r="574" spans="1:9">
      <c r="A574" s="568">
        <f t="shared" si="8"/>
        <v>569</v>
      </c>
      <c r="B574" s="541">
        <v>41882</v>
      </c>
      <c r="C574" s="540" t="s">
        <v>1250</v>
      </c>
      <c r="D574" s="540" t="s">
        <v>797</v>
      </c>
      <c r="E574" s="540" t="s">
        <v>1087</v>
      </c>
      <c r="F574" s="539" t="s">
        <v>714</v>
      </c>
      <c r="G574" s="544">
        <v>-693.7</v>
      </c>
      <c r="H574" s="540">
        <v>856</v>
      </c>
      <c r="I574" s="540" t="s">
        <v>1127</v>
      </c>
    </row>
    <row r="575" spans="1:9">
      <c r="A575" s="568">
        <f t="shared" si="8"/>
        <v>570</v>
      </c>
      <c r="B575" s="541">
        <v>41882</v>
      </c>
      <c r="C575" s="540" t="s">
        <v>1250</v>
      </c>
      <c r="D575" s="540" t="s">
        <v>797</v>
      </c>
      <c r="E575" s="540" t="s">
        <v>1123</v>
      </c>
      <c r="F575" s="539" t="s">
        <v>654</v>
      </c>
      <c r="G575" s="544">
        <v>-8.33</v>
      </c>
      <c r="H575" s="540">
        <v>856</v>
      </c>
      <c r="I575" s="540" t="s">
        <v>1127</v>
      </c>
    </row>
    <row r="576" spans="1:9">
      <c r="A576" s="568">
        <f t="shared" si="8"/>
        <v>571</v>
      </c>
      <c r="B576" s="541">
        <v>41882</v>
      </c>
      <c r="C576" s="540" t="s">
        <v>1244</v>
      </c>
      <c r="D576" s="540" t="s">
        <v>797</v>
      </c>
      <c r="E576" s="540" t="s">
        <v>1088</v>
      </c>
      <c r="F576" s="539" t="s">
        <v>654</v>
      </c>
      <c r="G576" s="544">
        <v>-25</v>
      </c>
      <c r="H576" s="540">
        <v>856</v>
      </c>
      <c r="I576" s="540" t="s">
        <v>1127</v>
      </c>
    </row>
    <row r="577" spans="1:9">
      <c r="A577" s="568">
        <f t="shared" si="8"/>
        <v>572</v>
      </c>
      <c r="B577" s="541">
        <v>41882</v>
      </c>
      <c r="C577" s="540" t="s">
        <v>1250</v>
      </c>
      <c r="D577" s="540" t="s">
        <v>797</v>
      </c>
      <c r="E577" s="540" t="s">
        <v>1253</v>
      </c>
      <c r="F577" s="539" t="s">
        <v>654</v>
      </c>
      <c r="G577" s="544">
        <v>-8.33</v>
      </c>
      <c r="H577" s="540">
        <v>856</v>
      </c>
      <c r="I577" s="540" t="s">
        <v>1127</v>
      </c>
    </row>
    <row r="578" spans="1:9">
      <c r="A578" s="568">
        <f t="shared" si="8"/>
        <v>573</v>
      </c>
      <c r="B578" s="541">
        <v>41882</v>
      </c>
      <c r="C578" s="540" t="s">
        <v>1250</v>
      </c>
      <c r="D578" s="540" t="s">
        <v>797</v>
      </c>
      <c r="E578" s="540" t="s">
        <v>1089</v>
      </c>
      <c r="F578" s="539" t="s">
        <v>959</v>
      </c>
      <c r="G578" s="544">
        <v>-25</v>
      </c>
      <c r="H578" s="540">
        <v>856</v>
      </c>
      <c r="I578" s="540" t="s">
        <v>1127</v>
      </c>
    </row>
    <row r="579" spans="1:9">
      <c r="A579" s="568">
        <f t="shared" si="8"/>
        <v>574</v>
      </c>
      <c r="B579" s="541">
        <v>41882</v>
      </c>
      <c r="C579" s="540" t="s">
        <v>1244</v>
      </c>
      <c r="D579" s="540" t="s">
        <v>797</v>
      </c>
      <c r="E579" s="540" t="s">
        <v>1254</v>
      </c>
      <c r="F579" s="539" t="s">
        <v>654</v>
      </c>
      <c r="G579" s="544">
        <v>-8.33</v>
      </c>
      <c r="H579" s="540">
        <v>856</v>
      </c>
      <c r="I579" s="540" t="s">
        <v>1127</v>
      </c>
    </row>
    <row r="580" spans="1:9">
      <c r="A580" s="568">
        <f t="shared" si="8"/>
        <v>575</v>
      </c>
      <c r="B580" s="541">
        <v>41882</v>
      </c>
      <c r="C580" s="540" t="s">
        <v>1244</v>
      </c>
      <c r="D580" s="540" t="s">
        <v>797</v>
      </c>
      <c r="E580" s="540" t="s">
        <v>1090</v>
      </c>
      <c r="F580" s="539" t="s">
        <v>959</v>
      </c>
      <c r="G580" s="544">
        <v>-95</v>
      </c>
      <c r="H580" s="540">
        <v>856</v>
      </c>
      <c r="I580" s="540" t="s">
        <v>1127</v>
      </c>
    </row>
    <row r="581" spans="1:9">
      <c r="A581" s="568">
        <f t="shared" si="8"/>
        <v>576</v>
      </c>
      <c r="B581" s="541">
        <v>41882</v>
      </c>
      <c r="C581" s="540" t="s">
        <v>1244</v>
      </c>
      <c r="D581" s="540" t="s">
        <v>797</v>
      </c>
      <c r="E581" s="540" t="s">
        <v>1273</v>
      </c>
      <c r="F581" s="539" t="s">
        <v>959</v>
      </c>
      <c r="G581" s="544">
        <v>-66.67</v>
      </c>
      <c r="H581" s="540">
        <v>856</v>
      </c>
      <c r="I581" s="540" t="s">
        <v>1127</v>
      </c>
    </row>
    <row r="582" spans="1:9">
      <c r="A582" s="568">
        <f t="shared" si="8"/>
        <v>577</v>
      </c>
      <c r="B582" s="541">
        <v>41882</v>
      </c>
      <c r="C582" s="540" t="s">
        <v>1244</v>
      </c>
      <c r="D582" s="540" t="s">
        <v>797</v>
      </c>
      <c r="E582" s="540" t="s">
        <v>1273</v>
      </c>
      <c r="F582" s="539" t="s">
        <v>959</v>
      </c>
      <c r="G582" s="544">
        <v>-41.67</v>
      </c>
      <c r="H582" s="540">
        <v>856</v>
      </c>
      <c r="I582" s="540" t="s">
        <v>1127</v>
      </c>
    </row>
    <row r="583" spans="1:9">
      <c r="A583" s="568">
        <f t="shared" si="8"/>
        <v>578</v>
      </c>
      <c r="B583" s="541">
        <v>41882</v>
      </c>
      <c r="C583" s="540" t="s">
        <v>1244</v>
      </c>
      <c r="D583" s="540" t="s">
        <v>797</v>
      </c>
      <c r="E583" s="540" t="s">
        <v>1091</v>
      </c>
      <c r="F583" s="539" t="s">
        <v>714</v>
      </c>
      <c r="G583" s="544">
        <v>-109.69</v>
      </c>
      <c r="H583" s="540">
        <v>856</v>
      </c>
      <c r="I583" s="540" t="s">
        <v>1127</v>
      </c>
    </row>
    <row r="584" spans="1:9">
      <c r="A584" s="568">
        <f t="shared" si="8"/>
        <v>579</v>
      </c>
      <c r="B584" s="541">
        <v>41882</v>
      </c>
      <c r="C584" s="540" t="s">
        <v>1250</v>
      </c>
      <c r="D584" s="540" t="s">
        <v>797</v>
      </c>
      <c r="E584" s="540" t="s">
        <v>1092</v>
      </c>
      <c r="F584" s="539" t="s">
        <v>959</v>
      </c>
      <c r="G584" s="544">
        <v>-363.87</v>
      </c>
      <c r="H584" s="540">
        <v>856</v>
      </c>
      <c r="I584" s="540" t="s">
        <v>1127</v>
      </c>
    </row>
    <row r="585" spans="1:9">
      <c r="A585" s="568">
        <f t="shared" si="8"/>
        <v>580</v>
      </c>
      <c r="B585" s="541">
        <v>41882</v>
      </c>
      <c r="C585" s="540" t="s">
        <v>1250</v>
      </c>
      <c r="D585" s="540" t="s">
        <v>797</v>
      </c>
      <c r="E585" s="540" t="s">
        <v>1092</v>
      </c>
      <c r="F585" s="539" t="s">
        <v>959</v>
      </c>
      <c r="G585" s="544">
        <v>-176.82</v>
      </c>
      <c r="H585" s="540">
        <v>856</v>
      </c>
      <c r="I585" s="540" t="s">
        <v>1127</v>
      </c>
    </row>
    <row r="586" spans="1:9">
      <c r="A586" s="568">
        <f t="shared" si="8"/>
        <v>581</v>
      </c>
      <c r="B586" s="541">
        <v>41882</v>
      </c>
      <c r="C586" s="540" t="s">
        <v>1250</v>
      </c>
      <c r="D586" s="540" t="s">
        <v>797</v>
      </c>
      <c r="E586" s="540" t="s">
        <v>1092</v>
      </c>
      <c r="F586" s="539" t="s">
        <v>959</v>
      </c>
      <c r="G586" s="544">
        <v>-150</v>
      </c>
      <c r="H586" s="540">
        <v>856</v>
      </c>
      <c r="I586" s="540" t="s">
        <v>1127</v>
      </c>
    </row>
    <row r="587" spans="1:9">
      <c r="A587" s="568">
        <f t="shared" si="8"/>
        <v>582</v>
      </c>
      <c r="B587" s="541">
        <v>41882</v>
      </c>
      <c r="C587" s="540" t="s">
        <v>1250</v>
      </c>
      <c r="D587" s="540" t="s">
        <v>797</v>
      </c>
      <c r="E587" s="540" t="s">
        <v>1092</v>
      </c>
      <c r="F587" s="539" t="s">
        <v>959</v>
      </c>
      <c r="G587" s="544">
        <v>-16.670000000000002</v>
      </c>
      <c r="H587" s="540">
        <v>856</v>
      </c>
      <c r="I587" s="540" t="s">
        <v>1127</v>
      </c>
    </row>
    <row r="588" spans="1:9">
      <c r="A588" s="568">
        <f t="shared" si="8"/>
        <v>583</v>
      </c>
      <c r="B588" s="541">
        <v>41882</v>
      </c>
      <c r="C588" s="540" t="s">
        <v>1250</v>
      </c>
      <c r="D588" s="540" t="s">
        <v>797</v>
      </c>
      <c r="E588" s="540" t="s">
        <v>1092</v>
      </c>
      <c r="F588" s="539" t="s">
        <v>959</v>
      </c>
      <c r="G588" s="544">
        <v>-41.67</v>
      </c>
      <c r="H588" s="540">
        <v>856</v>
      </c>
      <c r="I588" s="540" t="s">
        <v>1127</v>
      </c>
    </row>
    <row r="589" spans="1:9">
      <c r="A589" s="568">
        <f t="shared" si="8"/>
        <v>584</v>
      </c>
      <c r="B589" s="541">
        <v>41882</v>
      </c>
      <c r="C589" s="540" t="s">
        <v>1244</v>
      </c>
      <c r="D589" s="540" t="s">
        <v>797</v>
      </c>
      <c r="E589" s="540" t="s">
        <v>1126</v>
      </c>
      <c r="F589" s="539" t="s">
        <v>714</v>
      </c>
      <c r="G589" s="544">
        <v>-100</v>
      </c>
      <c r="H589" s="540">
        <v>856</v>
      </c>
      <c r="I589" s="540" t="s">
        <v>1127</v>
      </c>
    </row>
    <row r="590" spans="1:9">
      <c r="A590" s="568">
        <f t="shared" si="8"/>
        <v>585</v>
      </c>
      <c r="B590" s="541">
        <v>41882</v>
      </c>
      <c r="C590" s="540" t="s">
        <v>1244</v>
      </c>
      <c r="D590" s="540" t="s">
        <v>797</v>
      </c>
      <c r="E590" s="540" t="s">
        <v>1255</v>
      </c>
      <c r="F590" s="539" t="s">
        <v>959</v>
      </c>
      <c r="G590" s="544">
        <v>-8.33</v>
      </c>
      <c r="H590" s="540">
        <v>856</v>
      </c>
      <c r="I590" s="540" t="s">
        <v>1127</v>
      </c>
    </row>
    <row r="591" spans="1:9">
      <c r="A591" s="568">
        <f t="shared" si="8"/>
        <v>586</v>
      </c>
      <c r="B591" s="541">
        <v>41882</v>
      </c>
      <c r="C591" s="540" t="s">
        <v>1244</v>
      </c>
      <c r="D591" s="540" t="s">
        <v>797</v>
      </c>
      <c r="E591" s="540" t="s">
        <v>1093</v>
      </c>
      <c r="F591" s="539" t="s">
        <v>654</v>
      </c>
      <c r="G591" s="544">
        <v>-500</v>
      </c>
      <c r="H591" s="540">
        <v>856</v>
      </c>
      <c r="I591" s="540" t="s">
        <v>1127</v>
      </c>
    </row>
    <row r="592" spans="1:9">
      <c r="A592" s="568">
        <f t="shared" si="8"/>
        <v>587</v>
      </c>
      <c r="B592" s="541">
        <v>41882</v>
      </c>
      <c r="C592" s="540" t="s">
        <v>1244</v>
      </c>
      <c r="D592" s="540" t="s">
        <v>797</v>
      </c>
      <c r="E592" s="540" t="s">
        <v>1094</v>
      </c>
      <c r="F592" s="539" t="s">
        <v>958</v>
      </c>
      <c r="G592" s="544">
        <v>-14.58</v>
      </c>
      <c r="H592" s="540">
        <v>856</v>
      </c>
      <c r="I592" s="540" t="s">
        <v>1127</v>
      </c>
    </row>
    <row r="593" spans="1:9">
      <c r="A593" s="568">
        <f t="shared" si="8"/>
        <v>588</v>
      </c>
      <c r="B593" s="541">
        <v>41882</v>
      </c>
      <c r="C593" s="540" t="s">
        <v>1244</v>
      </c>
      <c r="D593" s="540" t="s">
        <v>797</v>
      </c>
      <c r="E593" s="540" t="s">
        <v>1095</v>
      </c>
      <c r="F593" s="539" t="s">
        <v>959</v>
      </c>
      <c r="G593" s="544">
        <v>-8.33</v>
      </c>
      <c r="H593" s="540">
        <v>856</v>
      </c>
      <c r="I593" s="540" t="s">
        <v>1127</v>
      </c>
    </row>
    <row r="594" spans="1:9">
      <c r="A594" s="568">
        <f t="shared" si="8"/>
        <v>589</v>
      </c>
      <c r="B594" s="541">
        <v>41882</v>
      </c>
      <c r="C594" s="540" t="s">
        <v>1244</v>
      </c>
      <c r="D594" s="540" t="s">
        <v>797</v>
      </c>
      <c r="E594" s="540" t="s">
        <v>1256</v>
      </c>
      <c r="F594" s="539" t="s">
        <v>714</v>
      </c>
      <c r="G594" s="544">
        <v>-565.41999999999996</v>
      </c>
      <c r="H594" s="540">
        <v>856</v>
      </c>
      <c r="I594" s="540" t="s">
        <v>1127</v>
      </c>
    </row>
    <row r="595" spans="1:9">
      <c r="A595" s="568">
        <f t="shared" si="8"/>
        <v>590</v>
      </c>
      <c r="B595" s="541">
        <v>41882</v>
      </c>
      <c r="C595" s="540" t="s">
        <v>1244</v>
      </c>
      <c r="D595" s="540" t="s">
        <v>797</v>
      </c>
      <c r="E595" s="540" t="s">
        <v>1096</v>
      </c>
      <c r="F595" s="539" t="s">
        <v>959</v>
      </c>
      <c r="G595" s="544">
        <v>-10.83</v>
      </c>
      <c r="H595" s="540">
        <v>856</v>
      </c>
      <c r="I595" s="540" t="s">
        <v>1127</v>
      </c>
    </row>
    <row r="596" spans="1:9">
      <c r="A596" s="568">
        <f t="shared" si="8"/>
        <v>591</v>
      </c>
      <c r="B596" s="541">
        <v>41882</v>
      </c>
      <c r="C596" s="540" t="s">
        <v>1244</v>
      </c>
      <c r="D596" s="540" t="s">
        <v>797</v>
      </c>
      <c r="E596" s="540" t="s">
        <v>1097</v>
      </c>
      <c r="F596" s="539" t="s">
        <v>714</v>
      </c>
      <c r="G596" s="544">
        <v>-757.35</v>
      </c>
      <c r="H596" s="540">
        <v>856</v>
      </c>
      <c r="I596" s="540" t="s">
        <v>1127</v>
      </c>
    </row>
    <row r="597" spans="1:9">
      <c r="A597" s="568">
        <f t="shared" si="8"/>
        <v>592</v>
      </c>
      <c r="B597" s="541">
        <v>41882</v>
      </c>
      <c r="C597" s="540" t="s">
        <v>1250</v>
      </c>
      <c r="D597" s="540" t="s">
        <v>797</v>
      </c>
      <c r="E597" s="540" t="s">
        <v>1257</v>
      </c>
      <c r="F597" s="539" t="s">
        <v>959</v>
      </c>
      <c r="G597" s="544">
        <v>-8.33</v>
      </c>
      <c r="H597" s="540">
        <v>856</v>
      </c>
      <c r="I597" s="540" t="s">
        <v>1127</v>
      </c>
    </row>
    <row r="598" spans="1:9">
      <c r="A598" s="568">
        <f t="shared" si="8"/>
        <v>593</v>
      </c>
      <c r="B598" s="541">
        <v>41882</v>
      </c>
      <c r="C598" s="540" t="s">
        <v>1244</v>
      </c>
      <c r="D598" s="540" t="s">
        <v>797</v>
      </c>
      <c r="E598" s="540" t="s">
        <v>1107</v>
      </c>
      <c r="F598" s="539" t="s">
        <v>958</v>
      </c>
      <c r="G598" s="544">
        <v>-1166</v>
      </c>
      <c r="H598" s="540">
        <v>856</v>
      </c>
      <c r="I598" s="540" t="s">
        <v>1127</v>
      </c>
    </row>
    <row r="599" spans="1:9">
      <c r="A599" s="568">
        <f t="shared" ref="A599:A662" si="9">A598+1</f>
        <v>594</v>
      </c>
      <c r="B599" s="541">
        <v>41882</v>
      </c>
      <c r="C599" s="540" t="s">
        <v>1244</v>
      </c>
      <c r="D599" s="540" t="s">
        <v>797</v>
      </c>
      <c r="E599" s="540" t="s">
        <v>1124</v>
      </c>
      <c r="F599" s="539" t="s">
        <v>959</v>
      </c>
      <c r="G599" s="544">
        <v>-183.82</v>
      </c>
      <c r="H599" s="540">
        <v>856</v>
      </c>
      <c r="I599" s="540" t="s">
        <v>1127</v>
      </c>
    </row>
    <row r="600" spans="1:9">
      <c r="A600" s="568">
        <f t="shared" si="9"/>
        <v>595</v>
      </c>
      <c r="B600" s="541">
        <v>41882</v>
      </c>
      <c r="C600" s="540" t="s">
        <v>1244</v>
      </c>
      <c r="D600" s="540" t="s">
        <v>797</v>
      </c>
      <c r="E600" s="540" t="s">
        <v>1112</v>
      </c>
      <c r="F600" s="539" t="s">
        <v>958</v>
      </c>
      <c r="G600" s="544">
        <v>-612.85</v>
      </c>
      <c r="H600" s="540">
        <v>856</v>
      </c>
      <c r="I600" s="540" t="s">
        <v>1127</v>
      </c>
    </row>
    <row r="601" spans="1:9">
      <c r="A601" s="568">
        <f t="shared" si="9"/>
        <v>596</v>
      </c>
      <c r="B601" s="541">
        <v>41882</v>
      </c>
      <c r="C601" s="540" t="s">
        <v>1244</v>
      </c>
      <c r="D601" s="540" t="s">
        <v>797</v>
      </c>
      <c r="E601" s="540" t="s">
        <v>1112</v>
      </c>
      <c r="F601" s="539" t="s">
        <v>958</v>
      </c>
      <c r="G601" s="544">
        <v>-416.3</v>
      </c>
      <c r="H601" s="540">
        <v>856</v>
      </c>
      <c r="I601" s="540" t="s">
        <v>1127</v>
      </c>
    </row>
    <row r="602" spans="1:9">
      <c r="A602" s="568">
        <f t="shared" si="9"/>
        <v>597</v>
      </c>
      <c r="B602" s="541">
        <v>41882</v>
      </c>
      <c r="C602" s="540" t="s">
        <v>1244</v>
      </c>
      <c r="D602" s="540" t="s">
        <v>797</v>
      </c>
      <c r="E602" s="540" t="s">
        <v>1258</v>
      </c>
      <c r="F602" s="539" t="s">
        <v>714</v>
      </c>
      <c r="G602" s="544">
        <v>-575</v>
      </c>
      <c r="H602" s="540" t="s">
        <v>790</v>
      </c>
      <c r="I602" s="540" t="s">
        <v>1130</v>
      </c>
    </row>
    <row r="603" spans="1:9">
      <c r="A603" s="568">
        <f t="shared" si="9"/>
        <v>598</v>
      </c>
      <c r="B603" s="541">
        <v>41882</v>
      </c>
      <c r="C603" s="540" t="s">
        <v>1244</v>
      </c>
      <c r="D603" s="540" t="s">
        <v>797</v>
      </c>
      <c r="E603" s="540" t="s">
        <v>1259</v>
      </c>
      <c r="F603" s="539" t="s">
        <v>714</v>
      </c>
      <c r="G603" s="544">
        <v>-500</v>
      </c>
      <c r="H603" s="540" t="s">
        <v>790</v>
      </c>
      <c r="I603" s="540" t="s">
        <v>1130</v>
      </c>
    </row>
    <row r="604" spans="1:9">
      <c r="A604" s="568">
        <f t="shared" si="9"/>
        <v>599</v>
      </c>
      <c r="B604" s="541">
        <v>41882</v>
      </c>
      <c r="C604" s="540" t="s">
        <v>1244</v>
      </c>
      <c r="D604" s="540" t="s">
        <v>797</v>
      </c>
      <c r="E604" s="540" t="s">
        <v>1260</v>
      </c>
      <c r="F604" s="539" t="s">
        <v>714</v>
      </c>
      <c r="G604" s="544">
        <v>-400</v>
      </c>
      <c r="H604" s="540" t="s">
        <v>790</v>
      </c>
      <c r="I604" s="540" t="s">
        <v>1130</v>
      </c>
    </row>
    <row r="605" spans="1:9">
      <c r="A605" s="568">
        <f t="shared" si="9"/>
        <v>600</v>
      </c>
      <c r="B605" s="541">
        <v>41882</v>
      </c>
      <c r="C605" s="540" t="s">
        <v>1244</v>
      </c>
      <c r="D605" s="540" t="s">
        <v>797</v>
      </c>
      <c r="E605" s="540" t="s">
        <v>1261</v>
      </c>
      <c r="F605" s="539" t="s">
        <v>714</v>
      </c>
      <c r="G605" s="544">
        <v>-3200</v>
      </c>
      <c r="H605" s="540" t="s">
        <v>790</v>
      </c>
      <c r="I605" s="540" t="s">
        <v>1130</v>
      </c>
    </row>
    <row r="606" spans="1:9">
      <c r="A606" s="568">
        <f t="shared" si="9"/>
        <v>601</v>
      </c>
      <c r="B606" s="541">
        <v>41882</v>
      </c>
      <c r="C606" s="540" t="s">
        <v>1244</v>
      </c>
      <c r="D606" s="540" t="s">
        <v>797</v>
      </c>
      <c r="E606" s="540" t="s">
        <v>1262</v>
      </c>
      <c r="F606" s="539" t="s">
        <v>654</v>
      </c>
      <c r="G606" s="544">
        <v>-1890</v>
      </c>
      <c r="H606" s="540" t="s">
        <v>790</v>
      </c>
      <c r="I606" s="540" t="s">
        <v>1130</v>
      </c>
    </row>
    <row r="607" spans="1:9">
      <c r="A607" s="568">
        <f t="shared" si="9"/>
        <v>602</v>
      </c>
      <c r="B607" s="541">
        <v>41882</v>
      </c>
      <c r="C607" s="540" t="s">
        <v>1244</v>
      </c>
      <c r="D607" s="540" t="s">
        <v>797</v>
      </c>
      <c r="E607" s="540" t="s">
        <v>365</v>
      </c>
      <c r="F607" s="539" t="s">
        <v>714</v>
      </c>
      <c r="G607" s="544">
        <v>-2779.45</v>
      </c>
      <c r="H607" s="540" t="s">
        <v>790</v>
      </c>
      <c r="I607" s="540" t="s">
        <v>1130</v>
      </c>
    </row>
    <row r="608" spans="1:9">
      <c r="A608" s="568">
        <f t="shared" si="9"/>
        <v>603</v>
      </c>
      <c r="B608" s="541">
        <v>41882</v>
      </c>
      <c r="C608" s="540" t="s">
        <v>1250</v>
      </c>
      <c r="D608" s="540" t="s">
        <v>797</v>
      </c>
      <c r="E608" s="540" t="s">
        <v>1263</v>
      </c>
      <c r="F608" s="539" t="s">
        <v>959</v>
      </c>
      <c r="G608" s="544">
        <v>-50</v>
      </c>
      <c r="H608" s="540" t="s">
        <v>790</v>
      </c>
      <c r="I608" s="540" t="s">
        <v>1130</v>
      </c>
    </row>
    <row r="609" spans="1:9">
      <c r="A609" s="568">
        <f t="shared" si="9"/>
        <v>604</v>
      </c>
      <c r="B609" s="541">
        <v>41882</v>
      </c>
      <c r="C609" s="540" t="s">
        <v>712</v>
      </c>
      <c r="D609" s="540" t="s">
        <v>1070</v>
      </c>
      <c r="E609" s="540" t="s">
        <v>1266</v>
      </c>
      <c r="F609" s="539" t="s">
        <v>959</v>
      </c>
      <c r="G609" s="544">
        <v>-500</v>
      </c>
      <c r="H609" s="540" t="s">
        <v>920</v>
      </c>
      <c r="I609" s="540" t="s">
        <v>1267</v>
      </c>
    </row>
    <row r="610" spans="1:9">
      <c r="A610" s="568">
        <f t="shared" si="9"/>
        <v>605</v>
      </c>
      <c r="B610" s="541">
        <v>41882</v>
      </c>
      <c r="C610" s="540" t="s">
        <v>712</v>
      </c>
      <c r="D610" s="540" t="s">
        <v>1070</v>
      </c>
      <c r="E610" s="540" t="s">
        <v>1268</v>
      </c>
      <c r="F610" s="539" t="s">
        <v>959</v>
      </c>
      <c r="G610" s="544">
        <v>-500</v>
      </c>
      <c r="H610" s="540" t="s">
        <v>920</v>
      </c>
      <c r="I610" s="540" t="s">
        <v>1267</v>
      </c>
    </row>
    <row r="611" spans="1:9">
      <c r="A611" s="568">
        <f t="shared" si="9"/>
        <v>606</v>
      </c>
      <c r="B611" s="541">
        <v>41882</v>
      </c>
      <c r="C611" s="540" t="s">
        <v>1244</v>
      </c>
      <c r="D611" s="540" t="s">
        <v>1015</v>
      </c>
      <c r="E611" s="540" t="s">
        <v>1269</v>
      </c>
      <c r="F611" s="539" t="s">
        <v>714</v>
      </c>
      <c r="G611" s="544">
        <v>-1055</v>
      </c>
      <c r="H611" s="540" t="s">
        <v>1020</v>
      </c>
      <c r="I611" s="540" t="s">
        <v>1267</v>
      </c>
    </row>
    <row r="612" spans="1:9">
      <c r="A612" s="568">
        <f t="shared" si="9"/>
        <v>607</v>
      </c>
      <c r="B612" s="541">
        <v>41912</v>
      </c>
      <c r="C612" s="540" t="s">
        <v>1244</v>
      </c>
      <c r="D612" s="540" t="s">
        <v>798</v>
      </c>
      <c r="E612" s="540" t="s">
        <v>1296</v>
      </c>
      <c r="F612" s="539" t="s">
        <v>959</v>
      </c>
      <c r="G612" s="544">
        <v>-1140</v>
      </c>
      <c r="H612" s="540">
        <v>856</v>
      </c>
      <c r="I612" s="540" t="s">
        <v>1284</v>
      </c>
    </row>
    <row r="613" spans="1:9">
      <c r="A613" s="568">
        <f t="shared" si="9"/>
        <v>608</v>
      </c>
      <c r="B613" s="541">
        <v>41912</v>
      </c>
      <c r="C613" s="540" t="s">
        <v>1244</v>
      </c>
      <c r="D613" s="540" t="s">
        <v>798</v>
      </c>
      <c r="E613" s="540" t="s">
        <v>1297</v>
      </c>
      <c r="F613" s="539" t="s">
        <v>959</v>
      </c>
      <c r="G613" s="544">
        <v>-130</v>
      </c>
      <c r="H613" s="540">
        <v>856</v>
      </c>
      <c r="I613" s="540" t="s">
        <v>1284</v>
      </c>
    </row>
    <row r="614" spans="1:9">
      <c r="A614" s="568">
        <f t="shared" si="9"/>
        <v>609</v>
      </c>
      <c r="B614" s="541">
        <v>41912</v>
      </c>
      <c r="C614" s="540" t="s">
        <v>712</v>
      </c>
      <c r="D614" s="540" t="s">
        <v>1071</v>
      </c>
      <c r="E614" s="540" t="s">
        <v>1266</v>
      </c>
      <c r="F614" s="539" t="s">
        <v>959</v>
      </c>
      <c r="G614" s="544">
        <v>-500</v>
      </c>
      <c r="H614" s="540" t="s">
        <v>920</v>
      </c>
      <c r="I614" s="540" t="s">
        <v>1267</v>
      </c>
    </row>
    <row r="615" spans="1:9">
      <c r="A615" s="568">
        <f t="shared" si="9"/>
        <v>610</v>
      </c>
      <c r="B615" s="541">
        <v>41912</v>
      </c>
      <c r="C615" s="540" t="s">
        <v>712</v>
      </c>
      <c r="D615" s="540" t="s">
        <v>1071</v>
      </c>
      <c r="E615" s="540" t="s">
        <v>1268</v>
      </c>
      <c r="F615" s="539" t="s">
        <v>959</v>
      </c>
      <c r="G615" s="544">
        <v>-500</v>
      </c>
      <c r="H615" s="540" t="s">
        <v>920</v>
      </c>
      <c r="I615" s="540" t="s">
        <v>1267</v>
      </c>
    </row>
    <row r="616" spans="1:9">
      <c r="A616" s="568">
        <f t="shared" si="9"/>
        <v>611</v>
      </c>
      <c r="B616" s="541">
        <v>41912</v>
      </c>
      <c r="C616" s="540" t="s">
        <v>1244</v>
      </c>
      <c r="D616" s="540" t="s">
        <v>1016</v>
      </c>
      <c r="E616" s="540" t="s">
        <v>1269</v>
      </c>
      <c r="F616" s="539" t="s">
        <v>714</v>
      </c>
      <c r="G616" s="544">
        <v>-1055</v>
      </c>
      <c r="H616" s="540" t="s">
        <v>1020</v>
      </c>
      <c r="I616" s="540" t="s">
        <v>1267</v>
      </c>
    </row>
    <row r="617" spans="1:9">
      <c r="A617" s="568">
        <f t="shared" si="9"/>
        <v>612</v>
      </c>
      <c r="B617" s="541">
        <v>41912</v>
      </c>
      <c r="C617" s="540" t="s">
        <v>1244</v>
      </c>
      <c r="D617" s="540" t="s">
        <v>798</v>
      </c>
      <c r="E617" s="540" t="s">
        <v>1245</v>
      </c>
      <c r="F617" s="539" t="s">
        <v>714</v>
      </c>
      <c r="G617" s="544">
        <v>-118.92</v>
      </c>
      <c r="H617" s="540">
        <v>856</v>
      </c>
      <c r="I617" s="540" t="s">
        <v>1131</v>
      </c>
    </row>
    <row r="618" spans="1:9">
      <c r="A618" s="568">
        <f t="shared" si="9"/>
        <v>613</v>
      </c>
      <c r="B618" s="541">
        <v>41912</v>
      </c>
      <c r="C618" s="540" t="s">
        <v>1244</v>
      </c>
      <c r="D618" s="540" t="s">
        <v>798</v>
      </c>
      <c r="E618" s="540" t="s">
        <v>1248</v>
      </c>
      <c r="F618" s="539" t="s">
        <v>714</v>
      </c>
      <c r="G618" s="544">
        <v>-777.9</v>
      </c>
      <c r="H618" s="540">
        <v>856</v>
      </c>
      <c r="I618" s="540" t="s">
        <v>1131</v>
      </c>
    </row>
    <row r="619" spans="1:9">
      <c r="A619" s="568">
        <f t="shared" si="9"/>
        <v>614</v>
      </c>
      <c r="B619" s="541">
        <v>41912</v>
      </c>
      <c r="C619" s="540" t="s">
        <v>1244</v>
      </c>
      <c r="D619" s="540" t="s">
        <v>798</v>
      </c>
      <c r="E619" s="540" t="s">
        <v>1249</v>
      </c>
      <c r="F619" s="539" t="s">
        <v>714</v>
      </c>
      <c r="G619" s="544">
        <v>-147.94999999999999</v>
      </c>
      <c r="H619" s="540">
        <v>856</v>
      </c>
      <c r="I619" s="540" t="s">
        <v>1131</v>
      </c>
    </row>
    <row r="620" spans="1:9">
      <c r="A620" s="568">
        <f t="shared" si="9"/>
        <v>615</v>
      </c>
      <c r="B620" s="541">
        <v>41912</v>
      </c>
      <c r="C620" s="540" t="s">
        <v>1244</v>
      </c>
      <c r="D620" s="540" t="s">
        <v>798</v>
      </c>
      <c r="E620" s="540" t="s">
        <v>1082</v>
      </c>
      <c r="F620" s="539" t="s">
        <v>959</v>
      </c>
      <c r="G620" s="544">
        <v>-8.33</v>
      </c>
      <c r="H620" s="540">
        <v>856</v>
      </c>
      <c r="I620" s="540" t="s">
        <v>1131</v>
      </c>
    </row>
    <row r="621" spans="1:9">
      <c r="A621" s="568">
        <f t="shared" si="9"/>
        <v>616</v>
      </c>
      <c r="B621" s="541">
        <v>41912</v>
      </c>
      <c r="C621" s="540" t="s">
        <v>1250</v>
      </c>
      <c r="D621" s="540" t="s">
        <v>798</v>
      </c>
      <c r="E621" s="540" t="s">
        <v>1103</v>
      </c>
      <c r="F621" s="539" t="s">
        <v>959</v>
      </c>
      <c r="G621" s="544">
        <v>-8.33</v>
      </c>
      <c r="H621" s="540">
        <v>856</v>
      </c>
      <c r="I621" s="540" t="s">
        <v>1131</v>
      </c>
    </row>
    <row r="622" spans="1:9">
      <c r="A622" s="568">
        <f t="shared" si="9"/>
        <v>617</v>
      </c>
      <c r="B622" s="541">
        <v>41912</v>
      </c>
      <c r="C622" s="540" t="s">
        <v>1250</v>
      </c>
      <c r="D622" s="540" t="s">
        <v>798</v>
      </c>
      <c r="E622" s="540" t="s">
        <v>1084</v>
      </c>
      <c r="F622" s="539" t="s">
        <v>959</v>
      </c>
      <c r="G622" s="544">
        <v>-8.33</v>
      </c>
      <c r="H622" s="540">
        <v>856</v>
      </c>
      <c r="I622" s="540" t="s">
        <v>1131</v>
      </c>
    </row>
    <row r="623" spans="1:9">
      <c r="A623" s="568">
        <f t="shared" si="9"/>
        <v>618</v>
      </c>
      <c r="B623" s="541">
        <v>41912</v>
      </c>
      <c r="C623" s="540" t="s">
        <v>1244</v>
      </c>
      <c r="D623" s="540" t="s">
        <v>798</v>
      </c>
      <c r="E623" s="540" t="s">
        <v>1116</v>
      </c>
      <c r="F623" s="539" t="s">
        <v>959</v>
      </c>
      <c r="G623" s="544">
        <v>-20.83</v>
      </c>
      <c r="H623" s="540">
        <v>856</v>
      </c>
      <c r="I623" s="540" t="s">
        <v>1131</v>
      </c>
    </row>
    <row r="624" spans="1:9">
      <c r="A624" s="568">
        <f t="shared" si="9"/>
        <v>619</v>
      </c>
      <c r="B624" s="541">
        <v>41912</v>
      </c>
      <c r="C624" s="540" t="s">
        <v>1244</v>
      </c>
      <c r="D624" s="540" t="s">
        <v>798</v>
      </c>
      <c r="E624" s="540" t="s">
        <v>1117</v>
      </c>
      <c r="F624" s="539" t="s">
        <v>654</v>
      </c>
      <c r="G624" s="544">
        <v>-41.67</v>
      </c>
      <c r="H624" s="540">
        <v>856</v>
      </c>
      <c r="I624" s="540" t="s">
        <v>1131</v>
      </c>
    </row>
    <row r="625" spans="1:9">
      <c r="A625" s="568">
        <f t="shared" si="9"/>
        <v>620</v>
      </c>
      <c r="B625" s="541">
        <v>41912</v>
      </c>
      <c r="C625" s="540" t="s">
        <v>1250</v>
      </c>
      <c r="D625" s="540" t="s">
        <v>798</v>
      </c>
      <c r="E625" s="540" t="s">
        <v>1118</v>
      </c>
      <c r="F625" s="539" t="s">
        <v>959</v>
      </c>
      <c r="G625" s="544">
        <v>-11.25</v>
      </c>
      <c r="H625" s="540">
        <v>856</v>
      </c>
      <c r="I625" s="540" t="s">
        <v>1131</v>
      </c>
    </row>
    <row r="626" spans="1:9">
      <c r="A626" s="568">
        <f t="shared" si="9"/>
        <v>621</v>
      </c>
      <c r="B626" s="541">
        <v>41912</v>
      </c>
      <c r="C626" s="540" t="s">
        <v>1250</v>
      </c>
      <c r="D626" s="540" t="s">
        <v>798</v>
      </c>
      <c r="E626" s="540" t="s">
        <v>1118</v>
      </c>
      <c r="F626" s="539" t="s">
        <v>959</v>
      </c>
      <c r="G626" s="544">
        <v>-29.17</v>
      </c>
      <c r="H626" s="540">
        <v>856</v>
      </c>
      <c r="I626" s="540" t="s">
        <v>1131</v>
      </c>
    </row>
    <row r="627" spans="1:9">
      <c r="A627" s="568">
        <f t="shared" si="9"/>
        <v>622</v>
      </c>
      <c r="B627" s="541">
        <v>41912</v>
      </c>
      <c r="C627" s="540" t="s">
        <v>1250</v>
      </c>
      <c r="D627" s="540" t="s">
        <v>798</v>
      </c>
      <c r="E627" s="540" t="s">
        <v>1118</v>
      </c>
      <c r="F627" s="539" t="s">
        <v>959</v>
      </c>
      <c r="G627" s="544">
        <v>-45</v>
      </c>
      <c r="H627" s="540">
        <v>856</v>
      </c>
      <c r="I627" s="540" t="s">
        <v>1131</v>
      </c>
    </row>
    <row r="628" spans="1:9">
      <c r="A628" s="568">
        <f t="shared" si="9"/>
        <v>623</v>
      </c>
      <c r="B628" s="541">
        <v>41912</v>
      </c>
      <c r="C628" s="540" t="s">
        <v>1244</v>
      </c>
      <c r="D628" s="540" t="s">
        <v>798</v>
      </c>
      <c r="E628" s="540" t="s">
        <v>1110</v>
      </c>
      <c r="F628" s="539" t="s">
        <v>959</v>
      </c>
      <c r="G628" s="544">
        <v>-4.1100000000000003</v>
      </c>
      <c r="H628" s="540">
        <v>856</v>
      </c>
      <c r="I628" s="540" t="s">
        <v>1131</v>
      </c>
    </row>
    <row r="629" spans="1:9">
      <c r="A629" s="568">
        <f t="shared" si="9"/>
        <v>624</v>
      </c>
      <c r="B629" s="541">
        <v>41912</v>
      </c>
      <c r="C629" s="540" t="s">
        <v>1244</v>
      </c>
      <c r="D629" s="540" t="s">
        <v>798</v>
      </c>
      <c r="E629" s="540" t="s">
        <v>1285</v>
      </c>
      <c r="F629" s="539" t="s">
        <v>959</v>
      </c>
      <c r="G629" s="544">
        <v>-41.67</v>
      </c>
      <c r="H629" s="540">
        <v>856</v>
      </c>
      <c r="I629" s="540" t="s">
        <v>1131</v>
      </c>
    </row>
    <row r="630" spans="1:9">
      <c r="A630" s="568">
        <f t="shared" si="9"/>
        <v>625</v>
      </c>
      <c r="B630" s="541">
        <v>41912</v>
      </c>
      <c r="C630" s="540" t="s">
        <v>1244</v>
      </c>
      <c r="D630" s="540" t="s">
        <v>798</v>
      </c>
      <c r="E630" s="540" t="s">
        <v>1135</v>
      </c>
      <c r="F630" s="539" t="s">
        <v>958</v>
      </c>
      <c r="G630" s="544">
        <v>-29.130000000000003</v>
      </c>
      <c r="H630" s="540">
        <v>856</v>
      </c>
      <c r="I630" s="540" t="s">
        <v>1131</v>
      </c>
    </row>
    <row r="631" spans="1:9">
      <c r="A631" s="568">
        <f t="shared" si="9"/>
        <v>626</v>
      </c>
      <c r="B631" s="541">
        <v>41912</v>
      </c>
      <c r="C631" s="540" t="s">
        <v>1250</v>
      </c>
      <c r="D631" s="540" t="s">
        <v>798</v>
      </c>
      <c r="E631" s="540" t="s">
        <v>1105</v>
      </c>
      <c r="F631" s="539" t="s">
        <v>959</v>
      </c>
      <c r="G631" s="544">
        <v>-8.33</v>
      </c>
      <c r="H631" s="540">
        <v>856</v>
      </c>
      <c r="I631" s="540" t="s">
        <v>1131</v>
      </c>
    </row>
    <row r="632" spans="1:9">
      <c r="A632" s="568">
        <f t="shared" si="9"/>
        <v>627</v>
      </c>
      <c r="B632" s="541">
        <v>41912</v>
      </c>
      <c r="C632" s="540" t="s">
        <v>1250</v>
      </c>
      <c r="D632" s="540" t="s">
        <v>798</v>
      </c>
      <c r="E632" s="540" t="s">
        <v>1105</v>
      </c>
      <c r="F632" s="539" t="s">
        <v>959</v>
      </c>
      <c r="G632" s="544">
        <v>-14.58</v>
      </c>
      <c r="H632" s="540">
        <v>856</v>
      </c>
      <c r="I632" s="540" t="s">
        <v>1131</v>
      </c>
    </row>
    <row r="633" spans="1:9">
      <c r="A633" s="568">
        <f t="shared" si="9"/>
        <v>628</v>
      </c>
      <c r="B633" s="541">
        <v>41912</v>
      </c>
      <c r="C633" s="540" t="s">
        <v>1244</v>
      </c>
      <c r="D633" s="540" t="s">
        <v>798</v>
      </c>
      <c r="E633" s="540" t="s">
        <v>1251</v>
      </c>
      <c r="F633" s="539" t="s">
        <v>714</v>
      </c>
      <c r="G633" s="544">
        <v>-179.17</v>
      </c>
      <c r="H633" s="540">
        <v>856</v>
      </c>
      <c r="I633" s="540" t="s">
        <v>1131</v>
      </c>
    </row>
    <row r="634" spans="1:9">
      <c r="A634" s="568">
        <f t="shared" si="9"/>
        <v>629</v>
      </c>
      <c r="B634" s="541">
        <v>41912</v>
      </c>
      <c r="C634" s="540" t="s">
        <v>1244</v>
      </c>
      <c r="D634" s="540" t="s">
        <v>798</v>
      </c>
      <c r="E634" s="540" t="s">
        <v>1106</v>
      </c>
      <c r="F634" s="539" t="s">
        <v>654</v>
      </c>
      <c r="G634" s="544">
        <v>-4.17</v>
      </c>
      <c r="H634" s="540">
        <v>856</v>
      </c>
      <c r="I634" s="540" t="s">
        <v>1131</v>
      </c>
    </row>
    <row r="635" spans="1:9">
      <c r="A635" s="568">
        <f t="shared" si="9"/>
        <v>630</v>
      </c>
      <c r="B635" s="541">
        <v>41912</v>
      </c>
      <c r="C635" s="540" t="s">
        <v>1244</v>
      </c>
      <c r="D635" s="540" t="s">
        <v>798</v>
      </c>
      <c r="E635" s="540" t="s">
        <v>1086</v>
      </c>
      <c r="F635" s="539" t="s">
        <v>959</v>
      </c>
      <c r="G635" s="544">
        <v>-8.33</v>
      </c>
      <c r="H635" s="540">
        <v>856</v>
      </c>
      <c r="I635" s="540" t="s">
        <v>1131</v>
      </c>
    </row>
    <row r="636" spans="1:9">
      <c r="A636" s="568">
        <f t="shared" si="9"/>
        <v>631</v>
      </c>
      <c r="B636" s="541">
        <v>41912</v>
      </c>
      <c r="C636" s="540" t="s">
        <v>1250</v>
      </c>
      <c r="D636" s="540" t="s">
        <v>798</v>
      </c>
      <c r="E636" s="540" t="s">
        <v>1111</v>
      </c>
      <c r="F636" s="539" t="s">
        <v>959</v>
      </c>
      <c r="G636" s="544">
        <v>-41.67</v>
      </c>
      <c r="H636" s="540">
        <v>856</v>
      </c>
      <c r="I636" s="540" t="s">
        <v>1131</v>
      </c>
    </row>
    <row r="637" spans="1:9">
      <c r="A637" s="568">
        <f t="shared" si="9"/>
        <v>632</v>
      </c>
      <c r="B637" s="541">
        <v>41912</v>
      </c>
      <c r="C637" s="540" t="s">
        <v>1244</v>
      </c>
      <c r="D637" s="540" t="s">
        <v>798</v>
      </c>
      <c r="E637" s="540" t="s">
        <v>1252</v>
      </c>
      <c r="F637" s="539" t="s">
        <v>714</v>
      </c>
      <c r="G637" s="544">
        <v>-141.28</v>
      </c>
      <c r="H637" s="540">
        <v>856</v>
      </c>
      <c r="I637" s="540" t="s">
        <v>1131</v>
      </c>
    </row>
    <row r="638" spans="1:9">
      <c r="A638" s="568">
        <f t="shared" si="9"/>
        <v>633</v>
      </c>
      <c r="B638" s="541">
        <v>41912</v>
      </c>
      <c r="C638" s="540" t="s">
        <v>1244</v>
      </c>
      <c r="D638" s="540" t="s">
        <v>798</v>
      </c>
      <c r="E638" s="540" t="s">
        <v>1252</v>
      </c>
      <c r="F638" s="539" t="s">
        <v>714</v>
      </c>
      <c r="G638" s="544">
        <v>-122.2</v>
      </c>
      <c r="H638" s="540">
        <v>856</v>
      </c>
      <c r="I638" s="540" t="s">
        <v>1131</v>
      </c>
    </row>
    <row r="639" spans="1:9">
      <c r="A639" s="568">
        <f t="shared" si="9"/>
        <v>634</v>
      </c>
      <c r="B639" s="541">
        <v>41912</v>
      </c>
      <c r="C639" s="540" t="s">
        <v>1244</v>
      </c>
      <c r="D639" s="540" t="s">
        <v>798</v>
      </c>
      <c r="E639" s="540" t="s">
        <v>1252</v>
      </c>
      <c r="F639" s="539" t="s">
        <v>714</v>
      </c>
      <c r="G639" s="544">
        <v>-142.79</v>
      </c>
      <c r="H639" s="540">
        <v>856</v>
      </c>
      <c r="I639" s="540" t="s">
        <v>1131</v>
      </c>
    </row>
    <row r="640" spans="1:9">
      <c r="A640" s="568">
        <f t="shared" si="9"/>
        <v>635</v>
      </c>
      <c r="B640" s="541">
        <v>41912</v>
      </c>
      <c r="C640" s="540" t="s">
        <v>1244</v>
      </c>
      <c r="D640" s="540" t="s">
        <v>798</v>
      </c>
      <c r="E640" s="540" t="s">
        <v>1252</v>
      </c>
      <c r="F640" s="539" t="s">
        <v>714</v>
      </c>
      <c r="G640" s="544">
        <v>-142.79</v>
      </c>
      <c r="H640" s="540">
        <v>856</v>
      </c>
      <c r="I640" s="540" t="s">
        <v>1131</v>
      </c>
    </row>
    <row r="641" spans="1:9">
      <c r="A641" s="568">
        <f t="shared" si="9"/>
        <v>636</v>
      </c>
      <c r="B641" s="541">
        <v>41912</v>
      </c>
      <c r="C641" s="540" t="s">
        <v>1244</v>
      </c>
      <c r="D641" s="540" t="s">
        <v>798</v>
      </c>
      <c r="E641" s="540" t="s">
        <v>1252</v>
      </c>
      <c r="F641" s="539" t="s">
        <v>714</v>
      </c>
      <c r="G641" s="544">
        <v>-141.28</v>
      </c>
      <c r="H641" s="540">
        <v>856</v>
      </c>
      <c r="I641" s="540" t="s">
        <v>1131</v>
      </c>
    </row>
    <row r="642" spans="1:9">
      <c r="A642" s="568">
        <f t="shared" si="9"/>
        <v>637</v>
      </c>
      <c r="B642" s="541">
        <v>41912</v>
      </c>
      <c r="C642" s="540" t="s">
        <v>1244</v>
      </c>
      <c r="D642" s="540" t="s">
        <v>798</v>
      </c>
      <c r="E642" s="540" t="s">
        <v>1252</v>
      </c>
      <c r="F642" s="539" t="s">
        <v>714</v>
      </c>
      <c r="G642" s="544">
        <v>-202.26</v>
      </c>
      <c r="H642" s="540">
        <v>856</v>
      </c>
      <c r="I642" s="540" t="s">
        <v>1131</v>
      </c>
    </row>
    <row r="643" spans="1:9">
      <c r="A643" s="568">
        <f t="shared" si="9"/>
        <v>638</v>
      </c>
      <c r="B643" s="541">
        <v>41912</v>
      </c>
      <c r="C643" s="540" t="s">
        <v>1244</v>
      </c>
      <c r="D643" s="540" t="s">
        <v>798</v>
      </c>
      <c r="E643" s="540" t="s">
        <v>1119</v>
      </c>
      <c r="F643" s="539" t="s">
        <v>654</v>
      </c>
      <c r="G643" s="544">
        <v>-54.17</v>
      </c>
      <c r="H643" s="540">
        <v>856</v>
      </c>
      <c r="I643" s="540" t="s">
        <v>1131</v>
      </c>
    </row>
    <row r="644" spans="1:9">
      <c r="A644" s="568">
        <f t="shared" si="9"/>
        <v>639</v>
      </c>
      <c r="B644" s="541">
        <v>41912</v>
      </c>
      <c r="C644" s="540" t="s">
        <v>1250</v>
      </c>
      <c r="D644" s="540" t="s">
        <v>798</v>
      </c>
      <c r="E644" s="540" t="s">
        <v>1087</v>
      </c>
      <c r="F644" s="539" t="s">
        <v>714</v>
      </c>
      <c r="G644" s="544">
        <v>-693.7</v>
      </c>
      <c r="H644" s="540">
        <v>856</v>
      </c>
      <c r="I644" s="540" t="s">
        <v>1131</v>
      </c>
    </row>
    <row r="645" spans="1:9">
      <c r="A645" s="568">
        <f t="shared" si="9"/>
        <v>640</v>
      </c>
      <c r="B645" s="541">
        <v>41912</v>
      </c>
      <c r="C645" s="540" t="s">
        <v>1250</v>
      </c>
      <c r="D645" s="540" t="s">
        <v>798</v>
      </c>
      <c r="E645" s="540" t="s">
        <v>1123</v>
      </c>
      <c r="F645" s="539" t="s">
        <v>654</v>
      </c>
      <c r="G645" s="544">
        <v>-8.33</v>
      </c>
      <c r="H645" s="540">
        <v>856</v>
      </c>
      <c r="I645" s="540" t="s">
        <v>1131</v>
      </c>
    </row>
    <row r="646" spans="1:9">
      <c r="A646" s="568">
        <f t="shared" si="9"/>
        <v>641</v>
      </c>
      <c r="B646" s="541">
        <v>41912</v>
      </c>
      <c r="C646" s="540" t="s">
        <v>1244</v>
      </c>
      <c r="D646" s="540" t="s">
        <v>798</v>
      </c>
      <c r="E646" s="540" t="s">
        <v>1088</v>
      </c>
      <c r="F646" s="539" t="s">
        <v>654</v>
      </c>
      <c r="G646" s="544">
        <v>-25</v>
      </c>
      <c r="H646" s="540">
        <v>856</v>
      </c>
      <c r="I646" s="540" t="s">
        <v>1131</v>
      </c>
    </row>
    <row r="647" spans="1:9">
      <c r="A647" s="568">
        <f t="shared" si="9"/>
        <v>642</v>
      </c>
      <c r="B647" s="541">
        <v>41912</v>
      </c>
      <c r="C647" s="540" t="s">
        <v>1250</v>
      </c>
      <c r="D647" s="540" t="s">
        <v>798</v>
      </c>
      <c r="E647" s="540" t="s">
        <v>1253</v>
      </c>
      <c r="F647" s="539" t="s">
        <v>654</v>
      </c>
      <c r="G647" s="544">
        <v>-8.33</v>
      </c>
      <c r="H647" s="540">
        <v>856</v>
      </c>
      <c r="I647" s="540" t="s">
        <v>1131</v>
      </c>
    </row>
    <row r="648" spans="1:9">
      <c r="A648" s="568">
        <f t="shared" si="9"/>
        <v>643</v>
      </c>
      <c r="B648" s="541">
        <v>41912</v>
      </c>
      <c r="C648" s="540" t="s">
        <v>1250</v>
      </c>
      <c r="D648" s="540" t="s">
        <v>798</v>
      </c>
      <c r="E648" s="540" t="s">
        <v>1089</v>
      </c>
      <c r="F648" s="539" t="s">
        <v>959</v>
      </c>
      <c r="G648" s="544">
        <v>-25</v>
      </c>
      <c r="H648" s="540">
        <v>856</v>
      </c>
      <c r="I648" s="540" t="s">
        <v>1131</v>
      </c>
    </row>
    <row r="649" spans="1:9">
      <c r="A649" s="568">
        <f t="shared" si="9"/>
        <v>644</v>
      </c>
      <c r="B649" s="541">
        <v>41912</v>
      </c>
      <c r="C649" s="540" t="s">
        <v>1244</v>
      </c>
      <c r="D649" s="540" t="s">
        <v>798</v>
      </c>
      <c r="E649" s="540" t="s">
        <v>1254</v>
      </c>
      <c r="F649" s="539" t="s">
        <v>654</v>
      </c>
      <c r="G649" s="544">
        <v>-8.33</v>
      </c>
      <c r="H649" s="540">
        <v>856</v>
      </c>
      <c r="I649" s="540" t="s">
        <v>1131</v>
      </c>
    </row>
    <row r="650" spans="1:9">
      <c r="A650" s="568">
        <f t="shared" si="9"/>
        <v>645</v>
      </c>
      <c r="B650" s="541">
        <v>41912</v>
      </c>
      <c r="C650" s="540" t="s">
        <v>1244</v>
      </c>
      <c r="D650" s="540" t="s">
        <v>798</v>
      </c>
      <c r="E650" s="540" t="s">
        <v>1090</v>
      </c>
      <c r="F650" s="539" t="s">
        <v>959</v>
      </c>
      <c r="G650" s="544">
        <v>-95</v>
      </c>
      <c r="H650" s="540">
        <v>856</v>
      </c>
      <c r="I650" s="540" t="s">
        <v>1131</v>
      </c>
    </row>
    <row r="651" spans="1:9">
      <c r="A651" s="568">
        <f t="shared" si="9"/>
        <v>646</v>
      </c>
      <c r="B651" s="541">
        <v>41912</v>
      </c>
      <c r="C651" s="540" t="s">
        <v>1244</v>
      </c>
      <c r="D651" s="540" t="s">
        <v>798</v>
      </c>
      <c r="E651" s="540" t="s">
        <v>1273</v>
      </c>
      <c r="F651" s="539" t="s">
        <v>959</v>
      </c>
      <c r="G651" s="544">
        <v>-66.67</v>
      </c>
      <c r="H651" s="540">
        <v>856</v>
      </c>
      <c r="I651" s="540" t="s">
        <v>1131</v>
      </c>
    </row>
    <row r="652" spans="1:9">
      <c r="A652" s="568">
        <f t="shared" si="9"/>
        <v>647</v>
      </c>
      <c r="B652" s="541">
        <v>41912</v>
      </c>
      <c r="C652" s="540" t="s">
        <v>1244</v>
      </c>
      <c r="D652" s="540" t="s">
        <v>798</v>
      </c>
      <c r="E652" s="540" t="s">
        <v>1273</v>
      </c>
      <c r="F652" s="539" t="s">
        <v>959</v>
      </c>
      <c r="G652" s="544">
        <v>-41.67</v>
      </c>
      <c r="H652" s="540">
        <v>856</v>
      </c>
      <c r="I652" s="540" t="s">
        <v>1131</v>
      </c>
    </row>
    <row r="653" spans="1:9">
      <c r="A653" s="568">
        <f t="shared" si="9"/>
        <v>648</v>
      </c>
      <c r="B653" s="541">
        <v>41912</v>
      </c>
      <c r="C653" s="540" t="s">
        <v>1244</v>
      </c>
      <c r="D653" s="540" t="s">
        <v>798</v>
      </c>
      <c r="E653" s="540" t="s">
        <v>1091</v>
      </c>
      <c r="F653" s="539" t="s">
        <v>714</v>
      </c>
      <c r="G653" s="544">
        <v>-109.69</v>
      </c>
      <c r="H653" s="540">
        <v>856</v>
      </c>
      <c r="I653" s="540" t="s">
        <v>1131</v>
      </c>
    </row>
    <row r="654" spans="1:9">
      <c r="A654" s="568">
        <f t="shared" si="9"/>
        <v>649</v>
      </c>
      <c r="B654" s="541">
        <v>41912</v>
      </c>
      <c r="C654" s="540" t="s">
        <v>1250</v>
      </c>
      <c r="D654" s="540" t="s">
        <v>798</v>
      </c>
      <c r="E654" s="540" t="s">
        <v>1092</v>
      </c>
      <c r="F654" s="539" t="s">
        <v>959</v>
      </c>
      <c r="G654" s="544">
        <v>-363.87</v>
      </c>
      <c r="H654" s="540">
        <v>856</v>
      </c>
      <c r="I654" s="540" t="s">
        <v>1131</v>
      </c>
    </row>
    <row r="655" spans="1:9">
      <c r="A655" s="568">
        <f t="shared" si="9"/>
        <v>650</v>
      </c>
      <c r="B655" s="541">
        <v>41912</v>
      </c>
      <c r="C655" s="540" t="s">
        <v>1250</v>
      </c>
      <c r="D655" s="540" t="s">
        <v>798</v>
      </c>
      <c r="E655" s="540" t="s">
        <v>1092</v>
      </c>
      <c r="F655" s="539" t="s">
        <v>959</v>
      </c>
      <c r="G655" s="544">
        <v>-176.82</v>
      </c>
      <c r="H655" s="540">
        <v>856</v>
      </c>
      <c r="I655" s="540" t="s">
        <v>1131</v>
      </c>
    </row>
    <row r="656" spans="1:9">
      <c r="A656" s="568">
        <f t="shared" si="9"/>
        <v>651</v>
      </c>
      <c r="B656" s="541">
        <v>41912</v>
      </c>
      <c r="C656" s="540" t="s">
        <v>1250</v>
      </c>
      <c r="D656" s="540" t="s">
        <v>798</v>
      </c>
      <c r="E656" s="540" t="s">
        <v>1092</v>
      </c>
      <c r="F656" s="539" t="s">
        <v>959</v>
      </c>
      <c r="G656" s="544">
        <v>-150</v>
      </c>
      <c r="H656" s="540">
        <v>856</v>
      </c>
      <c r="I656" s="540" t="s">
        <v>1131</v>
      </c>
    </row>
    <row r="657" spans="1:9">
      <c r="A657" s="568">
        <f t="shared" si="9"/>
        <v>652</v>
      </c>
      <c r="B657" s="541">
        <v>41912</v>
      </c>
      <c r="C657" s="540" t="s">
        <v>1250</v>
      </c>
      <c r="D657" s="540" t="s">
        <v>798</v>
      </c>
      <c r="E657" s="540" t="s">
        <v>1092</v>
      </c>
      <c r="F657" s="539" t="s">
        <v>959</v>
      </c>
      <c r="G657" s="544">
        <v>-16.670000000000002</v>
      </c>
      <c r="H657" s="540">
        <v>856</v>
      </c>
      <c r="I657" s="540" t="s">
        <v>1131</v>
      </c>
    </row>
    <row r="658" spans="1:9">
      <c r="A658" s="568">
        <f t="shared" si="9"/>
        <v>653</v>
      </c>
      <c r="B658" s="541">
        <v>41912</v>
      </c>
      <c r="C658" s="540" t="s">
        <v>1250</v>
      </c>
      <c r="D658" s="540" t="s">
        <v>798</v>
      </c>
      <c r="E658" s="540" t="s">
        <v>1092</v>
      </c>
      <c r="F658" s="539" t="s">
        <v>959</v>
      </c>
      <c r="G658" s="544">
        <v>-41.67</v>
      </c>
      <c r="H658" s="540">
        <v>856</v>
      </c>
      <c r="I658" s="540" t="s">
        <v>1131</v>
      </c>
    </row>
    <row r="659" spans="1:9">
      <c r="A659" s="568">
        <f t="shared" si="9"/>
        <v>654</v>
      </c>
      <c r="B659" s="541">
        <v>41912</v>
      </c>
      <c r="C659" s="540" t="s">
        <v>1244</v>
      </c>
      <c r="D659" s="540" t="s">
        <v>798</v>
      </c>
      <c r="E659" s="540" t="s">
        <v>1126</v>
      </c>
      <c r="F659" s="539" t="s">
        <v>714</v>
      </c>
      <c r="G659" s="544">
        <v>-100</v>
      </c>
      <c r="H659" s="540">
        <v>856</v>
      </c>
      <c r="I659" s="540" t="s">
        <v>1131</v>
      </c>
    </row>
    <row r="660" spans="1:9">
      <c r="A660" s="568">
        <f t="shared" si="9"/>
        <v>655</v>
      </c>
      <c r="B660" s="541">
        <v>41912</v>
      </c>
      <c r="C660" s="540" t="s">
        <v>1244</v>
      </c>
      <c r="D660" s="540" t="s">
        <v>798</v>
      </c>
      <c r="E660" s="540" t="s">
        <v>1255</v>
      </c>
      <c r="F660" s="539" t="s">
        <v>959</v>
      </c>
      <c r="G660" s="544">
        <v>-8.33</v>
      </c>
      <c r="H660" s="540">
        <v>856</v>
      </c>
      <c r="I660" s="540" t="s">
        <v>1131</v>
      </c>
    </row>
    <row r="661" spans="1:9">
      <c r="A661" s="568">
        <f t="shared" si="9"/>
        <v>656</v>
      </c>
      <c r="B661" s="541">
        <v>41912</v>
      </c>
      <c r="C661" s="540" t="s">
        <v>1244</v>
      </c>
      <c r="D661" s="540" t="s">
        <v>798</v>
      </c>
      <c r="E661" s="540" t="s">
        <v>1093</v>
      </c>
      <c r="F661" s="539" t="s">
        <v>654</v>
      </c>
      <c r="G661" s="544">
        <v>-500</v>
      </c>
      <c r="H661" s="540">
        <v>856</v>
      </c>
      <c r="I661" s="540" t="s">
        <v>1131</v>
      </c>
    </row>
    <row r="662" spans="1:9">
      <c r="A662" s="568">
        <f t="shared" si="9"/>
        <v>657</v>
      </c>
      <c r="B662" s="541">
        <v>41912</v>
      </c>
      <c r="C662" s="540" t="s">
        <v>1244</v>
      </c>
      <c r="D662" s="540" t="s">
        <v>798</v>
      </c>
      <c r="E662" s="540" t="s">
        <v>1094</v>
      </c>
      <c r="F662" s="539" t="s">
        <v>958</v>
      </c>
      <c r="G662" s="544">
        <v>-14.58</v>
      </c>
      <c r="H662" s="540">
        <v>856</v>
      </c>
      <c r="I662" s="540" t="s">
        <v>1131</v>
      </c>
    </row>
    <row r="663" spans="1:9">
      <c r="A663" s="568">
        <f t="shared" ref="A663:A726" si="10">A662+1</f>
        <v>658</v>
      </c>
      <c r="B663" s="541">
        <v>41912</v>
      </c>
      <c r="C663" s="540" t="s">
        <v>1244</v>
      </c>
      <c r="D663" s="540" t="s">
        <v>798</v>
      </c>
      <c r="E663" s="540" t="s">
        <v>1095</v>
      </c>
      <c r="F663" s="539" t="s">
        <v>959</v>
      </c>
      <c r="G663" s="544">
        <v>-8.33</v>
      </c>
      <c r="H663" s="540">
        <v>856</v>
      </c>
      <c r="I663" s="540" t="s">
        <v>1131</v>
      </c>
    </row>
    <row r="664" spans="1:9">
      <c r="A664" s="568">
        <f t="shared" si="10"/>
        <v>659</v>
      </c>
      <c r="B664" s="541">
        <v>41912</v>
      </c>
      <c r="C664" s="540" t="s">
        <v>1244</v>
      </c>
      <c r="D664" s="540" t="s">
        <v>798</v>
      </c>
      <c r="E664" s="540" t="s">
        <v>1256</v>
      </c>
      <c r="F664" s="539" t="s">
        <v>714</v>
      </c>
      <c r="G664" s="544">
        <v>-565.41999999999996</v>
      </c>
      <c r="H664" s="540">
        <v>856</v>
      </c>
      <c r="I664" s="540" t="s">
        <v>1131</v>
      </c>
    </row>
    <row r="665" spans="1:9">
      <c r="A665" s="568">
        <f t="shared" si="10"/>
        <v>660</v>
      </c>
      <c r="B665" s="541">
        <v>41912</v>
      </c>
      <c r="C665" s="540" t="s">
        <v>1244</v>
      </c>
      <c r="D665" s="540" t="s">
        <v>798</v>
      </c>
      <c r="E665" s="540" t="s">
        <v>1096</v>
      </c>
      <c r="F665" s="539" t="s">
        <v>959</v>
      </c>
      <c r="G665" s="544">
        <v>-10.87</v>
      </c>
      <c r="H665" s="540">
        <v>856</v>
      </c>
      <c r="I665" s="540" t="s">
        <v>1131</v>
      </c>
    </row>
    <row r="666" spans="1:9">
      <c r="A666" s="568">
        <f t="shared" si="10"/>
        <v>661</v>
      </c>
      <c r="B666" s="541">
        <v>41912</v>
      </c>
      <c r="C666" s="540" t="s">
        <v>1244</v>
      </c>
      <c r="D666" s="540" t="s">
        <v>798</v>
      </c>
      <c r="E666" s="540" t="s">
        <v>1097</v>
      </c>
      <c r="F666" s="539" t="s">
        <v>714</v>
      </c>
      <c r="G666" s="544">
        <v>-757.35</v>
      </c>
      <c r="H666" s="540">
        <v>856</v>
      </c>
      <c r="I666" s="540" t="s">
        <v>1131</v>
      </c>
    </row>
    <row r="667" spans="1:9">
      <c r="A667" s="568">
        <f t="shared" si="10"/>
        <v>662</v>
      </c>
      <c r="B667" s="541">
        <v>41912</v>
      </c>
      <c r="C667" s="540" t="s">
        <v>1250</v>
      </c>
      <c r="D667" s="540" t="s">
        <v>798</v>
      </c>
      <c r="E667" s="540" t="s">
        <v>1257</v>
      </c>
      <c r="F667" s="539" t="s">
        <v>959</v>
      </c>
      <c r="G667" s="544">
        <v>-8.33</v>
      </c>
      <c r="H667" s="540">
        <v>856</v>
      </c>
      <c r="I667" s="540" t="s">
        <v>1131</v>
      </c>
    </row>
    <row r="668" spans="1:9">
      <c r="A668" s="568">
        <f t="shared" si="10"/>
        <v>663</v>
      </c>
      <c r="B668" s="541">
        <v>41912</v>
      </c>
      <c r="C668" s="540" t="s">
        <v>1244</v>
      </c>
      <c r="D668" s="540" t="s">
        <v>798</v>
      </c>
      <c r="E668" s="540" t="s">
        <v>1107</v>
      </c>
      <c r="F668" s="539" t="s">
        <v>958</v>
      </c>
      <c r="G668" s="544">
        <v>-1166</v>
      </c>
      <c r="H668" s="540">
        <v>856</v>
      </c>
      <c r="I668" s="540" t="s">
        <v>1131</v>
      </c>
    </row>
    <row r="669" spans="1:9">
      <c r="A669" s="568">
        <f t="shared" si="10"/>
        <v>664</v>
      </c>
      <c r="B669" s="541">
        <v>41912</v>
      </c>
      <c r="C669" s="540" t="s">
        <v>1244</v>
      </c>
      <c r="D669" s="540" t="s">
        <v>798</v>
      </c>
      <c r="E669" s="540" t="s">
        <v>1124</v>
      </c>
      <c r="F669" s="539" t="s">
        <v>959</v>
      </c>
      <c r="G669" s="544">
        <v>-183.82</v>
      </c>
      <c r="H669" s="540">
        <v>856</v>
      </c>
      <c r="I669" s="540" t="s">
        <v>1131</v>
      </c>
    </row>
    <row r="670" spans="1:9">
      <c r="A670" s="568">
        <f t="shared" si="10"/>
        <v>665</v>
      </c>
      <c r="B670" s="541">
        <v>41912</v>
      </c>
      <c r="C670" s="540" t="s">
        <v>1244</v>
      </c>
      <c r="D670" s="540" t="s">
        <v>798</v>
      </c>
      <c r="E670" s="540" t="s">
        <v>1112</v>
      </c>
      <c r="F670" s="539" t="s">
        <v>958</v>
      </c>
      <c r="G670" s="544">
        <v>-612.85</v>
      </c>
      <c r="H670" s="540">
        <v>856</v>
      </c>
      <c r="I670" s="540" t="s">
        <v>1131</v>
      </c>
    </row>
    <row r="671" spans="1:9">
      <c r="A671" s="568">
        <f t="shared" si="10"/>
        <v>666</v>
      </c>
      <c r="B671" s="541">
        <v>41912</v>
      </c>
      <c r="C671" s="540" t="s">
        <v>1244</v>
      </c>
      <c r="D671" s="540" t="s">
        <v>798</v>
      </c>
      <c r="E671" s="540" t="s">
        <v>1112</v>
      </c>
      <c r="F671" s="539" t="s">
        <v>958</v>
      </c>
      <c r="G671" s="544">
        <v>-416.3</v>
      </c>
      <c r="H671" s="540">
        <v>856</v>
      </c>
      <c r="I671" s="540" t="s">
        <v>1131</v>
      </c>
    </row>
    <row r="672" spans="1:9">
      <c r="A672" s="568">
        <f t="shared" si="10"/>
        <v>667</v>
      </c>
      <c r="B672" s="541">
        <v>41912</v>
      </c>
      <c r="C672" s="540" t="s">
        <v>1244</v>
      </c>
      <c r="D672" s="540" t="s">
        <v>798</v>
      </c>
      <c r="E672" s="540" t="s">
        <v>1258</v>
      </c>
      <c r="F672" s="539" t="s">
        <v>714</v>
      </c>
      <c r="G672" s="544">
        <v>-575</v>
      </c>
      <c r="H672" s="540" t="s">
        <v>790</v>
      </c>
      <c r="I672" s="540" t="s">
        <v>1133</v>
      </c>
    </row>
    <row r="673" spans="1:9">
      <c r="A673" s="568">
        <f t="shared" si="10"/>
        <v>668</v>
      </c>
      <c r="B673" s="541">
        <v>41912</v>
      </c>
      <c r="C673" s="540" t="s">
        <v>1244</v>
      </c>
      <c r="D673" s="540" t="s">
        <v>798</v>
      </c>
      <c r="E673" s="540" t="s">
        <v>1259</v>
      </c>
      <c r="F673" s="539" t="s">
        <v>714</v>
      </c>
      <c r="G673" s="544">
        <v>-500</v>
      </c>
      <c r="H673" s="540" t="s">
        <v>790</v>
      </c>
      <c r="I673" s="540" t="s">
        <v>1133</v>
      </c>
    </row>
    <row r="674" spans="1:9">
      <c r="A674" s="568">
        <f t="shared" si="10"/>
        <v>669</v>
      </c>
      <c r="B674" s="541">
        <v>41912</v>
      </c>
      <c r="C674" s="540" t="s">
        <v>1244</v>
      </c>
      <c r="D674" s="540" t="s">
        <v>798</v>
      </c>
      <c r="E674" s="540" t="s">
        <v>1260</v>
      </c>
      <c r="F674" s="539" t="s">
        <v>714</v>
      </c>
      <c r="G674" s="544">
        <v>-400</v>
      </c>
      <c r="H674" s="540" t="s">
        <v>790</v>
      </c>
      <c r="I674" s="540" t="s">
        <v>1133</v>
      </c>
    </row>
    <row r="675" spans="1:9">
      <c r="A675" s="568">
        <f t="shared" si="10"/>
        <v>670</v>
      </c>
      <c r="B675" s="541">
        <v>41912</v>
      </c>
      <c r="C675" s="540" t="s">
        <v>1244</v>
      </c>
      <c r="D675" s="540" t="s">
        <v>798</v>
      </c>
      <c r="E675" s="540" t="s">
        <v>1261</v>
      </c>
      <c r="F675" s="539" t="s">
        <v>714</v>
      </c>
      <c r="G675" s="544">
        <v>-3200</v>
      </c>
      <c r="H675" s="540" t="s">
        <v>790</v>
      </c>
      <c r="I675" s="540" t="s">
        <v>1133</v>
      </c>
    </row>
    <row r="676" spans="1:9">
      <c r="A676" s="568">
        <f t="shared" si="10"/>
        <v>671</v>
      </c>
      <c r="B676" s="541">
        <v>41912</v>
      </c>
      <c r="C676" s="540" t="s">
        <v>1244</v>
      </c>
      <c r="D676" s="540" t="s">
        <v>798</v>
      </c>
      <c r="E676" s="540" t="s">
        <v>1262</v>
      </c>
      <c r="F676" s="539" t="s">
        <v>654</v>
      </c>
      <c r="G676" s="544">
        <v>-1890</v>
      </c>
      <c r="H676" s="540" t="s">
        <v>790</v>
      </c>
      <c r="I676" s="540" t="s">
        <v>1133</v>
      </c>
    </row>
    <row r="677" spans="1:9">
      <c r="A677" s="568">
        <f t="shared" si="10"/>
        <v>672</v>
      </c>
      <c r="B677" s="541">
        <v>41912</v>
      </c>
      <c r="C677" s="540" t="s">
        <v>1244</v>
      </c>
      <c r="D677" s="540" t="s">
        <v>798</v>
      </c>
      <c r="E677" s="540" t="s">
        <v>365</v>
      </c>
      <c r="F677" s="539" t="s">
        <v>714</v>
      </c>
      <c r="G677" s="544">
        <v>-2779.45</v>
      </c>
      <c r="H677" s="540" t="s">
        <v>790</v>
      </c>
      <c r="I677" s="540" t="s">
        <v>1133</v>
      </c>
    </row>
    <row r="678" spans="1:9">
      <c r="A678" s="568">
        <f t="shared" si="10"/>
        <v>673</v>
      </c>
      <c r="B678" s="541">
        <v>41912</v>
      </c>
      <c r="C678" s="540" t="s">
        <v>1250</v>
      </c>
      <c r="D678" s="540" t="s">
        <v>798</v>
      </c>
      <c r="E678" s="540" t="s">
        <v>1263</v>
      </c>
      <c r="F678" s="539" t="s">
        <v>959</v>
      </c>
      <c r="G678" s="544">
        <v>-50</v>
      </c>
      <c r="H678" s="540" t="s">
        <v>790</v>
      </c>
      <c r="I678" s="540" t="s">
        <v>1133</v>
      </c>
    </row>
    <row r="679" spans="1:9">
      <c r="A679" s="568">
        <f t="shared" si="10"/>
        <v>674</v>
      </c>
      <c r="B679" s="541">
        <v>41943</v>
      </c>
      <c r="C679" s="540" t="s">
        <v>712</v>
      </c>
      <c r="D679" s="540" t="s">
        <v>1072</v>
      </c>
      <c r="E679" s="540" t="s">
        <v>1266</v>
      </c>
      <c r="F679" s="539" t="s">
        <v>959</v>
      </c>
      <c r="G679" s="544">
        <v>-500</v>
      </c>
      <c r="H679" s="540" t="s">
        <v>920</v>
      </c>
      <c r="I679" s="540" t="s">
        <v>1267</v>
      </c>
    </row>
    <row r="680" spans="1:9">
      <c r="A680" s="568">
        <f t="shared" si="10"/>
        <v>675</v>
      </c>
      <c r="B680" s="541">
        <v>41943</v>
      </c>
      <c r="C680" s="540" t="s">
        <v>712</v>
      </c>
      <c r="D680" s="540" t="s">
        <v>1072</v>
      </c>
      <c r="E680" s="540" t="s">
        <v>1268</v>
      </c>
      <c r="F680" s="539" t="s">
        <v>959</v>
      </c>
      <c r="G680" s="544">
        <v>-500</v>
      </c>
      <c r="H680" s="540" t="s">
        <v>920</v>
      </c>
      <c r="I680" s="540" t="s">
        <v>1267</v>
      </c>
    </row>
    <row r="681" spans="1:9">
      <c r="A681" s="568">
        <f t="shared" si="10"/>
        <v>676</v>
      </c>
      <c r="B681" s="541">
        <v>41943</v>
      </c>
      <c r="C681" s="540" t="s">
        <v>1244</v>
      </c>
      <c r="D681" s="540" t="s">
        <v>1017</v>
      </c>
      <c r="E681" s="540" t="s">
        <v>1269</v>
      </c>
      <c r="F681" s="539" t="s">
        <v>714</v>
      </c>
      <c r="G681" s="544">
        <v>-1055</v>
      </c>
      <c r="H681" s="540" t="s">
        <v>1020</v>
      </c>
      <c r="I681" s="540" t="s">
        <v>1267</v>
      </c>
    </row>
    <row r="682" spans="1:9">
      <c r="A682" s="568">
        <f t="shared" si="10"/>
        <v>677</v>
      </c>
      <c r="B682" s="541">
        <v>41943</v>
      </c>
      <c r="C682" s="540" t="s">
        <v>1244</v>
      </c>
      <c r="D682" s="540" t="s">
        <v>799</v>
      </c>
      <c r="E682" s="540" t="s">
        <v>1245</v>
      </c>
      <c r="F682" s="539" t="s">
        <v>714</v>
      </c>
      <c r="G682" s="544">
        <v>-118.92</v>
      </c>
      <c r="H682" s="540">
        <v>856</v>
      </c>
      <c r="I682" s="540" t="s">
        <v>1134</v>
      </c>
    </row>
    <row r="683" spans="1:9">
      <c r="A683" s="568">
        <f t="shared" si="10"/>
        <v>678</v>
      </c>
      <c r="B683" s="541">
        <v>41943</v>
      </c>
      <c r="C683" s="540" t="s">
        <v>1244</v>
      </c>
      <c r="D683" s="540" t="s">
        <v>799</v>
      </c>
      <c r="E683" s="540" t="s">
        <v>1248</v>
      </c>
      <c r="F683" s="539" t="s">
        <v>714</v>
      </c>
      <c r="G683" s="544">
        <v>-777.9</v>
      </c>
      <c r="H683" s="540">
        <v>856</v>
      </c>
      <c r="I683" s="540" t="s">
        <v>1134</v>
      </c>
    </row>
    <row r="684" spans="1:9">
      <c r="A684" s="568">
        <f t="shared" si="10"/>
        <v>679</v>
      </c>
      <c r="B684" s="541">
        <v>41943</v>
      </c>
      <c r="C684" s="540" t="s">
        <v>1244</v>
      </c>
      <c r="D684" s="540" t="s">
        <v>799</v>
      </c>
      <c r="E684" s="540" t="s">
        <v>1248</v>
      </c>
      <c r="F684" s="539" t="s">
        <v>714</v>
      </c>
      <c r="G684" s="544">
        <v>-10000</v>
      </c>
      <c r="H684" s="540">
        <v>856</v>
      </c>
      <c r="I684" s="540" t="s">
        <v>1134</v>
      </c>
    </row>
    <row r="685" spans="1:9">
      <c r="A685" s="568">
        <f t="shared" si="10"/>
        <v>680</v>
      </c>
      <c r="B685" s="541">
        <v>41943</v>
      </c>
      <c r="C685" s="540" t="s">
        <v>1244</v>
      </c>
      <c r="D685" s="540" t="s">
        <v>799</v>
      </c>
      <c r="E685" s="540" t="s">
        <v>1249</v>
      </c>
      <c r="F685" s="539" t="s">
        <v>714</v>
      </c>
      <c r="G685" s="544">
        <v>-152.88</v>
      </c>
      <c r="H685" s="540">
        <v>856</v>
      </c>
      <c r="I685" s="540" t="s">
        <v>1134</v>
      </c>
    </row>
    <row r="686" spans="1:9">
      <c r="A686" s="568">
        <f t="shared" si="10"/>
        <v>681</v>
      </c>
      <c r="B686" s="541">
        <v>41943</v>
      </c>
      <c r="C686" s="540" t="s">
        <v>1244</v>
      </c>
      <c r="D686" s="540" t="s">
        <v>799</v>
      </c>
      <c r="E686" s="540" t="s">
        <v>1082</v>
      </c>
      <c r="F686" s="539" t="s">
        <v>959</v>
      </c>
      <c r="G686" s="544">
        <v>-8.33</v>
      </c>
      <c r="H686" s="540">
        <v>856</v>
      </c>
      <c r="I686" s="540" t="s">
        <v>1134</v>
      </c>
    </row>
    <row r="687" spans="1:9">
      <c r="A687" s="568">
        <f t="shared" si="10"/>
        <v>682</v>
      </c>
      <c r="B687" s="541">
        <v>41943</v>
      </c>
      <c r="C687" s="540" t="s">
        <v>1250</v>
      </c>
      <c r="D687" s="540" t="s">
        <v>799</v>
      </c>
      <c r="E687" s="540" t="s">
        <v>1103</v>
      </c>
      <c r="F687" s="539" t="s">
        <v>959</v>
      </c>
      <c r="G687" s="544">
        <v>-8.33</v>
      </c>
      <c r="H687" s="540">
        <v>856</v>
      </c>
      <c r="I687" s="540" t="s">
        <v>1134</v>
      </c>
    </row>
    <row r="688" spans="1:9">
      <c r="A688" s="568">
        <f t="shared" si="10"/>
        <v>683</v>
      </c>
      <c r="B688" s="541">
        <v>41943</v>
      </c>
      <c r="C688" s="540" t="s">
        <v>1250</v>
      </c>
      <c r="D688" s="540" t="s">
        <v>799</v>
      </c>
      <c r="E688" s="540" t="s">
        <v>1084</v>
      </c>
      <c r="F688" s="539" t="s">
        <v>959</v>
      </c>
      <c r="G688" s="544">
        <v>-8.33</v>
      </c>
      <c r="H688" s="540">
        <v>856</v>
      </c>
      <c r="I688" s="540" t="s">
        <v>1134</v>
      </c>
    </row>
    <row r="689" spans="1:9">
      <c r="A689" s="568">
        <f t="shared" si="10"/>
        <v>684</v>
      </c>
      <c r="B689" s="541">
        <v>41943</v>
      </c>
      <c r="C689" s="540" t="s">
        <v>1244</v>
      </c>
      <c r="D689" s="540" t="s">
        <v>799</v>
      </c>
      <c r="E689" s="540" t="s">
        <v>1116</v>
      </c>
      <c r="F689" s="539" t="s">
        <v>959</v>
      </c>
      <c r="G689" s="544">
        <v>-20.83</v>
      </c>
      <c r="H689" s="540">
        <v>856</v>
      </c>
      <c r="I689" s="540" t="s">
        <v>1134</v>
      </c>
    </row>
    <row r="690" spans="1:9">
      <c r="A690" s="568">
        <f t="shared" si="10"/>
        <v>685</v>
      </c>
      <c r="B690" s="541">
        <v>41943</v>
      </c>
      <c r="C690" s="540" t="s">
        <v>1244</v>
      </c>
      <c r="D690" s="540" t="s">
        <v>799</v>
      </c>
      <c r="E690" s="540" t="s">
        <v>1117</v>
      </c>
      <c r="F690" s="539" t="s">
        <v>654</v>
      </c>
      <c r="G690" s="544">
        <v>-41.67</v>
      </c>
      <c r="H690" s="540">
        <v>856</v>
      </c>
      <c r="I690" s="540" t="s">
        <v>1134</v>
      </c>
    </row>
    <row r="691" spans="1:9">
      <c r="A691" s="568">
        <f t="shared" si="10"/>
        <v>686</v>
      </c>
      <c r="B691" s="541">
        <v>41943</v>
      </c>
      <c r="C691" s="540" t="s">
        <v>1250</v>
      </c>
      <c r="D691" s="540" t="s">
        <v>799</v>
      </c>
      <c r="E691" s="540" t="s">
        <v>1118</v>
      </c>
      <c r="F691" s="539" t="s">
        <v>959</v>
      </c>
      <c r="G691" s="544">
        <v>-11.25</v>
      </c>
      <c r="H691" s="540">
        <v>856</v>
      </c>
      <c r="I691" s="540" t="s">
        <v>1134</v>
      </c>
    </row>
    <row r="692" spans="1:9">
      <c r="A692" s="568">
        <f t="shared" si="10"/>
        <v>687</v>
      </c>
      <c r="B692" s="541">
        <v>41943</v>
      </c>
      <c r="C692" s="540" t="s">
        <v>1250</v>
      </c>
      <c r="D692" s="540" t="s">
        <v>799</v>
      </c>
      <c r="E692" s="540" t="s">
        <v>1118</v>
      </c>
      <c r="F692" s="539" t="s">
        <v>959</v>
      </c>
      <c r="G692" s="544">
        <v>-29.17</v>
      </c>
      <c r="H692" s="540">
        <v>856</v>
      </c>
      <c r="I692" s="540" t="s">
        <v>1134</v>
      </c>
    </row>
    <row r="693" spans="1:9">
      <c r="A693" s="568">
        <f t="shared" si="10"/>
        <v>688</v>
      </c>
      <c r="B693" s="541">
        <v>41943</v>
      </c>
      <c r="C693" s="540" t="s">
        <v>1250</v>
      </c>
      <c r="D693" s="540" t="s">
        <v>799</v>
      </c>
      <c r="E693" s="540" t="s">
        <v>1118</v>
      </c>
      <c r="F693" s="539" t="s">
        <v>959</v>
      </c>
      <c r="G693" s="544">
        <v>-45</v>
      </c>
      <c r="H693" s="540">
        <v>856</v>
      </c>
      <c r="I693" s="540" t="s">
        <v>1134</v>
      </c>
    </row>
    <row r="694" spans="1:9">
      <c r="A694" s="568">
        <f t="shared" si="10"/>
        <v>689</v>
      </c>
      <c r="B694" s="541">
        <v>41943</v>
      </c>
      <c r="C694" s="540" t="s">
        <v>1244</v>
      </c>
      <c r="D694" s="540" t="s">
        <v>799</v>
      </c>
      <c r="E694" s="540" t="s">
        <v>1110</v>
      </c>
      <c r="F694" s="539" t="s">
        <v>959</v>
      </c>
      <c r="G694" s="544">
        <v>-4.25</v>
      </c>
      <c r="H694" s="540">
        <v>856</v>
      </c>
      <c r="I694" s="540" t="s">
        <v>1134</v>
      </c>
    </row>
    <row r="695" spans="1:9">
      <c r="A695" s="568">
        <f t="shared" si="10"/>
        <v>690</v>
      </c>
      <c r="B695" s="541">
        <v>41943</v>
      </c>
      <c r="C695" s="540" t="s">
        <v>1244</v>
      </c>
      <c r="D695" s="540" t="s">
        <v>799</v>
      </c>
      <c r="E695" s="540" t="s">
        <v>1285</v>
      </c>
      <c r="F695" s="539" t="s">
        <v>959</v>
      </c>
      <c r="G695" s="544">
        <v>-41.67</v>
      </c>
      <c r="H695" s="540">
        <v>856</v>
      </c>
      <c r="I695" s="540" t="s">
        <v>1134</v>
      </c>
    </row>
    <row r="696" spans="1:9">
      <c r="A696" s="568">
        <f t="shared" si="10"/>
        <v>691</v>
      </c>
      <c r="B696" s="541">
        <v>41943</v>
      </c>
      <c r="C696" s="540" t="s">
        <v>1244</v>
      </c>
      <c r="D696" s="540" t="s">
        <v>799</v>
      </c>
      <c r="E696" s="540" t="s">
        <v>1135</v>
      </c>
      <c r="F696" s="539" t="s">
        <v>958</v>
      </c>
      <c r="G696" s="544">
        <v>-29.17</v>
      </c>
      <c r="H696" s="540">
        <v>856</v>
      </c>
      <c r="I696" s="540" t="s">
        <v>1134</v>
      </c>
    </row>
    <row r="697" spans="1:9">
      <c r="A697" s="568">
        <f t="shared" si="10"/>
        <v>692</v>
      </c>
      <c r="B697" s="541">
        <v>41943</v>
      </c>
      <c r="C697" s="540" t="s">
        <v>1250</v>
      </c>
      <c r="D697" s="540" t="s">
        <v>799</v>
      </c>
      <c r="E697" s="540" t="s">
        <v>1105</v>
      </c>
      <c r="F697" s="539" t="s">
        <v>959</v>
      </c>
      <c r="G697" s="544">
        <v>-8.33</v>
      </c>
      <c r="H697" s="540">
        <v>856</v>
      </c>
      <c r="I697" s="540" t="s">
        <v>1134</v>
      </c>
    </row>
    <row r="698" spans="1:9">
      <c r="A698" s="568">
        <f t="shared" si="10"/>
        <v>693</v>
      </c>
      <c r="B698" s="541">
        <v>41943</v>
      </c>
      <c r="C698" s="540" t="s">
        <v>1250</v>
      </c>
      <c r="D698" s="540" t="s">
        <v>799</v>
      </c>
      <c r="E698" s="540" t="s">
        <v>1105</v>
      </c>
      <c r="F698" s="539" t="s">
        <v>959</v>
      </c>
      <c r="G698" s="544">
        <v>-14.58</v>
      </c>
      <c r="H698" s="540">
        <v>856</v>
      </c>
      <c r="I698" s="540" t="s">
        <v>1134</v>
      </c>
    </row>
    <row r="699" spans="1:9">
      <c r="A699" s="568">
        <f t="shared" si="10"/>
        <v>694</v>
      </c>
      <c r="B699" s="541">
        <v>41943</v>
      </c>
      <c r="C699" s="540" t="s">
        <v>1244</v>
      </c>
      <c r="D699" s="540" t="s">
        <v>799</v>
      </c>
      <c r="E699" s="540" t="s">
        <v>1251</v>
      </c>
      <c r="F699" s="539" t="s">
        <v>714</v>
      </c>
      <c r="G699" s="544">
        <v>-179.17</v>
      </c>
      <c r="H699" s="540">
        <v>856</v>
      </c>
      <c r="I699" s="540" t="s">
        <v>1134</v>
      </c>
    </row>
    <row r="700" spans="1:9">
      <c r="A700" s="568">
        <f t="shared" si="10"/>
        <v>695</v>
      </c>
      <c r="B700" s="541">
        <v>41943</v>
      </c>
      <c r="C700" s="540" t="s">
        <v>1244</v>
      </c>
      <c r="D700" s="540" t="s">
        <v>799</v>
      </c>
      <c r="E700" s="540" t="s">
        <v>1106</v>
      </c>
      <c r="F700" s="539" t="s">
        <v>654</v>
      </c>
      <c r="G700" s="544">
        <v>-4.17</v>
      </c>
      <c r="H700" s="540">
        <v>856</v>
      </c>
      <c r="I700" s="540" t="s">
        <v>1134</v>
      </c>
    </row>
    <row r="701" spans="1:9">
      <c r="A701" s="568">
        <f t="shared" si="10"/>
        <v>696</v>
      </c>
      <c r="B701" s="541">
        <v>41943</v>
      </c>
      <c r="C701" s="540" t="s">
        <v>1244</v>
      </c>
      <c r="D701" s="540" t="s">
        <v>799</v>
      </c>
      <c r="E701" s="540" t="s">
        <v>1086</v>
      </c>
      <c r="F701" s="539" t="s">
        <v>959</v>
      </c>
      <c r="G701" s="544">
        <v>-8.33</v>
      </c>
      <c r="H701" s="540">
        <v>856</v>
      </c>
      <c r="I701" s="540" t="s">
        <v>1134</v>
      </c>
    </row>
    <row r="702" spans="1:9">
      <c r="A702" s="568">
        <f t="shared" si="10"/>
        <v>697</v>
      </c>
      <c r="B702" s="541">
        <v>41943</v>
      </c>
      <c r="C702" s="540" t="s">
        <v>1250</v>
      </c>
      <c r="D702" s="540" t="s">
        <v>799</v>
      </c>
      <c r="E702" s="540" t="s">
        <v>1111</v>
      </c>
      <c r="F702" s="539" t="s">
        <v>959</v>
      </c>
      <c r="G702" s="544">
        <v>-41.67</v>
      </c>
      <c r="H702" s="540">
        <v>856</v>
      </c>
      <c r="I702" s="540" t="s">
        <v>1134</v>
      </c>
    </row>
    <row r="703" spans="1:9">
      <c r="A703" s="568">
        <f t="shared" si="10"/>
        <v>698</v>
      </c>
      <c r="B703" s="541">
        <v>41943</v>
      </c>
      <c r="C703" s="540" t="s">
        <v>1244</v>
      </c>
      <c r="D703" s="540" t="s">
        <v>799</v>
      </c>
      <c r="E703" s="540" t="s">
        <v>1252</v>
      </c>
      <c r="F703" s="539" t="s">
        <v>714</v>
      </c>
      <c r="G703" s="544">
        <v>-141.25</v>
      </c>
      <c r="H703" s="540">
        <v>856</v>
      </c>
      <c r="I703" s="540" t="s">
        <v>1134</v>
      </c>
    </row>
    <row r="704" spans="1:9">
      <c r="A704" s="568">
        <f t="shared" si="10"/>
        <v>699</v>
      </c>
      <c r="B704" s="541">
        <v>41943</v>
      </c>
      <c r="C704" s="540" t="s">
        <v>1244</v>
      </c>
      <c r="D704" s="540" t="s">
        <v>799</v>
      </c>
      <c r="E704" s="540" t="s">
        <v>1252</v>
      </c>
      <c r="F704" s="539" t="s">
        <v>714</v>
      </c>
      <c r="G704" s="544">
        <v>-122.2</v>
      </c>
      <c r="H704" s="540">
        <v>856</v>
      </c>
      <c r="I704" s="540" t="s">
        <v>1134</v>
      </c>
    </row>
    <row r="705" spans="1:9">
      <c r="A705" s="568">
        <f t="shared" si="10"/>
        <v>700</v>
      </c>
      <c r="B705" s="541">
        <v>41943</v>
      </c>
      <c r="C705" s="540" t="s">
        <v>1244</v>
      </c>
      <c r="D705" s="540" t="s">
        <v>799</v>
      </c>
      <c r="E705" s="540" t="s">
        <v>1252</v>
      </c>
      <c r="F705" s="539" t="s">
        <v>714</v>
      </c>
      <c r="G705" s="544">
        <v>-142.79</v>
      </c>
      <c r="H705" s="540">
        <v>856</v>
      </c>
      <c r="I705" s="540" t="s">
        <v>1134</v>
      </c>
    </row>
    <row r="706" spans="1:9">
      <c r="A706" s="568">
        <f t="shared" si="10"/>
        <v>701</v>
      </c>
      <c r="B706" s="541">
        <v>41943</v>
      </c>
      <c r="C706" s="540" t="s">
        <v>1244</v>
      </c>
      <c r="D706" s="540" t="s">
        <v>799</v>
      </c>
      <c r="E706" s="540" t="s">
        <v>1252</v>
      </c>
      <c r="F706" s="539" t="s">
        <v>714</v>
      </c>
      <c r="G706" s="544">
        <v>-142.79</v>
      </c>
      <c r="H706" s="540">
        <v>856</v>
      </c>
      <c r="I706" s="540" t="s">
        <v>1134</v>
      </c>
    </row>
    <row r="707" spans="1:9">
      <c r="A707" s="568">
        <f t="shared" si="10"/>
        <v>702</v>
      </c>
      <c r="B707" s="541">
        <v>41943</v>
      </c>
      <c r="C707" s="540" t="s">
        <v>1244</v>
      </c>
      <c r="D707" s="540" t="s">
        <v>799</v>
      </c>
      <c r="E707" s="540" t="s">
        <v>1252</v>
      </c>
      <c r="F707" s="539" t="s">
        <v>714</v>
      </c>
      <c r="G707" s="544">
        <v>-141.25</v>
      </c>
      <c r="H707" s="540">
        <v>856</v>
      </c>
      <c r="I707" s="540" t="s">
        <v>1134</v>
      </c>
    </row>
    <row r="708" spans="1:9">
      <c r="A708" s="568">
        <f t="shared" si="10"/>
        <v>703</v>
      </c>
      <c r="B708" s="541">
        <v>41943</v>
      </c>
      <c r="C708" s="540" t="s">
        <v>1244</v>
      </c>
      <c r="D708" s="540" t="s">
        <v>799</v>
      </c>
      <c r="E708" s="540" t="s">
        <v>1252</v>
      </c>
      <c r="F708" s="539" t="s">
        <v>714</v>
      </c>
      <c r="G708" s="544">
        <v>-209</v>
      </c>
      <c r="H708" s="540">
        <v>856</v>
      </c>
      <c r="I708" s="540" t="s">
        <v>1134</v>
      </c>
    </row>
    <row r="709" spans="1:9">
      <c r="A709" s="568">
        <f t="shared" si="10"/>
        <v>704</v>
      </c>
      <c r="B709" s="541">
        <v>41943</v>
      </c>
      <c r="C709" s="540" t="s">
        <v>1244</v>
      </c>
      <c r="D709" s="540" t="s">
        <v>799</v>
      </c>
      <c r="E709" s="540" t="s">
        <v>1119</v>
      </c>
      <c r="F709" s="539" t="s">
        <v>654</v>
      </c>
      <c r="G709" s="544">
        <v>-54.17</v>
      </c>
      <c r="H709" s="540">
        <v>856</v>
      </c>
      <c r="I709" s="540" t="s">
        <v>1134</v>
      </c>
    </row>
    <row r="710" spans="1:9">
      <c r="A710" s="568">
        <f t="shared" si="10"/>
        <v>705</v>
      </c>
      <c r="B710" s="541">
        <v>41943</v>
      </c>
      <c r="C710" s="540" t="s">
        <v>1250</v>
      </c>
      <c r="D710" s="540" t="s">
        <v>799</v>
      </c>
      <c r="E710" s="540" t="s">
        <v>1087</v>
      </c>
      <c r="F710" s="539" t="s">
        <v>714</v>
      </c>
      <c r="G710" s="544">
        <v>-693.7</v>
      </c>
      <c r="H710" s="540">
        <v>856</v>
      </c>
      <c r="I710" s="540" t="s">
        <v>1134</v>
      </c>
    </row>
    <row r="711" spans="1:9">
      <c r="A711" s="568">
        <f t="shared" si="10"/>
        <v>706</v>
      </c>
      <c r="B711" s="541">
        <v>41943</v>
      </c>
      <c r="C711" s="540" t="s">
        <v>1250</v>
      </c>
      <c r="D711" s="540" t="s">
        <v>799</v>
      </c>
      <c r="E711" s="540" t="s">
        <v>1123</v>
      </c>
      <c r="F711" s="539" t="s">
        <v>654</v>
      </c>
      <c r="G711" s="544">
        <v>-8.33</v>
      </c>
      <c r="H711" s="540">
        <v>856</v>
      </c>
      <c r="I711" s="540" t="s">
        <v>1134</v>
      </c>
    </row>
    <row r="712" spans="1:9">
      <c r="A712" s="568">
        <f t="shared" si="10"/>
        <v>707</v>
      </c>
      <c r="B712" s="541">
        <v>41943</v>
      </c>
      <c r="C712" s="540" t="s">
        <v>1244</v>
      </c>
      <c r="D712" s="540" t="s">
        <v>799</v>
      </c>
      <c r="E712" s="540" t="s">
        <v>1088</v>
      </c>
      <c r="F712" s="539" t="s">
        <v>654</v>
      </c>
      <c r="G712" s="544">
        <v>-25</v>
      </c>
      <c r="H712" s="540">
        <v>856</v>
      </c>
      <c r="I712" s="540" t="s">
        <v>1134</v>
      </c>
    </row>
    <row r="713" spans="1:9">
      <c r="A713" s="568">
        <f t="shared" si="10"/>
        <v>708</v>
      </c>
      <c r="B713" s="541">
        <v>41943</v>
      </c>
      <c r="C713" s="540" t="s">
        <v>1250</v>
      </c>
      <c r="D713" s="540" t="s">
        <v>799</v>
      </c>
      <c r="E713" s="540" t="s">
        <v>1253</v>
      </c>
      <c r="F713" s="539" t="s">
        <v>654</v>
      </c>
      <c r="G713" s="544">
        <v>-8.33</v>
      </c>
      <c r="H713" s="540">
        <v>856</v>
      </c>
      <c r="I713" s="540" t="s">
        <v>1134</v>
      </c>
    </row>
    <row r="714" spans="1:9">
      <c r="A714" s="568">
        <f t="shared" si="10"/>
        <v>709</v>
      </c>
      <c r="B714" s="541">
        <v>41943</v>
      </c>
      <c r="C714" s="540" t="s">
        <v>1250</v>
      </c>
      <c r="D714" s="540" t="s">
        <v>799</v>
      </c>
      <c r="E714" s="540" t="s">
        <v>1089</v>
      </c>
      <c r="F714" s="539" t="s">
        <v>959</v>
      </c>
      <c r="G714" s="544">
        <v>-25</v>
      </c>
      <c r="H714" s="540">
        <v>856</v>
      </c>
      <c r="I714" s="540" t="s">
        <v>1134</v>
      </c>
    </row>
    <row r="715" spans="1:9">
      <c r="A715" s="568">
        <f t="shared" si="10"/>
        <v>710</v>
      </c>
      <c r="B715" s="541">
        <v>41943</v>
      </c>
      <c r="C715" s="540" t="s">
        <v>1244</v>
      </c>
      <c r="D715" s="540" t="s">
        <v>799</v>
      </c>
      <c r="E715" s="540" t="s">
        <v>1254</v>
      </c>
      <c r="F715" s="539" t="s">
        <v>654</v>
      </c>
      <c r="G715" s="544">
        <v>-8.3699999999999992</v>
      </c>
      <c r="H715" s="540">
        <v>856</v>
      </c>
      <c r="I715" s="540" t="s">
        <v>1134</v>
      </c>
    </row>
    <row r="716" spans="1:9">
      <c r="A716" s="568">
        <f t="shared" si="10"/>
        <v>711</v>
      </c>
      <c r="B716" s="541">
        <v>41943</v>
      </c>
      <c r="C716" s="540" t="s">
        <v>1244</v>
      </c>
      <c r="D716" s="540" t="s">
        <v>799</v>
      </c>
      <c r="E716" s="540" t="s">
        <v>1090</v>
      </c>
      <c r="F716" s="539" t="s">
        <v>959</v>
      </c>
      <c r="G716" s="544">
        <v>-95</v>
      </c>
      <c r="H716" s="540">
        <v>856</v>
      </c>
      <c r="I716" s="540" t="s">
        <v>1134</v>
      </c>
    </row>
    <row r="717" spans="1:9">
      <c r="A717" s="568">
        <f t="shared" si="10"/>
        <v>712</v>
      </c>
      <c r="B717" s="541">
        <v>41943</v>
      </c>
      <c r="C717" s="540" t="s">
        <v>1244</v>
      </c>
      <c r="D717" s="540" t="s">
        <v>799</v>
      </c>
      <c r="E717" s="540" t="s">
        <v>1273</v>
      </c>
      <c r="F717" s="539" t="s">
        <v>959</v>
      </c>
      <c r="G717" s="544">
        <v>-66.67</v>
      </c>
      <c r="H717" s="540">
        <v>856</v>
      </c>
      <c r="I717" s="540" t="s">
        <v>1134</v>
      </c>
    </row>
    <row r="718" spans="1:9">
      <c r="A718" s="568">
        <f t="shared" si="10"/>
        <v>713</v>
      </c>
      <c r="B718" s="541">
        <v>41943</v>
      </c>
      <c r="C718" s="540" t="s">
        <v>1244</v>
      </c>
      <c r="D718" s="540" t="s">
        <v>799</v>
      </c>
      <c r="E718" s="540" t="s">
        <v>1273</v>
      </c>
      <c r="F718" s="539" t="s">
        <v>959</v>
      </c>
      <c r="G718" s="544">
        <v>-41.67</v>
      </c>
      <c r="H718" s="540">
        <v>856</v>
      </c>
      <c r="I718" s="540" t="s">
        <v>1134</v>
      </c>
    </row>
    <row r="719" spans="1:9">
      <c r="A719" s="568">
        <f t="shared" si="10"/>
        <v>714</v>
      </c>
      <c r="B719" s="541">
        <v>41943</v>
      </c>
      <c r="C719" s="540" t="s">
        <v>1244</v>
      </c>
      <c r="D719" s="540" t="s">
        <v>799</v>
      </c>
      <c r="E719" s="540" t="s">
        <v>1091</v>
      </c>
      <c r="F719" s="539" t="s">
        <v>714</v>
      </c>
      <c r="G719" s="544">
        <v>-109.69</v>
      </c>
      <c r="H719" s="540">
        <v>856</v>
      </c>
      <c r="I719" s="540" t="s">
        <v>1134</v>
      </c>
    </row>
    <row r="720" spans="1:9">
      <c r="A720" s="568">
        <f t="shared" si="10"/>
        <v>715</v>
      </c>
      <c r="B720" s="541">
        <v>41943</v>
      </c>
      <c r="C720" s="540" t="s">
        <v>1250</v>
      </c>
      <c r="D720" s="540" t="s">
        <v>799</v>
      </c>
      <c r="E720" s="540" t="s">
        <v>1092</v>
      </c>
      <c r="F720" s="539" t="s">
        <v>959</v>
      </c>
      <c r="G720" s="544">
        <v>-363.87</v>
      </c>
      <c r="H720" s="540">
        <v>856</v>
      </c>
      <c r="I720" s="540" t="s">
        <v>1134</v>
      </c>
    </row>
    <row r="721" spans="1:9">
      <c r="A721" s="568">
        <f t="shared" si="10"/>
        <v>716</v>
      </c>
      <c r="B721" s="541">
        <v>41943</v>
      </c>
      <c r="C721" s="540" t="s">
        <v>1250</v>
      </c>
      <c r="D721" s="540" t="s">
        <v>799</v>
      </c>
      <c r="E721" s="540" t="s">
        <v>1092</v>
      </c>
      <c r="F721" s="539" t="s">
        <v>959</v>
      </c>
      <c r="G721" s="544">
        <v>-176.82</v>
      </c>
      <c r="H721" s="540">
        <v>856</v>
      </c>
      <c r="I721" s="540" t="s">
        <v>1134</v>
      </c>
    </row>
    <row r="722" spans="1:9">
      <c r="A722" s="568">
        <f t="shared" si="10"/>
        <v>717</v>
      </c>
      <c r="B722" s="541">
        <v>41943</v>
      </c>
      <c r="C722" s="540" t="s">
        <v>1250</v>
      </c>
      <c r="D722" s="540" t="s">
        <v>799</v>
      </c>
      <c r="E722" s="540" t="s">
        <v>1092</v>
      </c>
      <c r="F722" s="539" t="s">
        <v>959</v>
      </c>
      <c r="G722" s="544">
        <v>-150</v>
      </c>
      <c r="H722" s="540">
        <v>856</v>
      </c>
      <c r="I722" s="540" t="s">
        <v>1134</v>
      </c>
    </row>
    <row r="723" spans="1:9">
      <c r="A723" s="568">
        <f t="shared" si="10"/>
        <v>718</v>
      </c>
      <c r="B723" s="541">
        <v>41943</v>
      </c>
      <c r="C723" s="540" t="s">
        <v>1250</v>
      </c>
      <c r="D723" s="540" t="s">
        <v>799</v>
      </c>
      <c r="E723" s="540" t="s">
        <v>1092</v>
      </c>
      <c r="F723" s="539" t="s">
        <v>959</v>
      </c>
      <c r="G723" s="544">
        <v>-16.670000000000002</v>
      </c>
      <c r="H723" s="540">
        <v>856</v>
      </c>
      <c r="I723" s="540" t="s">
        <v>1134</v>
      </c>
    </row>
    <row r="724" spans="1:9">
      <c r="A724" s="568">
        <f t="shared" si="10"/>
        <v>719</v>
      </c>
      <c r="B724" s="541">
        <v>41943</v>
      </c>
      <c r="C724" s="540" t="s">
        <v>1250</v>
      </c>
      <c r="D724" s="540" t="s">
        <v>799</v>
      </c>
      <c r="E724" s="540" t="s">
        <v>1092</v>
      </c>
      <c r="F724" s="539" t="s">
        <v>959</v>
      </c>
      <c r="G724" s="544">
        <v>-41.67</v>
      </c>
      <c r="H724" s="540">
        <v>856</v>
      </c>
      <c r="I724" s="540" t="s">
        <v>1134</v>
      </c>
    </row>
    <row r="725" spans="1:9">
      <c r="A725" s="568">
        <f t="shared" si="10"/>
        <v>720</v>
      </c>
      <c r="B725" s="541">
        <v>41943</v>
      </c>
      <c r="C725" s="540" t="s">
        <v>1244</v>
      </c>
      <c r="D725" s="540" t="s">
        <v>799</v>
      </c>
      <c r="E725" s="540" t="s">
        <v>1126</v>
      </c>
      <c r="F725" s="539" t="s">
        <v>714</v>
      </c>
      <c r="G725" s="544">
        <v>-100</v>
      </c>
      <c r="H725" s="540">
        <v>856</v>
      </c>
      <c r="I725" s="540" t="s">
        <v>1134</v>
      </c>
    </row>
    <row r="726" spans="1:9">
      <c r="A726" s="568">
        <f t="shared" si="10"/>
        <v>721</v>
      </c>
      <c r="B726" s="541">
        <v>41943</v>
      </c>
      <c r="C726" s="540" t="s">
        <v>1244</v>
      </c>
      <c r="D726" s="540" t="s">
        <v>799</v>
      </c>
      <c r="E726" s="540" t="s">
        <v>1255</v>
      </c>
      <c r="F726" s="539" t="s">
        <v>959</v>
      </c>
      <c r="G726" s="544">
        <v>-8.33</v>
      </c>
      <c r="H726" s="540">
        <v>856</v>
      </c>
      <c r="I726" s="540" t="s">
        <v>1134</v>
      </c>
    </row>
    <row r="727" spans="1:9">
      <c r="A727" s="568">
        <f t="shared" ref="A727:A885" si="11">A726+1</f>
        <v>722</v>
      </c>
      <c r="B727" s="541">
        <v>41943</v>
      </c>
      <c r="C727" s="540" t="s">
        <v>1244</v>
      </c>
      <c r="D727" s="540" t="s">
        <v>799</v>
      </c>
      <c r="E727" s="540" t="s">
        <v>1093</v>
      </c>
      <c r="F727" s="539" t="s">
        <v>654</v>
      </c>
      <c r="G727" s="544">
        <v>-500</v>
      </c>
      <c r="H727" s="540">
        <v>856</v>
      </c>
      <c r="I727" s="540" t="s">
        <v>1134</v>
      </c>
    </row>
    <row r="728" spans="1:9">
      <c r="A728" s="568">
        <f t="shared" si="11"/>
        <v>723</v>
      </c>
      <c r="B728" s="541">
        <v>41943</v>
      </c>
      <c r="C728" s="540" t="s">
        <v>1244</v>
      </c>
      <c r="D728" s="540" t="s">
        <v>799</v>
      </c>
      <c r="E728" s="540" t="s">
        <v>1094</v>
      </c>
      <c r="F728" s="539" t="s">
        <v>958</v>
      </c>
      <c r="G728" s="544">
        <v>-14.58</v>
      </c>
      <c r="H728" s="540">
        <v>856</v>
      </c>
      <c r="I728" s="540" t="s">
        <v>1134</v>
      </c>
    </row>
    <row r="729" spans="1:9">
      <c r="A729" s="568">
        <f t="shared" si="11"/>
        <v>724</v>
      </c>
      <c r="B729" s="541">
        <v>41943</v>
      </c>
      <c r="C729" s="540" t="s">
        <v>1244</v>
      </c>
      <c r="D729" s="540" t="s">
        <v>799</v>
      </c>
      <c r="E729" s="540" t="s">
        <v>1095</v>
      </c>
      <c r="F729" s="539" t="s">
        <v>959</v>
      </c>
      <c r="G729" s="544">
        <v>-8.33</v>
      </c>
      <c r="H729" s="540">
        <v>856</v>
      </c>
      <c r="I729" s="540" t="s">
        <v>1134</v>
      </c>
    </row>
    <row r="730" spans="1:9">
      <c r="A730" s="568">
        <f t="shared" si="11"/>
        <v>725</v>
      </c>
      <c r="B730" s="541">
        <v>41943</v>
      </c>
      <c r="C730" s="540" t="s">
        <v>1244</v>
      </c>
      <c r="D730" s="540" t="s">
        <v>799</v>
      </c>
      <c r="E730" s="540" t="s">
        <v>1256</v>
      </c>
      <c r="F730" s="539" t="s">
        <v>714</v>
      </c>
      <c r="G730" s="544">
        <v>-565.41999999999996</v>
      </c>
      <c r="H730" s="540">
        <v>856</v>
      </c>
      <c r="I730" s="540" t="s">
        <v>1134</v>
      </c>
    </row>
    <row r="731" spans="1:9">
      <c r="A731" s="568">
        <f t="shared" si="11"/>
        <v>726</v>
      </c>
      <c r="B731" s="541">
        <v>41943</v>
      </c>
      <c r="C731" s="540" t="s">
        <v>1244</v>
      </c>
      <c r="D731" s="540" t="s">
        <v>799</v>
      </c>
      <c r="E731" s="540" t="s">
        <v>1097</v>
      </c>
      <c r="F731" s="539" t="s">
        <v>714</v>
      </c>
      <c r="G731" s="544">
        <v>-757.35</v>
      </c>
      <c r="H731" s="540">
        <v>856</v>
      </c>
      <c r="I731" s="540" t="s">
        <v>1134</v>
      </c>
    </row>
    <row r="732" spans="1:9">
      <c r="A732" s="568">
        <f t="shared" si="11"/>
        <v>727</v>
      </c>
      <c r="B732" s="541">
        <v>41943</v>
      </c>
      <c r="C732" s="540" t="s">
        <v>1250</v>
      </c>
      <c r="D732" s="540" t="s">
        <v>799</v>
      </c>
      <c r="E732" s="540" t="s">
        <v>1257</v>
      </c>
      <c r="F732" s="539" t="s">
        <v>959</v>
      </c>
      <c r="G732" s="544">
        <v>-8.33</v>
      </c>
      <c r="H732" s="540">
        <v>856</v>
      </c>
      <c r="I732" s="540" t="s">
        <v>1134</v>
      </c>
    </row>
    <row r="733" spans="1:9">
      <c r="A733" s="568">
        <f t="shared" si="11"/>
        <v>728</v>
      </c>
      <c r="B733" s="541">
        <v>41943</v>
      </c>
      <c r="C733" s="540" t="s">
        <v>1244</v>
      </c>
      <c r="D733" s="540" t="s">
        <v>799</v>
      </c>
      <c r="E733" s="540" t="s">
        <v>1107</v>
      </c>
      <c r="F733" s="539" t="s">
        <v>958</v>
      </c>
      <c r="G733" s="544">
        <v>-1166</v>
      </c>
      <c r="H733" s="540">
        <v>856</v>
      </c>
      <c r="I733" s="540" t="s">
        <v>1134</v>
      </c>
    </row>
    <row r="734" spans="1:9">
      <c r="A734" s="568">
        <f t="shared" si="11"/>
        <v>729</v>
      </c>
      <c r="B734" s="541">
        <v>41943</v>
      </c>
      <c r="C734" s="540" t="s">
        <v>1244</v>
      </c>
      <c r="D734" s="540" t="s">
        <v>799</v>
      </c>
      <c r="E734" s="540" t="s">
        <v>1124</v>
      </c>
      <c r="F734" s="539" t="s">
        <v>959</v>
      </c>
      <c r="G734" s="544">
        <v>-183.82</v>
      </c>
      <c r="H734" s="540">
        <v>856</v>
      </c>
      <c r="I734" s="540" t="s">
        <v>1134</v>
      </c>
    </row>
    <row r="735" spans="1:9">
      <c r="A735" s="568">
        <f t="shared" si="11"/>
        <v>730</v>
      </c>
      <c r="B735" s="541">
        <v>41943</v>
      </c>
      <c r="C735" s="540" t="s">
        <v>1244</v>
      </c>
      <c r="D735" s="540" t="s">
        <v>799</v>
      </c>
      <c r="E735" s="540" t="s">
        <v>1112</v>
      </c>
      <c r="F735" s="539" t="s">
        <v>958</v>
      </c>
      <c r="G735" s="544">
        <v>-612.85</v>
      </c>
      <c r="H735" s="540">
        <v>856</v>
      </c>
      <c r="I735" s="540" t="s">
        <v>1134</v>
      </c>
    </row>
    <row r="736" spans="1:9">
      <c r="A736" s="568">
        <f t="shared" si="11"/>
        <v>731</v>
      </c>
      <c r="B736" s="541">
        <v>41943</v>
      </c>
      <c r="C736" s="540" t="s">
        <v>1244</v>
      </c>
      <c r="D736" s="540" t="s">
        <v>799</v>
      </c>
      <c r="E736" s="540" t="s">
        <v>1112</v>
      </c>
      <c r="F736" s="539" t="s">
        <v>958</v>
      </c>
      <c r="G736" s="544">
        <v>-416.3</v>
      </c>
      <c r="H736" s="540">
        <v>856</v>
      </c>
      <c r="I736" s="540" t="s">
        <v>1134</v>
      </c>
    </row>
    <row r="737" spans="1:9">
      <c r="A737" s="568">
        <f t="shared" si="11"/>
        <v>732</v>
      </c>
      <c r="B737" s="541">
        <v>41943</v>
      </c>
      <c r="C737" s="540" t="s">
        <v>1244</v>
      </c>
      <c r="D737" s="540" t="s">
        <v>799</v>
      </c>
      <c r="E737" s="540" t="s">
        <v>1258</v>
      </c>
      <c r="F737" s="539" t="s">
        <v>714</v>
      </c>
      <c r="G737" s="544">
        <v>-575</v>
      </c>
      <c r="H737" s="540" t="s">
        <v>790</v>
      </c>
      <c r="I737" s="540" t="s">
        <v>1136</v>
      </c>
    </row>
    <row r="738" spans="1:9">
      <c r="A738" s="568">
        <f t="shared" si="11"/>
        <v>733</v>
      </c>
      <c r="B738" s="541">
        <v>41943</v>
      </c>
      <c r="C738" s="540" t="s">
        <v>1244</v>
      </c>
      <c r="D738" s="540" t="s">
        <v>799</v>
      </c>
      <c r="E738" s="540" t="s">
        <v>1259</v>
      </c>
      <c r="F738" s="539" t="s">
        <v>714</v>
      </c>
      <c r="G738" s="544">
        <v>-500</v>
      </c>
      <c r="H738" s="540" t="s">
        <v>790</v>
      </c>
      <c r="I738" s="540" t="s">
        <v>1136</v>
      </c>
    </row>
    <row r="739" spans="1:9">
      <c r="A739" s="568">
        <f t="shared" si="11"/>
        <v>734</v>
      </c>
      <c r="B739" s="541">
        <v>41943</v>
      </c>
      <c r="C739" s="540" t="s">
        <v>1244</v>
      </c>
      <c r="D739" s="540" t="s">
        <v>799</v>
      </c>
      <c r="E739" s="540" t="s">
        <v>1260</v>
      </c>
      <c r="F739" s="539" t="s">
        <v>714</v>
      </c>
      <c r="G739" s="544">
        <v>-400</v>
      </c>
      <c r="H739" s="540" t="s">
        <v>790</v>
      </c>
      <c r="I739" s="540" t="s">
        <v>1136</v>
      </c>
    </row>
    <row r="740" spans="1:9">
      <c r="A740" s="568">
        <f t="shared" si="11"/>
        <v>735</v>
      </c>
      <c r="B740" s="541">
        <v>41943</v>
      </c>
      <c r="C740" s="540" t="s">
        <v>1244</v>
      </c>
      <c r="D740" s="540" t="s">
        <v>799</v>
      </c>
      <c r="E740" s="540" t="s">
        <v>1261</v>
      </c>
      <c r="F740" s="539" t="s">
        <v>714</v>
      </c>
      <c r="G740" s="544">
        <v>-3200</v>
      </c>
      <c r="H740" s="540" t="s">
        <v>790</v>
      </c>
      <c r="I740" s="540" t="s">
        <v>1136</v>
      </c>
    </row>
    <row r="741" spans="1:9">
      <c r="A741" s="568">
        <f t="shared" si="11"/>
        <v>736</v>
      </c>
      <c r="B741" s="541">
        <v>41943</v>
      </c>
      <c r="C741" s="540" t="s">
        <v>1244</v>
      </c>
      <c r="D741" s="540" t="s">
        <v>799</v>
      </c>
      <c r="E741" s="540" t="s">
        <v>1262</v>
      </c>
      <c r="F741" s="539" t="s">
        <v>654</v>
      </c>
      <c r="G741" s="544">
        <v>-1890</v>
      </c>
      <c r="H741" s="540" t="s">
        <v>790</v>
      </c>
      <c r="I741" s="540" t="s">
        <v>1136</v>
      </c>
    </row>
    <row r="742" spans="1:9">
      <c r="A742" s="568">
        <f t="shared" si="11"/>
        <v>737</v>
      </c>
      <c r="B742" s="541">
        <v>41943</v>
      </c>
      <c r="C742" s="540" t="s">
        <v>1244</v>
      </c>
      <c r="D742" s="540" t="s">
        <v>799</v>
      </c>
      <c r="E742" s="540" t="s">
        <v>365</v>
      </c>
      <c r="F742" s="539" t="s">
        <v>714</v>
      </c>
      <c r="G742" s="544">
        <v>-2779.45</v>
      </c>
      <c r="H742" s="540" t="s">
        <v>790</v>
      </c>
      <c r="I742" s="540" t="s">
        <v>1136</v>
      </c>
    </row>
    <row r="743" spans="1:9">
      <c r="A743" s="568">
        <f t="shared" si="11"/>
        <v>738</v>
      </c>
      <c r="B743" s="541">
        <v>41943</v>
      </c>
      <c r="C743" s="540" t="s">
        <v>1250</v>
      </c>
      <c r="D743" s="540" t="s">
        <v>799</v>
      </c>
      <c r="E743" s="540" t="s">
        <v>1263</v>
      </c>
      <c r="F743" s="539" t="s">
        <v>959</v>
      </c>
      <c r="G743" s="544">
        <v>-50</v>
      </c>
      <c r="H743" s="540" t="s">
        <v>790</v>
      </c>
      <c r="I743" s="540" t="s">
        <v>1136</v>
      </c>
    </row>
    <row r="744" spans="1:9">
      <c r="A744" s="568">
        <f t="shared" si="11"/>
        <v>739</v>
      </c>
      <c r="B744" s="541">
        <v>41943</v>
      </c>
      <c r="C744" s="540" t="s">
        <v>1244</v>
      </c>
      <c r="D744" s="540" t="s">
        <v>1072</v>
      </c>
      <c r="E744" s="540" t="s">
        <v>1298</v>
      </c>
      <c r="F744" s="539" t="s">
        <v>714</v>
      </c>
      <c r="G744" s="544">
        <v>-6781.39</v>
      </c>
      <c r="H744" s="540">
        <v>856</v>
      </c>
      <c r="I744" s="540" t="s">
        <v>1271</v>
      </c>
    </row>
    <row r="745" spans="1:9">
      <c r="A745" s="568">
        <f t="shared" si="11"/>
        <v>740</v>
      </c>
      <c r="B745" s="541">
        <v>41973</v>
      </c>
      <c r="C745" s="540" t="s">
        <v>1244</v>
      </c>
      <c r="D745" s="540" t="s">
        <v>800</v>
      </c>
      <c r="E745" s="540" t="s">
        <v>1299</v>
      </c>
      <c r="F745" s="539" t="s">
        <v>959</v>
      </c>
      <c r="G745" s="544">
        <v>-100</v>
      </c>
      <c r="H745" s="540">
        <v>856</v>
      </c>
      <c r="I745" s="540" t="s">
        <v>1284</v>
      </c>
    </row>
    <row r="746" spans="1:9">
      <c r="A746" s="568">
        <f t="shared" si="11"/>
        <v>741</v>
      </c>
      <c r="B746" s="541">
        <v>41973</v>
      </c>
      <c r="C746" s="540" t="s">
        <v>1244</v>
      </c>
      <c r="D746" s="540" t="s">
        <v>800</v>
      </c>
      <c r="E746" s="540" t="s">
        <v>1088</v>
      </c>
      <c r="F746" s="539" t="s">
        <v>654</v>
      </c>
      <c r="G746" s="544">
        <v>-300</v>
      </c>
      <c r="H746" s="540">
        <v>856</v>
      </c>
      <c r="I746" s="540" t="s">
        <v>1284</v>
      </c>
    </row>
    <row r="747" spans="1:9">
      <c r="A747" s="568">
        <f t="shared" si="11"/>
        <v>742</v>
      </c>
      <c r="B747" s="541">
        <v>41973</v>
      </c>
      <c r="C747" s="540" t="s">
        <v>1244</v>
      </c>
      <c r="D747" s="540" t="s">
        <v>800</v>
      </c>
      <c r="E747" s="540" t="s">
        <v>1091</v>
      </c>
      <c r="F747" s="539" t="s">
        <v>714</v>
      </c>
      <c r="G747" s="544">
        <v>-877.5</v>
      </c>
      <c r="H747" s="540">
        <v>856</v>
      </c>
      <c r="I747" s="540" t="s">
        <v>1284</v>
      </c>
    </row>
    <row r="748" spans="1:9">
      <c r="A748" s="568">
        <f t="shared" si="11"/>
        <v>743</v>
      </c>
      <c r="B748" s="541">
        <v>41973</v>
      </c>
      <c r="C748" s="540" t="s">
        <v>1244</v>
      </c>
      <c r="D748" s="540" t="s">
        <v>800</v>
      </c>
      <c r="E748" s="540" t="s">
        <v>1300</v>
      </c>
      <c r="F748" s="539" t="s">
        <v>958</v>
      </c>
      <c r="G748" s="544">
        <v>-175</v>
      </c>
      <c r="H748" s="540">
        <v>856</v>
      </c>
      <c r="I748" s="540" t="s">
        <v>1284</v>
      </c>
    </row>
    <row r="749" spans="1:9">
      <c r="A749" s="568">
        <f t="shared" si="11"/>
        <v>744</v>
      </c>
      <c r="B749" s="541">
        <v>41973</v>
      </c>
      <c r="C749" s="540" t="s">
        <v>1250</v>
      </c>
      <c r="D749" s="540" t="s">
        <v>800</v>
      </c>
      <c r="E749" s="540" t="s">
        <v>1257</v>
      </c>
      <c r="F749" s="539" t="s">
        <v>959</v>
      </c>
      <c r="G749" s="544">
        <v>-100</v>
      </c>
      <c r="H749" s="540">
        <v>856</v>
      </c>
      <c r="I749" s="540" t="s">
        <v>1284</v>
      </c>
    </row>
    <row r="750" spans="1:9">
      <c r="A750" s="568">
        <f t="shared" si="11"/>
        <v>745</v>
      </c>
      <c r="B750" s="541">
        <v>41973</v>
      </c>
      <c r="C750" s="540" t="s">
        <v>712</v>
      </c>
      <c r="D750" s="540" t="s">
        <v>1073</v>
      </c>
      <c r="E750" s="540" t="s">
        <v>1266</v>
      </c>
      <c r="F750" s="539" t="s">
        <v>959</v>
      </c>
      <c r="G750" s="544">
        <v>-500</v>
      </c>
      <c r="H750" s="540" t="s">
        <v>920</v>
      </c>
      <c r="I750" s="540" t="s">
        <v>1267</v>
      </c>
    </row>
    <row r="751" spans="1:9">
      <c r="A751" s="568">
        <f t="shared" si="11"/>
        <v>746</v>
      </c>
      <c r="B751" s="541">
        <v>41973</v>
      </c>
      <c r="C751" s="540" t="s">
        <v>712</v>
      </c>
      <c r="D751" s="540" t="s">
        <v>1073</v>
      </c>
      <c r="E751" s="540" t="s">
        <v>1268</v>
      </c>
      <c r="F751" s="539" t="s">
        <v>959</v>
      </c>
      <c r="G751" s="544">
        <v>-500</v>
      </c>
      <c r="H751" s="540" t="s">
        <v>920</v>
      </c>
      <c r="I751" s="540" t="s">
        <v>1267</v>
      </c>
    </row>
    <row r="752" spans="1:9">
      <c r="A752" s="568">
        <f t="shared" si="11"/>
        <v>747</v>
      </c>
      <c r="B752" s="541">
        <v>41973</v>
      </c>
      <c r="C752" s="540" t="s">
        <v>1244</v>
      </c>
      <c r="D752" s="540" t="s">
        <v>1018</v>
      </c>
      <c r="E752" s="540" t="s">
        <v>1269</v>
      </c>
      <c r="F752" s="539" t="s">
        <v>714</v>
      </c>
      <c r="G752" s="544">
        <v>-1055</v>
      </c>
      <c r="H752" s="540" t="s">
        <v>1020</v>
      </c>
      <c r="I752" s="540" t="s">
        <v>1267</v>
      </c>
    </row>
    <row r="753" spans="1:9">
      <c r="A753" s="568">
        <f t="shared" si="11"/>
        <v>748</v>
      </c>
      <c r="B753" s="541">
        <v>41973</v>
      </c>
      <c r="C753" s="540" t="s">
        <v>1244</v>
      </c>
      <c r="D753" s="540" t="s">
        <v>800</v>
      </c>
      <c r="E753" s="540" t="s">
        <v>1245</v>
      </c>
      <c r="F753" s="539" t="s">
        <v>714</v>
      </c>
      <c r="G753" s="544">
        <v>-118.92</v>
      </c>
      <c r="H753" s="540">
        <v>856</v>
      </c>
      <c r="I753" s="540" t="s">
        <v>1137</v>
      </c>
    </row>
    <row r="754" spans="1:9">
      <c r="A754" s="568">
        <f t="shared" si="11"/>
        <v>749</v>
      </c>
      <c r="B754" s="541">
        <v>41973</v>
      </c>
      <c r="C754" s="540" t="s">
        <v>1244</v>
      </c>
      <c r="D754" s="540" t="s">
        <v>800</v>
      </c>
      <c r="E754" s="540" t="s">
        <v>1248</v>
      </c>
      <c r="F754" s="539" t="s">
        <v>714</v>
      </c>
      <c r="G754" s="544">
        <v>-777.9</v>
      </c>
      <c r="H754" s="540">
        <v>856</v>
      </c>
      <c r="I754" s="540" t="s">
        <v>1137</v>
      </c>
    </row>
    <row r="755" spans="1:9">
      <c r="A755" s="568">
        <f t="shared" si="11"/>
        <v>750</v>
      </c>
      <c r="B755" s="541">
        <v>41973</v>
      </c>
      <c r="C755" s="540" t="s">
        <v>1244</v>
      </c>
      <c r="D755" s="540" t="s">
        <v>800</v>
      </c>
      <c r="E755" s="540" t="s">
        <v>1248</v>
      </c>
      <c r="F755" s="539" t="s">
        <v>714</v>
      </c>
      <c r="G755" s="544">
        <v>-5000</v>
      </c>
      <c r="H755" s="540">
        <v>856</v>
      </c>
      <c r="I755" s="540" t="s">
        <v>1137</v>
      </c>
    </row>
    <row r="756" spans="1:9">
      <c r="A756" s="568">
        <f t="shared" si="11"/>
        <v>751</v>
      </c>
      <c r="B756" s="541">
        <v>41973</v>
      </c>
      <c r="C756" s="540" t="s">
        <v>1244</v>
      </c>
      <c r="D756" s="540" t="s">
        <v>800</v>
      </c>
      <c r="E756" s="540" t="s">
        <v>1249</v>
      </c>
      <c r="F756" s="539" t="s">
        <v>714</v>
      </c>
      <c r="G756" s="544">
        <v>-147.94999999999999</v>
      </c>
      <c r="H756" s="540">
        <v>856</v>
      </c>
      <c r="I756" s="540" t="s">
        <v>1137</v>
      </c>
    </row>
    <row r="757" spans="1:9">
      <c r="A757" s="568">
        <f t="shared" si="11"/>
        <v>752</v>
      </c>
      <c r="B757" s="541">
        <v>41973</v>
      </c>
      <c r="C757" s="540" t="s">
        <v>1244</v>
      </c>
      <c r="D757" s="540" t="s">
        <v>800</v>
      </c>
      <c r="E757" s="540" t="s">
        <v>1082</v>
      </c>
      <c r="F757" s="539" t="s">
        <v>959</v>
      </c>
      <c r="G757" s="544">
        <v>-8.3699999999999992</v>
      </c>
      <c r="H757" s="540">
        <v>856</v>
      </c>
      <c r="I757" s="540" t="s">
        <v>1137</v>
      </c>
    </row>
    <row r="758" spans="1:9">
      <c r="A758" s="568">
        <f t="shared" si="11"/>
        <v>753</v>
      </c>
      <c r="B758" s="541">
        <v>41973</v>
      </c>
      <c r="C758" s="540" t="s">
        <v>1250</v>
      </c>
      <c r="D758" s="540" t="s">
        <v>800</v>
      </c>
      <c r="E758" s="540" t="s">
        <v>1103</v>
      </c>
      <c r="F758" s="539" t="s">
        <v>959</v>
      </c>
      <c r="G758" s="544">
        <v>-8.33</v>
      </c>
      <c r="H758" s="540">
        <v>856</v>
      </c>
      <c r="I758" s="540" t="s">
        <v>1137</v>
      </c>
    </row>
    <row r="759" spans="1:9">
      <c r="A759" s="568">
        <f t="shared" si="11"/>
        <v>754</v>
      </c>
      <c r="B759" s="541">
        <v>41973</v>
      </c>
      <c r="C759" s="540" t="s">
        <v>1250</v>
      </c>
      <c r="D759" s="540" t="s">
        <v>800</v>
      </c>
      <c r="E759" s="540" t="s">
        <v>1084</v>
      </c>
      <c r="F759" s="539" t="s">
        <v>959</v>
      </c>
      <c r="G759" s="544">
        <v>-8.33</v>
      </c>
      <c r="H759" s="540">
        <v>856</v>
      </c>
      <c r="I759" s="540" t="s">
        <v>1137</v>
      </c>
    </row>
    <row r="760" spans="1:9">
      <c r="A760" s="568">
        <f t="shared" si="11"/>
        <v>755</v>
      </c>
      <c r="B760" s="541">
        <v>41973</v>
      </c>
      <c r="C760" s="540" t="s">
        <v>1244</v>
      </c>
      <c r="D760" s="540" t="s">
        <v>800</v>
      </c>
      <c r="E760" s="540" t="s">
        <v>1116</v>
      </c>
      <c r="F760" s="539" t="s">
        <v>959</v>
      </c>
      <c r="G760" s="544">
        <v>-20.83</v>
      </c>
      <c r="H760" s="540">
        <v>856</v>
      </c>
      <c r="I760" s="540" t="s">
        <v>1137</v>
      </c>
    </row>
    <row r="761" spans="1:9">
      <c r="A761" s="568">
        <f t="shared" si="11"/>
        <v>756</v>
      </c>
      <c r="B761" s="541">
        <v>41973</v>
      </c>
      <c r="C761" s="540" t="s">
        <v>1244</v>
      </c>
      <c r="D761" s="540" t="s">
        <v>800</v>
      </c>
      <c r="E761" s="540" t="s">
        <v>1117</v>
      </c>
      <c r="F761" s="539" t="s">
        <v>654</v>
      </c>
      <c r="G761" s="544">
        <v>-41.67</v>
      </c>
      <c r="H761" s="540">
        <v>856</v>
      </c>
      <c r="I761" s="540" t="s">
        <v>1137</v>
      </c>
    </row>
    <row r="762" spans="1:9">
      <c r="A762" s="568">
        <f t="shared" si="11"/>
        <v>757</v>
      </c>
      <c r="B762" s="541">
        <v>41973</v>
      </c>
      <c r="C762" s="540" t="s">
        <v>1250</v>
      </c>
      <c r="D762" s="540" t="s">
        <v>800</v>
      </c>
      <c r="E762" s="540" t="s">
        <v>1118</v>
      </c>
      <c r="F762" s="539" t="s">
        <v>959</v>
      </c>
      <c r="G762" s="544">
        <v>-45</v>
      </c>
      <c r="H762" s="540">
        <v>856</v>
      </c>
      <c r="I762" s="540" t="s">
        <v>1137</v>
      </c>
    </row>
    <row r="763" spans="1:9">
      <c r="A763" s="568">
        <f t="shared" si="11"/>
        <v>758</v>
      </c>
      <c r="B763" s="541">
        <v>41973</v>
      </c>
      <c r="C763" s="540" t="s">
        <v>1250</v>
      </c>
      <c r="D763" s="540" t="s">
        <v>800</v>
      </c>
      <c r="E763" s="540" t="s">
        <v>1118</v>
      </c>
      <c r="F763" s="539" t="s">
        <v>959</v>
      </c>
      <c r="G763" s="544">
        <v>-11.25</v>
      </c>
      <c r="H763" s="540">
        <v>856</v>
      </c>
      <c r="I763" s="540" t="s">
        <v>1137</v>
      </c>
    </row>
    <row r="764" spans="1:9">
      <c r="A764" s="568">
        <f t="shared" si="11"/>
        <v>759</v>
      </c>
      <c r="B764" s="541">
        <v>41973</v>
      </c>
      <c r="C764" s="540" t="s">
        <v>1244</v>
      </c>
      <c r="D764" s="540" t="s">
        <v>800</v>
      </c>
      <c r="E764" s="540" t="s">
        <v>1110</v>
      </c>
      <c r="F764" s="539" t="s">
        <v>959</v>
      </c>
      <c r="G764" s="544">
        <v>-4.1100000000000003</v>
      </c>
      <c r="H764" s="540">
        <v>856</v>
      </c>
      <c r="I764" s="540" t="s">
        <v>1137</v>
      </c>
    </row>
    <row r="765" spans="1:9">
      <c r="A765" s="568">
        <f t="shared" si="11"/>
        <v>760</v>
      </c>
      <c r="B765" s="541">
        <v>41973</v>
      </c>
      <c r="C765" s="540" t="s">
        <v>1244</v>
      </c>
      <c r="D765" s="540" t="s">
        <v>800</v>
      </c>
      <c r="E765" s="540" t="s">
        <v>1285</v>
      </c>
      <c r="F765" s="539" t="s">
        <v>959</v>
      </c>
      <c r="G765" s="544">
        <v>-41.67</v>
      </c>
      <c r="H765" s="540">
        <v>856</v>
      </c>
      <c r="I765" s="540" t="s">
        <v>1137</v>
      </c>
    </row>
    <row r="766" spans="1:9">
      <c r="A766" s="568">
        <f t="shared" si="11"/>
        <v>761</v>
      </c>
      <c r="B766" s="541">
        <v>41973</v>
      </c>
      <c r="C766" s="540" t="s">
        <v>1244</v>
      </c>
      <c r="D766" s="540" t="s">
        <v>800</v>
      </c>
      <c r="E766" s="540" t="s">
        <v>1135</v>
      </c>
      <c r="F766" s="539" t="s">
        <v>958</v>
      </c>
      <c r="G766" s="544">
        <v>-29.17</v>
      </c>
      <c r="H766" s="540">
        <v>856</v>
      </c>
      <c r="I766" s="540" t="s">
        <v>1137</v>
      </c>
    </row>
    <row r="767" spans="1:9">
      <c r="A767" s="568">
        <f t="shared" si="11"/>
        <v>762</v>
      </c>
      <c r="B767" s="541">
        <v>41973</v>
      </c>
      <c r="C767" s="540" t="s">
        <v>1250</v>
      </c>
      <c r="D767" s="540" t="s">
        <v>800</v>
      </c>
      <c r="E767" s="540" t="s">
        <v>1105</v>
      </c>
      <c r="F767" s="539" t="s">
        <v>959</v>
      </c>
      <c r="G767" s="544">
        <v>-8.33</v>
      </c>
      <c r="H767" s="540">
        <v>856</v>
      </c>
      <c r="I767" s="540" t="s">
        <v>1137</v>
      </c>
    </row>
    <row r="768" spans="1:9">
      <c r="A768" s="568">
        <f t="shared" si="11"/>
        <v>763</v>
      </c>
      <c r="B768" s="541">
        <v>41973</v>
      </c>
      <c r="C768" s="540" t="s">
        <v>1250</v>
      </c>
      <c r="D768" s="540" t="s">
        <v>800</v>
      </c>
      <c r="E768" s="540" t="s">
        <v>1105</v>
      </c>
      <c r="F768" s="539" t="s">
        <v>959</v>
      </c>
      <c r="G768" s="544">
        <v>-14.58</v>
      </c>
      <c r="H768" s="540">
        <v>856</v>
      </c>
      <c r="I768" s="540" t="s">
        <v>1137</v>
      </c>
    </row>
    <row r="769" spans="1:9">
      <c r="A769" s="568">
        <f t="shared" si="11"/>
        <v>764</v>
      </c>
      <c r="B769" s="541">
        <v>41973</v>
      </c>
      <c r="C769" s="540" t="s">
        <v>1244</v>
      </c>
      <c r="D769" s="540" t="s">
        <v>800</v>
      </c>
      <c r="E769" s="540" t="s">
        <v>1251</v>
      </c>
      <c r="F769" s="539" t="s">
        <v>714</v>
      </c>
      <c r="G769" s="544">
        <v>-179.13</v>
      </c>
      <c r="H769" s="540">
        <v>856</v>
      </c>
      <c r="I769" s="540" t="s">
        <v>1137</v>
      </c>
    </row>
    <row r="770" spans="1:9">
      <c r="A770" s="568">
        <f t="shared" si="11"/>
        <v>765</v>
      </c>
      <c r="B770" s="541">
        <v>41973</v>
      </c>
      <c r="C770" s="540" t="s">
        <v>1244</v>
      </c>
      <c r="D770" s="540" t="s">
        <v>800</v>
      </c>
      <c r="E770" s="540" t="s">
        <v>1106</v>
      </c>
      <c r="F770" s="539" t="s">
        <v>654</v>
      </c>
      <c r="G770" s="544">
        <v>-4.17</v>
      </c>
      <c r="H770" s="540">
        <v>856</v>
      </c>
      <c r="I770" s="540" t="s">
        <v>1137</v>
      </c>
    </row>
    <row r="771" spans="1:9">
      <c r="A771" s="568">
        <f t="shared" si="11"/>
        <v>766</v>
      </c>
      <c r="B771" s="541">
        <v>41973</v>
      </c>
      <c r="C771" s="540" t="s">
        <v>1244</v>
      </c>
      <c r="D771" s="540" t="s">
        <v>800</v>
      </c>
      <c r="E771" s="540" t="s">
        <v>1086</v>
      </c>
      <c r="F771" s="539" t="s">
        <v>959</v>
      </c>
      <c r="G771" s="544">
        <v>-8.33</v>
      </c>
      <c r="H771" s="540">
        <v>856</v>
      </c>
      <c r="I771" s="540" t="s">
        <v>1137</v>
      </c>
    </row>
    <row r="772" spans="1:9">
      <c r="A772" s="568">
        <f t="shared" si="11"/>
        <v>767</v>
      </c>
      <c r="B772" s="541">
        <v>41973</v>
      </c>
      <c r="C772" s="540" t="s">
        <v>1250</v>
      </c>
      <c r="D772" s="540" t="s">
        <v>800</v>
      </c>
      <c r="E772" s="540" t="s">
        <v>1111</v>
      </c>
      <c r="F772" s="539" t="s">
        <v>959</v>
      </c>
      <c r="G772" s="544">
        <v>-41.67</v>
      </c>
      <c r="H772" s="540">
        <v>856</v>
      </c>
      <c r="I772" s="540" t="s">
        <v>1137</v>
      </c>
    </row>
    <row r="773" spans="1:9">
      <c r="A773" s="568">
        <f t="shared" si="11"/>
        <v>768</v>
      </c>
      <c r="B773" s="541">
        <v>41973</v>
      </c>
      <c r="C773" s="540" t="s">
        <v>1244</v>
      </c>
      <c r="D773" s="540" t="s">
        <v>800</v>
      </c>
      <c r="E773" s="540" t="s">
        <v>1252</v>
      </c>
      <c r="F773" s="539" t="s">
        <v>714</v>
      </c>
      <c r="G773" s="544">
        <v>-122.2</v>
      </c>
      <c r="H773" s="540">
        <v>856</v>
      </c>
      <c r="I773" s="540" t="s">
        <v>1137</v>
      </c>
    </row>
    <row r="774" spans="1:9">
      <c r="A774" s="568">
        <f t="shared" si="11"/>
        <v>769</v>
      </c>
      <c r="B774" s="541">
        <v>41973</v>
      </c>
      <c r="C774" s="540" t="s">
        <v>1244</v>
      </c>
      <c r="D774" s="540" t="s">
        <v>800</v>
      </c>
      <c r="E774" s="540" t="s">
        <v>1252</v>
      </c>
      <c r="F774" s="539" t="s">
        <v>714</v>
      </c>
      <c r="G774" s="544">
        <v>-142.79</v>
      </c>
      <c r="H774" s="540">
        <v>856</v>
      </c>
      <c r="I774" s="540" t="s">
        <v>1137</v>
      </c>
    </row>
    <row r="775" spans="1:9">
      <c r="A775" s="568">
        <f t="shared" si="11"/>
        <v>770</v>
      </c>
      <c r="B775" s="541">
        <v>41973</v>
      </c>
      <c r="C775" s="540" t="s">
        <v>1244</v>
      </c>
      <c r="D775" s="540" t="s">
        <v>800</v>
      </c>
      <c r="E775" s="540" t="s">
        <v>1252</v>
      </c>
      <c r="F775" s="539" t="s">
        <v>714</v>
      </c>
      <c r="G775" s="544">
        <v>-142.79</v>
      </c>
      <c r="H775" s="540">
        <v>856</v>
      </c>
      <c r="I775" s="540" t="s">
        <v>1137</v>
      </c>
    </row>
    <row r="776" spans="1:9">
      <c r="A776" s="568">
        <f t="shared" si="11"/>
        <v>771</v>
      </c>
      <c r="B776" s="541">
        <v>41973</v>
      </c>
      <c r="C776" s="540" t="s">
        <v>1244</v>
      </c>
      <c r="D776" s="540" t="s">
        <v>800</v>
      </c>
      <c r="E776" s="540" t="s">
        <v>1252</v>
      </c>
      <c r="F776" s="539" t="s">
        <v>714</v>
      </c>
      <c r="G776" s="544">
        <v>-202.26</v>
      </c>
      <c r="H776" s="540">
        <v>856</v>
      </c>
      <c r="I776" s="540" t="s">
        <v>1137</v>
      </c>
    </row>
    <row r="777" spans="1:9">
      <c r="A777" s="568">
        <f t="shared" si="11"/>
        <v>772</v>
      </c>
      <c r="B777" s="541">
        <v>41973</v>
      </c>
      <c r="C777" s="540" t="s">
        <v>1244</v>
      </c>
      <c r="D777" s="540" t="s">
        <v>800</v>
      </c>
      <c r="E777" s="540" t="s">
        <v>1252</v>
      </c>
      <c r="F777" s="539" t="s">
        <v>714</v>
      </c>
      <c r="G777" s="544">
        <v>-141.28</v>
      </c>
      <c r="H777" s="540">
        <v>856</v>
      </c>
      <c r="I777" s="540" t="s">
        <v>1137</v>
      </c>
    </row>
    <row r="778" spans="1:9">
      <c r="A778" s="568">
        <f t="shared" si="11"/>
        <v>773</v>
      </c>
      <c r="B778" s="541">
        <v>41973</v>
      </c>
      <c r="C778" s="540" t="s">
        <v>1244</v>
      </c>
      <c r="D778" s="540" t="s">
        <v>800</v>
      </c>
      <c r="E778" s="540" t="s">
        <v>1119</v>
      </c>
      <c r="F778" s="539" t="s">
        <v>654</v>
      </c>
      <c r="G778" s="544">
        <v>-54.17</v>
      </c>
      <c r="H778" s="540">
        <v>856</v>
      </c>
      <c r="I778" s="540" t="s">
        <v>1137</v>
      </c>
    </row>
    <row r="779" spans="1:9">
      <c r="A779" s="568">
        <f t="shared" si="11"/>
        <v>774</v>
      </c>
      <c r="B779" s="541">
        <v>41973</v>
      </c>
      <c r="C779" s="540" t="s">
        <v>1250</v>
      </c>
      <c r="D779" s="540" t="s">
        <v>800</v>
      </c>
      <c r="E779" s="540" t="s">
        <v>1087</v>
      </c>
      <c r="F779" s="539" t="s">
        <v>714</v>
      </c>
      <c r="G779" s="544">
        <v>-693.74</v>
      </c>
      <c r="H779" s="540">
        <v>856</v>
      </c>
      <c r="I779" s="540" t="s">
        <v>1137</v>
      </c>
    </row>
    <row r="780" spans="1:9">
      <c r="A780" s="568">
        <f t="shared" si="11"/>
        <v>775</v>
      </c>
      <c r="B780" s="541">
        <v>41973</v>
      </c>
      <c r="C780" s="540" t="s">
        <v>1250</v>
      </c>
      <c r="D780" s="540" t="s">
        <v>800</v>
      </c>
      <c r="E780" s="540" t="s">
        <v>1123</v>
      </c>
      <c r="F780" s="539" t="s">
        <v>654</v>
      </c>
      <c r="G780" s="544">
        <v>-8.33</v>
      </c>
      <c r="H780" s="540">
        <v>856</v>
      </c>
      <c r="I780" s="540" t="s">
        <v>1137</v>
      </c>
    </row>
    <row r="781" spans="1:9">
      <c r="A781" s="568">
        <f t="shared" si="11"/>
        <v>776</v>
      </c>
      <c r="B781" s="541">
        <v>41973</v>
      </c>
      <c r="C781" s="540" t="s">
        <v>1250</v>
      </c>
      <c r="D781" s="540" t="s">
        <v>800</v>
      </c>
      <c r="E781" s="540" t="s">
        <v>1253</v>
      </c>
      <c r="F781" s="539" t="s">
        <v>654</v>
      </c>
      <c r="G781" s="544">
        <v>-8.33</v>
      </c>
      <c r="H781" s="540">
        <v>856</v>
      </c>
      <c r="I781" s="540" t="s">
        <v>1137</v>
      </c>
    </row>
    <row r="782" spans="1:9">
      <c r="A782" s="568">
        <f t="shared" si="11"/>
        <v>777</v>
      </c>
      <c r="B782" s="541">
        <v>41973</v>
      </c>
      <c r="C782" s="540" t="s">
        <v>1250</v>
      </c>
      <c r="D782" s="540" t="s">
        <v>800</v>
      </c>
      <c r="E782" s="540" t="s">
        <v>1089</v>
      </c>
      <c r="F782" s="539" t="s">
        <v>959</v>
      </c>
      <c r="G782" s="544">
        <v>-25</v>
      </c>
      <c r="H782" s="540">
        <v>856</v>
      </c>
      <c r="I782" s="540" t="s">
        <v>1137</v>
      </c>
    </row>
    <row r="783" spans="1:9">
      <c r="A783" s="568">
        <f t="shared" si="11"/>
        <v>778</v>
      </c>
      <c r="B783" s="541">
        <v>41973</v>
      </c>
      <c r="C783" s="540" t="s">
        <v>1244</v>
      </c>
      <c r="D783" s="540" t="s">
        <v>800</v>
      </c>
      <c r="E783" s="540" t="s">
        <v>1090</v>
      </c>
      <c r="F783" s="539" t="s">
        <v>959</v>
      </c>
      <c r="G783" s="544">
        <v>-95</v>
      </c>
      <c r="H783" s="540">
        <v>856</v>
      </c>
      <c r="I783" s="540" t="s">
        <v>1137</v>
      </c>
    </row>
    <row r="784" spans="1:9">
      <c r="A784" s="568">
        <f t="shared" si="11"/>
        <v>779</v>
      </c>
      <c r="B784" s="541">
        <v>41973</v>
      </c>
      <c r="C784" s="540" t="s">
        <v>1244</v>
      </c>
      <c r="D784" s="540" t="s">
        <v>800</v>
      </c>
      <c r="E784" s="540" t="s">
        <v>1273</v>
      </c>
      <c r="F784" s="539" t="s">
        <v>959</v>
      </c>
      <c r="G784" s="544">
        <v>-66.67</v>
      </c>
      <c r="H784" s="540">
        <v>856</v>
      </c>
      <c r="I784" s="540" t="s">
        <v>1137</v>
      </c>
    </row>
    <row r="785" spans="1:9">
      <c r="A785" s="568">
        <f t="shared" si="11"/>
        <v>780</v>
      </c>
      <c r="B785" s="541">
        <v>41973</v>
      </c>
      <c r="C785" s="540" t="s">
        <v>1244</v>
      </c>
      <c r="D785" s="540" t="s">
        <v>800</v>
      </c>
      <c r="E785" s="540" t="s">
        <v>1273</v>
      </c>
      <c r="F785" s="539" t="s">
        <v>959</v>
      </c>
      <c r="G785" s="544">
        <v>-41.67</v>
      </c>
      <c r="H785" s="540">
        <v>856</v>
      </c>
      <c r="I785" s="540" t="s">
        <v>1137</v>
      </c>
    </row>
    <row r="786" spans="1:9">
      <c r="A786" s="568">
        <f t="shared" si="11"/>
        <v>781</v>
      </c>
      <c r="B786" s="541">
        <v>41973</v>
      </c>
      <c r="C786" s="540" t="s">
        <v>1244</v>
      </c>
      <c r="D786" s="540" t="s">
        <v>800</v>
      </c>
      <c r="E786" s="540" t="s">
        <v>1091</v>
      </c>
      <c r="F786" s="539" t="s">
        <v>714</v>
      </c>
      <c r="G786" s="544">
        <v>-109.67</v>
      </c>
      <c r="H786" s="540">
        <v>856</v>
      </c>
      <c r="I786" s="540" t="s">
        <v>1137</v>
      </c>
    </row>
    <row r="787" spans="1:9">
      <c r="A787" s="568">
        <f t="shared" si="11"/>
        <v>782</v>
      </c>
      <c r="B787" s="541">
        <v>41973</v>
      </c>
      <c r="C787" s="540" t="s">
        <v>1250</v>
      </c>
      <c r="D787" s="540" t="s">
        <v>800</v>
      </c>
      <c r="E787" s="540" t="s">
        <v>1092</v>
      </c>
      <c r="F787" s="539" t="s">
        <v>959</v>
      </c>
      <c r="G787" s="544">
        <v>-363.87</v>
      </c>
      <c r="H787" s="540">
        <v>856</v>
      </c>
      <c r="I787" s="540" t="s">
        <v>1137</v>
      </c>
    </row>
    <row r="788" spans="1:9">
      <c r="A788" s="568">
        <f t="shared" si="11"/>
        <v>783</v>
      </c>
      <c r="B788" s="541">
        <v>41973</v>
      </c>
      <c r="C788" s="540" t="s">
        <v>1250</v>
      </c>
      <c r="D788" s="540" t="s">
        <v>800</v>
      </c>
      <c r="E788" s="540" t="s">
        <v>1092</v>
      </c>
      <c r="F788" s="539" t="s">
        <v>959</v>
      </c>
      <c r="G788" s="544">
        <v>-176.82</v>
      </c>
      <c r="H788" s="540">
        <v>856</v>
      </c>
      <c r="I788" s="540" t="s">
        <v>1137</v>
      </c>
    </row>
    <row r="789" spans="1:9">
      <c r="A789" s="568">
        <f t="shared" si="11"/>
        <v>784</v>
      </c>
      <c r="B789" s="541">
        <v>41973</v>
      </c>
      <c r="C789" s="540" t="s">
        <v>1250</v>
      </c>
      <c r="D789" s="540" t="s">
        <v>800</v>
      </c>
      <c r="E789" s="540" t="s">
        <v>1092</v>
      </c>
      <c r="F789" s="539" t="s">
        <v>959</v>
      </c>
      <c r="G789" s="544">
        <v>-150</v>
      </c>
      <c r="H789" s="540">
        <v>856</v>
      </c>
      <c r="I789" s="540" t="s">
        <v>1137</v>
      </c>
    </row>
    <row r="790" spans="1:9">
      <c r="A790" s="568">
        <f t="shared" si="11"/>
        <v>785</v>
      </c>
      <c r="B790" s="541">
        <v>41973</v>
      </c>
      <c r="C790" s="540" t="s">
        <v>1250</v>
      </c>
      <c r="D790" s="540" t="s">
        <v>800</v>
      </c>
      <c r="E790" s="540" t="s">
        <v>1092</v>
      </c>
      <c r="F790" s="539" t="s">
        <v>959</v>
      </c>
      <c r="G790" s="544">
        <v>-16.670000000000002</v>
      </c>
      <c r="H790" s="540">
        <v>856</v>
      </c>
      <c r="I790" s="540" t="s">
        <v>1137</v>
      </c>
    </row>
    <row r="791" spans="1:9">
      <c r="A791" s="568">
        <f t="shared" si="11"/>
        <v>786</v>
      </c>
      <c r="B791" s="541">
        <v>41973</v>
      </c>
      <c r="C791" s="540" t="s">
        <v>1250</v>
      </c>
      <c r="D791" s="540" t="s">
        <v>800</v>
      </c>
      <c r="E791" s="540" t="s">
        <v>1092</v>
      </c>
      <c r="F791" s="539" t="s">
        <v>959</v>
      </c>
      <c r="G791" s="544">
        <v>-41.67</v>
      </c>
      <c r="H791" s="540">
        <v>856</v>
      </c>
      <c r="I791" s="540" t="s">
        <v>1137</v>
      </c>
    </row>
    <row r="792" spans="1:9">
      <c r="A792" s="568">
        <f t="shared" si="11"/>
        <v>787</v>
      </c>
      <c r="B792" s="541">
        <v>41973</v>
      </c>
      <c r="C792" s="540" t="s">
        <v>1244</v>
      </c>
      <c r="D792" s="540" t="s">
        <v>800</v>
      </c>
      <c r="E792" s="540" t="s">
        <v>1126</v>
      </c>
      <c r="F792" s="539" t="s">
        <v>714</v>
      </c>
      <c r="G792" s="544">
        <v>-100</v>
      </c>
      <c r="H792" s="540">
        <v>856</v>
      </c>
      <c r="I792" s="540" t="s">
        <v>1137</v>
      </c>
    </row>
    <row r="793" spans="1:9">
      <c r="A793" s="568">
        <f t="shared" si="11"/>
        <v>788</v>
      </c>
      <c r="B793" s="541">
        <v>41973</v>
      </c>
      <c r="C793" s="540" t="s">
        <v>1244</v>
      </c>
      <c r="D793" s="540" t="s">
        <v>800</v>
      </c>
      <c r="E793" s="540" t="s">
        <v>1255</v>
      </c>
      <c r="F793" s="539" t="s">
        <v>959</v>
      </c>
      <c r="G793" s="544">
        <v>-8.33</v>
      </c>
      <c r="H793" s="540">
        <v>856</v>
      </c>
      <c r="I793" s="540" t="s">
        <v>1137</v>
      </c>
    </row>
    <row r="794" spans="1:9">
      <c r="A794" s="568">
        <f t="shared" si="11"/>
        <v>789</v>
      </c>
      <c r="B794" s="541">
        <v>41973</v>
      </c>
      <c r="C794" s="540" t="s">
        <v>1244</v>
      </c>
      <c r="D794" s="540" t="s">
        <v>800</v>
      </c>
      <c r="E794" s="540" t="s">
        <v>1093</v>
      </c>
      <c r="F794" s="539" t="s">
        <v>654</v>
      </c>
      <c r="G794" s="544">
        <v>-500</v>
      </c>
      <c r="H794" s="540">
        <v>856</v>
      </c>
      <c r="I794" s="540" t="s">
        <v>1137</v>
      </c>
    </row>
    <row r="795" spans="1:9">
      <c r="A795" s="568">
        <f t="shared" si="11"/>
        <v>790</v>
      </c>
      <c r="B795" s="541">
        <v>41973</v>
      </c>
      <c r="C795" s="540" t="s">
        <v>1244</v>
      </c>
      <c r="D795" s="540" t="s">
        <v>800</v>
      </c>
      <c r="E795" s="540" t="s">
        <v>1094</v>
      </c>
      <c r="F795" s="539" t="s">
        <v>958</v>
      </c>
      <c r="G795" s="544">
        <v>-14.58</v>
      </c>
      <c r="H795" s="540">
        <v>856</v>
      </c>
      <c r="I795" s="540" t="s">
        <v>1137</v>
      </c>
    </row>
    <row r="796" spans="1:9">
      <c r="A796" s="568">
        <f t="shared" si="11"/>
        <v>791</v>
      </c>
      <c r="B796" s="541">
        <v>41973</v>
      </c>
      <c r="C796" s="540" t="s">
        <v>1244</v>
      </c>
      <c r="D796" s="540" t="s">
        <v>800</v>
      </c>
      <c r="E796" s="540" t="s">
        <v>1095</v>
      </c>
      <c r="F796" s="539" t="s">
        <v>959</v>
      </c>
      <c r="G796" s="544">
        <v>-8.33</v>
      </c>
      <c r="H796" s="540">
        <v>856</v>
      </c>
      <c r="I796" s="540" t="s">
        <v>1137</v>
      </c>
    </row>
    <row r="797" spans="1:9">
      <c r="A797" s="568">
        <f t="shared" si="11"/>
        <v>792</v>
      </c>
      <c r="B797" s="541">
        <v>41973</v>
      </c>
      <c r="C797" s="540" t="s">
        <v>1244</v>
      </c>
      <c r="D797" s="540" t="s">
        <v>800</v>
      </c>
      <c r="E797" s="540" t="s">
        <v>1256</v>
      </c>
      <c r="F797" s="539" t="s">
        <v>714</v>
      </c>
      <c r="G797" s="544">
        <v>-565.41999999999996</v>
      </c>
      <c r="H797" s="540">
        <v>856</v>
      </c>
      <c r="I797" s="540" t="s">
        <v>1137</v>
      </c>
    </row>
    <row r="798" spans="1:9">
      <c r="A798" s="568">
        <f t="shared" si="11"/>
        <v>793</v>
      </c>
      <c r="B798" s="541">
        <v>41973</v>
      </c>
      <c r="C798" s="540" t="s">
        <v>1244</v>
      </c>
      <c r="D798" s="540" t="s">
        <v>800</v>
      </c>
      <c r="E798" s="540" t="s">
        <v>1097</v>
      </c>
      <c r="F798" s="539" t="s">
        <v>714</v>
      </c>
      <c r="G798" s="544">
        <v>-757.35</v>
      </c>
      <c r="H798" s="540">
        <v>856</v>
      </c>
      <c r="I798" s="540" t="s">
        <v>1137</v>
      </c>
    </row>
    <row r="799" spans="1:9">
      <c r="A799" s="568">
        <f t="shared" si="11"/>
        <v>794</v>
      </c>
      <c r="B799" s="541">
        <v>41973</v>
      </c>
      <c r="C799" s="540" t="s">
        <v>1244</v>
      </c>
      <c r="D799" s="540" t="s">
        <v>800</v>
      </c>
      <c r="E799" s="540" t="s">
        <v>1107</v>
      </c>
      <c r="F799" s="539" t="s">
        <v>958</v>
      </c>
      <c r="G799" s="544">
        <v>-1166</v>
      </c>
      <c r="H799" s="540">
        <v>856</v>
      </c>
      <c r="I799" s="540" t="s">
        <v>1137</v>
      </c>
    </row>
    <row r="800" spans="1:9">
      <c r="A800" s="568">
        <f t="shared" si="11"/>
        <v>795</v>
      </c>
      <c r="B800" s="541">
        <v>41973</v>
      </c>
      <c r="C800" s="540" t="s">
        <v>1244</v>
      </c>
      <c r="D800" s="540" t="s">
        <v>800</v>
      </c>
      <c r="E800" s="540" t="s">
        <v>1124</v>
      </c>
      <c r="F800" s="539" t="s">
        <v>959</v>
      </c>
      <c r="G800" s="544">
        <v>-183.82</v>
      </c>
      <c r="H800" s="540">
        <v>856</v>
      </c>
      <c r="I800" s="540" t="s">
        <v>1137</v>
      </c>
    </row>
    <row r="801" spans="1:9">
      <c r="A801" s="568">
        <f t="shared" si="11"/>
        <v>796</v>
      </c>
      <c r="B801" s="541">
        <v>41973</v>
      </c>
      <c r="C801" s="540" t="s">
        <v>1244</v>
      </c>
      <c r="D801" s="540" t="s">
        <v>800</v>
      </c>
      <c r="E801" s="540" t="s">
        <v>1112</v>
      </c>
      <c r="F801" s="539" t="s">
        <v>958</v>
      </c>
      <c r="G801" s="544">
        <v>-612.85</v>
      </c>
      <c r="H801" s="540">
        <v>856</v>
      </c>
      <c r="I801" s="540" t="s">
        <v>1137</v>
      </c>
    </row>
    <row r="802" spans="1:9">
      <c r="A802" s="568">
        <f t="shared" si="11"/>
        <v>797</v>
      </c>
      <c r="B802" s="541">
        <v>41973</v>
      </c>
      <c r="C802" s="540" t="s">
        <v>1244</v>
      </c>
      <c r="D802" s="540" t="s">
        <v>800</v>
      </c>
      <c r="E802" s="540" t="s">
        <v>1112</v>
      </c>
      <c r="F802" s="539" t="s">
        <v>958</v>
      </c>
      <c r="G802" s="544">
        <v>-416.3</v>
      </c>
      <c r="H802" s="540">
        <v>856</v>
      </c>
      <c r="I802" s="540" t="s">
        <v>1137</v>
      </c>
    </row>
    <row r="803" spans="1:9">
      <c r="A803" s="568">
        <f t="shared" si="11"/>
        <v>798</v>
      </c>
      <c r="B803" s="541">
        <v>41973</v>
      </c>
      <c r="C803" s="540" t="s">
        <v>1244</v>
      </c>
      <c r="D803" s="540" t="s">
        <v>800</v>
      </c>
      <c r="E803" s="540" t="s">
        <v>1258</v>
      </c>
      <c r="F803" s="539" t="s">
        <v>714</v>
      </c>
      <c r="G803" s="544">
        <v>-575</v>
      </c>
      <c r="H803" s="540" t="s">
        <v>790</v>
      </c>
      <c r="I803" s="540" t="s">
        <v>1138</v>
      </c>
    </row>
    <row r="804" spans="1:9">
      <c r="A804" s="568">
        <f t="shared" si="11"/>
        <v>799</v>
      </c>
      <c r="B804" s="541">
        <v>41973</v>
      </c>
      <c r="C804" s="540" t="s">
        <v>1244</v>
      </c>
      <c r="D804" s="540" t="s">
        <v>800</v>
      </c>
      <c r="E804" s="540" t="s">
        <v>1259</v>
      </c>
      <c r="F804" s="539" t="s">
        <v>714</v>
      </c>
      <c r="G804" s="544">
        <v>-500</v>
      </c>
      <c r="H804" s="540" t="s">
        <v>790</v>
      </c>
      <c r="I804" s="540" t="s">
        <v>1138</v>
      </c>
    </row>
    <row r="805" spans="1:9">
      <c r="A805" s="568">
        <f t="shared" si="11"/>
        <v>800</v>
      </c>
      <c r="B805" s="541">
        <v>41973</v>
      </c>
      <c r="C805" s="540" t="s">
        <v>1244</v>
      </c>
      <c r="D805" s="540" t="s">
        <v>800</v>
      </c>
      <c r="E805" s="540" t="s">
        <v>1260</v>
      </c>
      <c r="F805" s="539" t="s">
        <v>714</v>
      </c>
      <c r="G805" s="544">
        <v>-400</v>
      </c>
      <c r="H805" s="540" t="s">
        <v>790</v>
      </c>
      <c r="I805" s="540" t="s">
        <v>1138</v>
      </c>
    </row>
    <row r="806" spans="1:9">
      <c r="A806" s="568">
        <f t="shared" si="11"/>
        <v>801</v>
      </c>
      <c r="B806" s="541">
        <v>41973</v>
      </c>
      <c r="C806" s="540" t="s">
        <v>1244</v>
      </c>
      <c r="D806" s="540" t="s">
        <v>800</v>
      </c>
      <c r="E806" s="540" t="s">
        <v>1261</v>
      </c>
      <c r="F806" s="539" t="s">
        <v>714</v>
      </c>
      <c r="G806" s="544">
        <v>-3200</v>
      </c>
      <c r="H806" s="540" t="s">
        <v>790</v>
      </c>
      <c r="I806" s="540" t="s">
        <v>1138</v>
      </c>
    </row>
    <row r="807" spans="1:9">
      <c r="A807" s="568">
        <f t="shared" si="11"/>
        <v>802</v>
      </c>
      <c r="B807" s="541">
        <v>41973</v>
      </c>
      <c r="C807" s="540" t="s">
        <v>1244</v>
      </c>
      <c r="D807" s="540" t="s">
        <v>800</v>
      </c>
      <c r="E807" s="540" t="s">
        <v>1262</v>
      </c>
      <c r="F807" s="539" t="s">
        <v>654</v>
      </c>
      <c r="G807" s="544">
        <v>-1890</v>
      </c>
      <c r="H807" s="540" t="s">
        <v>790</v>
      </c>
      <c r="I807" s="540" t="s">
        <v>1138</v>
      </c>
    </row>
    <row r="808" spans="1:9">
      <c r="A808" s="568">
        <f t="shared" si="11"/>
        <v>803</v>
      </c>
      <c r="B808" s="541">
        <v>41973</v>
      </c>
      <c r="C808" s="540" t="s">
        <v>1244</v>
      </c>
      <c r="D808" s="540" t="s">
        <v>800</v>
      </c>
      <c r="E808" s="540" t="s">
        <v>365</v>
      </c>
      <c r="F808" s="539" t="s">
        <v>714</v>
      </c>
      <c r="G808" s="544">
        <v>-2779.45</v>
      </c>
      <c r="H808" s="540" t="s">
        <v>790</v>
      </c>
      <c r="I808" s="540" t="s">
        <v>1138</v>
      </c>
    </row>
    <row r="809" spans="1:9">
      <c r="A809" s="568">
        <f t="shared" si="11"/>
        <v>804</v>
      </c>
      <c r="B809" s="541">
        <v>41973</v>
      </c>
      <c r="C809" s="540" t="s">
        <v>1250</v>
      </c>
      <c r="D809" s="540" t="s">
        <v>800</v>
      </c>
      <c r="E809" s="540" t="s">
        <v>1263</v>
      </c>
      <c r="F809" s="539" t="s">
        <v>959</v>
      </c>
      <c r="G809" s="544">
        <v>-50</v>
      </c>
      <c r="H809" s="540" t="s">
        <v>790</v>
      </c>
      <c r="I809" s="540" t="s">
        <v>1138</v>
      </c>
    </row>
    <row r="810" spans="1:9">
      <c r="A810" s="568">
        <f t="shared" si="11"/>
        <v>805</v>
      </c>
      <c r="B810" s="541">
        <v>42004</v>
      </c>
      <c r="C810" s="540" t="s">
        <v>1244</v>
      </c>
      <c r="D810" s="540" t="s">
        <v>148</v>
      </c>
      <c r="E810" s="540" t="s">
        <v>1087</v>
      </c>
      <c r="F810" s="539" t="s">
        <v>714</v>
      </c>
      <c r="G810" s="544">
        <v>-10000</v>
      </c>
      <c r="H810" s="540">
        <v>856</v>
      </c>
      <c r="I810" s="540" t="s">
        <v>1284</v>
      </c>
    </row>
    <row r="811" spans="1:9">
      <c r="A811" s="568">
        <f t="shared" si="11"/>
        <v>806</v>
      </c>
      <c r="B811" s="541">
        <v>42004</v>
      </c>
      <c r="C811" s="540" t="s">
        <v>1244</v>
      </c>
      <c r="D811" s="540" t="s">
        <v>148</v>
      </c>
      <c r="E811" s="540" t="s">
        <v>1245</v>
      </c>
      <c r="F811" s="539" t="s">
        <v>714</v>
      </c>
      <c r="G811" s="544">
        <v>-118.96000000000001</v>
      </c>
      <c r="H811" s="540">
        <v>856</v>
      </c>
      <c r="I811" s="540" t="s">
        <v>1139</v>
      </c>
    </row>
    <row r="812" spans="1:9">
      <c r="A812" s="568">
        <f t="shared" si="11"/>
        <v>807</v>
      </c>
      <c r="B812" s="541">
        <v>42004</v>
      </c>
      <c r="C812" s="540" t="s">
        <v>1244</v>
      </c>
      <c r="D812" s="540" t="s">
        <v>148</v>
      </c>
      <c r="E812" s="540" t="s">
        <v>1248</v>
      </c>
      <c r="F812" s="539" t="s">
        <v>714</v>
      </c>
      <c r="G812" s="544">
        <v>-777.9</v>
      </c>
      <c r="H812" s="540">
        <v>856</v>
      </c>
      <c r="I812" s="540" t="s">
        <v>1139</v>
      </c>
    </row>
    <row r="813" spans="1:9">
      <c r="A813" s="568">
        <f t="shared" si="11"/>
        <v>808</v>
      </c>
      <c r="B813" s="541">
        <v>42004</v>
      </c>
      <c r="C813" s="540" t="s">
        <v>1244</v>
      </c>
      <c r="D813" s="540" t="s">
        <v>148</v>
      </c>
      <c r="E813" s="540" t="s">
        <v>1248</v>
      </c>
      <c r="F813" s="539" t="s">
        <v>714</v>
      </c>
      <c r="G813" s="544">
        <v>-5000</v>
      </c>
      <c r="H813" s="540">
        <v>856</v>
      </c>
      <c r="I813" s="540" t="s">
        <v>1139</v>
      </c>
    </row>
    <row r="814" spans="1:9">
      <c r="A814" s="568">
        <f t="shared" si="11"/>
        <v>809</v>
      </c>
      <c r="B814" s="541">
        <v>42004</v>
      </c>
      <c r="C814" s="540" t="s">
        <v>1244</v>
      </c>
      <c r="D814" s="540" t="s">
        <v>148</v>
      </c>
      <c r="E814" s="540" t="s">
        <v>1249</v>
      </c>
      <c r="F814" s="539" t="s">
        <v>714</v>
      </c>
      <c r="G814" s="544">
        <v>-152.88</v>
      </c>
      <c r="H814" s="540">
        <v>856</v>
      </c>
      <c r="I814" s="540" t="s">
        <v>1139</v>
      </c>
    </row>
    <row r="815" spans="1:9">
      <c r="A815" s="568">
        <f t="shared" si="11"/>
        <v>810</v>
      </c>
      <c r="B815" s="541">
        <v>42004</v>
      </c>
      <c r="C815" s="540" t="s">
        <v>1250</v>
      </c>
      <c r="D815" s="540" t="s">
        <v>148</v>
      </c>
      <c r="E815" s="540" t="s">
        <v>1103</v>
      </c>
      <c r="F815" s="539" t="s">
        <v>959</v>
      </c>
      <c r="G815" s="544">
        <v>-8.33</v>
      </c>
      <c r="H815" s="540">
        <v>856</v>
      </c>
      <c r="I815" s="540" t="s">
        <v>1139</v>
      </c>
    </row>
    <row r="816" spans="1:9">
      <c r="A816" s="568">
        <f t="shared" si="11"/>
        <v>811</v>
      </c>
      <c r="B816" s="541">
        <v>42004</v>
      </c>
      <c r="C816" s="540" t="s">
        <v>1250</v>
      </c>
      <c r="D816" s="540" t="s">
        <v>148</v>
      </c>
      <c r="E816" s="540" t="s">
        <v>1084</v>
      </c>
      <c r="F816" s="539" t="s">
        <v>959</v>
      </c>
      <c r="G816" s="544">
        <v>-8.33</v>
      </c>
      <c r="H816" s="540">
        <v>856</v>
      </c>
      <c r="I816" s="540" t="s">
        <v>1139</v>
      </c>
    </row>
    <row r="817" spans="1:9">
      <c r="A817" s="568">
        <f t="shared" si="11"/>
        <v>812</v>
      </c>
      <c r="B817" s="541">
        <v>42004</v>
      </c>
      <c r="C817" s="540" t="s">
        <v>1244</v>
      </c>
      <c r="D817" s="540" t="s">
        <v>148</v>
      </c>
      <c r="E817" s="540" t="s">
        <v>1116</v>
      </c>
      <c r="F817" s="539" t="s">
        <v>959</v>
      </c>
      <c r="G817" s="544">
        <v>-20.83</v>
      </c>
      <c r="H817" s="540">
        <v>856</v>
      </c>
      <c r="I817" s="540" t="s">
        <v>1139</v>
      </c>
    </row>
    <row r="818" spans="1:9">
      <c r="A818" s="568">
        <f t="shared" si="11"/>
        <v>813</v>
      </c>
      <c r="B818" s="541">
        <v>42004</v>
      </c>
      <c r="C818" s="540" t="s">
        <v>1244</v>
      </c>
      <c r="D818" s="540" t="s">
        <v>148</v>
      </c>
      <c r="E818" s="540" t="s">
        <v>1117</v>
      </c>
      <c r="F818" s="539" t="s">
        <v>654</v>
      </c>
      <c r="G818" s="544">
        <v>-41.67</v>
      </c>
      <c r="H818" s="540">
        <v>856</v>
      </c>
      <c r="I818" s="540" t="s">
        <v>1139</v>
      </c>
    </row>
    <row r="819" spans="1:9">
      <c r="A819" s="568">
        <f t="shared" si="11"/>
        <v>814</v>
      </c>
      <c r="B819" s="541">
        <v>42004</v>
      </c>
      <c r="C819" s="540" t="s">
        <v>1250</v>
      </c>
      <c r="D819" s="540" t="s">
        <v>148</v>
      </c>
      <c r="E819" s="540" t="s">
        <v>1118</v>
      </c>
      <c r="F819" s="539" t="s">
        <v>959</v>
      </c>
      <c r="G819" s="544">
        <v>-45</v>
      </c>
      <c r="H819" s="540">
        <v>856</v>
      </c>
      <c r="I819" s="540" t="s">
        <v>1139</v>
      </c>
    </row>
    <row r="820" spans="1:9">
      <c r="A820" s="568">
        <f t="shared" si="11"/>
        <v>815</v>
      </c>
      <c r="B820" s="541">
        <v>42004</v>
      </c>
      <c r="C820" s="540" t="s">
        <v>1250</v>
      </c>
      <c r="D820" s="540" t="s">
        <v>148</v>
      </c>
      <c r="E820" s="540" t="s">
        <v>1118</v>
      </c>
      <c r="F820" s="539" t="s">
        <v>959</v>
      </c>
      <c r="G820" s="544">
        <v>-11.25</v>
      </c>
      <c r="H820" s="540">
        <v>856</v>
      </c>
      <c r="I820" s="540" t="s">
        <v>1139</v>
      </c>
    </row>
    <row r="821" spans="1:9">
      <c r="A821" s="568">
        <f t="shared" si="11"/>
        <v>816</v>
      </c>
      <c r="B821" s="541">
        <v>42004</v>
      </c>
      <c r="C821" s="540" t="s">
        <v>1244</v>
      </c>
      <c r="D821" s="540" t="s">
        <v>148</v>
      </c>
      <c r="E821" s="540" t="s">
        <v>1110</v>
      </c>
      <c r="F821" s="539" t="s">
        <v>959</v>
      </c>
      <c r="G821" s="544">
        <v>-4.25</v>
      </c>
      <c r="H821" s="540">
        <v>856</v>
      </c>
      <c r="I821" s="540" t="s">
        <v>1139</v>
      </c>
    </row>
    <row r="822" spans="1:9">
      <c r="A822" s="568">
        <f t="shared" si="11"/>
        <v>817</v>
      </c>
      <c r="B822" s="541">
        <v>42004</v>
      </c>
      <c r="C822" s="540" t="s">
        <v>1244</v>
      </c>
      <c r="D822" s="540" t="s">
        <v>148</v>
      </c>
      <c r="E822" s="540" t="s">
        <v>1285</v>
      </c>
      <c r="F822" s="539" t="s">
        <v>959</v>
      </c>
      <c r="G822" s="544">
        <v>-41.67</v>
      </c>
      <c r="H822" s="540">
        <v>856</v>
      </c>
      <c r="I822" s="540" t="s">
        <v>1139</v>
      </c>
    </row>
    <row r="823" spans="1:9">
      <c r="A823" s="568">
        <f t="shared" si="11"/>
        <v>818</v>
      </c>
      <c r="B823" s="541">
        <v>42004</v>
      </c>
      <c r="C823" s="540" t="s">
        <v>1244</v>
      </c>
      <c r="D823" s="540" t="s">
        <v>148</v>
      </c>
      <c r="E823" s="540" t="s">
        <v>1135</v>
      </c>
      <c r="F823" s="539" t="s">
        <v>958</v>
      </c>
      <c r="G823" s="544">
        <v>-29.17</v>
      </c>
      <c r="H823" s="540">
        <v>856</v>
      </c>
      <c r="I823" s="540" t="s">
        <v>1139</v>
      </c>
    </row>
    <row r="824" spans="1:9">
      <c r="A824" s="568">
        <f t="shared" si="11"/>
        <v>819</v>
      </c>
      <c r="B824" s="541">
        <v>42004</v>
      </c>
      <c r="C824" s="540" t="s">
        <v>1250</v>
      </c>
      <c r="D824" s="540" t="s">
        <v>148</v>
      </c>
      <c r="E824" s="540" t="s">
        <v>1105</v>
      </c>
      <c r="F824" s="539" t="s">
        <v>959</v>
      </c>
      <c r="G824" s="544">
        <v>-8.33</v>
      </c>
      <c r="H824" s="540">
        <v>856</v>
      </c>
      <c r="I824" s="540" t="s">
        <v>1139</v>
      </c>
    </row>
    <row r="825" spans="1:9">
      <c r="A825" s="568">
        <f t="shared" si="11"/>
        <v>820</v>
      </c>
      <c r="B825" s="541">
        <v>42004</v>
      </c>
      <c r="C825" s="540" t="s">
        <v>1250</v>
      </c>
      <c r="D825" s="540" t="s">
        <v>148</v>
      </c>
      <c r="E825" s="540" t="s">
        <v>1105</v>
      </c>
      <c r="F825" s="539" t="s">
        <v>959</v>
      </c>
      <c r="G825" s="544">
        <v>-14.58</v>
      </c>
      <c r="H825" s="540">
        <v>856</v>
      </c>
      <c r="I825" s="540" t="s">
        <v>1139</v>
      </c>
    </row>
    <row r="826" spans="1:9">
      <c r="A826" s="568">
        <f t="shared" si="11"/>
        <v>821</v>
      </c>
      <c r="B826" s="541">
        <v>42004</v>
      </c>
      <c r="C826" s="540" t="s">
        <v>1244</v>
      </c>
      <c r="D826" s="540" t="s">
        <v>148</v>
      </c>
      <c r="E826" s="540" t="s">
        <v>1251</v>
      </c>
      <c r="F826" s="539" t="s">
        <v>714</v>
      </c>
      <c r="G826" s="544">
        <v>-179.16666666666666</v>
      </c>
      <c r="H826" s="540">
        <v>856</v>
      </c>
      <c r="I826" s="540" t="s">
        <v>1139</v>
      </c>
    </row>
    <row r="827" spans="1:9">
      <c r="A827" s="568">
        <f t="shared" si="11"/>
        <v>822</v>
      </c>
      <c r="B827" s="541">
        <v>42004</v>
      </c>
      <c r="C827" s="540" t="s">
        <v>1244</v>
      </c>
      <c r="D827" s="540" t="s">
        <v>148</v>
      </c>
      <c r="E827" s="540" t="s">
        <v>1106</v>
      </c>
      <c r="F827" s="539" t="s">
        <v>654</v>
      </c>
      <c r="G827" s="544">
        <v>-4.17</v>
      </c>
      <c r="H827" s="540">
        <v>856</v>
      </c>
      <c r="I827" s="540" t="s">
        <v>1139</v>
      </c>
    </row>
    <row r="828" spans="1:9">
      <c r="A828" s="568">
        <f t="shared" si="11"/>
        <v>823</v>
      </c>
      <c r="B828" s="541">
        <v>42004</v>
      </c>
      <c r="C828" s="540" t="s">
        <v>1244</v>
      </c>
      <c r="D828" s="540" t="s">
        <v>148</v>
      </c>
      <c r="E828" s="540" t="s">
        <v>1086</v>
      </c>
      <c r="F828" s="539" t="s">
        <v>959</v>
      </c>
      <c r="G828" s="544">
        <v>-8.3699999999999992</v>
      </c>
      <c r="H828" s="540">
        <v>856</v>
      </c>
      <c r="I828" s="540" t="s">
        <v>1139</v>
      </c>
    </row>
    <row r="829" spans="1:9">
      <c r="A829" s="568">
        <f t="shared" si="11"/>
        <v>824</v>
      </c>
      <c r="B829" s="541">
        <v>42004</v>
      </c>
      <c r="C829" s="540" t="s">
        <v>1250</v>
      </c>
      <c r="D829" s="540" t="s">
        <v>148</v>
      </c>
      <c r="E829" s="540" t="s">
        <v>1111</v>
      </c>
      <c r="F829" s="539" t="s">
        <v>959</v>
      </c>
      <c r="G829" s="544">
        <v>-41.67</v>
      </c>
      <c r="H829" s="540">
        <v>856</v>
      </c>
      <c r="I829" s="540" t="s">
        <v>1139</v>
      </c>
    </row>
    <row r="830" spans="1:9">
      <c r="A830" s="568">
        <f t="shared" si="11"/>
        <v>825</v>
      </c>
      <c r="B830" s="541">
        <v>42004</v>
      </c>
      <c r="C830" s="540" t="s">
        <v>1244</v>
      </c>
      <c r="D830" s="540" t="s">
        <v>148</v>
      </c>
      <c r="E830" s="540" t="s">
        <v>1252</v>
      </c>
      <c r="F830" s="539" t="s">
        <v>714</v>
      </c>
      <c r="G830" s="544">
        <v>-122.14</v>
      </c>
      <c r="H830" s="540">
        <v>856</v>
      </c>
      <c r="I830" s="540" t="s">
        <v>1139</v>
      </c>
    </row>
    <row r="831" spans="1:9">
      <c r="A831" s="568">
        <f t="shared" si="11"/>
        <v>826</v>
      </c>
      <c r="B831" s="541">
        <v>42004</v>
      </c>
      <c r="C831" s="540" t="s">
        <v>1244</v>
      </c>
      <c r="D831" s="540" t="s">
        <v>148</v>
      </c>
      <c r="E831" s="540" t="s">
        <v>1252</v>
      </c>
      <c r="F831" s="539" t="s">
        <v>714</v>
      </c>
      <c r="G831" s="544">
        <v>-142.79</v>
      </c>
      <c r="H831" s="540">
        <v>856</v>
      </c>
      <c r="I831" s="540" t="s">
        <v>1139</v>
      </c>
    </row>
    <row r="832" spans="1:9">
      <c r="A832" s="568">
        <f t="shared" si="11"/>
        <v>827</v>
      </c>
      <c r="B832" s="541">
        <v>42004</v>
      </c>
      <c r="C832" s="540" t="s">
        <v>1244</v>
      </c>
      <c r="D832" s="540" t="s">
        <v>148</v>
      </c>
      <c r="E832" s="540" t="s">
        <v>1252</v>
      </c>
      <c r="F832" s="539" t="s">
        <v>714</v>
      </c>
      <c r="G832" s="544">
        <v>-142.79</v>
      </c>
      <c r="H832" s="540">
        <v>856</v>
      </c>
      <c r="I832" s="540" t="s">
        <v>1139</v>
      </c>
    </row>
    <row r="833" spans="1:9">
      <c r="A833" s="568">
        <f t="shared" si="11"/>
        <v>828</v>
      </c>
      <c r="B833" s="541">
        <v>42004</v>
      </c>
      <c r="C833" s="540" t="s">
        <v>1244</v>
      </c>
      <c r="D833" s="540" t="s">
        <v>148</v>
      </c>
      <c r="E833" s="540" t="s">
        <v>1252</v>
      </c>
      <c r="F833" s="539" t="s">
        <v>714</v>
      </c>
      <c r="G833" s="544">
        <v>-209</v>
      </c>
      <c r="H833" s="540">
        <v>856</v>
      </c>
      <c r="I833" s="540" t="s">
        <v>1139</v>
      </c>
    </row>
    <row r="834" spans="1:9">
      <c r="A834" s="568">
        <f t="shared" si="11"/>
        <v>829</v>
      </c>
      <c r="B834" s="541">
        <v>42004</v>
      </c>
      <c r="C834" s="540" t="s">
        <v>1244</v>
      </c>
      <c r="D834" s="540" t="s">
        <v>148</v>
      </c>
      <c r="E834" s="540" t="s">
        <v>1252</v>
      </c>
      <c r="F834" s="539" t="s">
        <v>714</v>
      </c>
      <c r="G834" s="544">
        <v>-141.28</v>
      </c>
      <c r="H834" s="540">
        <v>856</v>
      </c>
      <c r="I834" s="540" t="s">
        <v>1139</v>
      </c>
    </row>
    <row r="835" spans="1:9">
      <c r="A835" s="568">
        <f t="shared" si="11"/>
        <v>830</v>
      </c>
      <c r="B835" s="541">
        <v>42004</v>
      </c>
      <c r="C835" s="540" t="s">
        <v>1244</v>
      </c>
      <c r="D835" s="540" t="s">
        <v>148</v>
      </c>
      <c r="E835" s="540" t="s">
        <v>1119</v>
      </c>
      <c r="F835" s="539" t="s">
        <v>654</v>
      </c>
      <c r="G835" s="544">
        <v>-54.17</v>
      </c>
      <c r="H835" s="540">
        <v>856</v>
      </c>
      <c r="I835" s="540" t="s">
        <v>1139</v>
      </c>
    </row>
    <row r="836" spans="1:9">
      <c r="A836" s="568">
        <f t="shared" si="11"/>
        <v>831</v>
      </c>
      <c r="B836" s="541">
        <v>42004</v>
      </c>
      <c r="C836" s="540" t="s">
        <v>1244</v>
      </c>
      <c r="D836" s="540" t="s">
        <v>148</v>
      </c>
      <c r="E836" s="540" t="s">
        <v>1087</v>
      </c>
      <c r="F836" s="539" t="s">
        <v>714</v>
      </c>
      <c r="G836" s="544">
        <v>-1381.2049999999999</v>
      </c>
      <c r="H836" s="540">
        <v>856</v>
      </c>
      <c r="I836" s="540" t="s">
        <v>1139</v>
      </c>
    </row>
    <row r="837" spans="1:9">
      <c r="A837" s="568">
        <f t="shared" si="11"/>
        <v>832</v>
      </c>
      <c r="B837" s="541">
        <v>42004</v>
      </c>
      <c r="C837" s="540" t="s">
        <v>1250</v>
      </c>
      <c r="D837" s="540" t="s">
        <v>148</v>
      </c>
      <c r="E837" s="540" t="s">
        <v>1123</v>
      </c>
      <c r="F837" s="539" t="s">
        <v>654</v>
      </c>
      <c r="G837" s="544">
        <v>-8.33</v>
      </c>
      <c r="H837" s="540">
        <v>856</v>
      </c>
      <c r="I837" s="540" t="s">
        <v>1139</v>
      </c>
    </row>
    <row r="838" spans="1:9">
      <c r="A838" s="568">
        <f t="shared" si="11"/>
        <v>833</v>
      </c>
      <c r="B838" s="541">
        <v>42004</v>
      </c>
      <c r="C838" s="540" t="s">
        <v>1250</v>
      </c>
      <c r="D838" s="540" t="s">
        <v>148</v>
      </c>
      <c r="E838" s="540" t="s">
        <v>1253</v>
      </c>
      <c r="F838" s="539" t="s">
        <v>654</v>
      </c>
      <c r="G838" s="544">
        <v>-8.3699999999999992</v>
      </c>
      <c r="H838" s="540">
        <v>856</v>
      </c>
      <c r="I838" s="540" t="s">
        <v>1139</v>
      </c>
    </row>
    <row r="839" spans="1:9">
      <c r="A839" s="568">
        <f t="shared" si="11"/>
        <v>834</v>
      </c>
      <c r="B839" s="541">
        <v>42004</v>
      </c>
      <c r="C839" s="540" t="s">
        <v>1250</v>
      </c>
      <c r="D839" s="540" t="s">
        <v>148</v>
      </c>
      <c r="E839" s="540" t="s">
        <v>1089</v>
      </c>
      <c r="F839" s="539" t="s">
        <v>959</v>
      </c>
      <c r="G839" s="544">
        <v>-25</v>
      </c>
      <c r="H839" s="540">
        <v>856</v>
      </c>
      <c r="I839" s="540" t="s">
        <v>1139</v>
      </c>
    </row>
    <row r="840" spans="1:9">
      <c r="A840" s="568">
        <f t="shared" si="11"/>
        <v>835</v>
      </c>
      <c r="B840" s="541">
        <v>42004</v>
      </c>
      <c r="C840" s="540" t="s">
        <v>1244</v>
      </c>
      <c r="D840" s="540" t="s">
        <v>148</v>
      </c>
      <c r="E840" s="540" t="s">
        <v>1090</v>
      </c>
      <c r="F840" s="539" t="s">
        <v>959</v>
      </c>
      <c r="G840" s="544">
        <v>-95</v>
      </c>
      <c r="H840" s="540">
        <v>856</v>
      </c>
      <c r="I840" s="540" t="s">
        <v>1139</v>
      </c>
    </row>
    <row r="841" spans="1:9">
      <c r="A841" s="568">
        <f t="shared" si="11"/>
        <v>836</v>
      </c>
      <c r="B841" s="541">
        <v>42004</v>
      </c>
      <c r="C841" s="540" t="s">
        <v>1244</v>
      </c>
      <c r="D841" s="540" t="s">
        <v>148</v>
      </c>
      <c r="E841" s="540" t="s">
        <v>1273</v>
      </c>
      <c r="F841" s="539" t="s">
        <v>959</v>
      </c>
      <c r="G841" s="544">
        <v>-66.67</v>
      </c>
      <c r="H841" s="540">
        <v>856</v>
      </c>
      <c r="I841" s="540" t="s">
        <v>1139</v>
      </c>
    </row>
    <row r="842" spans="1:9">
      <c r="A842" s="568">
        <f t="shared" si="11"/>
        <v>837</v>
      </c>
      <c r="B842" s="541">
        <v>42004</v>
      </c>
      <c r="C842" s="540" t="s">
        <v>1244</v>
      </c>
      <c r="D842" s="540" t="s">
        <v>148</v>
      </c>
      <c r="E842" s="540" t="s">
        <v>1273</v>
      </c>
      <c r="F842" s="539" t="s">
        <v>959</v>
      </c>
      <c r="G842" s="544">
        <v>-41.67</v>
      </c>
      <c r="H842" s="540">
        <v>856</v>
      </c>
      <c r="I842" s="540" t="s">
        <v>1139</v>
      </c>
    </row>
    <row r="843" spans="1:9">
      <c r="A843" s="568">
        <f t="shared" si="11"/>
        <v>838</v>
      </c>
      <c r="B843" s="541">
        <v>42004</v>
      </c>
      <c r="C843" s="540" t="s">
        <v>1250</v>
      </c>
      <c r="D843" s="540" t="s">
        <v>148</v>
      </c>
      <c r="E843" s="540" t="s">
        <v>1092</v>
      </c>
      <c r="F843" s="539" t="s">
        <v>959</v>
      </c>
      <c r="G843" s="544">
        <v>-363.84000000000003</v>
      </c>
      <c r="H843" s="540">
        <v>856</v>
      </c>
      <c r="I843" s="540" t="s">
        <v>1139</v>
      </c>
    </row>
    <row r="844" spans="1:9">
      <c r="A844" s="568">
        <f t="shared" si="11"/>
        <v>839</v>
      </c>
      <c r="B844" s="541">
        <v>42004</v>
      </c>
      <c r="C844" s="540" t="s">
        <v>1250</v>
      </c>
      <c r="D844" s="540" t="s">
        <v>148</v>
      </c>
      <c r="E844" s="540" t="s">
        <v>1092</v>
      </c>
      <c r="F844" s="539" t="s">
        <v>959</v>
      </c>
      <c r="G844" s="544">
        <v>-176.82</v>
      </c>
      <c r="H844" s="540">
        <v>856</v>
      </c>
      <c r="I844" s="540" t="s">
        <v>1139</v>
      </c>
    </row>
    <row r="845" spans="1:9">
      <c r="A845" s="568">
        <f t="shared" si="11"/>
        <v>840</v>
      </c>
      <c r="B845" s="541">
        <v>42004</v>
      </c>
      <c r="C845" s="540" t="s">
        <v>1250</v>
      </c>
      <c r="D845" s="540" t="s">
        <v>148</v>
      </c>
      <c r="E845" s="540" t="s">
        <v>1092</v>
      </c>
      <c r="F845" s="539" t="s">
        <v>959</v>
      </c>
      <c r="G845" s="544">
        <v>-150</v>
      </c>
      <c r="H845" s="540">
        <v>856</v>
      </c>
      <c r="I845" s="540" t="s">
        <v>1139</v>
      </c>
    </row>
    <row r="846" spans="1:9">
      <c r="A846" s="568">
        <f t="shared" si="11"/>
        <v>841</v>
      </c>
      <c r="B846" s="541">
        <v>42004</v>
      </c>
      <c r="C846" s="540" t="s">
        <v>1250</v>
      </c>
      <c r="D846" s="540" t="s">
        <v>148</v>
      </c>
      <c r="E846" s="540" t="s">
        <v>1092</v>
      </c>
      <c r="F846" s="539" t="s">
        <v>959</v>
      </c>
      <c r="G846" s="544">
        <v>-16.670000000000002</v>
      </c>
      <c r="H846" s="540">
        <v>856</v>
      </c>
      <c r="I846" s="540" t="s">
        <v>1139</v>
      </c>
    </row>
    <row r="847" spans="1:9">
      <c r="A847" s="568">
        <f t="shared" si="11"/>
        <v>842</v>
      </c>
      <c r="B847" s="541">
        <v>42004</v>
      </c>
      <c r="C847" s="540" t="s">
        <v>1250</v>
      </c>
      <c r="D847" s="540" t="s">
        <v>148</v>
      </c>
      <c r="E847" s="540" t="s">
        <v>1092</v>
      </c>
      <c r="F847" s="539" t="s">
        <v>959</v>
      </c>
      <c r="G847" s="544">
        <v>-41.67</v>
      </c>
      <c r="H847" s="540">
        <v>856</v>
      </c>
      <c r="I847" s="540" t="s">
        <v>1139</v>
      </c>
    </row>
    <row r="848" spans="1:9">
      <c r="A848" s="568">
        <f t="shared" si="11"/>
        <v>843</v>
      </c>
      <c r="B848" s="541">
        <v>42004</v>
      </c>
      <c r="C848" s="540" t="s">
        <v>1244</v>
      </c>
      <c r="D848" s="540" t="s">
        <v>148</v>
      </c>
      <c r="E848" s="540" t="s">
        <v>1126</v>
      </c>
      <c r="F848" s="539" t="s">
        <v>714</v>
      </c>
      <c r="G848" s="544">
        <v>-100</v>
      </c>
      <c r="H848" s="540">
        <v>856</v>
      </c>
      <c r="I848" s="540" t="s">
        <v>1139</v>
      </c>
    </row>
    <row r="849" spans="1:9">
      <c r="A849" s="568">
        <f t="shared" si="11"/>
        <v>844</v>
      </c>
      <c r="B849" s="541">
        <v>42004</v>
      </c>
      <c r="C849" s="540" t="s">
        <v>1244</v>
      </c>
      <c r="D849" s="540" t="s">
        <v>148</v>
      </c>
      <c r="E849" s="540" t="s">
        <v>1255</v>
      </c>
      <c r="F849" s="539" t="s">
        <v>959</v>
      </c>
      <c r="G849" s="544">
        <v>-8.3699999999999992</v>
      </c>
      <c r="H849" s="540">
        <v>856</v>
      </c>
      <c r="I849" s="540" t="s">
        <v>1139</v>
      </c>
    </row>
    <row r="850" spans="1:9">
      <c r="A850" s="568">
        <f t="shared" si="11"/>
        <v>845</v>
      </c>
      <c r="B850" s="541">
        <v>42004</v>
      </c>
      <c r="C850" s="540" t="s">
        <v>1244</v>
      </c>
      <c r="D850" s="540" t="s">
        <v>148</v>
      </c>
      <c r="E850" s="540" t="s">
        <v>1093</v>
      </c>
      <c r="F850" s="539" t="s">
        <v>654</v>
      </c>
      <c r="G850" s="544">
        <v>-500</v>
      </c>
      <c r="H850" s="540">
        <v>856</v>
      </c>
      <c r="I850" s="540" t="s">
        <v>1139</v>
      </c>
    </row>
    <row r="851" spans="1:9">
      <c r="A851" s="568">
        <f t="shared" si="11"/>
        <v>846</v>
      </c>
      <c r="B851" s="541">
        <v>42004</v>
      </c>
      <c r="C851" s="540" t="s">
        <v>1244</v>
      </c>
      <c r="D851" s="540" t="s">
        <v>148</v>
      </c>
      <c r="E851" s="540" t="s">
        <v>1094</v>
      </c>
      <c r="F851" s="539" t="s">
        <v>958</v>
      </c>
      <c r="G851" s="544">
        <v>-14.42</v>
      </c>
      <c r="H851" s="540">
        <v>856</v>
      </c>
      <c r="I851" s="540" t="s">
        <v>1139</v>
      </c>
    </row>
    <row r="852" spans="1:9">
      <c r="A852" s="568">
        <f t="shared" si="11"/>
        <v>847</v>
      </c>
      <c r="B852" s="541">
        <v>42004</v>
      </c>
      <c r="C852" s="540" t="s">
        <v>1244</v>
      </c>
      <c r="D852" s="540" t="s">
        <v>148</v>
      </c>
      <c r="E852" s="540" t="s">
        <v>1095</v>
      </c>
      <c r="F852" s="539" t="s">
        <v>959</v>
      </c>
      <c r="G852" s="544">
        <v>-8.3699999999999992</v>
      </c>
      <c r="H852" s="540">
        <v>856</v>
      </c>
      <c r="I852" s="540" t="s">
        <v>1139</v>
      </c>
    </row>
    <row r="853" spans="1:9">
      <c r="A853" s="568">
        <f t="shared" si="11"/>
        <v>848</v>
      </c>
      <c r="B853" s="541">
        <v>42004</v>
      </c>
      <c r="C853" s="540" t="s">
        <v>1244</v>
      </c>
      <c r="D853" s="540" t="s">
        <v>148</v>
      </c>
      <c r="E853" s="540" t="s">
        <v>1256</v>
      </c>
      <c r="F853" s="539" t="s">
        <v>714</v>
      </c>
      <c r="G853" s="544">
        <v>-565.41999999999996</v>
      </c>
      <c r="H853" s="540">
        <v>856</v>
      </c>
      <c r="I853" s="540" t="s">
        <v>1139</v>
      </c>
    </row>
    <row r="854" spans="1:9">
      <c r="A854" s="568">
        <f t="shared" si="11"/>
        <v>849</v>
      </c>
      <c r="B854" s="541">
        <v>42004</v>
      </c>
      <c r="C854" s="540" t="s">
        <v>1244</v>
      </c>
      <c r="D854" s="540" t="s">
        <v>148</v>
      </c>
      <c r="E854" s="540" t="s">
        <v>1097</v>
      </c>
      <c r="F854" s="539" t="s">
        <v>714</v>
      </c>
      <c r="G854" s="544">
        <v>-757.35</v>
      </c>
      <c r="H854" s="540">
        <v>856</v>
      </c>
      <c r="I854" s="540" t="s">
        <v>1139</v>
      </c>
    </row>
    <row r="855" spans="1:9">
      <c r="A855" s="568">
        <f t="shared" si="11"/>
        <v>850</v>
      </c>
      <c r="B855" s="541">
        <v>42004</v>
      </c>
      <c r="C855" s="540" t="s">
        <v>1244</v>
      </c>
      <c r="D855" s="540" t="s">
        <v>148</v>
      </c>
      <c r="E855" s="540" t="s">
        <v>1107</v>
      </c>
      <c r="F855" s="539" t="s">
        <v>958</v>
      </c>
      <c r="G855" s="544">
        <v>-1166</v>
      </c>
      <c r="H855" s="540">
        <v>856</v>
      </c>
      <c r="I855" s="540" t="s">
        <v>1139</v>
      </c>
    </row>
    <row r="856" spans="1:9">
      <c r="A856" s="568">
        <f t="shared" si="11"/>
        <v>851</v>
      </c>
      <c r="B856" s="541">
        <v>42004</v>
      </c>
      <c r="C856" s="540" t="s">
        <v>1244</v>
      </c>
      <c r="D856" s="540" t="s">
        <v>148</v>
      </c>
      <c r="E856" s="540" t="s">
        <v>1124</v>
      </c>
      <c r="F856" s="539" t="s">
        <v>959</v>
      </c>
      <c r="G856" s="544">
        <v>-183.82</v>
      </c>
      <c r="H856" s="540">
        <v>856</v>
      </c>
      <c r="I856" s="540" t="s">
        <v>1139</v>
      </c>
    </row>
    <row r="857" spans="1:9">
      <c r="A857" s="568">
        <f t="shared" si="11"/>
        <v>852</v>
      </c>
      <c r="B857" s="541">
        <v>42004</v>
      </c>
      <c r="C857" s="540" t="s">
        <v>1244</v>
      </c>
      <c r="D857" s="540" t="s">
        <v>148</v>
      </c>
      <c r="E857" s="540" t="s">
        <v>1112</v>
      </c>
      <c r="F857" s="539" t="s">
        <v>958</v>
      </c>
      <c r="G857" s="544">
        <v>-612.80000000000007</v>
      </c>
      <c r="H857" s="540">
        <v>856</v>
      </c>
      <c r="I857" s="540" t="s">
        <v>1139</v>
      </c>
    </row>
    <row r="858" spans="1:9">
      <c r="A858" s="568">
        <f t="shared" si="11"/>
        <v>853</v>
      </c>
      <c r="B858" s="541">
        <v>42004</v>
      </c>
      <c r="C858" s="540" t="s">
        <v>1244</v>
      </c>
      <c r="D858" s="540" t="s">
        <v>148</v>
      </c>
      <c r="E858" s="540" t="s">
        <v>1112</v>
      </c>
      <c r="F858" s="539" t="s">
        <v>958</v>
      </c>
      <c r="G858" s="544">
        <v>-416.3</v>
      </c>
      <c r="H858" s="540">
        <v>856</v>
      </c>
      <c r="I858" s="540" t="s">
        <v>1139</v>
      </c>
    </row>
    <row r="859" spans="1:9">
      <c r="A859" s="568">
        <f t="shared" si="11"/>
        <v>854</v>
      </c>
      <c r="B859" s="541">
        <v>42004</v>
      </c>
      <c r="C859" s="540" t="s">
        <v>1244</v>
      </c>
      <c r="D859" s="540" t="s">
        <v>148</v>
      </c>
      <c r="E859" s="540" t="s">
        <v>1258</v>
      </c>
      <c r="F859" s="539" t="s">
        <v>714</v>
      </c>
      <c r="G859" s="544">
        <v>-575</v>
      </c>
      <c r="H859" s="540" t="s">
        <v>790</v>
      </c>
      <c r="I859" s="540" t="s">
        <v>1140</v>
      </c>
    </row>
    <row r="860" spans="1:9">
      <c r="A860" s="568">
        <f t="shared" si="11"/>
        <v>855</v>
      </c>
      <c r="B860" s="541">
        <v>42004</v>
      </c>
      <c r="C860" s="540" t="s">
        <v>1244</v>
      </c>
      <c r="D860" s="540" t="s">
        <v>148</v>
      </c>
      <c r="E860" s="540" t="s">
        <v>1259</v>
      </c>
      <c r="F860" s="539" t="s">
        <v>714</v>
      </c>
      <c r="G860" s="544">
        <v>-500</v>
      </c>
      <c r="H860" s="540" t="s">
        <v>790</v>
      </c>
      <c r="I860" s="540" t="s">
        <v>1140</v>
      </c>
    </row>
    <row r="861" spans="1:9">
      <c r="A861" s="568">
        <f t="shared" si="11"/>
        <v>856</v>
      </c>
      <c r="B861" s="541">
        <v>42004</v>
      </c>
      <c r="C861" s="540" t="s">
        <v>1244</v>
      </c>
      <c r="D861" s="540" t="s">
        <v>148</v>
      </c>
      <c r="E861" s="540" t="s">
        <v>1260</v>
      </c>
      <c r="F861" s="539" t="s">
        <v>714</v>
      </c>
      <c r="G861" s="544">
        <v>-400</v>
      </c>
      <c r="H861" s="540" t="s">
        <v>790</v>
      </c>
      <c r="I861" s="540" t="s">
        <v>1140</v>
      </c>
    </row>
    <row r="862" spans="1:9">
      <c r="A862" s="568">
        <f t="shared" si="11"/>
        <v>857</v>
      </c>
      <c r="B862" s="541">
        <v>42004</v>
      </c>
      <c r="C862" s="540" t="s">
        <v>1244</v>
      </c>
      <c r="D862" s="540" t="s">
        <v>148</v>
      </c>
      <c r="E862" s="540" t="s">
        <v>1261</v>
      </c>
      <c r="F862" s="539" t="s">
        <v>714</v>
      </c>
      <c r="G862" s="544">
        <v>-3200</v>
      </c>
      <c r="H862" s="540" t="s">
        <v>790</v>
      </c>
      <c r="I862" s="540" t="s">
        <v>1140</v>
      </c>
    </row>
    <row r="863" spans="1:9">
      <c r="A863" s="568">
        <f t="shared" si="11"/>
        <v>858</v>
      </c>
      <c r="B863" s="541">
        <v>42004</v>
      </c>
      <c r="C863" s="540" t="s">
        <v>1244</v>
      </c>
      <c r="D863" s="540" t="s">
        <v>148</v>
      </c>
      <c r="E863" s="540" t="s">
        <v>1262</v>
      </c>
      <c r="F863" s="539" t="s">
        <v>654</v>
      </c>
      <c r="G863" s="544">
        <v>-1890</v>
      </c>
      <c r="H863" s="540" t="s">
        <v>790</v>
      </c>
      <c r="I863" s="540" t="s">
        <v>1140</v>
      </c>
    </row>
    <row r="864" spans="1:9">
      <c r="A864" s="568">
        <f t="shared" si="11"/>
        <v>859</v>
      </c>
      <c r="B864" s="541">
        <v>42004</v>
      </c>
      <c r="C864" s="540" t="s">
        <v>1244</v>
      </c>
      <c r="D864" s="540" t="s">
        <v>148</v>
      </c>
      <c r="E864" s="540" t="s">
        <v>365</v>
      </c>
      <c r="F864" s="539" t="s">
        <v>714</v>
      </c>
      <c r="G864" s="544">
        <v>-2779.45</v>
      </c>
      <c r="H864" s="540" t="s">
        <v>790</v>
      </c>
      <c r="I864" s="540" t="s">
        <v>1140</v>
      </c>
    </row>
    <row r="865" spans="1:9">
      <c r="A865" s="568">
        <f t="shared" si="11"/>
        <v>860</v>
      </c>
      <c r="B865" s="541">
        <v>42004</v>
      </c>
      <c r="C865" s="540" t="s">
        <v>1250</v>
      </c>
      <c r="D865" s="540" t="s">
        <v>148</v>
      </c>
      <c r="E865" s="540" t="s">
        <v>1263</v>
      </c>
      <c r="F865" s="539" t="s">
        <v>959</v>
      </c>
      <c r="G865" s="544">
        <v>-50</v>
      </c>
      <c r="H865" s="540" t="s">
        <v>790</v>
      </c>
      <c r="I865" s="540" t="s">
        <v>1140</v>
      </c>
    </row>
    <row r="866" spans="1:9">
      <c r="A866" s="568">
        <f t="shared" si="11"/>
        <v>861</v>
      </c>
      <c r="B866" s="541">
        <v>42004</v>
      </c>
      <c r="C866" s="540" t="s">
        <v>1244</v>
      </c>
      <c r="D866" s="540" t="s">
        <v>919</v>
      </c>
      <c r="E866" s="540" t="s">
        <v>1141</v>
      </c>
      <c r="F866" s="539" t="s">
        <v>959</v>
      </c>
      <c r="G866" s="544">
        <v>-700</v>
      </c>
      <c r="H866" s="540" t="s">
        <v>1264</v>
      </c>
      <c r="I866" s="540" t="s">
        <v>1301</v>
      </c>
    </row>
    <row r="867" spans="1:9">
      <c r="A867" s="568">
        <f t="shared" si="11"/>
        <v>862</v>
      </c>
      <c r="B867" s="541">
        <v>42004</v>
      </c>
      <c r="C867" s="540" t="s">
        <v>1244</v>
      </c>
      <c r="D867" s="540" t="s">
        <v>919</v>
      </c>
      <c r="E867" s="540" t="s">
        <v>1302</v>
      </c>
      <c r="F867" s="539" t="s">
        <v>959</v>
      </c>
      <c r="G867" s="544">
        <v>-700</v>
      </c>
      <c r="H867" s="540" t="s">
        <v>1264</v>
      </c>
      <c r="I867" s="540" t="s">
        <v>1301</v>
      </c>
    </row>
    <row r="868" spans="1:9">
      <c r="A868" s="568">
        <f t="shared" si="11"/>
        <v>863</v>
      </c>
      <c r="B868" s="541">
        <v>42004</v>
      </c>
      <c r="C868" s="540" t="s">
        <v>1244</v>
      </c>
      <c r="D868" s="540" t="s">
        <v>919</v>
      </c>
      <c r="E868" s="540" t="s">
        <v>1303</v>
      </c>
      <c r="F868" s="539" t="s">
        <v>959</v>
      </c>
      <c r="G868" s="544">
        <v>-700</v>
      </c>
      <c r="H868" s="540" t="s">
        <v>1264</v>
      </c>
      <c r="I868" s="540" t="s">
        <v>1301</v>
      </c>
    </row>
    <row r="869" spans="1:9">
      <c r="A869" s="568">
        <f t="shared" si="11"/>
        <v>864</v>
      </c>
      <c r="B869" s="541">
        <v>42004</v>
      </c>
      <c r="C869" s="540" t="s">
        <v>1244</v>
      </c>
      <c r="D869" s="540" t="s">
        <v>919</v>
      </c>
      <c r="E869" s="540" t="s">
        <v>1304</v>
      </c>
      <c r="F869" s="539" t="s">
        <v>959</v>
      </c>
      <c r="G869" s="544">
        <v>-700</v>
      </c>
      <c r="H869" s="540" t="s">
        <v>1264</v>
      </c>
      <c r="I869" s="540" t="s">
        <v>1301</v>
      </c>
    </row>
    <row r="870" spans="1:9">
      <c r="A870" s="568">
        <f t="shared" si="11"/>
        <v>865</v>
      </c>
      <c r="B870" s="541">
        <v>42004</v>
      </c>
      <c r="C870" s="540" t="s">
        <v>1244</v>
      </c>
      <c r="D870" s="540" t="s">
        <v>919</v>
      </c>
      <c r="E870" s="540" t="s">
        <v>1142</v>
      </c>
      <c r="F870" s="539" t="s">
        <v>959</v>
      </c>
      <c r="G870" s="544">
        <v>-40</v>
      </c>
      <c r="H870" s="540" t="s">
        <v>956</v>
      </c>
      <c r="I870" s="540" t="s">
        <v>1301</v>
      </c>
    </row>
    <row r="871" spans="1:9">
      <c r="A871" s="568">
        <f t="shared" si="11"/>
        <v>866</v>
      </c>
      <c r="B871" s="541">
        <v>42004</v>
      </c>
      <c r="C871" s="540" t="s">
        <v>1244</v>
      </c>
      <c r="D871" s="540" t="s">
        <v>919</v>
      </c>
      <c r="E871" s="540" t="s">
        <v>1305</v>
      </c>
      <c r="F871" s="539" t="s">
        <v>959</v>
      </c>
      <c r="G871" s="544">
        <v>-40</v>
      </c>
      <c r="H871" s="540" t="s">
        <v>956</v>
      </c>
      <c r="I871" s="540" t="s">
        <v>1301</v>
      </c>
    </row>
    <row r="872" spans="1:9">
      <c r="A872" s="568">
        <f t="shared" si="11"/>
        <v>867</v>
      </c>
      <c r="B872" s="541">
        <v>42004</v>
      </c>
      <c r="C872" s="540" t="s">
        <v>1244</v>
      </c>
      <c r="D872" s="540" t="s">
        <v>919</v>
      </c>
      <c r="E872" s="540" t="s">
        <v>1306</v>
      </c>
      <c r="F872" s="539" t="s">
        <v>959</v>
      </c>
      <c r="G872" s="544">
        <v>-40</v>
      </c>
      <c r="H872" s="540" t="s">
        <v>956</v>
      </c>
      <c r="I872" s="540" t="s">
        <v>1301</v>
      </c>
    </row>
    <row r="873" spans="1:9">
      <c r="A873" s="568">
        <f t="shared" si="11"/>
        <v>868</v>
      </c>
      <c r="B873" s="541">
        <v>42004</v>
      </c>
      <c r="C873" s="540" t="s">
        <v>1244</v>
      </c>
      <c r="D873" s="540" t="s">
        <v>919</v>
      </c>
      <c r="E873" s="540" t="s">
        <v>1307</v>
      </c>
      <c r="F873" s="539" t="s">
        <v>959</v>
      </c>
      <c r="G873" s="544">
        <v>-40</v>
      </c>
      <c r="H873" s="540" t="s">
        <v>956</v>
      </c>
      <c r="I873" s="540" t="s">
        <v>1301</v>
      </c>
    </row>
    <row r="874" spans="1:9">
      <c r="A874" s="568">
        <f t="shared" si="11"/>
        <v>869</v>
      </c>
      <c r="B874" s="541">
        <v>42004</v>
      </c>
      <c r="C874" s="540" t="s">
        <v>1244</v>
      </c>
      <c r="D874" s="540" t="s">
        <v>919</v>
      </c>
      <c r="E874" s="540" t="s">
        <v>1143</v>
      </c>
      <c r="F874" s="539" t="s">
        <v>959</v>
      </c>
      <c r="G874" s="544">
        <v>-237</v>
      </c>
      <c r="H874" s="540" t="s">
        <v>1021</v>
      </c>
      <c r="I874" s="540" t="s">
        <v>1301</v>
      </c>
    </row>
    <row r="875" spans="1:9">
      <c r="A875" s="568">
        <f t="shared" si="11"/>
        <v>870</v>
      </c>
      <c r="B875" s="541">
        <v>42004</v>
      </c>
      <c r="C875" s="540" t="s">
        <v>1244</v>
      </c>
      <c r="D875" s="540" t="s">
        <v>919</v>
      </c>
      <c r="E875" s="540" t="s">
        <v>1308</v>
      </c>
      <c r="F875" s="539" t="s">
        <v>959</v>
      </c>
      <c r="G875" s="544">
        <v>-350</v>
      </c>
      <c r="H875" s="540" t="s">
        <v>1021</v>
      </c>
      <c r="I875" s="540" t="s">
        <v>1301</v>
      </c>
    </row>
    <row r="876" spans="1:9">
      <c r="A876" s="568">
        <f t="shared" si="11"/>
        <v>871</v>
      </c>
      <c r="B876" s="541">
        <v>42004</v>
      </c>
      <c r="C876" s="540" t="s">
        <v>1244</v>
      </c>
      <c r="D876" s="540" t="s">
        <v>919</v>
      </c>
      <c r="E876" s="540" t="s">
        <v>1309</v>
      </c>
      <c r="F876" s="539" t="s">
        <v>959</v>
      </c>
      <c r="G876" s="544">
        <v>-350</v>
      </c>
      <c r="H876" s="540" t="s">
        <v>1021</v>
      </c>
      <c r="I876" s="540" t="s">
        <v>1301</v>
      </c>
    </row>
    <row r="877" spans="1:9">
      <c r="A877" s="568">
        <f t="shared" si="11"/>
        <v>872</v>
      </c>
      <c r="B877" s="541">
        <v>42004</v>
      </c>
      <c r="C877" s="540" t="s">
        <v>1244</v>
      </c>
      <c r="D877" s="540" t="s">
        <v>919</v>
      </c>
      <c r="E877" s="540" t="s">
        <v>1310</v>
      </c>
      <c r="F877" s="539" t="s">
        <v>959</v>
      </c>
      <c r="G877" s="544">
        <v>-350</v>
      </c>
      <c r="H877" s="540" t="s">
        <v>1021</v>
      </c>
      <c r="I877" s="540" t="s">
        <v>1301</v>
      </c>
    </row>
    <row r="878" spans="1:9">
      <c r="A878" s="568">
        <f t="shared" si="11"/>
        <v>873</v>
      </c>
      <c r="B878" s="541">
        <v>42004</v>
      </c>
      <c r="C878" s="540" t="s">
        <v>1244</v>
      </c>
      <c r="D878" s="540" t="s">
        <v>919</v>
      </c>
      <c r="E878" s="540" t="s">
        <v>1114</v>
      </c>
      <c r="F878" s="539" t="s">
        <v>959</v>
      </c>
      <c r="G878" s="544">
        <v>-40</v>
      </c>
      <c r="H878" s="540" t="s">
        <v>792</v>
      </c>
      <c r="I878" s="540" t="s">
        <v>1301</v>
      </c>
    </row>
    <row r="879" spans="1:9">
      <c r="A879" s="568">
        <f t="shared" si="11"/>
        <v>874</v>
      </c>
      <c r="B879" s="541">
        <v>42004</v>
      </c>
      <c r="C879" s="540" t="s">
        <v>1244</v>
      </c>
      <c r="D879" s="540" t="s">
        <v>919</v>
      </c>
      <c r="E879" s="540" t="s">
        <v>1311</v>
      </c>
      <c r="F879" s="539" t="s">
        <v>959</v>
      </c>
      <c r="G879" s="544">
        <v>-40</v>
      </c>
      <c r="H879" s="540" t="s">
        <v>792</v>
      </c>
      <c r="I879" s="540" t="s">
        <v>1301</v>
      </c>
    </row>
    <row r="880" spans="1:9">
      <c r="A880" s="568">
        <f t="shared" si="11"/>
        <v>875</v>
      </c>
      <c r="B880" s="541">
        <v>42004</v>
      </c>
      <c r="C880" s="540" t="s">
        <v>1244</v>
      </c>
      <c r="D880" s="540" t="s">
        <v>919</v>
      </c>
      <c r="E880" s="540" t="s">
        <v>1312</v>
      </c>
      <c r="F880" s="539" t="s">
        <v>959</v>
      </c>
      <c r="G880" s="544">
        <v>-40</v>
      </c>
      <c r="H880" s="540" t="s">
        <v>792</v>
      </c>
      <c r="I880" s="540" t="s">
        <v>1301</v>
      </c>
    </row>
    <row r="881" spans="1:10">
      <c r="A881" s="568">
        <f t="shared" si="11"/>
        <v>876</v>
      </c>
      <c r="B881" s="541">
        <v>42004</v>
      </c>
      <c r="C881" s="540" t="s">
        <v>1244</v>
      </c>
      <c r="D881" s="540" t="s">
        <v>919</v>
      </c>
      <c r="E881" s="540" t="s">
        <v>1313</v>
      </c>
      <c r="F881" s="539" t="s">
        <v>959</v>
      </c>
      <c r="G881" s="544">
        <v>-40</v>
      </c>
      <c r="H881" s="540" t="s">
        <v>792</v>
      </c>
      <c r="I881" s="540" t="s">
        <v>1301</v>
      </c>
    </row>
    <row r="882" spans="1:10">
      <c r="A882" s="568">
        <f t="shared" si="11"/>
        <v>877</v>
      </c>
      <c r="B882" s="541">
        <v>42004</v>
      </c>
      <c r="C882" s="540" t="s">
        <v>712</v>
      </c>
      <c r="D882" s="540" t="s">
        <v>1074</v>
      </c>
      <c r="E882" s="540" t="s">
        <v>1266</v>
      </c>
      <c r="F882" s="539" t="s">
        <v>959</v>
      </c>
      <c r="G882" s="544">
        <v>-500</v>
      </c>
      <c r="H882" s="540" t="s">
        <v>920</v>
      </c>
      <c r="I882" s="540" t="s">
        <v>1267</v>
      </c>
    </row>
    <row r="883" spans="1:10">
      <c r="A883" s="568">
        <f t="shared" si="11"/>
        <v>878</v>
      </c>
      <c r="B883" s="541">
        <v>42004</v>
      </c>
      <c r="C883" s="540" t="s">
        <v>712</v>
      </c>
      <c r="D883" s="540" t="s">
        <v>1074</v>
      </c>
      <c r="E883" s="540" t="s">
        <v>1268</v>
      </c>
      <c r="F883" s="539" t="s">
        <v>959</v>
      </c>
      <c r="G883" s="544">
        <v>-500</v>
      </c>
      <c r="H883" s="540" t="s">
        <v>920</v>
      </c>
      <c r="I883" s="540" t="s">
        <v>1267</v>
      </c>
    </row>
    <row r="884" spans="1:10">
      <c r="A884" s="568">
        <f t="shared" si="11"/>
        <v>879</v>
      </c>
      <c r="B884" s="541">
        <v>42004</v>
      </c>
      <c r="C884" s="540" t="s">
        <v>1244</v>
      </c>
      <c r="D884" s="540" t="s">
        <v>1019</v>
      </c>
      <c r="E884" s="540" t="s">
        <v>1269</v>
      </c>
      <c r="F884" s="539" t="s">
        <v>714</v>
      </c>
      <c r="G884" s="544">
        <v>-1055</v>
      </c>
      <c r="H884" s="540" t="s">
        <v>1020</v>
      </c>
      <c r="I884" s="540" t="s">
        <v>1267</v>
      </c>
    </row>
    <row r="885" spans="1:10" ht="14.25">
      <c r="A885" s="568">
        <f t="shared" si="11"/>
        <v>880</v>
      </c>
      <c r="B885" s="533"/>
      <c r="C885" s="534"/>
      <c r="D885" s="534"/>
      <c r="E885" s="534"/>
      <c r="F885" s="535"/>
      <c r="G885" s="536"/>
      <c r="H885" s="534"/>
      <c r="I885" s="534"/>
    </row>
    <row r="886" spans="1:10">
      <c r="A886" s="568">
        <f t="shared" ref="A886:A897" si="12">A885+1</f>
        <v>881</v>
      </c>
      <c r="B886" s="246"/>
      <c r="C886" s="486"/>
      <c r="D886" s="486"/>
      <c r="E886" s="485"/>
      <c r="F886" s="486" t="s">
        <v>454</v>
      </c>
      <c r="G886" s="487">
        <f>SUM(G6:G884)</f>
        <v>-310725.39333333354</v>
      </c>
      <c r="H886" s="486"/>
      <c r="I886" s="485"/>
      <c r="J886" s="485"/>
    </row>
    <row r="887" spans="1:10">
      <c r="A887" s="568">
        <f t="shared" si="12"/>
        <v>882</v>
      </c>
      <c r="E887" s="153"/>
    </row>
    <row r="888" spans="1:10">
      <c r="A888" s="568">
        <f t="shared" si="12"/>
        <v>883</v>
      </c>
      <c r="E888" s="153"/>
      <c r="F888" s="568" t="s">
        <v>762</v>
      </c>
      <c r="G888" s="480">
        <f>SUMIF($F$6:$F$884,"=PP",$G$6:$G$884)</f>
        <v>-47299.026666666716</v>
      </c>
      <c r="I888" s="485"/>
      <c r="J888" s="485"/>
    </row>
    <row r="889" spans="1:10">
      <c r="A889" s="568">
        <f t="shared" si="12"/>
        <v>884</v>
      </c>
      <c r="E889" s="153"/>
      <c r="F889" s="568" t="s">
        <v>758</v>
      </c>
      <c r="G889" s="480">
        <f>SUMIF($F$6:$F$884,"=G",$G$6:$G$884)</f>
        <v>-206025.5966666668</v>
      </c>
    </row>
    <row r="890" spans="1:10">
      <c r="A890" s="568">
        <f t="shared" si="12"/>
        <v>885</v>
      </c>
      <c r="E890" s="153"/>
      <c r="F890" s="568" t="s">
        <v>763</v>
      </c>
      <c r="G890" s="480">
        <f>SUMIF($F$6:$F$884,"=T",$G$6:$G$884)</f>
        <v>-26833.229999999989</v>
      </c>
    </row>
    <row r="891" spans="1:10">
      <c r="A891" s="568">
        <f t="shared" si="12"/>
        <v>886</v>
      </c>
      <c r="E891" s="153"/>
      <c r="F891" s="568" t="s">
        <v>764</v>
      </c>
      <c r="G891" s="480">
        <f>SUMIF($F$6:$F$884,"=D",$G$6:$G$884)</f>
        <v>-30567.53999999999</v>
      </c>
    </row>
    <row r="892" spans="1:10">
      <c r="A892" s="568">
        <f t="shared" si="12"/>
        <v>887</v>
      </c>
      <c r="E892" s="153"/>
      <c r="I892" s="250"/>
      <c r="J892" s="250"/>
    </row>
    <row r="893" spans="1:10">
      <c r="A893" s="568">
        <f t="shared" si="12"/>
        <v>888</v>
      </c>
      <c r="E893" s="153"/>
      <c r="F893" s="568" t="s">
        <v>552</v>
      </c>
      <c r="G893" s="480">
        <f>SUM(G888:G892)</f>
        <v>-310725.39333333349</v>
      </c>
      <c r="I893" s="480"/>
      <c r="J893" s="480"/>
    </row>
    <row r="894" spans="1:10">
      <c r="A894" s="568">
        <f t="shared" si="12"/>
        <v>889</v>
      </c>
      <c r="E894" s="153"/>
    </row>
    <row r="895" spans="1:10">
      <c r="A895" s="568">
        <f t="shared" si="12"/>
        <v>890</v>
      </c>
      <c r="E895" s="366"/>
      <c r="F895" s="570"/>
      <c r="G895" s="488"/>
      <c r="H895" s="570"/>
      <c r="I895" s="368"/>
      <c r="J895" s="178"/>
    </row>
    <row r="896" spans="1:10">
      <c r="A896" s="568">
        <f t="shared" si="12"/>
        <v>891</v>
      </c>
      <c r="E896" s="369" t="s">
        <v>534</v>
      </c>
      <c r="F896" s="574"/>
      <c r="G896" s="147">
        <f>ABS(G890)</f>
        <v>26833.229999999989</v>
      </c>
      <c r="H896" s="574"/>
      <c r="I896" s="220"/>
      <c r="J896" s="178"/>
    </row>
    <row r="897" spans="1:10" ht="15">
      <c r="A897" s="568">
        <f t="shared" si="12"/>
        <v>892</v>
      </c>
      <c r="E897" s="369" t="s">
        <v>1042</v>
      </c>
      <c r="F897" s="574">
        <f>'Schedule 3'!F27</f>
        <v>0.12451988999999999</v>
      </c>
      <c r="G897" s="489">
        <f>ABS(G889) * F897</f>
        <v>25654.284634117714</v>
      </c>
      <c r="H897" s="574"/>
      <c r="I897" s="220"/>
      <c r="J897" s="178"/>
    </row>
    <row r="898" spans="1:10">
      <c r="A898" s="568">
        <f t="shared" ref="A898:A904" si="13">A897+1</f>
        <v>893</v>
      </c>
      <c r="E898" s="369" t="s">
        <v>1043</v>
      </c>
      <c r="F898" s="574"/>
      <c r="G898" s="147">
        <f>SUM(G896:G897)</f>
        <v>52487.514634117702</v>
      </c>
      <c r="H898" s="574"/>
      <c r="I898" s="220" t="s">
        <v>787</v>
      </c>
      <c r="J898" s="178"/>
    </row>
    <row r="899" spans="1:10">
      <c r="A899" s="568">
        <f t="shared" si="13"/>
        <v>894</v>
      </c>
      <c r="E899" s="490"/>
      <c r="F899" s="236"/>
      <c r="G899" s="491"/>
      <c r="H899" s="236"/>
      <c r="I899" s="371"/>
      <c r="J899" s="178"/>
    </row>
    <row r="900" spans="1:10">
      <c r="A900" s="568">
        <f t="shared" si="13"/>
        <v>895</v>
      </c>
      <c r="E900" s="153"/>
    </row>
    <row r="901" spans="1:10">
      <c r="A901" s="568">
        <f t="shared" si="13"/>
        <v>896</v>
      </c>
      <c r="B901" s="154" t="s">
        <v>720</v>
      </c>
      <c r="E901" s="153"/>
    </row>
    <row r="902" spans="1:10">
      <c r="A902" s="568">
        <f t="shared" si="13"/>
        <v>897</v>
      </c>
      <c r="B902" s="154" t="s">
        <v>1041</v>
      </c>
      <c r="E902" s="153"/>
    </row>
    <row r="903" spans="1:10">
      <c r="A903" s="568">
        <f t="shared" si="13"/>
        <v>898</v>
      </c>
      <c r="B903" s="154" t="s">
        <v>721</v>
      </c>
      <c r="E903" s="153"/>
    </row>
    <row r="904" spans="1:10">
      <c r="A904" s="568">
        <f t="shared" si="13"/>
        <v>899</v>
      </c>
      <c r="B904" s="154" t="s">
        <v>722</v>
      </c>
      <c r="E904" s="153"/>
    </row>
  </sheetData>
  <sheetProtection formatCells="0"/>
  <sortState ref="A6:I237">
    <sortCondition ref="A7:A238"/>
  </sortState>
  <mergeCells count="3">
    <mergeCell ref="B1:I1"/>
    <mergeCell ref="B2:I2"/>
    <mergeCell ref="A3:I3"/>
  </mergeCells>
  <printOptions horizontalCentered="1"/>
  <pageMargins left="0.75" right="0.75" top="1" bottom="0.5" header="0.5" footer="0.5"/>
  <pageSetup scale="69" fitToHeight="15" orientation="portrait" r:id="rId1"/>
  <headerFooter alignWithMargins="0">
    <oddHeader>&amp;CIDAHO POWER COMPANY
Transmission Cost of Service Rate Development
12 Months Ended 12/31/2014</oddHeader>
  </headerFooter>
</worksheet>
</file>

<file path=xl/worksheets/sheet29.xml><?xml version="1.0" encoding="utf-8"?>
<worksheet xmlns="http://schemas.openxmlformats.org/spreadsheetml/2006/main" xmlns:r="http://schemas.openxmlformats.org/officeDocument/2006/relationships">
  <sheetPr codeName="Sheet30">
    <pageSetUpPr fitToPage="1"/>
  </sheetPr>
  <dimension ref="A1:Q94"/>
  <sheetViews>
    <sheetView zoomScale="80" zoomScaleNormal="80" zoomScaleSheetLayoutView="100" workbookViewId="0">
      <selection sqref="A1:L1"/>
    </sheetView>
  </sheetViews>
  <sheetFormatPr defaultRowHeight="12.75"/>
  <cols>
    <col min="1" max="1" width="37.28515625" style="153" customWidth="1"/>
    <col min="2" max="2" width="11.140625" style="153" customWidth="1"/>
    <col min="3" max="3" width="15" style="388" customWidth="1"/>
    <col min="4" max="4" width="15.7109375" style="388" customWidth="1"/>
    <col min="5" max="6" width="15" style="388" customWidth="1"/>
    <col min="7" max="7" width="13" style="388" customWidth="1"/>
    <col min="8" max="8" width="13" style="153" customWidth="1"/>
    <col min="9" max="9" width="12.85546875" style="153" customWidth="1"/>
    <col min="10" max="10" width="11.7109375" style="153" customWidth="1"/>
    <col min="11" max="11" width="13" style="153" customWidth="1"/>
    <col min="12" max="12" width="11.7109375" style="153" customWidth="1"/>
    <col min="13" max="16384" width="9.140625" style="153"/>
  </cols>
  <sheetData>
    <row r="1" spans="1:13">
      <c r="A1" s="645" t="s">
        <v>705</v>
      </c>
      <c r="B1" s="645"/>
      <c r="C1" s="645"/>
      <c r="D1" s="645"/>
      <c r="E1" s="645"/>
      <c r="F1" s="645"/>
      <c r="G1" s="645"/>
      <c r="H1" s="645"/>
      <c r="I1" s="645"/>
      <c r="J1" s="645"/>
      <c r="K1" s="645"/>
      <c r="L1" s="645"/>
    </row>
    <row r="2" spans="1:13">
      <c r="A2" s="645" t="s">
        <v>1044</v>
      </c>
      <c r="B2" s="645"/>
      <c r="C2" s="645"/>
      <c r="D2" s="645"/>
      <c r="E2" s="645"/>
      <c r="F2" s="645"/>
      <c r="G2" s="645"/>
      <c r="H2" s="645"/>
      <c r="I2" s="645"/>
      <c r="J2" s="645"/>
      <c r="K2" s="645"/>
      <c r="L2" s="645"/>
    </row>
    <row r="3" spans="1:13">
      <c r="A3" s="645" t="str">
        <f>'Schedule 1 Workpaper'!A3:F3</f>
        <v>12 Months Ended 12/31/2014</v>
      </c>
      <c r="B3" s="645"/>
      <c r="C3" s="645"/>
      <c r="D3" s="645"/>
      <c r="E3" s="645"/>
      <c r="F3" s="645"/>
      <c r="G3" s="645"/>
      <c r="H3" s="645"/>
      <c r="I3" s="645"/>
      <c r="J3" s="645"/>
      <c r="K3" s="645"/>
      <c r="L3" s="645"/>
    </row>
    <row r="6" spans="1:13" ht="42.75" customHeight="1">
      <c r="A6" s="307" t="s">
        <v>673</v>
      </c>
      <c r="B6" s="171" t="s">
        <v>674</v>
      </c>
      <c r="C6" s="373" t="s">
        <v>366</v>
      </c>
      <c r="D6" s="373" t="s">
        <v>1394</v>
      </c>
      <c r="E6" s="373" t="s">
        <v>907</v>
      </c>
      <c r="F6" s="373" t="s">
        <v>908</v>
      </c>
      <c r="G6" s="373" t="s">
        <v>909</v>
      </c>
      <c r="H6" s="373" t="s">
        <v>367</v>
      </c>
      <c r="I6" s="373" t="s">
        <v>1238</v>
      </c>
      <c r="J6" s="373" t="s">
        <v>368</v>
      </c>
      <c r="K6" s="373" t="s">
        <v>946</v>
      </c>
      <c r="L6" s="373" t="s">
        <v>101</v>
      </c>
    </row>
    <row r="7" spans="1:13">
      <c r="A7" s="307"/>
      <c r="B7" s="307"/>
      <c r="C7" s="374"/>
      <c r="D7" s="374"/>
      <c r="E7" s="374"/>
      <c r="F7" s="153"/>
      <c r="G7" s="153"/>
    </row>
    <row r="8" spans="1:13">
      <c r="A8" s="157" t="s">
        <v>1237</v>
      </c>
      <c r="B8" s="157" t="s">
        <v>675</v>
      </c>
      <c r="C8" s="596">
        <v>0</v>
      </c>
      <c r="D8" s="597">
        <v>0</v>
      </c>
      <c r="E8" s="596">
        <v>0</v>
      </c>
      <c r="F8" s="596">
        <v>0</v>
      </c>
      <c r="G8" s="598">
        <v>339</v>
      </c>
      <c r="H8" s="598">
        <v>16.77</v>
      </c>
      <c r="I8" s="598">
        <v>0</v>
      </c>
      <c r="J8" s="598">
        <v>0</v>
      </c>
      <c r="K8" s="598">
        <v>0</v>
      </c>
      <c r="L8" s="598">
        <v>0</v>
      </c>
      <c r="M8" s="87"/>
    </row>
    <row r="9" spans="1:13">
      <c r="A9" s="157" t="s">
        <v>1047</v>
      </c>
      <c r="B9" s="157" t="s">
        <v>675</v>
      </c>
      <c r="C9" s="596">
        <v>25707</v>
      </c>
      <c r="D9" s="597">
        <v>0</v>
      </c>
      <c r="E9" s="596">
        <v>0</v>
      </c>
      <c r="F9" s="596">
        <v>0</v>
      </c>
      <c r="G9" s="598">
        <v>4410</v>
      </c>
      <c r="H9" s="598">
        <v>331913.28000000003</v>
      </c>
      <c r="I9" s="598">
        <v>0</v>
      </c>
      <c r="J9" s="598">
        <v>0</v>
      </c>
      <c r="K9" s="598">
        <v>0</v>
      </c>
      <c r="L9" s="598">
        <v>0</v>
      </c>
      <c r="M9" s="87"/>
    </row>
    <row r="10" spans="1:13">
      <c r="A10" s="157" t="s">
        <v>1048</v>
      </c>
      <c r="B10" s="157" t="s">
        <v>675</v>
      </c>
      <c r="C10" s="596">
        <v>338.25</v>
      </c>
      <c r="D10" s="597">
        <v>0</v>
      </c>
      <c r="E10" s="596">
        <v>0</v>
      </c>
      <c r="F10" s="596">
        <v>0</v>
      </c>
      <c r="G10" s="598">
        <v>0</v>
      </c>
      <c r="H10" s="598">
        <v>5356.8</v>
      </c>
      <c r="I10" s="598">
        <v>0</v>
      </c>
      <c r="J10" s="598">
        <v>0</v>
      </c>
      <c r="K10" s="598">
        <v>0</v>
      </c>
      <c r="L10" s="598">
        <v>0</v>
      </c>
      <c r="M10" s="87"/>
    </row>
    <row r="11" spans="1:13">
      <c r="A11" s="157" t="s">
        <v>676</v>
      </c>
      <c r="B11" s="157" t="s">
        <v>675</v>
      </c>
      <c r="C11" s="596">
        <v>0</v>
      </c>
      <c r="D11" s="597">
        <v>0</v>
      </c>
      <c r="E11" s="596">
        <v>0</v>
      </c>
      <c r="F11" s="596">
        <v>0</v>
      </c>
      <c r="G11" s="598">
        <v>0</v>
      </c>
      <c r="H11" s="598">
        <v>2023.68</v>
      </c>
      <c r="I11" s="598">
        <v>0</v>
      </c>
      <c r="J11" s="598">
        <v>0</v>
      </c>
      <c r="K11" s="598">
        <v>0</v>
      </c>
      <c r="L11" s="598">
        <v>0</v>
      </c>
      <c r="M11" s="87"/>
    </row>
    <row r="12" spans="1:13">
      <c r="A12" s="157" t="s">
        <v>0</v>
      </c>
      <c r="B12" s="157" t="s">
        <v>675</v>
      </c>
      <c r="C12" s="596">
        <v>0</v>
      </c>
      <c r="D12" s="597">
        <v>0</v>
      </c>
      <c r="E12" s="596">
        <v>0</v>
      </c>
      <c r="F12" s="596">
        <v>0</v>
      </c>
      <c r="G12" s="598">
        <v>0</v>
      </c>
      <c r="H12" s="598">
        <v>904</v>
      </c>
      <c r="I12" s="598">
        <v>0</v>
      </c>
      <c r="J12" s="598">
        <v>0</v>
      </c>
      <c r="K12" s="598">
        <v>0</v>
      </c>
      <c r="L12" s="598">
        <v>0</v>
      </c>
      <c r="M12" s="87"/>
    </row>
    <row r="13" spans="1:13">
      <c r="A13" s="157" t="s">
        <v>677</v>
      </c>
      <c r="B13" s="157" t="s">
        <v>675</v>
      </c>
      <c r="C13" s="596">
        <v>0</v>
      </c>
      <c r="D13" s="597">
        <v>0</v>
      </c>
      <c r="E13" s="596">
        <v>0</v>
      </c>
      <c r="F13" s="596">
        <v>0</v>
      </c>
      <c r="G13" s="598">
        <v>0</v>
      </c>
      <c r="H13" s="598">
        <v>123</v>
      </c>
      <c r="I13" s="598">
        <v>0</v>
      </c>
      <c r="J13" s="598">
        <v>0</v>
      </c>
      <c r="K13" s="598">
        <v>0</v>
      </c>
      <c r="L13" s="598">
        <v>0</v>
      </c>
      <c r="M13" s="87"/>
    </row>
    <row r="14" spans="1:13">
      <c r="A14" s="157" t="s">
        <v>1</v>
      </c>
      <c r="B14" s="157" t="s">
        <v>675</v>
      </c>
      <c r="C14" s="596">
        <v>0</v>
      </c>
      <c r="D14" s="597">
        <v>0</v>
      </c>
      <c r="E14" s="596">
        <v>0</v>
      </c>
      <c r="F14" s="596">
        <v>0</v>
      </c>
      <c r="G14" s="598">
        <v>0</v>
      </c>
      <c r="H14" s="598">
        <v>95</v>
      </c>
      <c r="I14" s="598">
        <v>0</v>
      </c>
      <c r="J14" s="598">
        <v>0</v>
      </c>
      <c r="K14" s="598">
        <v>0</v>
      </c>
      <c r="L14" s="598">
        <v>0</v>
      </c>
      <c r="M14" s="87"/>
    </row>
    <row r="15" spans="1:13">
      <c r="A15" s="157" t="s">
        <v>678</v>
      </c>
      <c r="B15" s="157" t="s">
        <v>675</v>
      </c>
      <c r="C15" s="596">
        <v>0</v>
      </c>
      <c r="D15" s="597">
        <v>0</v>
      </c>
      <c r="E15" s="596">
        <v>0</v>
      </c>
      <c r="F15" s="596">
        <v>0</v>
      </c>
      <c r="G15" s="598">
        <v>0</v>
      </c>
      <c r="H15" s="598">
        <v>428</v>
      </c>
      <c r="I15" s="598">
        <v>0</v>
      </c>
      <c r="J15" s="598">
        <v>0</v>
      </c>
      <c r="K15" s="598">
        <v>0</v>
      </c>
      <c r="L15" s="598">
        <v>0</v>
      </c>
      <c r="M15" s="87"/>
    </row>
    <row r="16" spans="1:13">
      <c r="A16" s="157" t="s">
        <v>761</v>
      </c>
      <c r="B16" s="157" t="s">
        <v>675</v>
      </c>
      <c r="C16" s="596">
        <v>204.54</v>
      </c>
      <c r="D16" s="597">
        <v>22.71</v>
      </c>
      <c r="E16" s="596">
        <v>0</v>
      </c>
      <c r="F16" s="596">
        <v>460</v>
      </c>
      <c r="G16" s="598">
        <v>0</v>
      </c>
      <c r="H16" s="598">
        <v>6037.2</v>
      </c>
      <c r="I16" s="598">
        <v>258.93</v>
      </c>
      <c r="J16" s="598">
        <v>0</v>
      </c>
      <c r="K16" s="598">
        <v>0</v>
      </c>
      <c r="L16" s="598">
        <v>0</v>
      </c>
      <c r="M16" s="87"/>
    </row>
    <row r="17" spans="1:13">
      <c r="A17" s="157" t="s">
        <v>679</v>
      </c>
      <c r="B17" s="157" t="s">
        <v>675</v>
      </c>
      <c r="C17" s="596">
        <v>0</v>
      </c>
      <c r="D17" s="597">
        <v>0</v>
      </c>
      <c r="E17" s="596">
        <v>0</v>
      </c>
      <c r="F17" s="596">
        <v>0</v>
      </c>
      <c r="G17" s="598">
        <v>0</v>
      </c>
      <c r="H17" s="598">
        <v>5098.88</v>
      </c>
      <c r="I17" s="598">
        <v>0</v>
      </c>
      <c r="J17" s="598">
        <v>0</v>
      </c>
      <c r="K17" s="598">
        <v>0</v>
      </c>
      <c r="L17" s="598">
        <v>0</v>
      </c>
      <c r="M17" s="87"/>
    </row>
    <row r="18" spans="1:13">
      <c r="A18" s="157" t="s">
        <v>680</v>
      </c>
      <c r="B18" s="157" t="s">
        <v>675</v>
      </c>
      <c r="C18" s="596">
        <v>215.25</v>
      </c>
      <c r="D18" s="597">
        <v>0</v>
      </c>
      <c r="E18" s="596">
        <v>0</v>
      </c>
      <c r="F18" s="596">
        <v>0</v>
      </c>
      <c r="G18" s="598">
        <v>0</v>
      </c>
      <c r="H18" s="598">
        <v>1984</v>
      </c>
      <c r="I18" s="598">
        <v>0</v>
      </c>
      <c r="J18" s="598">
        <v>0</v>
      </c>
      <c r="K18" s="598">
        <v>0</v>
      </c>
      <c r="L18" s="598">
        <v>0</v>
      </c>
      <c r="M18" s="87"/>
    </row>
    <row r="19" spans="1:13">
      <c r="A19" s="157" t="s">
        <v>359</v>
      </c>
      <c r="B19" s="157" t="s">
        <v>675</v>
      </c>
      <c r="C19" s="596">
        <v>3751.5</v>
      </c>
      <c r="D19" s="597">
        <v>0</v>
      </c>
      <c r="E19" s="596">
        <v>0</v>
      </c>
      <c r="F19" s="596">
        <v>0</v>
      </c>
      <c r="G19" s="598">
        <v>315</v>
      </c>
      <c r="H19" s="598">
        <v>49381.760000000002</v>
      </c>
      <c r="I19" s="598">
        <v>0</v>
      </c>
      <c r="J19" s="598">
        <v>0</v>
      </c>
      <c r="K19" s="598">
        <v>0</v>
      </c>
      <c r="L19" s="598">
        <v>0</v>
      </c>
      <c r="M19" s="87"/>
    </row>
    <row r="20" spans="1:13">
      <c r="A20" s="157" t="s">
        <v>681</v>
      </c>
      <c r="B20" s="157" t="s">
        <v>675</v>
      </c>
      <c r="C20" s="596">
        <v>9.74</v>
      </c>
      <c r="D20" s="597">
        <v>0</v>
      </c>
      <c r="E20" s="596">
        <v>0</v>
      </c>
      <c r="F20" s="596">
        <v>0</v>
      </c>
      <c r="G20" s="598">
        <v>0</v>
      </c>
      <c r="H20" s="598">
        <v>9.74</v>
      </c>
      <c r="I20" s="598">
        <v>0</v>
      </c>
      <c r="J20" s="598">
        <v>0</v>
      </c>
      <c r="K20" s="598">
        <v>0</v>
      </c>
      <c r="L20" s="598">
        <v>0</v>
      </c>
      <c r="M20" s="87"/>
    </row>
    <row r="21" spans="1:13">
      <c r="A21" s="157" t="s">
        <v>682</v>
      </c>
      <c r="B21" s="157" t="s">
        <v>675</v>
      </c>
      <c r="C21" s="596">
        <v>91.75</v>
      </c>
      <c r="D21" s="597">
        <v>0</v>
      </c>
      <c r="E21" s="596">
        <v>0</v>
      </c>
      <c r="F21" s="596">
        <v>0</v>
      </c>
      <c r="G21" s="598">
        <v>120</v>
      </c>
      <c r="H21" s="598">
        <v>793.6</v>
      </c>
      <c r="I21" s="598">
        <v>0</v>
      </c>
      <c r="J21" s="598">
        <v>0</v>
      </c>
      <c r="K21" s="598">
        <v>0</v>
      </c>
      <c r="L21" s="598">
        <v>0</v>
      </c>
      <c r="M21" s="87"/>
    </row>
    <row r="22" spans="1:13">
      <c r="A22" s="157" t="s">
        <v>683</v>
      </c>
      <c r="B22" s="157" t="s">
        <v>675</v>
      </c>
      <c r="C22" s="596">
        <v>18.32</v>
      </c>
      <c r="D22" s="597">
        <v>0</v>
      </c>
      <c r="E22" s="596">
        <v>0</v>
      </c>
      <c r="F22" s="596">
        <v>0</v>
      </c>
      <c r="G22" s="598">
        <v>0</v>
      </c>
      <c r="H22" s="598">
        <v>4374.72</v>
      </c>
      <c r="I22" s="598">
        <v>0</v>
      </c>
      <c r="J22" s="598">
        <v>0</v>
      </c>
      <c r="K22" s="598">
        <v>0</v>
      </c>
      <c r="L22" s="598">
        <v>0</v>
      </c>
      <c r="M22" s="87"/>
    </row>
    <row r="23" spans="1:13">
      <c r="A23" s="157"/>
      <c r="B23" s="157"/>
      <c r="C23" s="599"/>
      <c r="D23" s="599"/>
      <c r="E23" s="599"/>
      <c r="F23" s="599"/>
      <c r="G23" s="599"/>
      <c r="H23" s="599"/>
      <c r="I23" s="599"/>
      <c r="J23" s="599"/>
      <c r="K23" s="599"/>
      <c r="L23" s="599"/>
      <c r="M23" s="87"/>
    </row>
    <row r="24" spans="1:13">
      <c r="A24" s="157" t="s">
        <v>684</v>
      </c>
      <c r="B24" s="157" t="s">
        <v>685</v>
      </c>
      <c r="C24" s="596">
        <v>0</v>
      </c>
      <c r="D24" s="597">
        <v>0</v>
      </c>
      <c r="E24" s="596">
        <v>0</v>
      </c>
      <c r="F24" s="596">
        <v>0</v>
      </c>
      <c r="G24" s="598">
        <v>0</v>
      </c>
      <c r="H24" s="598">
        <v>17.5</v>
      </c>
      <c r="I24" s="598">
        <v>0</v>
      </c>
      <c r="J24" s="598">
        <v>0</v>
      </c>
      <c r="K24" s="598">
        <v>0</v>
      </c>
      <c r="L24" s="598">
        <v>0</v>
      </c>
      <c r="M24" s="87"/>
    </row>
    <row r="25" spans="1:13">
      <c r="A25" s="157" t="s">
        <v>686</v>
      </c>
      <c r="B25" s="157" t="s">
        <v>685</v>
      </c>
      <c r="C25" s="596">
        <v>12.33</v>
      </c>
      <c r="D25" s="597">
        <v>0</v>
      </c>
      <c r="E25" s="596">
        <v>0</v>
      </c>
      <c r="F25" s="596">
        <v>0</v>
      </c>
      <c r="G25" s="598">
        <v>0</v>
      </c>
      <c r="H25" s="598">
        <v>11.18</v>
      </c>
      <c r="I25" s="598">
        <v>0</v>
      </c>
      <c r="J25" s="598">
        <v>0</v>
      </c>
      <c r="K25" s="598">
        <v>0</v>
      </c>
      <c r="L25" s="598">
        <v>0</v>
      </c>
      <c r="M25" s="87"/>
    </row>
    <row r="26" spans="1:13">
      <c r="A26" s="157" t="s">
        <v>687</v>
      </c>
      <c r="B26" s="157" t="s">
        <v>685</v>
      </c>
      <c r="C26" s="596">
        <v>0</v>
      </c>
      <c r="D26" s="597">
        <v>0</v>
      </c>
      <c r="E26" s="596">
        <v>0</v>
      </c>
      <c r="F26" s="596">
        <v>0</v>
      </c>
      <c r="G26" s="598">
        <v>0</v>
      </c>
      <c r="H26" s="598">
        <v>8.1999999999999993</v>
      </c>
      <c r="I26" s="598">
        <v>0</v>
      </c>
      <c r="J26" s="598">
        <v>0</v>
      </c>
      <c r="K26" s="598">
        <v>0</v>
      </c>
      <c r="L26" s="598">
        <v>0</v>
      </c>
      <c r="M26" s="87"/>
    </row>
    <row r="27" spans="1:13">
      <c r="A27" s="157" t="s">
        <v>688</v>
      </c>
      <c r="B27" s="157" t="s">
        <v>685</v>
      </c>
      <c r="C27" s="596">
        <v>0</v>
      </c>
      <c r="D27" s="597">
        <v>0</v>
      </c>
      <c r="E27" s="596">
        <v>0</v>
      </c>
      <c r="F27" s="596">
        <v>0</v>
      </c>
      <c r="G27" s="598">
        <v>0</v>
      </c>
      <c r="H27" s="598">
        <v>67.08</v>
      </c>
      <c r="I27" s="598">
        <v>0</v>
      </c>
      <c r="J27" s="598">
        <v>0</v>
      </c>
      <c r="K27" s="598">
        <v>0</v>
      </c>
      <c r="L27" s="598">
        <v>0</v>
      </c>
      <c r="M27" s="87"/>
    </row>
    <row r="28" spans="1:13">
      <c r="A28" s="157" t="s">
        <v>656</v>
      </c>
      <c r="B28" s="157" t="s">
        <v>685</v>
      </c>
      <c r="C28" s="596">
        <v>0</v>
      </c>
      <c r="D28" s="597">
        <v>0</v>
      </c>
      <c r="E28" s="596">
        <v>0</v>
      </c>
      <c r="F28" s="596">
        <v>0</v>
      </c>
      <c r="G28" s="598">
        <v>0</v>
      </c>
      <c r="H28" s="598">
        <v>27.95</v>
      </c>
      <c r="I28" s="598">
        <v>0</v>
      </c>
      <c r="J28" s="598">
        <v>0</v>
      </c>
      <c r="K28" s="598">
        <v>0</v>
      </c>
      <c r="L28" s="598">
        <v>0</v>
      </c>
      <c r="M28" s="87"/>
    </row>
    <row r="29" spans="1:13">
      <c r="A29" s="157" t="s">
        <v>910</v>
      </c>
      <c r="B29" s="157" t="s">
        <v>685</v>
      </c>
      <c r="C29" s="596">
        <v>0</v>
      </c>
      <c r="D29" s="597">
        <v>0</v>
      </c>
      <c r="E29" s="596">
        <v>0</v>
      </c>
      <c r="F29" s="596">
        <v>0</v>
      </c>
      <c r="G29" s="598">
        <v>0</v>
      </c>
      <c r="H29" s="598">
        <v>83.85</v>
      </c>
      <c r="I29" s="598">
        <v>0</v>
      </c>
      <c r="J29" s="598">
        <v>0</v>
      </c>
      <c r="K29" s="598">
        <v>0</v>
      </c>
      <c r="L29" s="598">
        <v>0</v>
      </c>
      <c r="M29" s="87"/>
    </row>
    <row r="30" spans="1:13">
      <c r="A30" s="157" t="s">
        <v>360</v>
      </c>
      <c r="B30" s="157" t="s">
        <v>685</v>
      </c>
      <c r="C30" s="596">
        <v>0</v>
      </c>
      <c r="D30" s="597">
        <v>0</v>
      </c>
      <c r="E30" s="596">
        <v>0</v>
      </c>
      <c r="F30" s="596">
        <v>0</v>
      </c>
      <c r="G30" s="598">
        <v>0</v>
      </c>
      <c r="H30" s="598">
        <v>100.62</v>
      </c>
      <c r="I30" s="598">
        <v>0</v>
      </c>
      <c r="J30" s="598">
        <v>0</v>
      </c>
      <c r="K30" s="598">
        <v>0</v>
      </c>
      <c r="L30" s="598">
        <v>0</v>
      </c>
      <c r="M30" s="87"/>
    </row>
    <row r="31" spans="1:13">
      <c r="A31" s="157" t="s">
        <v>689</v>
      </c>
      <c r="B31" s="157" t="s">
        <v>685</v>
      </c>
      <c r="C31" s="596">
        <v>10.5</v>
      </c>
      <c r="D31" s="597">
        <v>0</v>
      </c>
      <c r="E31" s="596">
        <v>0</v>
      </c>
      <c r="F31" s="596">
        <v>0</v>
      </c>
      <c r="G31" s="598">
        <v>0</v>
      </c>
      <c r="H31" s="598">
        <v>37.5</v>
      </c>
      <c r="I31" s="598">
        <v>0</v>
      </c>
      <c r="J31" s="598">
        <v>0</v>
      </c>
      <c r="K31" s="598">
        <v>0</v>
      </c>
      <c r="L31" s="598">
        <v>0</v>
      </c>
      <c r="M31" s="87"/>
    </row>
    <row r="32" spans="1:13">
      <c r="A32" s="157" t="s">
        <v>690</v>
      </c>
      <c r="B32" s="157" t="s">
        <v>685</v>
      </c>
      <c r="C32" s="596">
        <v>12.01</v>
      </c>
      <c r="D32" s="597">
        <v>0</v>
      </c>
      <c r="E32" s="596">
        <v>0</v>
      </c>
      <c r="F32" s="596">
        <v>0</v>
      </c>
      <c r="G32" s="598">
        <v>0</v>
      </c>
      <c r="H32" s="598">
        <v>55.13</v>
      </c>
      <c r="I32" s="598">
        <v>0</v>
      </c>
      <c r="J32" s="598">
        <v>0</v>
      </c>
      <c r="K32" s="598">
        <v>0</v>
      </c>
      <c r="L32" s="598">
        <v>0</v>
      </c>
      <c r="M32" s="87"/>
    </row>
    <row r="33" spans="1:17">
      <c r="A33" s="157" t="s">
        <v>2</v>
      </c>
      <c r="B33" s="157" t="s">
        <v>685</v>
      </c>
      <c r="C33" s="596">
        <v>0</v>
      </c>
      <c r="D33" s="597">
        <v>0</v>
      </c>
      <c r="E33" s="596">
        <v>0</v>
      </c>
      <c r="F33" s="596">
        <v>0</v>
      </c>
      <c r="G33" s="598">
        <v>0</v>
      </c>
      <c r="H33" s="598">
        <v>76</v>
      </c>
      <c r="I33" s="598">
        <v>0</v>
      </c>
      <c r="J33" s="598">
        <v>0</v>
      </c>
      <c r="K33" s="598">
        <v>0</v>
      </c>
      <c r="L33" s="598">
        <v>0</v>
      </c>
      <c r="M33" s="87"/>
    </row>
    <row r="34" spans="1:17">
      <c r="A34" s="157" t="s">
        <v>691</v>
      </c>
      <c r="B34" s="157" t="s">
        <v>685</v>
      </c>
      <c r="C34" s="596">
        <v>0</v>
      </c>
      <c r="D34" s="597">
        <v>0</v>
      </c>
      <c r="E34" s="596">
        <v>0</v>
      </c>
      <c r="F34" s="596">
        <v>0</v>
      </c>
      <c r="G34" s="598">
        <v>0</v>
      </c>
      <c r="H34" s="598">
        <v>16.77</v>
      </c>
      <c r="I34" s="598">
        <v>0</v>
      </c>
      <c r="J34" s="598">
        <v>0</v>
      </c>
      <c r="K34" s="598">
        <v>0</v>
      </c>
      <c r="L34" s="598">
        <v>0</v>
      </c>
      <c r="M34" s="87"/>
    </row>
    <row r="35" spans="1:17">
      <c r="A35" s="157" t="s">
        <v>692</v>
      </c>
      <c r="B35" s="157" t="s">
        <v>685</v>
      </c>
      <c r="C35" s="596">
        <v>60</v>
      </c>
      <c r="D35" s="597">
        <v>0</v>
      </c>
      <c r="E35" s="596">
        <v>0</v>
      </c>
      <c r="F35" s="596">
        <v>0</v>
      </c>
      <c r="G35" s="598">
        <v>0</v>
      </c>
      <c r="H35" s="598">
        <v>0</v>
      </c>
      <c r="I35" s="598">
        <v>0</v>
      </c>
      <c r="J35" s="598">
        <v>0</v>
      </c>
      <c r="K35" s="598">
        <v>0</v>
      </c>
      <c r="L35" s="598">
        <v>0</v>
      </c>
      <c r="M35" s="87"/>
    </row>
    <row r="36" spans="1:17">
      <c r="A36" s="157" t="s">
        <v>1239</v>
      </c>
      <c r="B36" s="157" t="s">
        <v>685</v>
      </c>
      <c r="C36" s="596">
        <v>0</v>
      </c>
      <c r="D36" s="597">
        <v>0</v>
      </c>
      <c r="E36" s="596">
        <v>0</v>
      </c>
      <c r="F36" s="596">
        <v>0</v>
      </c>
      <c r="G36" s="598">
        <v>0</v>
      </c>
      <c r="H36" s="598">
        <v>11.18</v>
      </c>
      <c r="I36" s="598">
        <v>0</v>
      </c>
      <c r="J36" s="598">
        <v>0</v>
      </c>
      <c r="K36" s="598">
        <v>0</v>
      </c>
      <c r="L36" s="598">
        <v>0</v>
      </c>
      <c r="M36" s="87"/>
    </row>
    <row r="37" spans="1:17">
      <c r="A37" s="157" t="s">
        <v>693</v>
      </c>
      <c r="B37" s="157" t="s">
        <v>685</v>
      </c>
      <c r="C37" s="596">
        <v>0</v>
      </c>
      <c r="D37" s="597">
        <v>0</v>
      </c>
      <c r="E37" s="596">
        <v>0</v>
      </c>
      <c r="F37" s="596">
        <v>0</v>
      </c>
      <c r="G37" s="598">
        <v>0</v>
      </c>
      <c r="H37" s="598">
        <v>117.75</v>
      </c>
      <c r="I37" s="598">
        <v>0</v>
      </c>
      <c r="J37" s="598">
        <v>0</v>
      </c>
      <c r="K37" s="598">
        <v>0</v>
      </c>
      <c r="L37" s="598">
        <v>0</v>
      </c>
      <c r="M37" s="87"/>
    </row>
    <row r="38" spans="1:17">
      <c r="A38" s="157" t="s">
        <v>549</v>
      </c>
      <c r="B38" s="157" t="s">
        <v>685</v>
      </c>
      <c r="C38" s="596">
        <v>0</v>
      </c>
      <c r="D38" s="597">
        <v>0</v>
      </c>
      <c r="E38" s="596">
        <v>0</v>
      </c>
      <c r="F38" s="596">
        <v>0</v>
      </c>
      <c r="G38" s="598">
        <v>0</v>
      </c>
      <c r="H38" s="598">
        <v>500</v>
      </c>
      <c r="I38" s="598">
        <v>0</v>
      </c>
      <c r="J38" s="598">
        <v>0</v>
      </c>
      <c r="K38" s="598">
        <v>0</v>
      </c>
      <c r="L38" s="598">
        <v>0</v>
      </c>
      <c r="M38" s="87"/>
    </row>
    <row r="39" spans="1:17">
      <c r="A39" s="157" t="s">
        <v>694</v>
      </c>
      <c r="B39" s="153" t="s">
        <v>685</v>
      </c>
      <c r="C39" s="596">
        <v>0</v>
      </c>
      <c r="D39" s="597">
        <v>0</v>
      </c>
      <c r="E39" s="596">
        <v>0</v>
      </c>
      <c r="F39" s="596">
        <v>0</v>
      </c>
      <c r="G39" s="598">
        <v>0</v>
      </c>
      <c r="H39" s="598">
        <v>173.29</v>
      </c>
      <c r="I39" s="598">
        <v>0</v>
      </c>
      <c r="J39" s="598">
        <v>0</v>
      </c>
      <c r="K39" s="598">
        <v>0</v>
      </c>
      <c r="L39" s="598">
        <v>0</v>
      </c>
      <c r="M39" s="87"/>
    </row>
    <row r="40" spans="1:17">
      <c r="A40" s="157" t="s">
        <v>1005</v>
      </c>
      <c r="B40" s="157" t="s">
        <v>685</v>
      </c>
      <c r="C40" s="596">
        <v>0</v>
      </c>
      <c r="D40" s="597">
        <v>0</v>
      </c>
      <c r="E40" s="596">
        <v>0</v>
      </c>
      <c r="F40" s="596">
        <v>0</v>
      </c>
      <c r="G40" s="598">
        <v>0</v>
      </c>
      <c r="H40" s="598">
        <v>22.36</v>
      </c>
      <c r="I40" s="598">
        <v>0</v>
      </c>
      <c r="J40" s="598">
        <v>0</v>
      </c>
      <c r="K40" s="598">
        <v>0</v>
      </c>
      <c r="L40" s="598">
        <v>0</v>
      </c>
      <c r="M40" s="87"/>
    </row>
    <row r="41" spans="1:17">
      <c r="A41" s="157" t="s">
        <v>361</v>
      </c>
      <c r="B41" s="157" t="s">
        <v>685</v>
      </c>
      <c r="C41" s="596">
        <v>0</v>
      </c>
      <c r="D41" s="597">
        <v>0</v>
      </c>
      <c r="E41" s="596">
        <v>0</v>
      </c>
      <c r="F41" s="596">
        <v>0</v>
      </c>
      <c r="G41" s="598">
        <v>0</v>
      </c>
      <c r="H41" s="598">
        <v>0</v>
      </c>
      <c r="I41" s="598">
        <v>0</v>
      </c>
      <c r="J41" s="598">
        <v>1786.32</v>
      </c>
      <c r="K41" s="598">
        <v>0</v>
      </c>
      <c r="L41" s="598">
        <v>0</v>
      </c>
      <c r="M41" s="87"/>
    </row>
    <row r="42" spans="1:17">
      <c r="A42" s="157" t="s">
        <v>1240</v>
      </c>
      <c r="B42" s="157" t="s">
        <v>685</v>
      </c>
      <c r="C42" s="596">
        <v>0</v>
      </c>
      <c r="D42" s="597">
        <v>0</v>
      </c>
      <c r="E42" s="596">
        <v>0</v>
      </c>
      <c r="F42" s="596">
        <v>0</v>
      </c>
      <c r="G42" s="598">
        <v>0</v>
      </c>
      <c r="H42" s="598">
        <v>98</v>
      </c>
      <c r="I42" s="598">
        <v>0</v>
      </c>
      <c r="J42" s="598">
        <v>0</v>
      </c>
      <c r="K42" s="598">
        <v>0</v>
      </c>
      <c r="L42" s="598">
        <v>0</v>
      </c>
      <c r="M42" s="87"/>
    </row>
    <row r="43" spans="1:17">
      <c r="A43" s="157"/>
      <c r="B43" s="157"/>
      <c r="C43" s="599"/>
      <c r="D43" s="599"/>
      <c r="E43" s="599"/>
      <c r="F43" s="599"/>
      <c r="G43" s="599"/>
      <c r="H43" s="599"/>
      <c r="I43" s="599"/>
      <c r="J43" s="599"/>
      <c r="K43" s="599"/>
      <c r="L43" s="599"/>
      <c r="M43" s="87"/>
    </row>
    <row r="44" spans="1:17">
      <c r="A44" s="157" t="s">
        <v>696</v>
      </c>
      <c r="B44" s="157" t="s">
        <v>695</v>
      </c>
      <c r="C44" s="596">
        <v>45495.54</v>
      </c>
      <c r="D44" s="597">
        <v>1339.8900000000003</v>
      </c>
      <c r="E44" s="596">
        <v>0</v>
      </c>
      <c r="F44" s="596">
        <v>1202.05</v>
      </c>
      <c r="G44" s="598">
        <v>17977.95</v>
      </c>
      <c r="H44" s="598">
        <v>407287.4</v>
      </c>
      <c r="I44" s="598">
        <v>5758.11</v>
      </c>
      <c r="J44" s="598">
        <v>0</v>
      </c>
      <c r="K44" s="598">
        <v>0</v>
      </c>
      <c r="L44" s="598">
        <v>0</v>
      </c>
      <c r="Q44" s="87"/>
    </row>
    <row r="45" spans="1:17">
      <c r="A45" s="157" t="s">
        <v>697</v>
      </c>
      <c r="B45" s="157" t="s">
        <v>695</v>
      </c>
      <c r="C45" s="596">
        <v>403.04</v>
      </c>
      <c r="D45" s="597">
        <v>0</v>
      </c>
      <c r="E45" s="596">
        <v>0</v>
      </c>
      <c r="F45" s="596">
        <v>300</v>
      </c>
      <c r="G45" s="598">
        <v>0</v>
      </c>
      <c r="H45" s="598">
        <v>3398.7200000000003</v>
      </c>
      <c r="I45" s="598">
        <v>36.99</v>
      </c>
      <c r="J45" s="598">
        <v>0</v>
      </c>
      <c r="K45" s="598">
        <v>0</v>
      </c>
      <c r="L45" s="598">
        <v>0</v>
      </c>
      <c r="M45" s="87"/>
    </row>
    <row r="46" spans="1:17">
      <c r="A46" s="157" t="s">
        <v>698</v>
      </c>
      <c r="B46" s="157" t="s">
        <v>695</v>
      </c>
      <c r="C46" s="596">
        <v>1092.5999999999999</v>
      </c>
      <c r="D46" s="597">
        <v>0</v>
      </c>
      <c r="E46" s="596">
        <v>0</v>
      </c>
      <c r="F46" s="596">
        <v>0</v>
      </c>
      <c r="G46" s="598">
        <v>0</v>
      </c>
      <c r="H46" s="598">
        <v>13782.25</v>
      </c>
      <c r="I46" s="598">
        <v>1031.68</v>
      </c>
      <c r="J46" s="598">
        <v>0</v>
      </c>
      <c r="K46" s="598">
        <v>0</v>
      </c>
      <c r="L46" s="598">
        <v>0</v>
      </c>
      <c r="M46" s="87"/>
      <c r="N46" s="375"/>
    </row>
    <row r="47" spans="1:17">
      <c r="A47" s="157" t="s">
        <v>759</v>
      </c>
      <c r="B47" s="157" t="s">
        <v>695</v>
      </c>
      <c r="C47" s="596">
        <v>311.44</v>
      </c>
      <c r="D47" s="597">
        <v>0</v>
      </c>
      <c r="E47" s="596">
        <v>0</v>
      </c>
      <c r="F47" s="596">
        <v>0</v>
      </c>
      <c r="G47" s="598">
        <v>680</v>
      </c>
      <c r="H47" s="598">
        <v>2386.9299999999998</v>
      </c>
      <c r="I47" s="598">
        <v>86.31</v>
      </c>
      <c r="J47" s="598">
        <v>0</v>
      </c>
      <c r="K47" s="598">
        <v>0</v>
      </c>
      <c r="L47" s="598">
        <v>0</v>
      </c>
      <c r="M47" s="87"/>
    </row>
    <row r="48" spans="1:17">
      <c r="A48" s="157" t="s">
        <v>362</v>
      </c>
      <c r="B48" s="157" t="s">
        <v>695</v>
      </c>
      <c r="C48" s="596">
        <v>0</v>
      </c>
      <c r="D48" s="597">
        <v>0</v>
      </c>
      <c r="E48" s="596">
        <v>0</v>
      </c>
      <c r="F48" s="596">
        <v>0</v>
      </c>
      <c r="G48" s="598">
        <v>0</v>
      </c>
      <c r="H48" s="598">
        <v>2174.5100000000002</v>
      </c>
      <c r="I48" s="598">
        <v>98.64</v>
      </c>
      <c r="J48" s="598">
        <v>0</v>
      </c>
      <c r="K48" s="598">
        <v>0</v>
      </c>
      <c r="L48" s="598">
        <v>0</v>
      </c>
      <c r="M48" s="87"/>
    </row>
    <row r="49" spans="1:13">
      <c r="A49" s="157" t="s">
        <v>703</v>
      </c>
      <c r="B49" s="157" t="s">
        <v>695</v>
      </c>
      <c r="C49" s="596">
        <v>0</v>
      </c>
      <c r="D49" s="597">
        <v>0</v>
      </c>
      <c r="E49" s="596">
        <v>0</v>
      </c>
      <c r="F49" s="596">
        <v>0</v>
      </c>
      <c r="G49" s="598">
        <v>0</v>
      </c>
      <c r="H49" s="598">
        <v>1235.3900000000001</v>
      </c>
      <c r="I49" s="598">
        <v>24.66</v>
      </c>
      <c r="J49" s="598">
        <v>0</v>
      </c>
      <c r="K49" s="598">
        <v>0</v>
      </c>
      <c r="L49" s="598">
        <v>0</v>
      </c>
      <c r="M49" s="87"/>
    </row>
    <row r="50" spans="1:13">
      <c r="A50" s="157" t="s">
        <v>911</v>
      </c>
      <c r="B50" s="157" t="s">
        <v>695</v>
      </c>
      <c r="C50" s="596">
        <v>18.32</v>
      </c>
      <c r="D50" s="597">
        <v>0</v>
      </c>
      <c r="E50" s="596">
        <v>0</v>
      </c>
      <c r="F50" s="596">
        <v>0</v>
      </c>
      <c r="G50" s="598">
        <v>0</v>
      </c>
      <c r="H50" s="598">
        <v>2914.5</v>
      </c>
      <c r="I50" s="598">
        <v>59.52</v>
      </c>
      <c r="J50" s="598">
        <v>0</v>
      </c>
      <c r="K50" s="598">
        <v>0</v>
      </c>
      <c r="L50" s="598">
        <v>0</v>
      </c>
      <c r="M50" s="87"/>
    </row>
    <row r="51" spans="1:13">
      <c r="A51" s="157" t="s">
        <v>1241</v>
      </c>
      <c r="B51" s="157" t="s">
        <v>695</v>
      </c>
      <c r="C51" s="596">
        <v>9194.25</v>
      </c>
      <c r="D51" s="597">
        <v>0</v>
      </c>
      <c r="E51" s="596">
        <v>0</v>
      </c>
      <c r="F51" s="596">
        <v>0</v>
      </c>
      <c r="G51" s="598">
        <v>0</v>
      </c>
      <c r="H51" s="598">
        <v>21268.48</v>
      </c>
      <c r="I51" s="598">
        <v>19.84</v>
      </c>
      <c r="J51" s="598">
        <v>0</v>
      </c>
      <c r="K51" s="598">
        <v>0</v>
      </c>
      <c r="L51" s="598">
        <v>0</v>
      </c>
      <c r="M51" s="87"/>
    </row>
    <row r="52" spans="1:13">
      <c r="A52" s="157"/>
      <c r="B52" s="157"/>
      <c r="C52" s="599"/>
      <c r="D52" s="599"/>
      <c r="E52" s="599"/>
      <c r="F52" s="599"/>
      <c r="G52" s="599"/>
      <c r="H52" s="599"/>
      <c r="I52" s="599"/>
      <c r="J52" s="599"/>
      <c r="K52" s="599"/>
      <c r="L52" s="599"/>
      <c r="M52" s="87"/>
    </row>
    <row r="53" spans="1:13">
      <c r="A53" s="157" t="s">
        <v>1078</v>
      </c>
      <c r="B53" s="157" t="s">
        <v>699</v>
      </c>
      <c r="C53" s="597">
        <v>11627.5</v>
      </c>
      <c r="D53" s="597">
        <v>0</v>
      </c>
      <c r="E53" s="596">
        <v>0</v>
      </c>
      <c r="F53" s="596">
        <v>0</v>
      </c>
      <c r="G53" s="598">
        <v>10488</v>
      </c>
      <c r="H53" s="598">
        <v>28644.760000000002</v>
      </c>
      <c r="I53" s="598">
        <v>0</v>
      </c>
      <c r="J53" s="598">
        <v>98044.560000000012</v>
      </c>
      <c r="K53" s="598">
        <v>0</v>
      </c>
      <c r="L53" s="598">
        <v>0</v>
      </c>
      <c r="M53" s="87"/>
    </row>
    <row r="54" spans="1:13">
      <c r="A54" s="157" t="s">
        <v>1079</v>
      </c>
      <c r="B54" s="157" t="s">
        <v>699</v>
      </c>
      <c r="C54" s="596">
        <v>6574.5</v>
      </c>
      <c r="D54" s="597">
        <v>0</v>
      </c>
      <c r="E54" s="596">
        <v>0</v>
      </c>
      <c r="F54" s="596">
        <v>491.83</v>
      </c>
      <c r="G54" s="598">
        <v>12527.17</v>
      </c>
      <c r="H54" s="598">
        <v>28397.199999999997</v>
      </c>
      <c r="I54" s="598">
        <v>1627.56</v>
      </c>
      <c r="J54" s="598">
        <v>6683.0400000000009</v>
      </c>
      <c r="K54" s="598">
        <v>0</v>
      </c>
      <c r="L54" s="598">
        <v>0</v>
      </c>
      <c r="M54" s="87"/>
    </row>
    <row r="55" spans="1:13">
      <c r="A55" s="157" t="s">
        <v>363</v>
      </c>
      <c r="B55" s="157" t="s">
        <v>699</v>
      </c>
      <c r="C55" s="596">
        <v>5001.3599999999997</v>
      </c>
      <c r="D55" s="597">
        <v>0</v>
      </c>
      <c r="E55" s="596">
        <v>5010.2</v>
      </c>
      <c r="F55" s="596">
        <v>0</v>
      </c>
      <c r="G55" s="598">
        <v>193.44</v>
      </c>
      <c r="H55" s="598">
        <v>15693.44</v>
      </c>
      <c r="I55" s="598">
        <v>0</v>
      </c>
      <c r="J55" s="598">
        <v>3324</v>
      </c>
      <c r="K55" s="598">
        <v>0</v>
      </c>
      <c r="L55" s="598">
        <v>0</v>
      </c>
      <c r="M55" s="87"/>
    </row>
    <row r="56" spans="1:13">
      <c r="A56" s="157" t="s">
        <v>1242</v>
      </c>
      <c r="B56" s="157" t="s">
        <v>699</v>
      </c>
      <c r="C56" s="596">
        <v>5904</v>
      </c>
      <c r="D56" s="597">
        <v>0</v>
      </c>
      <c r="E56" s="596">
        <v>0</v>
      </c>
      <c r="F56" s="596">
        <v>0</v>
      </c>
      <c r="G56" s="598">
        <v>0</v>
      </c>
      <c r="H56" s="598">
        <v>4513.6000000000004</v>
      </c>
      <c r="I56" s="598">
        <v>0</v>
      </c>
      <c r="J56" s="598">
        <v>20653.12</v>
      </c>
      <c r="K56" s="598">
        <v>0</v>
      </c>
      <c r="L56" s="598">
        <v>0</v>
      </c>
      <c r="M56" s="87"/>
    </row>
    <row r="57" spans="1:13">
      <c r="A57" s="157" t="s">
        <v>364</v>
      </c>
      <c r="B57" s="157" t="s">
        <v>699</v>
      </c>
      <c r="C57" s="596">
        <v>0</v>
      </c>
      <c r="D57" s="597">
        <v>0</v>
      </c>
      <c r="E57" s="596">
        <v>125775.56</v>
      </c>
      <c r="F57" s="596">
        <v>0</v>
      </c>
      <c r="G57" s="598">
        <v>0</v>
      </c>
      <c r="H57" s="598">
        <v>0</v>
      </c>
      <c r="I57" s="598">
        <v>0</v>
      </c>
      <c r="J57" s="598">
        <v>21565.18</v>
      </c>
      <c r="K57" s="598">
        <v>0</v>
      </c>
      <c r="L57" s="598">
        <v>0</v>
      </c>
      <c r="M57" s="87"/>
    </row>
    <row r="58" spans="1:13">
      <c r="A58" s="157" t="s">
        <v>1006</v>
      </c>
      <c r="B58" s="157" t="s">
        <v>699</v>
      </c>
      <c r="C58" s="596">
        <v>0</v>
      </c>
      <c r="D58" s="597">
        <v>0</v>
      </c>
      <c r="E58" s="596">
        <v>0</v>
      </c>
      <c r="F58" s="596">
        <v>0</v>
      </c>
      <c r="G58" s="598">
        <v>0</v>
      </c>
      <c r="H58" s="598">
        <v>882</v>
      </c>
      <c r="I58" s="598">
        <v>0</v>
      </c>
      <c r="J58" s="598">
        <v>0</v>
      </c>
      <c r="K58" s="598">
        <v>0</v>
      </c>
      <c r="L58" s="598">
        <v>0</v>
      </c>
      <c r="M58" s="87"/>
    </row>
    <row r="59" spans="1:13">
      <c r="A59" s="157" t="s">
        <v>1080</v>
      </c>
      <c r="B59" s="157" t="s">
        <v>699</v>
      </c>
      <c r="C59" s="596">
        <v>0</v>
      </c>
      <c r="D59" s="597">
        <v>0</v>
      </c>
      <c r="E59" s="596">
        <v>0</v>
      </c>
      <c r="F59" s="596">
        <v>0</v>
      </c>
      <c r="G59" s="598">
        <v>4350</v>
      </c>
      <c r="H59" s="598">
        <v>195.65</v>
      </c>
      <c r="I59" s="598">
        <v>0</v>
      </c>
      <c r="J59" s="598">
        <v>0</v>
      </c>
      <c r="K59" s="598">
        <v>0</v>
      </c>
      <c r="L59" s="598">
        <v>0</v>
      </c>
      <c r="M59" s="87"/>
    </row>
    <row r="60" spans="1:13">
      <c r="A60" s="157" t="s">
        <v>947</v>
      </c>
      <c r="B60" s="157" t="s">
        <v>699</v>
      </c>
      <c r="C60" s="596">
        <v>28.3</v>
      </c>
      <c r="D60" s="597">
        <v>0</v>
      </c>
      <c r="E60" s="596">
        <v>0</v>
      </c>
      <c r="F60" s="596">
        <v>0</v>
      </c>
      <c r="G60" s="598">
        <v>0</v>
      </c>
      <c r="H60" s="598">
        <v>267.83999999999997</v>
      </c>
      <c r="I60" s="598">
        <v>0</v>
      </c>
      <c r="J60" s="598">
        <v>0</v>
      </c>
      <c r="K60" s="598">
        <v>0</v>
      </c>
      <c r="L60" s="598">
        <v>0</v>
      </c>
      <c r="M60" s="87"/>
    </row>
    <row r="61" spans="1:13">
      <c r="A61" s="157" t="s">
        <v>1049</v>
      </c>
      <c r="B61" s="157" t="s">
        <v>699</v>
      </c>
      <c r="C61" s="596">
        <v>0</v>
      </c>
      <c r="D61" s="597">
        <v>0</v>
      </c>
      <c r="E61" s="596">
        <v>0</v>
      </c>
      <c r="F61" s="596">
        <v>0</v>
      </c>
      <c r="G61" s="598">
        <v>0</v>
      </c>
      <c r="H61" s="598">
        <v>391.3</v>
      </c>
      <c r="I61" s="598">
        <v>0</v>
      </c>
      <c r="J61" s="598">
        <v>0</v>
      </c>
      <c r="K61" s="598">
        <v>0</v>
      </c>
      <c r="L61" s="598">
        <v>0</v>
      </c>
      <c r="M61" s="87"/>
    </row>
    <row r="62" spans="1:13">
      <c r="A62" s="157" t="s">
        <v>1007</v>
      </c>
      <c r="B62" s="157" t="s">
        <v>699</v>
      </c>
      <c r="C62" s="596">
        <v>0</v>
      </c>
      <c r="D62" s="597">
        <v>0</v>
      </c>
      <c r="E62" s="596">
        <v>0</v>
      </c>
      <c r="F62" s="596">
        <v>0</v>
      </c>
      <c r="G62" s="598">
        <v>150</v>
      </c>
      <c r="H62" s="598">
        <v>1150.72</v>
      </c>
      <c r="I62" s="598">
        <v>0</v>
      </c>
      <c r="J62" s="598">
        <v>0</v>
      </c>
      <c r="K62" s="598">
        <v>0</v>
      </c>
      <c r="L62" s="598">
        <v>0</v>
      </c>
      <c r="M62" s="87"/>
    </row>
    <row r="63" spans="1:13">
      <c r="A63" s="157" t="s">
        <v>1081</v>
      </c>
      <c r="B63" s="157" t="s">
        <v>699</v>
      </c>
      <c r="C63" s="596">
        <v>0</v>
      </c>
      <c r="D63" s="597">
        <v>0</v>
      </c>
      <c r="E63" s="596">
        <v>0</v>
      </c>
      <c r="F63" s="596">
        <v>0</v>
      </c>
      <c r="G63" s="598">
        <v>0</v>
      </c>
      <c r="H63" s="598">
        <v>29.4</v>
      </c>
      <c r="I63" s="598">
        <v>0</v>
      </c>
      <c r="J63" s="598">
        <v>0</v>
      </c>
      <c r="K63" s="598">
        <v>0</v>
      </c>
      <c r="L63" s="598">
        <v>0</v>
      </c>
      <c r="M63" s="87"/>
    </row>
    <row r="64" spans="1:13">
      <c r="A64" s="157"/>
      <c r="B64" s="157"/>
      <c r="C64" s="599"/>
      <c r="D64" s="599"/>
      <c r="E64" s="599"/>
      <c r="F64" s="599"/>
      <c r="G64" s="599"/>
      <c r="H64" s="599"/>
      <c r="I64" s="599"/>
      <c r="J64" s="599"/>
      <c r="K64" s="599"/>
      <c r="L64" s="599"/>
      <c r="M64" s="87"/>
    </row>
    <row r="65" spans="1:16">
      <c r="A65" s="157" t="s">
        <v>704</v>
      </c>
      <c r="B65" s="157" t="s">
        <v>701</v>
      </c>
      <c r="C65" s="596">
        <v>0</v>
      </c>
      <c r="D65" s="597">
        <v>0</v>
      </c>
      <c r="E65" s="596">
        <v>0</v>
      </c>
      <c r="F65" s="596">
        <v>0</v>
      </c>
      <c r="G65" s="598">
        <v>0</v>
      </c>
      <c r="H65" s="598">
        <v>0</v>
      </c>
      <c r="I65" s="598">
        <v>0</v>
      </c>
      <c r="J65" s="598">
        <v>0</v>
      </c>
      <c r="K65" s="598">
        <v>16500</v>
      </c>
      <c r="L65" s="598">
        <v>0</v>
      </c>
      <c r="M65" s="87"/>
    </row>
    <row r="66" spans="1:16">
      <c r="A66" s="157" t="s">
        <v>700</v>
      </c>
      <c r="B66" s="157" t="s">
        <v>701</v>
      </c>
      <c r="C66" s="596">
        <v>0</v>
      </c>
      <c r="D66" s="597">
        <v>0</v>
      </c>
      <c r="E66" s="596">
        <v>0</v>
      </c>
      <c r="F66" s="596">
        <v>0</v>
      </c>
      <c r="G66" s="598">
        <v>0</v>
      </c>
      <c r="H66" s="598">
        <v>0</v>
      </c>
      <c r="I66" s="598">
        <v>0</v>
      </c>
      <c r="J66" s="598">
        <v>0</v>
      </c>
      <c r="K66" s="598">
        <v>13619.31</v>
      </c>
      <c r="L66" s="598">
        <v>0</v>
      </c>
      <c r="M66" s="87"/>
    </row>
    <row r="67" spans="1:16" s="157" customFormat="1">
      <c r="A67" s="205" t="s">
        <v>948</v>
      </c>
      <c r="B67" s="157" t="s">
        <v>701</v>
      </c>
      <c r="C67" s="596">
        <v>0</v>
      </c>
      <c r="D67" s="597">
        <v>0</v>
      </c>
      <c r="E67" s="596">
        <v>0</v>
      </c>
      <c r="F67" s="596">
        <v>0</v>
      </c>
      <c r="G67" s="598">
        <v>0</v>
      </c>
      <c r="H67" s="598">
        <v>149.94</v>
      </c>
      <c r="I67" s="598">
        <v>0</v>
      </c>
      <c r="J67" s="598">
        <v>0</v>
      </c>
      <c r="K67" s="598">
        <v>0</v>
      </c>
      <c r="L67" s="598">
        <v>0</v>
      </c>
      <c r="M67" s="87"/>
      <c r="N67" s="153"/>
      <c r="O67" s="153"/>
      <c r="P67" s="153"/>
    </row>
    <row r="68" spans="1:16">
      <c r="A68" s="157" t="s">
        <v>949</v>
      </c>
      <c r="B68" s="157" t="s">
        <v>701</v>
      </c>
      <c r="C68" s="596">
        <v>0</v>
      </c>
      <c r="D68" s="597">
        <v>0</v>
      </c>
      <c r="E68" s="596">
        <v>0</v>
      </c>
      <c r="F68" s="596">
        <v>0</v>
      </c>
      <c r="G68" s="598">
        <v>0</v>
      </c>
      <c r="H68" s="598">
        <v>0</v>
      </c>
      <c r="I68" s="598">
        <v>0</v>
      </c>
      <c r="J68" s="598">
        <v>0</v>
      </c>
      <c r="K68" s="598">
        <v>2292.3000000000002</v>
      </c>
      <c r="L68" s="598">
        <v>0</v>
      </c>
      <c r="M68" s="87"/>
    </row>
    <row r="69" spans="1:16">
      <c r="A69" s="157" t="s">
        <v>365</v>
      </c>
      <c r="B69" s="157" t="s">
        <v>701</v>
      </c>
      <c r="C69" s="596">
        <v>0</v>
      </c>
      <c r="D69" s="597">
        <v>0</v>
      </c>
      <c r="E69" s="596">
        <v>0</v>
      </c>
      <c r="F69" s="596">
        <v>0</v>
      </c>
      <c r="G69" s="598">
        <v>0</v>
      </c>
      <c r="H69" s="598">
        <v>0</v>
      </c>
      <c r="I69" s="598">
        <v>0</v>
      </c>
      <c r="J69" s="598">
        <v>0</v>
      </c>
      <c r="K69" s="598">
        <v>7411.14</v>
      </c>
      <c r="L69" s="598">
        <v>0</v>
      </c>
      <c r="M69" s="87"/>
    </row>
    <row r="70" spans="1:16" s="178" customFormat="1">
      <c r="A70" s="157" t="s">
        <v>760</v>
      </c>
      <c r="B70" s="157" t="s">
        <v>701</v>
      </c>
      <c r="C70" s="600">
        <v>0</v>
      </c>
      <c r="D70" s="601">
        <v>0</v>
      </c>
      <c r="E70" s="600">
        <v>0</v>
      </c>
      <c r="F70" s="600">
        <v>0</v>
      </c>
      <c r="G70" s="602">
        <v>0</v>
      </c>
      <c r="H70" s="602">
        <v>0</v>
      </c>
      <c r="I70" s="602">
        <v>0</v>
      </c>
      <c r="J70" s="602">
        <v>0</v>
      </c>
      <c r="K70" s="602">
        <v>49227.75</v>
      </c>
      <c r="L70" s="602">
        <v>0</v>
      </c>
      <c r="M70" s="91"/>
    </row>
    <row r="71" spans="1:16" s="157" customFormat="1">
      <c r="A71" s="376" t="s">
        <v>702</v>
      </c>
      <c r="C71" s="377">
        <f>SUM(C8:C70)</f>
        <v>116082.04000000002</v>
      </c>
      <c r="D71" s="377">
        <f>SUM(D8:D70)</f>
        <v>1362.6000000000004</v>
      </c>
      <c r="E71" s="377">
        <f t="shared" ref="E71:L71" si="0">SUM(E8:E70)</f>
        <v>130785.76</v>
      </c>
      <c r="F71" s="377">
        <f t="shared" si="0"/>
        <v>2453.88</v>
      </c>
      <c r="G71" s="377">
        <f t="shared" si="0"/>
        <v>51550.559999999998</v>
      </c>
      <c r="H71" s="377">
        <f t="shared" si="0"/>
        <v>944728.81999999983</v>
      </c>
      <c r="I71" s="377">
        <f t="shared" si="0"/>
        <v>9002.2400000000016</v>
      </c>
      <c r="J71" s="377">
        <f t="shared" si="0"/>
        <v>152056.22</v>
      </c>
      <c r="K71" s="377">
        <f t="shared" si="0"/>
        <v>89050.5</v>
      </c>
      <c r="L71" s="377">
        <f t="shared" si="0"/>
        <v>0</v>
      </c>
      <c r="M71" s="378"/>
    </row>
    <row r="72" spans="1:16" s="157" customFormat="1">
      <c r="C72" s="379"/>
      <c r="D72" s="379"/>
      <c r="E72" s="379"/>
      <c r="F72" s="379"/>
      <c r="G72" s="379"/>
      <c r="K72" s="379"/>
    </row>
    <row r="73" spans="1:16" s="157" customFormat="1">
      <c r="A73" s="157" t="s">
        <v>534</v>
      </c>
      <c r="B73" s="157" t="s">
        <v>788</v>
      </c>
      <c r="D73" s="379"/>
      <c r="E73" s="380">
        <f>C71+E71+D71</f>
        <v>248230.40000000002</v>
      </c>
      <c r="F73" s="381">
        <f>E73/E79</f>
        <v>0.17199265646653863</v>
      </c>
      <c r="G73" s="382" t="s">
        <v>818</v>
      </c>
    </row>
    <row r="74" spans="1:16" s="157" customFormat="1">
      <c r="D74" s="379"/>
      <c r="E74" s="379"/>
      <c r="F74" s="379"/>
      <c r="G74" s="379"/>
    </row>
    <row r="75" spans="1:16" s="157" customFormat="1">
      <c r="A75" s="157" t="s">
        <v>1235</v>
      </c>
      <c r="D75" s="383"/>
      <c r="E75" s="384">
        <f>SUM(C71:L71)</f>
        <v>1497072.6199999999</v>
      </c>
      <c r="G75" s="379"/>
    </row>
    <row r="76" spans="1:16">
      <c r="B76" s="385"/>
      <c r="C76" s="153"/>
      <c r="D76" s="386" t="s">
        <v>912</v>
      </c>
      <c r="E76" s="387"/>
      <c r="G76" s="153"/>
    </row>
    <row r="77" spans="1:16">
      <c r="B77" s="389"/>
      <c r="C77" s="153"/>
      <c r="D77" s="390" t="s">
        <v>913</v>
      </c>
      <c r="E77" s="387">
        <v>0</v>
      </c>
      <c r="G77" s="153"/>
    </row>
    <row r="78" spans="1:16">
      <c r="B78" s="389"/>
      <c r="C78" s="153"/>
      <c r="D78" s="390" t="s">
        <v>914</v>
      </c>
      <c r="E78" s="391">
        <f>E93</f>
        <v>53810.999999999993</v>
      </c>
      <c r="G78" s="153"/>
    </row>
    <row r="79" spans="1:16" ht="13.5" thickBot="1">
      <c r="B79" s="389"/>
      <c r="C79" s="153"/>
      <c r="D79" s="390" t="s">
        <v>930</v>
      </c>
      <c r="E79" s="392">
        <f>E75-E78</f>
        <v>1443261.6199999999</v>
      </c>
      <c r="G79" s="153"/>
    </row>
    <row r="80" spans="1:16" ht="13.5" thickTop="1">
      <c r="B80" s="388"/>
      <c r="C80" s="153"/>
      <c r="D80" s="528" t="s">
        <v>1236</v>
      </c>
      <c r="E80" s="603">
        <v>1544474.82</v>
      </c>
      <c r="G80" s="153"/>
    </row>
    <row r="81" spans="2:7">
      <c r="B81" s="388"/>
      <c r="C81" s="153"/>
      <c r="D81" s="61" t="s">
        <v>1160</v>
      </c>
      <c r="E81" s="531">
        <f>E80-E79</f>
        <v>101213.20000000019</v>
      </c>
      <c r="G81" s="153"/>
    </row>
    <row r="82" spans="2:7">
      <c r="B82" s="388"/>
      <c r="C82" s="153"/>
      <c r="D82" s="528" t="s">
        <v>1378</v>
      </c>
      <c r="E82" s="531">
        <v>19034.84</v>
      </c>
      <c r="G82" s="153"/>
    </row>
    <row r="83" spans="2:7">
      <c r="B83" s="388"/>
      <c r="C83" s="153"/>
      <c r="D83" s="528" t="s">
        <v>1376</v>
      </c>
      <c r="E83" s="531">
        <v>-128065.38</v>
      </c>
      <c r="G83" s="153"/>
    </row>
    <row r="84" spans="2:7">
      <c r="B84" s="388"/>
      <c r="C84" s="153"/>
      <c r="D84" s="528" t="s">
        <v>1377</v>
      </c>
      <c r="E84" s="531">
        <v>-5384.94</v>
      </c>
      <c r="G84" s="153"/>
    </row>
    <row r="85" spans="2:7">
      <c r="C85" s="153"/>
      <c r="D85" s="528" t="s">
        <v>1373</v>
      </c>
      <c r="E85" s="531">
        <v>2273.15</v>
      </c>
    </row>
    <row r="86" spans="2:7">
      <c r="C86" s="153"/>
      <c r="D86" s="528" t="s">
        <v>1374</v>
      </c>
      <c r="E86" s="531">
        <v>1260.05</v>
      </c>
    </row>
    <row r="87" spans="2:7">
      <c r="C87" s="153"/>
      <c r="D87" s="528" t="s">
        <v>1375</v>
      </c>
      <c r="E87" s="531">
        <v>9669.0499999999993</v>
      </c>
    </row>
    <row r="88" spans="2:7" ht="13.5" thickBot="1">
      <c r="C88" s="153"/>
      <c r="D88" s="528" t="s">
        <v>1161</v>
      </c>
      <c r="E88" s="532">
        <f>SUM(E81:E87)</f>
        <v>-2.9999999822393875E-2</v>
      </c>
    </row>
    <row r="89" spans="2:7" ht="13.5" thickTop="1">
      <c r="C89" s="153"/>
      <c r="D89" s="529"/>
      <c r="E89" s="604"/>
    </row>
    <row r="90" spans="2:7">
      <c r="C90" s="153"/>
      <c r="D90" s="530" t="s">
        <v>1162</v>
      </c>
      <c r="E90" s="604"/>
    </row>
    <row r="91" spans="2:7">
      <c r="C91" s="153"/>
      <c r="D91" s="530" t="s">
        <v>1163</v>
      </c>
      <c r="E91" s="3">
        <f>SUM(F71:G71)</f>
        <v>54004.439999999995</v>
      </c>
    </row>
    <row r="92" spans="2:7">
      <c r="C92" s="153"/>
      <c r="D92" s="530" t="s">
        <v>1164</v>
      </c>
      <c r="E92" s="3">
        <v>193.44</v>
      </c>
    </row>
    <row r="93" spans="2:7" ht="13.5" thickBot="1">
      <c r="C93" s="153"/>
      <c r="D93" s="530" t="s">
        <v>914</v>
      </c>
      <c r="E93" s="532">
        <f>E91-E92</f>
        <v>53810.999999999993</v>
      </c>
    </row>
    <row r="94" spans="2:7" ht="13.5" thickTop="1"/>
  </sheetData>
  <sheetProtection formatCells="0"/>
  <mergeCells count="3">
    <mergeCell ref="A1:L1"/>
    <mergeCell ref="A2:L2"/>
    <mergeCell ref="A3:L3"/>
  </mergeCells>
  <phoneticPr fontId="16" type="noConversion"/>
  <printOptions horizontalCentered="1"/>
  <pageMargins left="0.75" right="0.75" top="1" bottom="1" header="0.5" footer="0.5"/>
  <pageSetup scale="49" fitToHeight="2" orientation="portrait" r:id="rId1"/>
  <headerFooter alignWithMargins="0">
    <oddHeader>&amp;CIDAHO POWER COMPANY
Transmission Cost of Service Rate Development
12 Months Ended 12/31/2014</oddHead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XFD28"/>
  <sheetViews>
    <sheetView zoomScaleNormal="100" zoomScaleSheetLayoutView="100" workbookViewId="0">
      <selection sqref="A1:K1"/>
    </sheetView>
  </sheetViews>
  <sheetFormatPr defaultRowHeight="12.75"/>
  <cols>
    <col min="1" max="1" width="71.5703125" style="198" customWidth="1"/>
    <col min="2" max="2" width="1.5703125" style="198" customWidth="1"/>
    <col min="3" max="3" width="14.5703125" style="198" bestFit="1" customWidth="1"/>
    <col min="4" max="4" width="1.7109375" style="198" customWidth="1"/>
    <col min="5" max="5" width="13.42578125" style="198" bestFit="1" customWidth="1"/>
    <col min="6" max="6" width="2" style="142" customWidth="1"/>
    <col min="7" max="7" width="1.42578125" style="198" customWidth="1"/>
    <col min="8" max="8" width="13.28515625" style="198" bestFit="1" customWidth="1"/>
    <col min="9" max="9" width="1.85546875" style="198" customWidth="1"/>
    <col min="10" max="10" width="13" style="564" bestFit="1" customWidth="1"/>
    <col min="11" max="11" width="12.140625" style="198" customWidth="1"/>
    <col min="12" max="16384" width="9.140625" style="198"/>
  </cols>
  <sheetData>
    <row r="1" spans="1:16384">
      <c r="A1" s="637"/>
      <c r="B1" s="637"/>
      <c r="C1" s="637"/>
      <c r="D1" s="637"/>
      <c r="E1" s="637"/>
      <c r="F1" s="637"/>
      <c r="G1" s="637"/>
      <c r="H1" s="637"/>
      <c r="I1" s="637"/>
      <c r="J1" s="637"/>
      <c r="K1" s="637"/>
      <c r="L1" s="637"/>
      <c r="M1" s="637"/>
      <c r="N1" s="637"/>
      <c r="O1" s="637"/>
      <c r="P1" s="637"/>
      <c r="Q1" s="637"/>
      <c r="R1" s="637"/>
      <c r="S1" s="637"/>
      <c r="T1" s="637"/>
      <c r="U1" s="637"/>
      <c r="V1" s="637"/>
      <c r="W1" s="637"/>
      <c r="X1" s="637"/>
      <c r="Y1" s="637"/>
      <c r="Z1" s="637"/>
      <c r="AA1" s="637"/>
      <c r="AB1" s="637"/>
      <c r="AC1" s="637"/>
      <c r="AD1" s="637"/>
      <c r="AE1" s="637"/>
      <c r="AF1" s="637"/>
      <c r="AG1" s="637"/>
      <c r="AH1" s="637"/>
      <c r="AI1" s="637"/>
      <c r="AJ1" s="637"/>
      <c r="AK1" s="637"/>
      <c r="AL1" s="637"/>
      <c r="AM1" s="637"/>
      <c r="AN1" s="637"/>
      <c r="AO1" s="637"/>
      <c r="AP1" s="637"/>
      <c r="AQ1" s="637"/>
      <c r="AR1" s="637"/>
      <c r="AS1" s="637"/>
      <c r="AT1" s="637"/>
      <c r="AU1" s="637"/>
      <c r="AV1" s="637"/>
      <c r="AW1" s="637"/>
      <c r="AX1" s="637"/>
      <c r="AY1" s="637"/>
      <c r="AZ1" s="637"/>
      <c r="BA1" s="637"/>
      <c r="BB1" s="637"/>
      <c r="BC1" s="637"/>
      <c r="BD1" s="637"/>
      <c r="BE1" s="637"/>
      <c r="BF1" s="637"/>
      <c r="BG1" s="637"/>
      <c r="BH1" s="637"/>
      <c r="BI1" s="637"/>
      <c r="BJ1" s="637"/>
      <c r="BK1" s="637"/>
      <c r="BL1" s="637"/>
      <c r="BM1" s="637"/>
      <c r="BN1" s="637"/>
      <c r="BO1" s="637"/>
      <c r="BP1" s="637"/>
      <c r="BQ1" s="637"/>
      <c r="BR1" s="637"/>
      <c r="BS1" s="637"/>
      <c r="BT1" s="637"/>
      <c r="BU1" s="637"/>
      <c r="BV1" s="637"/>
      <c r="BW1" s="637"/>
      <c r="BX1" s="637"/>
      <c r="BY1" s="637"/>
      <c r="BZ1" s="637"/>
      <c r="CA1" s="637"/>
      <c r="CB1" s="637"/>
      <c r="CC1" s="637"/>
      <c r="CD1" s="637"/>
      <c r="CE1" s="637"/>
      <c r="CF1" s="637"/>
      <c r="CG1" s="637"/>
      <c r="CH1" s="637"/>
      <c r="CI1" s="637"/>
      <c r="CJ1" s="637"/>
      <c r="CK1" s="637"/>
      <c r="CL1" s="637"/>
      <c r="CM1" s="637"/>
      <c r="CN1" s="637"/>
      <c r="CO1" s="637"/>
      <c r="CP1" s="637"/>
      <c r="CQ1" s="637"/>
      <c r="CR1" s="637"/>
      <c r="CS1" s="637"/>
      <c r="CT1" s="637"/>
      <c r="CU1" s="637"/>
      <c r="CV1" s="637"/>
      <c r="CW1" s="637"/>
      <c r="CX1" s="637"/>
      <c r="CY1" s="637"/>
      <c r="CZ1" s="637"/>
      <c r="DA1" s="637"/>
      <c r="DB1" s="637"/>
      <c r="DC1" s="637"/>
      <c r="DD1" s="637"/>
      <c r="DE1" s="637"/>
      <c r="DF1" s="637"/>
      <c r="DG1" s="637"/>
      <c r="DH1" s="637"/>
      <c r="DI1" s="637"/>
      <c r="DJ1" s="637"/>
      <c r="DK1" s="637"/>
      <c r="DL1" s="637"/>
      <c r="DM1" s="637"/>
      <c r="DN1" s="637"/>
      <c r="DO1" s="637"/>
      <c r="DP1" s="637"/>
      <c r="DQ1" s="637"/>
      <c r="DR1" s="637"/>
      <c r="DS1" s="637"/>
      <c r="DT1" s="637"/>
      <c r="DU1" s="637"/>
      <c r="DV1" s="637"/>
      <c r="DW1" s="637"/>
      <c r="DX1" s="637"/>
      <c r="DY1" s="637"/>
      <c r="DZ1" s="637"/>
      <c r="EA1" s="637"/>
      <c r="EB1" s="637"/>
      <c r="EC1" s="637"/>
      <c r="ED1" s="637"/>
      <c r="EE1" s="637"/>
      <c r="EF1" s="637"/>
      <c r="EG1" s="637"/>
      <c r="EH1" s="637"/>
      <c r="EI1" s="637"/>
      <c r="EJ1" s="637"/>
      <c r="EK1" s="637"/>
      <c r="EL1" s="637"/>
      <c r="EM1" s="637"/>
      <c r="EN1" s="637"/>
      <c r="EO1" s="637"/>
      <c r="EP1" s="637"/>
      <c r="EQ1" s="637"/>
      <c r="ER1" s="637"/>
      <c r="ES1" s="637"/>
      <c r="ET1" s="637"/>
      <c r="EU1" s="637"/>
      <c r="EV1" s="637"/>
      <c r="EW1" s="637"/>
      <c r="EX1" s="637"/>
      <c r="EY1" s="637"/>
      <c r="EZ1" s="637"/>
      <c r="FA1" s="637"/>
      <c r="FB1" s="637"/>
      <c r="FC1" s="637"/>
      <c r="FD1" s="637"/>
      <c r="FE1" s="637"/>
      <c r="FF1" s="637"/>
      <c r="FG1" s="637"/>
      <c r="FH1" s="637"/>
      <c r="FI1" s="637"/>
      <c r="FJ1" s="637"/>
      <c r="FK1" s="637"/>
      <c r="FL1" s="637"/>
      <c r="FM1" s="637"/>
      <c r="FN1" s="637"/>
      <c r="FO1" s="637"/>
      <c r="FP1" s="637"/>
      <c r="FQ1" s="637"/>
      <c r="FR1" s="637"/>
      <c r="FS1" s="637"/>
      <c r="FT1" s="637"/>
      <c r="FU1" s="637"/>
      <c r="FV1" s="637"/>
      <c r="FW1" s="637"/>
      <c r="FX1" s="637"/>
      <c r="FY1" s="637"/>
      <c r="FZ1" s="637"/>
      <c r="GA1" s="637"/>
      <c r="GB1" s="637"/>
      <c r="GC1" s="637"/>
      <c r="GD1" s="637"/>
      <c r="GE1" s="637"/>
      <c r="GF1" s="637"/>
      <c r="GG1" s="637"/>
      <c r="GH1" s="637"/>
      <c r="GI1" s="637"/>
      <c r="GJ1" s="637"/>
      <c r="GK1" s="637"/>
      <c r="GL1" s="637"/>
      <c r="GM1" s="637"/>
      <c r="GN1" s="637"/>
      <c r="GO1" s="637"/>
      <c r="GP1" s="637"/>
      <c r="GQ1" s="637"/>
      <c r="GR1" s="637"/>
      <c r="GS1" s="637"/>
      <c r="GT1" s="637"/>
      <c r="GU1" s="637"/>
      <c r="GV1" s="637"/>
      <c r="GW1" s="637"/>
      <c r="GX1" s="637"/>
      <c r="GY1" s="637"/>
      <c r="GZ1" s="637"/>
      <c r="HA1" s="637"/>
      <c r="HB1" s="637"/>
      <c r="HC1" s="637"/>
      <c r="HD1" s="637"/>
      <c r="HE1" s="637"/>
      <c r="HF1" s="637"/>
      <c r="HG1" s="637"/>
      <c r="HH1" s="637"/>
      <c r="HI1" s="637"/>
      <c r="HJ1" s="637"/>
      <c r="HK1" s="637"/>
      <c r="HL1" s="637"/>
      <c r="HM1" s="637"/>
      <c r="HN1" s="637"/>
      <c r="HO1" s="637"/>
      <c r="HP1" s="637"/>
      <c r="HQ1" s="637"/>
      <c r="HR1" s="637"/>
      <c r="HS1" s="637"/>
      <c r="HT1" s="637"/>
      <c r="HU1" s="637"/>
      <c r="HV1" s="637"/>
      <c r="HW1" s="637"/>
      <c r="HX1" s="637"/>
      <c r="HY1" s="637"/>
      <c r="HZ1" s="637"/>
      <c r="IA1" s="637"/>
      <c r="IB1" s="637"/>
      <c r="IC1" s="637"/>
      <c r="ID1" s="637"/>
      <c r="IE1" s="637"/>
      <c r="IF1" s="637"/>
      <c r="IG1" s="637"/>
      <c r="IH1" s="637"/>
      <c r="II1" s="637"/>
      <c r="IJ1" s="637"/>
      <c r="IK1" s="637"/>
      <c r="IL1" s="637"/>
      <c r="IM1" s="637"/>
      <c r="IN1" s="637"/>
      <c r="IO1" s="637"/>
      <c r="IP1" s="637"/>
      <c r="IQ1" s="637"/>
      <c r="IR1" s="637"/>
      <c r="IS1" s="637"/>
      <c r="IT1" s="637"/>
      <c r="IU1" s="637"/>
      <c r="IV1" s="637"/>
      <c r="IW1" s="637"/>
      <c r="IX1" s="637"/>
      <c r="IY1" s="637"/>
      <c r="IZ1" s="637"/>
      <c r="JA1" s="637"/>
      <c r="JB1" s="637"/>
      <c r="JC1" s="637"/>
      <c r="JD1" s="637"/>
      <c r="JE1" s="637"/>
      <c r="JF1" s="637"/>
      <c r="JG1" s="637"/>
      <c r="JH1" s="637"/>
      <c r="JI1" s="637"/>
      <c r="JJ1" s="637"/>
      <c r="JK1" s="637"/>
      <c r="JL1" s="637"/>
      <c r="JM1" s="637"/>
      <c r="JN1" s="637"/>
      <c r="JO1" s="637"/>
      <c r="JP1" s="637"/>
      <c r="JQ1" s="637"/>
      <c r="JR1" s="637"/>
      <c r="JS1" s="637"/>
      <c r="JT1" s="637"/>
      <c r="JU1" s="637"/>
      <c r="JV1" s="637"/>
      <c r="JW1" s="637"/>
      <c r="JX1" s="637"/>
      <c r="JY1" s="637"/>
      <c r="JZ1" s="637"/>
      <c r="KA1" s="637"/>
      <c r="KB1" s="637"/>
      <c r="KC1" s="637"/>
      <c r="KD1" s="637"/>
      <c r="KE1" s="637"/>
      <c r="KF1" s="637"/>
      <c r="KG1" s="637"/>
      <c r="KH1" s="637"/>
      <c r="KI1" s="637"/>
      <c r="KJ1" s="637"/>
      <c r="KK1" s="637"/>
      <c r="KL1" s="637"/>
      <c r="KM1" s="637"/>
      <c r="KN1" s="637"/>
      <c r="KO1" s="637"/>
      <c r="KP1" s="637"/>
      <c r="KQ1" s="637"/>
      <c r="KR1" s="637"/>
      <c r="KS1" s="637"/>
      <c r="KT1" s="637"/>
      <c r="KU1" s="637"/>
      <c r="KV1" s="637"/>
      <c r="KW1" s="637"/>
      <c r="KX1" s="637"/>
      <c r="KY1" s="637"/>
      <c r="KZ1" s="637"/>
      <c r="LA1" s="637"/>
      <c r="LB1" s="637"/>
      <c r="LC1" s="637"/>
      <c r="LD1" s="637"/>
      <c r="LE1" s="637"/>
      <c r="LF1" s="637"/>
      <c r="LG1" s="637"/>
      <c r="LH1" s="637"/>
      <c r="LI1" s="637"/>
      <c r="LJ1" s="637"/>
      <c r="LK1" s="637"/>
      <c r="LL1" s="637"/>
      <c r="LM1" s="637"/>
      <c r="LN1" s="637"/>
      <c r="LO1" s="637"/>
      <c r="LP1" s="637"/>
      <c r="LQ1" s="637"/>
      <c r="LR1" s="637"/>
      <c r="LS1" s="637"/>
      <c r="LT1" s="637"/>
      <c r="LU1" s="637"/>
      <c r="LV1" s="637"/>
      <c r="LW1" s="637"/>
      <c r="LX1" s="637"/>
      <c r="LY1" s="637"/>
      <c r="LZ1" s="637"/>
      <c r="MA1" s="637"/>
      <c r="MB1" s="637"/>
      <c r="MC1" s="637"/>
      <c r="MD1" s="637"/>
      <c r="ME1" s="637"/>
      <c r="MF1" s="637"/>
      <c r="MG1" s="637"/>
      <c r="MH1" s="637"/>
      <c r="MI1" s="637"/>
      <c r="MJ1" s="637"/>
      <c r="MK1" s="637"/>
      <c r="ML1" s="637"/>
      <c r="MM1" s="637"/>
      <c r="MN1" s="637"/>
      <c r="MO1" s="637"/>
      <c r="MP1" s="637"/>
      <c r="MQ1" s="637"/>
      <c r="MR1" s="637"/>
      <c r="MS1" s="637"/>
      <c r="MT1" s="637"/>
      <c r="MU1" s="637"/>
      <c r="MV1" s="637"/>
      <c r="MW1" s="637"/>
      <c r="MX1" s="637"/>
      <c r="MY1" s="637"/>
      <c r="MZ1" s="637"/>
      <c r="NA1" s="637"/>
      <c r="NB1" s="637"/>
      <c r="NC1" s="637"/>
      <c r="ND1" s="637"/>
      <c r="NE1" s="637"/>
      <c r="NF1" s="637"/>
      <c r="NG1" s="637"/>
      <c r="NH1" s="637"/>
      <c r="NI1" s="637"/>
      <c r="NJ1" s="637"/>
      <c r="NK1" s="637"/>
      <c r="NL1" s="637"/>
      <c r="NM1" s="637"/>
      <c r="NN1" s="637"/>
      <c r="NO1" s="637"/>
      <c r="NP1" s="637"/>
      <c r="NQ1" s="637"/>
      <c r="NR1" s="637"/>
      <c r="NS1" s="637"/>
      <c r="NT1" s="637"/>
      <c r="NU1" s="637"/>
      <c r="NV1" s="637"/>
      <c r="NW1" s="637"/>
      <c r="NX1" s="637"/>
      <c r="NY1" s="637"/>
      <c r="NZ1" s="637"/>
      <c r="OA1" s="637"/>
      <c r="OB1" s="637"/>
      <c r="OC1" s="637"/>
      <c r="OD1" s="637"/>
      <c r="OE1" s="637"/>
      <c r="OF1" s="637"/>
      <c r="OG1" s="637"/>
      <c r="OH1" s="637"/>
      <c r="OI1" s="637"/>
      <c r="OJ1" s="637"/>
      <c r="OK1" s="637"/>
      <c r="OL1" s="637"/>
      <c r="OM1" s="637"/>
      <c r="ON1" s="637"/>
      <c r="OO1" s="637"/>
      <c r="OP1" s="637"/>
      <c r="OQ1" s="637"/>
      <c r="OR1" s="637"/>
      <c r="OS1" s="637"/>
      <c r="OT1" s="637"/>
      <c r="OU1" s="637"/>
      <c r="OV1" s="637"/>
      <c r="OW1" s="637"/>
      <c r="OX1" s="637"/>
      <c r="OY1" s="637"/>
      <c r="OZ1" s="637"/>
      <c r="PA1" s="637"/>
      <c r="PB1" s="637"/>
      <c r="PC1" s="637"/>
      <c r="PD1" s="637"/>
      <c r="PE1" s="637"/>
      <c r="PF1" s="637"/>
      <c r="PG1" s="637"/>
      <c r="PH1" s="637"/>
      <c r="PI1" s="637"/>
      <c r="PJ1" s="637"/>
      <c r="PK1" s="637"/>
      <c r="PL1" s="637"/>
      <c r="PM1" s="637"/>
      <c r="PN1" s="637"/>
      <c r="PO1" s="637"/>
      <c r="PP1" s="637"/>
      <c r="PQ1" s="637"/>
      <c r="PR1" s="637"/>
      <c r="PS1" s="637"/>
      <c r="PT1" s="637"/>
      <c r="PU1" s="637"/>
      <c r="PV1" s="637"/>
      <c r="PW1" s="637"/>
      <c r="PX1" s="637"/>
      <c r="PY1" s="637"/>
      <c r="PZ1" s="637"/>
      <c r="QA1" s="637"/>
      <c r="QB1" s="637"/>
      <c r="QC1" s="637"/>
      <c r="QD1" s="637"/>
      <c r="QE1" s="637"/>
      <c r="QF1" s="637"/>
      <c r="QG1" s="637"/>
      <c r="QH1" s="637"/>
      <c r="QI1" s="637"/>
      <c r="QJ1" s="637"/>
      <c r="QK1" s="637"/>
      <c r="QL1" s="637"/>
      <c r="QM1" s="637"/>
      <c r="QN1" s="637"/>
      <c r="QO1" s="637"/>
      <c r="QP1" s="637"/>
      <c r="QQ1" s="637"/>
      <c r="QR1" s="637"/>
      <c r="QS1" s="637"/>
      <c r="QT1" s="637"/>
      <c r="QU1" s="637"/>
      <c r="QV1" s="637"/>
      <c r="QW1" s="637"/>
      <c r="QX1" s="637"/>
      <c r="QY1" s="637"/>
      <c r="QZ1" s="637"/>
      <c r="RA1" s="637"/>
      <c r="RB1" s="637"/>
      <c r="RC1" s="637"/>
      <c r="RD1" s="637"/>
      <c r="RE1" s="637"/>
      <c r="RF1" s="637"/>
      <c r="RG1" s="637"/>
      <c r="RH1" s="637"/>
      <c r="RI1" s="637"/>
      <c r="RJ1" s="637"/>
      <c r="RK1" s="637"/>
      <c r="RL1" s="637"/>
      <c r="RM1" s="637"/>
      <c r="RN1" s="637"/>
      <c r="RO1" s="637"/>
      <c r="RP1" s="637"/>
      <c r="RQ1" s="637"/>
      <c r="RR1" s="637"/>
      <c r="RS1" s="637"/>
      <c r="RT1" s="637"/>
      <c r="RU1" s="637"/>
      <c r="RV1" s="637"/>
      <c r="RW1" s="637"/>
      <c r="RX1" s="637"/>
      <c r="RY1" s="637"/>
      <c r="RZ1" s="637"/>
      <c r="SA1" s="637"/>
      <c r="SB1" s="637"/>
      <c r="SC1" s="637"/>
      <c r="SD1" s="637"/>
      <c r="SE1" s="637"/>
      <c r="SF1" s="637"/>
      <c r="SG1" s="637"/>
      <c r="SH1" s="637"/>
      <c r="SI1" s="637"/>
      <c r="SJ1" s="637"/>
      <c r="SK1" s="637"/>
      <c r="SL1" s="637"/>
      <c r="SM1" s="637"/>
      <c r="SN1" s="637"/>
      <c r="SO1" s="637"/>
      <c r="SP1" s="637"/>
      <c r="SQ1" s="637"/>
      <c r="SR1" s="637"/>
      <c r="SS1" s="637"/>
      <c r="ST1" s="637"/>
      <c r="SU1" s="637"/>
      <c r="SV1" s="637"/>
      <c r="SW1" s="637"/>
      <c r="SX1" s="637"/>
      <c r="SY1" s="637"/>
      <c r="SZ1" s="637"/>
      <c r="TA1" s="637"/>
      <c r="TB1" s="637"/>
      <c r="TC1" s="637"/>
      <c r="TD1" s="637"/>
      <c r="TE1" s="637"/>
      <c r="TF1" s="637"/>
      <c r="TG1" s="637"/>
      <c r="TH1" s="637"/>
      <c r="TI1" s="637"/>
      <c r="TJ1" s="637"/>
      <c r="TK1" s="637"/>
      <c r="TL1" s="637"/>
      <c r="TM1" s="637"/>
      <c r="TN1" s="637"/>
      <c r="TO1" s="637"/>
      <c r="TP1" s="637"/>
      <c r="TQ1" s="637"/>
      <c r="TR1" s="637"/>
      <c r="TS1" s="637"/>
      <c r="TT1" s="637"/>
      <c r="TU1" s="637"/>
      <c r="TV1" s="637"/>
      <c r="TW1" s="637"/>
      <c r="TX1" s="637"/>
      <c r="TY1" s="637"/>
      <c r="TZ1" s="637"/>
      <c r="UA1" s="637"/>
      <c r="UB1" s="637"/>
      <c r="UC1" s="637"/>
      <c r="UD1" s="637"/>
      <c r="UE1" s="637"/>
      <c r="UF1" s="637"/>
      <c r="UG1" s="637"/>
      <c r="UH1" s="637"/>
      <c r="UI1" s="637"/>
      <c r="UJ1" s="637"/>
      <c r="UK1" s="637"/>
      <c r="UL1" s="637"/>
      <c r="UM1" s="637"/>
      <c r="UN1" s="637"/>
      <c r="UO1" s="637"/>
      <c r="UP1" s="637"/>
      <c r="UQ1" s="637"/>
      <c r="UR1" s="637"/>
      <c r="US1" s="637"/>
      <c r="UT1" s="637"/>
      <c r="UU1" s="637"/>
      <c r="UV1" s="637"/>
      <c r="UW1" s="637"/>
      <c r="UX1" s="637"/>
      <c r="UY1" s="637"/>
      <c r="UZ1" s="637"/>
      <c r="VA1" s="637"/>
      <c r="VB1" s="637"/>
      <c r="VC1" s="637"/>
      <c r="VD1" s="637"/>
      <c r="VE1" s="637"/>
      <c r="VF1" s="637"/>
      <c r="VG1" s="637"/>
      <c r="VH1" s="637"/>
      <c r="VI1" s="637"/>
      <c r="VJ1" s="637"/>
      <c r="VK1" s="637"/>
      <c r="VL1" s="637"/>
      <c r="VM1" s="637"/>
      <c r="VN1" s="637"/>
      <c r="VO1" s="637"/>
      <c r="VP1" s="637"/>
      <c r="VQ1" s="637"/>
      <c r="VR1" s="637"/>
      <c r="VS1" s="637"/>
      <c r="VT1" s="637"/>
      <c r="VU1" s="637"/>
      <c r="VV1" s="637"/>
      <c r="VW1" s="637"/>
      <c r="VX1" s="637"/>
      <c r="VY1" s="637"/>
      <c r="VZ1" s="637"/>
      <c r="WA1" s="637"/>
      <c r="WB1" s="637"/>
      <c r="WC1" s="637"/>
      <c r="WD1" s="637"/>
      <c r="WE1" s="637"/>
      <c r="WF1" s="637"/>
      <c r="WG1" s="637"/>
      <c r="WH1" s="637"/>
      <c r="WI1" s="637"/>
      <c r="WJ1" s="637"/>
      <c r="WK1" s="637"/>
      <c r="WL1" s="637"/>
      <c r="WM1" s="637"/>
      <c r="WN1" s="637"/>
      <c r="WO1" s="637"/>
      <c r="WP1" s="637"/>
      <c r="WQ1" s="637"/>
      <c r="WR1" s="637"/>
      <c r="WS1" s="637"/>
      <c r="WT1" s="637"/>
      <c r="WU1" s="637"/>
      <c r="WV1" s="637"/>
      <c r="WW1" s="637"/>
      <c r="WX1" s="637"/>
      <c r="WY1" s="637"/>
      <c r="WZ1" s="637"/>
      <c r="XA1" s="637"/>
      <c r="XB1" s="637"/>
      <c r="XC1" s="637"/>
      <c r="XD1" s="637"/>
      <c r="XE1" s="637"/>
      <c r="XF1" s="637"/>
      <c r="XG1" s="637"/>
      <c r="XH1" s="637"/>
      <c r="XI1" s="637"/>
      <c r="XJ1" s="637"/>
      <c r="XK1" s="637"/>
      <c r="XL1" s="637"/>
      <c r="XM1" s="637"/>
      <c r="XN1" s="637"/>
      <c r="XO1" s="637"/>
      <c r="XP1" s="637"/>
      <c r="XQ1" s="637"/>
      <c r="XR1" s="637"/>
      <c r="XS1" s="637"/>
      <c r="XT1" s="637"/>
      <c r="XU1" s="637"/>
      <c r="XV1" s="637"/>
      <c r="XW1" s="637"/>
      <c r="XX1" s="637"/>
      <c r="XY1" s="637"/>
      <c r="XZ1" s="637"/>
      <c r="YA1" s="637"/>
      <c r="YB1" s="637"/>
      <c r="YC1" s="637"/>
      <c r="YD1" s="637"/>
      <c r="YE1" s="637"/>
      <c r="YF1" s="637"/>
      <c r="YG1" s="637"/>
      <c r="YH1" s="637"/>
      <c r="YI1" s="637"/>
      <c r="YJ1" s="637"/>
      <c r="YK1" s="637"/>
      <c r="YL1" s="637"/>
      <c r="YM1" s="637"/>
      <c r="YN1" s="637"/>
      <c r="YO1" s="637"/>
      <c r="YP1" s="637"/>
      <c r="YQ1" s="637"/>
      <c r="YR1" s="637"/>
      <c r="YS1" s="637"/>
      <c r="YT1" s="637"/>
      <c r="YU1" s="637"/>
      <c r="YV1" s="637"/>
      <c r="YW1" s="637"/>
      <c r="YX1" s="637"/>
      <c r="YY1" s="637"/>
      <c r="YZ1" s="637"/>
      <c r="ZA1" s="637"/>
      <c r="ZB1" s="637"/>
      <c r="ZC1" s="637"/>
      <c r="ZD1" s="637"/>
      <c r="ZE1" s="637"/>
      <c r="ZF1" s="637"/>
      <c r="ZG1" s="637"/>
      <c r="ZH1" s="637"/>
      <c r="ZI1" s="637"/>
      <c r="ZJ1" s="637"/>
      <c r="ZK1" s="637"/>
      <c r="ZL1" s="637"/>
      <c r="ZM1" s="637"/>
      <c r="ZN1" s="637"/>
      <c r="ZO1" s="637"/>
      <c r="ZP1" s="637"/>
      <c r="ZQ1" s="637"/>
      <c r="ZR1" s="637"/>
      <c r="ZS1" s="637"/>
      <c r="ZT1" s="637"/>
      <c r="ZU1" s="637"/>
      <c r="ZV1" s="637"/>
      <c r="ZW1" s="637"/>
      <c r="ZX1" s="637"/>
      <c r="ZY1" s="637"/>
      <c r="ZZ1" s="637"/>
      <c r="AAA1" s="637"/>
      <c r="AAB1" s="637"/>
      <c r="AAC1" s="637"/>
      <c r="AAD1" s="637"/>
      <c r="AAE1" s="637"/>
      <c r="AAF1" s="637"/>
      <c r="AAG1" s="637"/>
      <c r="AAH1" s="637"/>
      <c r="AAI1" s="637"/>
      <c r="AAJ1" s="637"/>
      <c r="AAK1" s="637"/>
      <c r="AAL1" s="637"/>
      <c r="AAM1" s="637"/>
      <c r="AAN1" s="637"/>
      <c r="AAO1" s="637"/>
      <c r="AAP1" s="637"/>
      <c r="AAQ1" s="637"/>
      <c r="AAR1" s="637"/>
      <c r="AAS1" s="637"/>
      <c r="AAT1" s="637"/>
      <c r="AAU1" s="637"/>
      <c r="AAV1" s="637"/>
      <c r="AAW1" s="637"/>
      <c r="AAX1" s="637"/>
      <c r="AAY1" s="637"/>
      <c r="AAZ1" s="637"/>
      <c r="ABA1" s="637"/>
      <c r="ABB1" s="637"/>
      <c r="ABC1" s="637"/>
      <c r="ABD1" s="637"/>
      <c r="ABE1" s="637"/>
      <c r="ABF1" s="637"/>
      <c r="ABG1" s="637"/>
      <c r="ABH1" s="637"/>
      <c r="ABI1" s="637"/>
      <c r="ABJ1" s="637"/>
      <c r="ABK1" s="637"/>
      <c r="ABL1" s="637"/>
      <c r="ABM1" s="637"/>
      <c r="ABN1" s="637"/>
      <c r="ABO1" s="637"/>
      <c r="ABP1" s="637"/>
      <c r="ABQ1" s="637"/>
      <c r="ABR1" s="637"/>
      <c r="ABS1" s="637"/>
      <c r="ABT1" s="637"/>
      <c r="ABU1" s="637"/>
      <c r="ABV1" s="637"/>
      <c r="ABW1" s="637"/>
      <c r="ABX1" s="637"/>
      <c r="ABY1" s="637"/>
      <c r="ABZ1" s="637"/>
      <c r="ACA1" s="637"/>
      <c r="ACB1" s="637"/>
      <c r="ACC1" s="637"/>
      <c r="ACD1" s="637"/>
      <c r="ACE1" s="637"/>
      <c r="ACF1" s="637"/>
      <c r="ACG1" s="637"/>
      <c r="ACH1" s="637"/>
      <c r="ACI1" s="637"/>
      <c r="ACJ1" s="637"/>
      <c r="ACK1" s="637"/>
      <c r="ACL1" s="637"/>
      <c r="ACM1" s="637"/>
      <c r="ACN1" s="637"/>
      <c r="ACO1" s="637"/>
      <c r="ACP1" s="637"/>
      <c r="ACQ1" s="637"/>
      <c r="ACR1" s="637"/>
      <c r="ACS1" s="637"/>
      <c r="ACT1" s="637"/>
      <c r="ACU1" s="637"/>
      <c r="ACV1" s="637"/>
      <c r="ACW1" s="637"/>
      <c r="ACX1" s="637"/>
      <c r="ACY1" s="637"/>
      <c r="ACZ1" s="637"/>
      <c r="ADA1" s="637"/>
      <c r="ADB1" s="637"/>
      <c r="ADC1" s="637"/>
      <c r="ADD1" s="637"/>
      <c r="ADE1" s="637"/>
      <c r="ADF1" s="637"/>
      <c r="ADG1" s="637"/>
      <c r="ADH1" s="637"/>
      <c r="ADI1" s="637"/>
      <c r="ADJ1" s="637"/>
      <c r="ADK1" s="637"/>
      <c r="ADL1" s="637"/>
      <c r="ADM1" s="637"/>
      <c r="ADN1" s="637"/>
      <c r="ADO1" s="637"/>
      <c r="ADP1" s="637"/>
      <c r="ADQ1" s="637"/>
      <c r="ADR1" s="637"/>
      <c r="ADS1" s="637"/>
      <c r="ADT1" s="637"/>
      <c r="ADU1" s="637"/>
      <c r="ADV1" s="637"/>
      <c r="ADW1" s="637"/>
      <c r="ADX1" s="637"/>
      <c r="ADY1" s="637"/>
      <c r="ADZ1" s="637"/>
      <c r="AEA1" s="637"/>
      <c r="AEB1" s="637"/>
      <c r="AEC1" s="637"/>
      <c r="AED1" s="637"/>
      <c r="AEE1" s="637"/>
      <c r="AEF1" s="637"/>
      <c r="AEG1" s="637"/>
      <c r="AEH1" s="637"/>
      <c r="AEI1" s="637"/>
      <c r="AEJ1" s="637"/>
      <c r="AEK1" s="637"/>
      <c r="AEL1" s="637"/>
      <c r="AEM1" s="637"/>
      <c r="AEN1" s="637"/>
      <c r="AEO1" s="637"/>
      <c r="AEP1" s="637"/>
      <c r="AEQ1" s="637"/>
      <c r="AER1" s="637"/>
      <c r="AES1" s="637"/>
      <c r="AET1" s="637"/>
      <c r="AEU1" s="637"/>
      <c r="AEV1" s="637"/>
      <c r="AEW1" s="637"/>
      <c r="AEX1" s="637"/>
      <c r="AEY1" s="637"/>
      <c r="AEZ1" s="637"/>
      <c r="AFA1" s="637"/>
      <c r="AFB1" s="637"/>
      <c r="AFC1" s="637"/>
      <c r="AFD1" s="637"/>
      <c r="AFE1" s="637"/>
      <c r="AFF1" s="637"/>
      <c r="AFG1" s="637"/>
      <c r="AFH1" s="637"/>
      <c r="AFI1" s="637"/>
      <c r="AFJ1" s="637"/>
      <c r="AFK1" s="637"/>
      <c r="AFL1" s="637"/>
      <c r="AFM1" s="637"/>
      <c r="AFN1" s="637"/>
      <c r="AFO1" s="637"/>
      <c r="AFP1" s="637"/>
      <c r="AFQ1" s="637"/>
      <c r="AFR1" s="637"/>
      <c r="AFS1" s="637"/>
      <c r="AFT1" s="637"/>
      <c r="AFU1" s="637"/>
      <c r="AFV1" s="637"/>
      <c r="AFW1" s="637"/>
      <c r="AFX1" s="637"/>
      <c r="AFY1" s="637"/>
      <c r="AFZ1" s="637"/>
      <c r="AGA1" s="637"/>
      <c r="AGB1" s="637"/>
      <c r="AGC1" s="637"/>
      <c r="AGD1" s="637"/>
      <c r="AGE1" s="637"/>
      <c r="AGF1" s="637"/>
      <c r="AGG1" s="637"/>
      <c r="AGH1" s="637"/>
      <c r="AGI1" s="637"/>
      <c r="AGJ1" s="637"/>
      <c r="AGK1" s="637"/>
      <c r="AGL1" s="637"/>
      <c r="AGM1" s="637"/>
      <c r="AGN1" s="637"/>
      <c r="AGO1" s="637"/>
      <c r="AGP1" s="637"/>
      <c r="AGQ1" s="637"/>
      <c r="AGR1" s="637"/>
      <c r="AGS1" s="637"/>
      <c r="AGT1" s="637"/>
      <c r="AGU1" s="637"/>
      <c r="AGV1" s="637"/>
      <c r="AGW1" s="637"/>
      <c r="AGX1" s="637"/>
      <c r="AGY1" s="637"/>
      <c r="AGZ1" s="637"/>
      <c r="AHA1" s="637"/>
      <c r="AHB1" s="637"/>
      <c r="AHC1" s="637"/>
      <c r="AHD1" s="637"/>
      <c r="AHE1" s="637"/>
      <c r="AHF1" s="637"/>
      <c r="AHG1" s="637"/>
      <c r="AHH1" s="637"/>
      <c r="AHI1" s="637"/>
      <c r="AHJ1" s="637"/>
      <c r="AHK1" s="637"/>
      <c r="AHL1" s="637"/>
      <c r="AHM1" s="637"/>
      <c r="AHN1" s="637"/>
      <c r="AHO1" s="637"/>
      <c r="AHP1" s="637"/>
      <c r="AHQ1" s="637"/>
      <c r="AHR1" s="637"/>
      <c r="AHS1" s="637"/>
      <c r="AHT1" s="637"/>
      <c r="AHU1" s="637"/>
      <c r="AHV1" s="637"/>
      <c r="AHW1" s="637"/>
      <c r="AHX1" s="637"/>
      <c r="AHY1" s="637"/>
      <c r="AHZ1" s="637"/>
      <c r="AIA1" s="637"/>
      <c r="AIB1" s="637"/>
      <c r="AIC1" s="637"/>
      <c r="AID1" s="637"/>
      <c r="AIE1" s="637"/>
      <c r="AIF1" s="637"/>
      <c r="AIG1" s="637"/>
      <c r="AIH1" s="637"/>
      <c r="AII1" s="637"/>
      <c r="AIJ1" s="637"/>
      <c r="AIK1" s="637"/>
      <c r="AIL1" s="637"/>
      <c r="AIM1" s="637"/>
      <c r="AIN1" s="637"/>
      <c r="AIO1" s="637"/>
      <c r="AIP1" s="637"/>
      <c r="AIQ1" s="637"/>
      <c r="AIR1" s="637"/>
      <c r="AIS1" s="637"/>
      <c r="AIT1" s="637"/>
      <c r="AIU1" s="637"/>
      <c r="AIV1" s="637"/>
      <c r="AIW1" s="637"/>
      <c r="AIX1" s="637"/>
      <c r="AIY1" s="637"/>
      <c r="AIZ1" s="637"/>
      <c r="AJA1" s="637"/>
      <c r="AJB1" s="637"/>
      <c r="AJC1" s="637"/>
      <c r="AJD1" s="637"/>
      <c r="AJE1" s="637"/>
      <c r="AJF1" s="637"/>
      <c r="AJG1" s="637"/>
      <c r="AJH1" s="637"/>
      <c r="AJI1" s="637"/>
      <c r="AJJ1" s="637"/>
      <c r="AJK1" s="637"/>
      <c r="AJL1" s="637"/>
      <c r="AJM1" s="637"/>
      <c r="AJN1" s="637"/>
      <c r="AJO1" s="637"/>
      <c r="AJP1" s="637"/>
      <c r="AJQ1" s="637"/>
      <c r="AJR1" s="637"/>
      <c r="AJS1" s="637"/>
      <c r="AJT1" s="637"/>
      <c r="AJU1" s="637"/>
      <c r="AJV1" s="637"/>
      <c r="AJW1" s="637"/>
      <c r="AJX1" s="637"/>
      <c r="AJY1" s="637"/>
      <c r="AJZ1" s="637"/>
      <c r="AKA1" s="637"/>
      <c r="AKB1" s="637"/>
      <c r="AKC1" s="637"/>
      <c r="AKD1" s="637"/>
      <c r="AKE1" s="637"/>
      <c r="AKF1" s="637"/>
      <c r="AKG1" s="637"/>
      <c r="AKH1" s="637"/>
      <c r="AKI1" s="637"/>
      <c r="AKJ1" s="637"/>
      <c r="AKK1" s="637"/>
      <c r="AKL1" s="637"/>
      <c r="AKM1" s="637"/>
      <c r="AKN1" s="637"/>
      <c r="AKO1" s="637"/>
      <c r="AKP1" s="637"/>
      <c r="AKQ1" s="637"/>
      <c r="AKR1" s="637"/>
      <c r="AKS1" s="637"/>
      <c r="AKT1" s="637"/>
      <c r="AKU1" s="637"/>
      <c r="AKV1" s="637"/>
      <c r="AKW1" s="637"/>
      <c r="AKX1" s="637"/>
      <c r="AKY1" s="637"/>
      <c r="AKZ1" s="637"/>
      <c r="ALA1" s="637"/>
      <c r="ALB1" s="637"/>
      <c r="ALC1" s="637"/>
      <c r="ALD1" s="637"/>
      <c r="ALE1" s="637"/>
      <c r="ALF1" s="637"/>
      <c r="ALG1" s="637"/>
      <c r="ALH1" s="637"/>
      <c r="ALI1" s="637"/>
      <c r="ALJ1" s="637"/>
      <c r="ALK1" s="637"/>
      <c r="ALL1" s="637"/>
      <c r="ALM1" s="637"/>
      <c r="ALN1" s="637"/>
      <c r="ALO1" s="637"/>
      <c r="ALP1" s="637"/>
      <c r="ALQ1" s="637"/>
      <c r="ALR1" s="637"/>
      <c r="ALS1" s="637"/>
      <c r="ALT1" s="637"/>
      <c r="ALU1" s="637"/>
      <c r="ALV1" s="637"/>
      <c r="ALW1" s="637"/>
      <c r="ALX1" s="637"/>
      <c r="ALY1" s="637"/>
      <c r="ALZ1" s="637"/>
      <c r="AMA1" s="637"/>
      <c r="AMB1" s="637"/>
      <c r="AMC1" s="637"/>
      <c r="AMD1" s="637"/>
      <c r="AME1" s="637"/>
      <c r="AMF1" s="637"/>
      <c r="AMG1" s="637"/>
      <c r="AMH1" s="637"/>
      <c r="AMI1" s="637"/>
      <c r="AMJ1" s="637"/>
      <c r="AMK1" s="637"/>
      <c r="AML1" s="637"/>
      <c r="AMM1" s="637"/>
      <c r="AMN1" s="637"/>
      <c r="AMO1" s="637"/>
      <c r="AMP1" s="637"/>
      <c r="AMQ1" s="637"/>
      <c r="AMR1" s="637"/>
      <c r="AMS1" s="637"/>
      <c r="AMT1" s="637"/>
      <c r="AMU1" s="637"/>
      <c r="AMV1" s="637"/>
      <c r="AMW1" s="637"/>
      <c r="AMX1" s="637"/>
      <c r="AMY1" s="637"/>
      <c r="AMZ1" s="637"/>
      <c r="ANA1" s="637"/>
      <c r="ANB1" s="637"/>
      <c r="ANC1" s="637"/>
      <c r="AND1" s="637"/>
      <c r="ANE1" s="637"/>
      <c r="ANF1" s="637"/>
      <c r="ANG1" s="637"/>
      <c r="ANH1" s="637"/>
      <c r="ANI1" s="637"/>
      <c r="ANJ1" s="637"/>
      <c r="ANK1" s="637"/>
      <c r="ANL1" s="637"/>
      <c r="ANM1" s="637"/>
      <c r="ANN1" s="637"/>
      <c r="ANO1" s="637"/>
      <c r="ANP1" s="637"/>
      <c r="ANQ1" s="637"/>
      <c r="ANR1" s="637"/>
      <c r="ANS1" s="637"/>
      <c r="ANT1" s="637"/>
      <c r="ANU1" s="637"/>
      <c r="ANV1" s="637"/>
      <c r="ANW1" s="637"/>
      <c r="ANX1" s="637"/>
      <c r="ANY1" s="637"/>
      <c r="ANZ1" s="637"/>
      <c r="AOA1" s="637"/>
      <c r="AOB1" s="637"/>
      <c r="AOC1" s="637"/>
      <c r="AOD1" s="637"/>
      <c r="AOE1" s="637"/>
      <c r="AOF1" s="637"/>
      <c r="AOG1" s="637"/>
      <c r="AOH1" s="637"/>
      <c r="AOI1" s="637"/>
      <c r="AOJ1" s="637"/>
      <c r="AOK1" s="637"/>
      <c r="AOL1" s="637"/>
      <c r="AOM1" s="637"/>
      <c r="AON1" s="637"/>
      <c r="AOO1" s="637"/>
      <c r="AOP1" s="637"/>
      <c r="AOQ1" s="637"/>
      <c r="AOR1" s="637"/>
      <c r="AOS1" s="637"/>
      <c r="AOT1" s="637"/>
      <c r="AOU1" s="637"/>
      <c r="AOV1" s="637"/>
      <c r="AOW1" s="637"/>
      <c r="AOX1" s="637"/>
      <c r="AOY1" s="637"/>
      <c r="AOZ1" s="637"/>
      <c r="APA1" s="637"/>
      <c r="APB1" s="637"/>
      <c r="APC1" s="637"/>
      <c r="APD1" s="637"/>
      <c r="APE1" s="637"/>
      <c r="APF1" s="637"/>
      <c r="APG1" s="637"/>
      <c r="APH1" s="637"/>
      <c r="API1" s="637"/>
      <c r="APJ1" s="637"/>
      <c r="APK1" s="637"/>
      <c r="APL1" s="637"/>
      <c r="APM1" s="637"/>
      <c r="APN1" s="637"/>
      <c r="APO1" s="637"/>
      <c r="APP1" s="637"/>
      <c r="APQ1" s="637"/>
      <c r="APR1" s="637"/>
      <c r="APS1" s="637"/>
      <c r="APT1" s="637"/>
      <c r="APU1" s="637"/>
      <c r="APV1" s="637"/>
      <c r="APW1" s="637"/>
      <c r="APX1" s="637"/>
      <c r="APY1" s="637"/>
      <c r="APZ1" s="637"/>
      <c r="AQA1" s="637"/>
      <c r="AQB1" s="637"/>
      <c r="AQC1" s="637"/>
      <c r="AQD1" s="637"/>
      <c r="AQE1" s="637"/>
      <c r="AQF1" s="637"/>
      <c r="AQG1" s="637"/>
      <c r="AQH1" s="637"/>
      <c r="AQI1" s="637"/>
      <c r="AQJ1" s="637"/>
      <c r="AQK1" s="637"/>
      <c r="AQL1" s="637"/>
      <c r="AQM1" s="637"/>
      <c r="AQN1" s="637"/>
      <c r="AQO1" s="637"/>
      <c r="AQP1" s="637"/>
      <c r="AQQ1" s="637"/>
      <c r="AQR1" s="637"/>
      <c r="AQS1" s="637"/>
      <c r="AQT1" s="637"/>
      <c r="AQU1" s="637"/>
      <c r="AQV1" s="637"/>
      <c r="AQW1" s="637"/>
      <c r="AQX1" s="637"/>
      <c r="AQY1" s="637"/>
      <c r="AQZ1" s="637"/>
      <c r="ARA1" s="637"/>
      <c r="ARB1" s="637"/>
      <c r="ARC1" s="637"/>
      <c r="ARD1" s="637"/>
      <c r="ARE1" s="637"/>
      <c r="ARF1" s="637"/>
      <c r="ARG1" s="637"/>
      <c r="ARH1" s="637"/>
      <c r="ARI1" s="637"/>
      <c r="ARJ1" s="637"/>
      <c r="ARK1" s="637"/>
      <c r="ARL1" s="637"/>
      <c r="ARM1" s="637"/>
      <c r="ARN1" s="637"/>
      <c r="ARO1" s="637"/>
      <c r="ARP1" s="637"/>
      <c r="ARQ1" s="637"/>
      <c r="ARR1" s="637"/>
      <c r="ARS1" s="637"/>
      <c r="ART1" s="637"/>
      <c r="ARU1" s="637"/>
      <c r="ARV1" s="637"/>
      <c r="ARW1" s="637"/>
      <c r="ARX1" s="637"/>
      <c r="ARY1" s="637"/>
      <c r="ARZ1" s="637"/>
      <c r="ASA1" s="637"/>
      <c r="ASB1" s="637"/>
      <c r="ASC1" s="637"/>
      <c r="ASD1" s="637"/>
      <c r="ASE1" s="637"/>
      <c r="ASF1" s="637"/>
      <c r="ASG1" s="637"/>
      <c r="ASH1" s="637"/>
      <c r="ASI1" s="637"/>
      <c r="ASJ1" s="637"/>
      <c r="ASK1" s="637"/>
      <c r="ASL1" s="637"/>
      <c r="ASM1" s="637"/>
      <c r="ASN1" s="637"/>
      <c r="ASO1" s="637"/>
      <c r="ASP1" s="637"/>
      <c r="ASQ1" s="637"/>
      <c r="ASR1" s="637"/>
      <c r="ASS1" s="637"/>
      <c r="AST1" s="637"/>
      <c r="ASU1" s="637"/>
      <c r="ASV1" s="637"/>
      <c r="ASW1" s="637"/>
      <c r="ASX1" s="637"/>
      <c r="ASY1" s="637"/>
      <c r="ASZ1" s="637"/>
      <c r="ATA1" s="637"/>
      <c r="ATB1" s="637"/>
      <c r="ATC1" s="637"/>
      <c r="ATD1" s="637"/>
      <c r="ATE1" s="637"/>
      <c r="ATF1" s="637"/>
      <c r="ATG1" s="637"/>
      <c r="ATH1" s="637"/>
      <c r="ATI1" s="637"/>
      <c r="ATJ1" s="637"/>
      <c r="ATK1" s="637"/>
      <c r="ATL1" s="637"/>
      <c r="ATM1" s="637"/>
      <c r="ATN1" s="637"/>
      <c r="ATO1" s="637"/>
      <c r="ATP1" s="637"/>
      <c r="ATQ1" s="637"/>
      <c r="ATR1" s="637"/>
      <c r="ATS1" s="637"/>
      <c r="ATT1" s="637"/>
      <c r="ATU1" s="637"/>
      <c r="ATV1" s="637"/>
      <c r="ATW1" s="637"/>
      <c r="ATX1" s="637"/>
      <c r="ATY1" s="637"/>
      <c r="ATZ1" s="637"/>
      <c r="AUA1" s="637"/>
      <c r="AUB1" s="637"/>
      <c r="AUC1" s="637"/>
      <c r="AUD1" s="637"/>
      <c r="AUE1" s="637"/>
      <c r="AUF1" s="637"/>
      <c r="AUG1" s="637"/>
      <c r="AUH1" s="637"/>
      <c r="AUI1" s="637"/>
      <c r="AUJ1" s="637"/>
      <c r="AUK1" s="637"/>
      <c r="AUL1" s="637"/>
      <c r="AUM1" s="637"/>
      <c r="AUN1" s="637"/>
      <c r="AUO1" s="637"/>
      <c r="AUP1" s="637"/>
      <c r="AUQ1" s="637"/>
      <c r="AUR1" s="637"/>
      <c r="AUS1" s="637"/>
      <c r="AUT1" s="637"/>
      <c r="AUU1" s="637"/>
      <c r="AUV1" s="637"/>
      <c r="AUW1" s="637"/>
      <c r="AUX1" s="637"/>
      <c r="AUY1" s="637"/>
      <c r="AUZ1" s="637"/>
      <c r="AVA1" s="637"/>
      <c r="AVB1" s="637"/>
      <c r="AVC1" s="637"/>
      <c r="AVD1" s="637"/>
      <c r="AVE1" s="637"/>
      <c r="AVF1" s="637"/>
      <c r="AVG1" s="637"/>
      <c r="AVH1" s="637"/>
      <c r="AVI1" s="637"/>
      <c r="AVJ1" s="637"/>
      <c r="AVK1" s="637"/>
      <c r="AVL1" s="637"/>
      <c r="AVM1" s="637"/>
      <c r="AVN1" s="637"/>
      <c r="AVO1" s="637"/>
      <c r="AVP1" s="637"/>
      <c r="AVQ1" s="637"/>
      <c r="AVR1" s="637"/>
      <c r="AVS1" s="637"/>
      <c r="AVT1" s="637"/>
      <c r="AVU1" s="637"/>
      <c r="AVV1" s="637"/>
      <c r="AVW1" s="637"/>
      <c r="AVX1" s="637"/>
      <c r="AVY1" s="637"/>
      <c r="AVZ1" s="637"/>
      <c r="AWA1" s="637"/>
      <c r="AWB1" s="637"/>
      <c r="AWC1" s="637"/>
      <c r="AWD1" s="637"/>
      <c r="AWE1" s="637"/>
      <c r="AWF1" s="637"/>
      <c r="AWG1" s="637"/>
      <c r="AWH1" s="637"/>
      <c r="AWI1" s="637"/>
      <c r="AWJ1" s="637"/>
      <c r="AWK1" s="637"/>
      <c r="AWL1" s="637"/>
      <c r="AWM1" s="637"/>
      <c r="AWN1" s="637"/>
      <c r="AWO1" s="637"/>
      <c r="AWP1" s="637"/>
      <c r="AWQ1" s="637"/>
      <c r="AWR1" s="637"/>
      <c r="AWS1" s="637"/>
      <c r="AWT1" s="637"/>
      <c r="AWU1" s="637"/>
      <c r="AWV1" s="637"/>
      <c r="AWW1" s="637"/>
      <c r="AWX1" s="637"/>
      <c r="AWY1" s="637"/>
      <c r="AWZ1" s="637"/>
      <c r="AXA1" s="637"/>
      <c r="AXB1" s="637"/>
      <c r="AXC1" s="637"/>
      <c r="AXD1" s="637"/>
      <c r="AXE1" s="637"/>
      <c r="AXF1" s="637"/>
      <c r="AXG1" s="637"/>
      <c r="AXH1" s="637"/>
      <c r="AXI1" s="637"/>
      <c r="AXJ1" s="637"/>
      <c r="AXK1" s="637"/>
      <c r="AXL1" s="637"/>
      <c r="AXM1" s="637"/>
      <c r="AXN1" s="637"/>
      <c r="AXO1" s="637"/>
      <c r="AXP1" s="637"/>
      <c r="AXQ1" s="637"/>
      <c r="AXR1" s="637"/>
      <c r="AXS1" s="637"/>
      <c r="AXT1" s="637"/>
      <c r="AXU1" s="637"/>
      <c r="AXV1" s="637"/>
      <c r="AXW1" s="637"/>
      <c r="AXX1" s="637"/>
      <c r="AXY1" s="637"/>
      <c r="AXZ1" s="637"/>
      <c r="AYA1" s="637"/>
      <c r="AYB1" s="637"/>
      <c r="AYC1" s="637"/>
      <c r="AYD1" s="637"/>
      <c r="AYE1" s="637"/>
      <c r="AYF1" s="637"/>
      <c r="AYG1" s="637"/>
      <c r="AYH1" s="637"/>
      <c r="AYI1" s="637"/>
      <c r="AYJ1" s="637"/>
      <c r="AYK1" s="637"/>
      <c r="AYL1" s="637"/>
      <c r="AYM1" s="637"/>
      <c r="AYN1" s="637"/>
      <c r="AYO1" s="637"/>
      <c r="AYP1" s="637"/>
      <c r="AYQ1" s="637"/>
      <c r="AYR1" s="637"/>
      <c r="AYS1" s="637"/>
      <c r="AYT1" s="637"/>
      <c r="AYU1" s="637"/>
      <c r="AYV1" s="637"/>
      <c r="AYW1" s="637"/>
      <c r="AYX1" s="637"/>
      <c r="AYY1" s="637"/>
      <c r="AYZ1" s="637"/>
      <c r="AZA1" s="637"/>
      <c r="AZB1" s="637"/>
      <c r="AZC1" s="637"/>
      <c r="AZD1" s="637"/>
      <c r="AZE1" s="637"/>
      <c r="AZF1" s="637"/>
      <c r="AZG1" s="637"/>
      <c r="AZH1" s="637"/>
      <c r="AZI1" s="637"/>
      <c r="AZJ1" s="637"/>
      <c r="AZK1" s="637"/>
      <c r="AZL1" s="637"/>
      <c r="AZM1" s="637"/>
      <c r="AZN1" s="637"/>
      <c r="AZO1" s="637"/>
      <c r="AZP1" s="637"/>
      <c r="AZQ1" s="637"/>
      <c r="AZR1" s="637"/>
      <c r="AZS1" s="637"/>
      <c r="AZT1" s="637"/>
      <c r="AZU1" s="637"/>
      <c r="AZV1" s="637"/>
      <c r="AZW1" s="637"/>
      <c r="AZX1" s="637"/>
      <c r="AZY1" s="637"/>
      <c r="AZZ1" s="637"/>
      <c r="BAA1" s="637"/>
      <c r="BAB1" s="637"/>
      <c r="BAC1" s="637"/>
      <c r="BAD1" s="637"/>
      <c r="BAE1" s="637"/>
      <c r="BAF1" s="637"/>
      <c r="BAG1" s="637"/>
      <c r="BAH1" s="637"/>
      <c r="BAI1" s="637"/>
      <c r="BAJ1" s="637"/>
      <c r="BAK1" s="637"/>
      <c r="BAL1" s="637"/>
      <c r="BAM1" s="637"/>
      <c r="BAN1" s="637"/>
      <c r="BAO1" s="637"/>
      <c r="BAP1" s="637"/>
      <c r="BAQ1" s="637"/>
      <c r="BAR1" s="637"/>
      <c r="BAS1" s="637"/>
      <c r="BAT1" s="637"/>
      <c r="BAU1" s="637"/>
      <c r="BAV1" s="637"/>
      <c r="BAW1" s="637"/>
      <c r="BAX1" s="637"/>
      <c r="BAY1" s="637"/>
      <c r="BAZ1" s="637"/>
      <c r="BBA1" s="637"/>
      <c r="BBB1" s="637"/>
      <c r="BBC1" s="637"/>
      <c r="BBD1" s="637"/>
      <c r="BBE1" s="637"/>
      <c r="BBF1" s="637"/>
      <c r="BBG1" s="637"/>
      <c r="BBH1" s="637"/>
      <c r="BBI1" s="637"/>
      <c r="BBJ1" s="637"/>
      <c r="BBK1" s="637"/>
      <c r="BBL1" s="637"/>
      <c r="BBM1" s="637"/>
      <c r="BBN1" s="637"/>
      <c r="BBO1" s="637"/>
      <c r="BBP1" s="637"/>
      <c r="BBQ1" s="637"/>
      <c r="BBR1" s="637"/>
      <c r="BBS1" s="637"/>
      <c r="BBT1" s="637"/>
      <c r="BBU1" s="637"/>
      <c r="BBV1" s="637"/>
      <c r="BBW1" s="637"/>
      <c r="BBX1" s="637"/>
      <c r="BBY1" s="637"/>
      <c r="BBZ1" s="637"/>
      <c r="BCA1" s="637"/>
      <c r="BCB1" s="637"/>
      <c r="BCC1" s="637"/>
      <c r="BCD1" s="637"/>
      <c r="BCE1" s="637"/>
      <c r="BCF1" s="637"/>
      <c r="BCG1" s="637"/>
      <c r="BCH1" s="637"/>
      <c r="BCI1" s="637"/>
      <c r="BCJ1" s="637"/>
      <c r="BCK1" s="637"/>
      <c r="BCL1" s="637"/>
      <c r="BCM1" s="637"/>
      <c r="BCN1" s="637"/>
      <c r="BCO1" s="637"/>
      <c r="BCP1" s="637"/>
      <c r="BCQ1" s="637"/>
      <c r="BCR1" s="637"/>
      <c r="BCS1" s="637"/>
      <c r="BCT1" s="637"/>
      <c r="BCU1" s="637"/>
      <c r="BCV1" s="637"/>
      <c r="BCW1" s="637"/>
      <c r="BCX1" s="637"/>
      <c r="BCY1" s="637"/>
      <c r="BCZ1" s="637"/>
      <c r="BDA1" s="637"/>
      <c r="BDB1" s="637"/>
      <c r="BDC1" s="637"/>
      <c r="BDD1" s="637"/>
      <c r="BDE1" s="637"/>
      <c r="BDF1" s="637"/>
      <c r="BDG1" s="637"/>
      <c r="BDH1" s="637"/>
      <c r="BDI1" s="637"/>
      <c r="BDJ1" s="637"/>
      <c r="BDK1" s="637"/>
      <c r="BDL1" s="637"/>
      <c r="BDM1" s="637"/>
      <c r="BDN1" s="637"/>
      <c r="BDO1" s="637"/>
      <c r="BDP1" s="637"/>
      <c r="BDQ1" s="637"/>
      <c r="BDR1" s="637"/>
      <c r="BDS1" s="637"/>
      <c r="BDT1" s="637"/>
      <c r="BDU1" s="637"/>
      <c r="BDV1" s="637"/>
      <c r="BDW1" s="637"/>
      <c r="BDX1" s="637"/>
      <c r="BDY1" s="637"/>
      <c r="BDZ1" s="637"/>
      <c r="BEA1" s="637"/>
      <c r="BEB1" s="637"/>
      <c r="BEC1" s="637"/>
      <c r="BED1" s="637"/>
      <c r="BEE1" s="637"/>
      <c r="BEF1" s="637"/>
      <c r="BEG1" s="637"/>
      <c r="BEH1" s="637"/>
      <c r="BEI1" s="637"/>
      <c r="BEJ1" s="637"/>
      <c r="BEK1" s="637"/>
      <c r="BEL1" s="637"/>
      <c r="BEM1" s="637"/>
      <c r="BEN1" s="637"/>
      <c r="BEO1" s="637"/>
      <c r="BEP1" s="637"/>
      <c r="BEQ1" s="637"/>
      <c r="BER1" s="637"/>
      <c r="BES1" s="637"/>
      <c r="BET1" s="637"/>
      <c r="BEU1" s="637"/>
      <c r="BEV1" s="637"/>
      <c r="BEW1" s="637"/>
      <c r="BEX1" s="637"/>
      <c r="BEY1" s="637"/>
      <c r="BEZ1" s="637"/>
      <c r="BFA1" s="637"/>
      <c r="BFB1" s="637"/>
      <c r="BFC1" s="637"/>
      <c r="BFD1" s="637"/>
      <c r="BFE1" s="637"/>
      <c r="BFF1" s="637"/>
      <c r="BFG1" s="637"/>
      <c r="BFH1" s="637"/>
      <c r="BFI1" s="637"/>
      <c r="BFJ1" s="637"/>
      <c r="BFK1" s="637"/>
      <c r="BFL1" s="637"/>
      <c r="BFM1" s="637"/>
      <c r="BFN1" s="637"/>
      <c r="BFO1" s="637"/>
      <c r="BFP1" s="637"/>
      <c r="BFQ1" s="637"/>
      <c r="BFR1" s="637"/>
      <c r="BFS1" s="637"/>
      <c r="BFT1" s="637"/>
      <c r="BFU1" s="637"/>
      <c r="BFV1" s="637"/>
      <c r="BFW1" s="637"/>
      <c r="BFX1" s="637"/>
      <c r="BFY1" s="637"/>
      <c r="BFZ1" s="637"/>
      <c r="BGA1" s="637"/>
      <c r="BGB1" s="637"/>
      <c r="BGC1" s="637"/>
      <c r="BGD1" s="637"/>
      <c r="BGE1" s="637"/>
      <c r="BGF1" s="637"/>
      <c r="BGG1" s="637"/>
      <c r="BGH1" s="637"/>
      <c r="BGI1" s="637"/>
      <c r="BGJ1" s="637"/>
      <c r="BGK1" s="637"/>
      <c r="BGL1" s="637"/>
      <c r="BGM1" s="637"/>
      <c r="BGN1" s="637"/>
      <c r="BGO1" s="637"/>
      <c r="BGP1" s="637"/>
      <c r="BGQ1" s="637"/>
      <c r="BGR1" s="637"/>
      <c r="BGS1" s="637"/>
      <c r="BGT1" s="637"/>
      <c r="BGU1" s="637"/>
      <c r="BGV1" s="637"/>
      <c r="BGW1" s="637"/>
      <c r="BGX1" s="637"/>
      <c r="BGY1" s="637"/>
      <c r="BGZ1" s="637"/>
      <c r="BHA1" s="637"/>
      <c r="BHB1" s="637"/>
      <c r="BHC1" s="637"/>
      <c r="BHD1" s="637"/>
      <c r="BHE1" s="637"/>
      <c r="BHF1" s="637"/>
      <c r="BHG1" s="637"/>
      <c r="BHH1" s="637"/>
      <c r="BHI1" s="637"/>
      <c r="BHJ1" s="637"/>
      <c r="BHK1" s="637"/>
      <c r="BHL1" s="637"/>
      <c r="BHM1" s="637"/>
      <c r="BHN1" s="637"/>
      <c r="BHO1" s="637"/>
      <c r="BHP1" s="637"/>
      <c r="BHQ1" s="637"/>
      <c r="BHR1" s="637"/>
      <c r="BHS1" s="637"/>
      <c r="BHT1" s="637"/>
      <c r="BHU1" s="637"/>
      <c r="BHV1" s="637"/>
      <c r="BHW1" s="637"/>
      <c r="BHX1" s="637"/>
      <c r="BHY1" s="637"/>
      <c r="BHZ1" s="637"/>
      <c r="BIA1" s="637"/>
      <c r="BIB1" s="637"/>
      <c r="BIC1" s="637"/>
      <c r="BID1" s="637"/>
      <c r="BIE1" s="637"/>
      <c r="BIF1" s="637"/>
      <c r="BIG1" s="637"/>
      <c r="BIH1" s="637"/>
      <c r="BII1" s="637"/>
      <c r="BIJ1" s="637"/>
      <c r="BIK1" s="637"/>
      <c r="BIL1" s="637"/>
      <c r="BIM1" s="637"/>
      <c r="BIN1" s="637"/>
      <c r="BIO1" s="637"/>
      <c r="BIP1" s="637"/>
      <c r="BIQ1" s="637"/>
      <c r="BIR1" s="637"/>
      <c r="BIS1" s="637"/>
      <c r="BIT1" s="637"/>
      <c r="BIU1" s="637"/>
      <c r="BIV1" s="637"/>
      <c r="BIW1" s="637"/>
      <c r="BIX1" s="637"/>
      <c r="BIY1" s="637"/>
      <c r="BIZ1" s="637"/>
      <c r="BJA1" s="637"/>
      <c r="BJB1" s="637"/>
      <c r="BJC1" s="637"/>
      <c r="BJD1" s="637"/>
      <c r="BJE1" s="637"/>
      <c r="BJF1" s="637"/>
      <c r="BJG1" s="637"/>
      <c r="BJH1" s="637"/>
      <c r="BJI1" s="637"/>
      <c r="BJJ1" s="637"/>
      <c r="BJK1" s="637"/>
      <c r="BJL1" s="637"/>
      <c r="BJM1" s="637"/>
      <c r="BJN1" s="637"/>
      <c r="BJO1" s="637"/>
      <c r="BJP1" s="637"/>
      <c r="BJQ1" s="637"/>
      <c r="BJR1" s="637"/>
      <c r="BJS1" s="637"/>
      <c r="BJT1" s="637"/>
      <c r="BJU1" s="637"/>
      <c r="BJV1" s="637"/>
      <c r="BJW1" s="637"/>
      <c r="BJX1" s="637"/>
      <c r="BJY1" s="637"/>
      <c r="BJZ1" s="637"/>
      <c r="BKA1" s="637"/>
      <c r="BKB1" s="637"/>
      <c r="BKC1" s="637"/>
      <c r="BKD1" s="637"/>
      <c r="BKE1" s="637"/>
      <c r="BKF1" s="637"/>
      <c r="BKG1" s="637"/>
      <c r="BKH1" s="637"/>
      <c r="BKI1" s="637"/>
      <c r="BKJ1" s="637"/>
      <c r="BKK1" s="637"/>
      <c r="BKL1" s="637"/>
      <c r="BKM1" s="637"/>
      <c r="BKN1" s="637"/>
      <c r="BKO1" s="637"/>
      <c r="BKP1" s="637"/>
      <c r="BKQ1" s="637"/>
      <c r="BKR1" s="637"/>
      <c r="BKS1" s="637"/>
      <c r="BKT1" s="637"/>
      <c r="BKU1" s="637"/>
      <c r="BKV1" s="637"/>
      <c r="BKW1" s="637"/>
      <c r="BKX1" s="637"/>
      <c r="BKY1" s="637"/>
      <c r="BKZ1" s="637"/>
      <c r="BLA1" s="637"/>
      <c r="BLB1" s="637"/>
      <c r="BLC1" s="637"/>
      <c r="BLD1" s="637"/>
      <c r="BLE1" s="637"/>
      <c r="BLF1" s="637"/>
      <c r="BLG1" s="637"/>
      <c r="BLH1" s="637"/>
      <c r="BLI1" s="637"/>
      <c r="BLJ1" s="637"/>
      <c r="BLK1" s="637"/>
      <c r="BLL1" s="637"/>
      <c r="BLM1" s="637"/>
      <c r="BLN1" s="637"/>
      <c r="BLO1" s="637"/>
      <c r="BLP1" s="637"/>
      <c r="BLQ1" s="637"/>
      <c r="BLR1" s="637"/>
      <c r="BLS1" s="637"/>
      <c r="BLT1" s="637"/>
      <c r="BLU1" s="637"/>
      <c r="BLV1" s="637"/>
      <c r="BLW1" s="637"/>
      <c r="BLX1" s="637"/>
      <c r="BLY1" s="637"/>
      <c r="BLZ1" s="637"/>
      <c r="BMA1" s="637"/>
      <c r="BMB1" s="637"/>
      <c r="BMC1" s="637"/>
      <c r="BMD1" s="637"/>
      <c r="BME1" s="637"/>
      <c r="BMF1" s="637"/>
      <c r="BMG1" s="637"/>
      <c r="BMH1" s="637"/>
      <c r="BMI1" s="637"/>
      <c r="BMJ1" s="637"/>
      <c r="BMK1" s="637"/>
      <c r="BML1" s="637"/>
      <c r="BMM1" s="637"/>
      <c r="BMN1" s="637"/>
      <c r="BMO1" s="637"/>
      <c r="BMP1" s="637"/>
      <c r="BMQ1" s="637"/>
      <c r="BMR1" s="637"/>
      <c r="BMS1" s="637"/>
      <c r="BMT1" s="637"/>
      <c r="BMU1" s="637"/>
      <c r="BMV1" s="637"/>
      <c r="BMW1" s="637"/>
      <c r="BMX1" s="637"/>
      <c r="BMY1" s="637"/>
      <c r="BMZ1" s="637"/>
      <c r="BNA1" s="637"/>
      <c r="BNB1" s="637"/>
      <c r="BNC1" s="637"/>
      <c r="BND1" s="637"/>
      <c r="BNE1" s="637"/>
      <c r="BNF1" s="637"/>
      <c r="BNG1" s="637"/>
      <c r="BNH1" s="637"/>
      <c r="BNI1" s="637"/>
      <c r="BNJ1" s="637"/>
      <c r="BNK1" s="637"/>
      <c r="BNL1" s="637"/>
      <c r="BNM1" s="637"/>
      <c r="BNN1" s="637"/>
      <c r="BNO1" s="637"/>
      <c r="BNP1" s="637"/>
      <c r="BNQ1" s="637"/>
      <c r="BNR1" s="637"/>
      <c r="BNS1" s="637"/>
      <c r="BNT1" s="637"/>
      <c r="BNU1" s="637"/>
      <c r="BNV1" s="637"/>
      <c r="BNW1" s="637"/>
      <c r="BNX1" s="637"/>
      <c r="BNY1" s="637"/>
      <c r="BNZ1" s="637"/>
      <c r="BOA1" s="637"/>
      <c r="BOB1" s="637"/>
      <c r="BOC1" s="637"/>
      <c r="BOD1" s="637"/>
      <c r="BOE1" s="637"/>
      <c r="BOF1" s="637"/>
      <c r="BOG1" s="637"/>
      <c r="BOH1" s="637"/>
      <c r="BOI1" s="637"/>
      <c r="BOJ1" s="637"/>
      <c r="BOK1" s="637"/>
      <c r="BOL1" s="637"/>
      <c r="BOM1" s="637"/>
      <c r="BON1" s="637"/>
      <c r="BOO1" s="637"/>
      <c r="BOP1" s="637"/>
      <c r="BOQ1" s="637"/>
      <c r="BOR1" s="637"/>
      <c r="BOS1" s="637"/>
      <c r="BOT1" s="637"/>
      <c r="BOU1" s="637"/>
      <c r="BOV1" s="637"/>
      <c r="BOW1" s="637"/>
      <c r="BOX1" s="637"/>
      <c r="BOY1" s="637"/>
      <c r="BOZ1" s="637"/>
      <c r="BPA1" s="637"/>
      <c r="BPB1" s="637"/>
      <c r="BPC1" s="637"/>
      <c r="BPD1" s="637"/>
      <c r="BPE1" s="637"/>
      <c r="BPF1" s="637"/>
      <c r="BPG1" s="637"/>
      <c r="BPH1" s="637"/>
      <c r="BPI1" s="637"/>
      <c r="BPJ1" s="637"/>
      <c r="BPK1" s="637"/>
      <c r="BPL1" s="637"/>
      <c r="BPM1" s="637"/>
      <c r="BPN1" s="637"/>
      <c r="BPO1" s="637"/>
      <c r="BPP1" s="637"/>
      <c r="BPQ1" s="637"/>
      <c r="BPR1" s="637"/>
      <c r="BPS1" s="637"/>
      <c r="BPT1" s="637"/>
      <c r="BPU1" s="637"/>
      <c r="BPV1" s="637"/>
      <c r="BPW1" s="637"/>
      <c r="BPX1" s="637"/>
      <c r="BPY1" s="637"/>
      <c r="BPZ1" s="637"/>
      <c r="BQA1" s="637"/>
      <c r="BQB1" s="637"/>
      <c r="BQC1" s="637"/>
      <c r="BQD1" s="637"/>
      <c r="BQE1" s="637"/>
      <c r="BQF1" s="637"/>
      <c r="BQG1" s="637"/>
      <c r="BQH1" s="637"/>
      <c r="BQI1" s="637"/>
      <c r="BQJ1" s="637"/>
      <c r="BQK1" s="637"/>
      <c r="BQL1" s="637"/>
      <c r="BQM1" s="637"/>
      <c r="BQN1" s="637"/>
      <c r="BQO1" s="637"/>
      <c r="BQP1" s="637"/>
      <c r="BQQ1" s="637"/>
      <c r="BQR1" s="637"/>
      <c r="BQS1" s="637"/>
      <c r="BQT1" s="637"/>
      <c r="BQU1" s="637"/>
      <c r="BQV1" s="637"/>
      <c r="BQW1" s="637"/>
      <c r="BQX1" s="637"/>
      <c r="BQY1" s="637"/>
      <c r="BQZ1" s="637"/>
      <c r="BRA1" s="637"/>
      <c r="BRB1" s="637"/>
      <c r="BRC1" s="637"/>
      <c r="BRD1" s="637"/>
      <c r="BRE1" s="637"/>
      <c r="BRF1" s="637"/>
      <c r="BRG1" s="637"/>
      <c r="BRH1" s="637"/>
      <c r="BRI1" s="637"/>
      <c r="BRJ1" s="637"/>
      <c r="BRK1" s="637"/>
      <c r="BRL1" s="637"/>
      <c r="BRM1" s="637"/>
      <c r="BRN1" s="637"/>
      <c r="BRO1" s="637"/>
      <c r="BRP1" s="637"/>
      <c r="BRQ1" s="637"/>
      <c r="BRR1" s="637"/>
      <c r="BRS1" s="637"/>
      <c r="BRT1" s="637"/>
      <c r="BRU1" s="637"/>
      <c r="BRV1" s="637"/>
      <c r="BRW1" s="637"/>
      <c r="BRX1" s="637"/>
      <c r="BRY1" s="637"/>
      <c r="BRZ1" s="637"/>
      <c r="BSA1" s="637"/>
      <c r="BSB1" s="637"/>
      <c r="BSC1" s="637"/>
      <c r="BSD1" s="637"/>
      <c r="BSE1" s="637"/>
      <c r="BSF1" s="637"/>
      <c r="BSG1" s="637"/>
      <c r="BSH1" s="637"/>
      <c r="BSI1" s="637"/>
      <c r="BSJ1" s="637"/>
      <c r="BSK1" s="637"/>
      <c r="BSL1" s="637"/>
      <c r="BSM1" s="637"/>
      <c r="BSN1" s="637"/>
      <c r="BSO1" s="637"/>
      <c r="BSP1" s="637"/>
      <c r="BSQ1" s="637"/>
      <c r="BSR1" s="637"/>
      <c r="BSS1" s="637"/>
      <c r="BST1" s="637"/>
      <c r="BSU1" s="637"/>
      <c r="BSV1" s="637"/>
      <c r="BSW1" s="637"/>
      <c r="BSX1" s="637"/>
      <c r="BSY1" s="637"/>
      <c r="BSZ1" s="637"/>
      <c r="BTA1" s="637"/>
      <c r="BTB1" s="637"/>
      <c r="BTC1" s="637"/>
      <c r="BTD1" s="637"/>
      <c r="BTE1" s="637"/>
      <c r="BTF1" s="637"/>
      <c r="BTG1" s="637"/>
      <c r="BTH1" s="637"/>
      <c r="BTI1" s="637"/>
      <c r="BTJ1" s="637"/>
      <c r="BTK1" s="637"/>
      <c r="BTL1" s="637"/>
      <c r="BTM1" s="637"/>
      <c r="BTN1" s="637"/>
      <c r="BTO1" s="637"/>
      <c r="BTP1" s="637"/>
      <c r="BTQ1" s="637"/>
      <c r="BTR1" s="637"/>
      <c r="BTS1" s="637"/>
      <c r="BTT1" s="637"/>
      <c r="BTU1" s="637"/>
      <c r="BTV1" s="637"/>
      <c r="BTW1" s="637"/>
      <c r="BTX1" s="637"/>
      <c r="BTY1" s="637"/>
      <c r="BTZ1" s="637"/>
      <c r="BUA1" s="637"/>
      <c r="BUB1" s="637"/>
      <c r="BUC1" s="637"/>
      <c r="BUD1" s="637"/>
      <c r="BUE1" s="637"/>
      <c r="BUF1" s="637"/>
      <c r="BUG1" s="637"/>
      <c r="BUH1" s="637"/>
      <c r="BUI1" s="637"/>
      <c r="BUJ1" s="637"/>
      <c r="BUK1" s="637"/>
      <c r="BUL1" s="637"/>
      <c r="BUM1" s="637"/>
      <c r="BUN1" s="637"/>
      <c r="BUO1" s="637"/>
      <c r="BUP1" s="637"/>
      <c r="BUQ1" s="637"/>
      <c r="BUR1" s="637"/>
      <c r="BUS1" s="637"/>
      <c r="BUT1" s="637"/>
      <c r="BUU1" s="637"/>
      <c r="BUV1" s="637"/>
      <c r="BUW1" s="637"/>
      <c r="BUX1" s="637"/>
      <c r="BUY1" s="637"/>
      <c r="BUZ1" s="637"/>
      <c r="BVA1" s="637"/>
      <c r="BVB1" s="637"/>
      <c r="BVC1" s="637"/>
      <c r="BVD1" s="637"/>
      <c r="BVE1" s="637"/>
      <c r="BVF1" s="637"/>
      <c r="BVG1" s="637"/>
      <c r="BVH1" s="637"/>
      <c r="BVI1" s="637"/>
      <c r="BVJ1" s="637"/>
      <c r="BVK1" s="637"/>
      <c r="BVL1" s="637"/>
      <c r="BVM1" s="637"/>
      <c r="BVN1" s="637"/>
      <c r="BVO1" s="637"/>
      <c r="BVP1" s="637"/>
      <c r="BVQ1" s="637"/>
      <c r="BVR1" s="637"/>
      <c r="BVS1" s="637"/>
      <c r="BVT1" s="637"/>
      <c r="BVU1" s="637"/>
      <c r="BVV1" s="637"/>
      <c r="BVW1" s="637"/>
      <c r="BVX1" s="637"/>
      <c r="BVY1" s="637"/>
      <c r="BVZ1" s="637"/>
      <c r="BWA1" s="637"/>
      <c r="BWB1" s="637"/>
      <c r="BWC1" s="637"/>
      <c r="BWD1" s="637"/>
      <c r="BWE1" s="637"/>
      <c r="BWF1" s="637"/>
      <c r="BWG1" s="637"/>
      <c r="BWH1" s="637"/>
      <c r="BWI1" s="637"/>
      <c r="BWJ1" s="637"/>
      <c r="BWK1" s="637"/>
      <c r="BWL1" s="637"/>
      <c r="BWM1" s="637"/>
      <c r="BWN1" s="637"/>
      <c r="BWO1" s="637"/>
      <c r="BWP1" s="637"/>
      <c r="BWQ1" s="637"/>
      <c r="BWR1" s="637"/>
      <c r="BWS1" s="637"/>
      <c r="BWT1" s="637"/>
      <c r="BWU1" s="637"/>
      <c r="BWV1" s="637"/>
      <c r="BWW1" s="637"/>
      <c r="BWX1" s="637"/>
      <c r="BWY1" s="637"/>
      <c r="BWZ1" s="637"/>
      <c r="BXA1" s="637"/>
      <c r="BXB1" s="637"/>
      <c r="BXC1" s="637"/>
      <c r="BXD1" s="637"/>
      <c r="BXE1" s="637"/>
      <c r="BXF1" s="637"/>
      <c r="BXG1" s="637"/>
      <c r="BXH1" s="637"/>
      <c r="BXI1" s="637"/>
      <c r="BXJ1" s="637"/>
      <c r="BXK1" s="637"/>
      <c r="BXL1" s="637"/>
      <c r="BXM1" s="637"/>
      <c r="BXN1" s="637"/>
      <c r="BXO1" s="637"/>
      <c r="BXP1" s="637"/>
      <c r="BXQ1" s="637"/>
      <c r="BXR1" s="637"/>
      <c r="BXS1" s="637"/>
      <c r="BXT1" s="637"/>
      <c r="BXU1" s="637"/>
      <c r="BXV1" s="637"/>
      <c r="BXW1" s="637"/>
      <c r="BXX1" s="637"/>
      <c r="BXY1" s="637"/>
      <c r="BXZ1" s="637"/>
      <c r="BYA1" s="637"/>
      <c r="BYB1" s="637"/>
      <c r="BYC1" s="637"/>
      <c r="BYD1" s="637"/>
      <c r="BYE1" s="637"/>
      <c r="BYF1" s="637"/>
      <c r="BYG1" s="637"/>
      <c r="BYH1" s="637"/>
      <c r="BYI1" s="637"/>
      <c r="BYJ1" s="637"/>
      <c r="BYK1" s="637"/>
      <c r="BYL1" s="637"/>
      <c r="BYM1" s="637"/>
      <c r="BYN1" s="637"/>
      <c r="BYO1" s="637"/>
      <c r="BYP1" s="637"/>
      <c r="BYQ1" s="637"/>
      <c r="BYR1" s="637"/>
      <c r="BYS1" s="637"/>
      <c r="BYT1" s="637"/>
      <c r="BYU1" s="637"/>
      <c r="BYV1" s="637"/>
      <c r="BYW1" s="637"/>
      <c r="BYX1" s="637"/>
      <c r="BYY1" s="637"/>
      <c r="BYZ1" s="637"/>
      <c r="BZA1" s="637"/>
      <c r="BZB1" s="637"/>
      <c r="BZC1" s="637"/>
      <c r="BZD1" s="637"/>
      <c r="BZE1" s="637"/>
      <c r="BZF1" s="637"/>
      <c r="BZG1" s="637"/>
      <c r="BZH1" s="637"/>
      <c r="BZI1" s="637"/>
      <c r="BZJ1" s="637"/>
      <c r="BZK1" s="637"/>
      <c r="BZL1" s="637"/>
      <c r="BZM1" s="637"/>
      <c r="BZN1" s="637"/>
      <c r="BZO1" s="637"/>
      <c r="BZP1" s="637"/>
      <c r="BZQ1" s="637"/>
      <c r="BZR1" s="637"/>
      <c r="BZS1" s="637"/>
      <c r="BZT1" s="637"/>
      <c r="BZU1" s="637"/>
      <c r="BZV1" s="637"/>
      <c r="BZW1" s="637"/>
      <c r="BZX1" s="637"/>
      <c r="BZY1" s="637"/>
      <c r="BZZ1" s="637"/>
      <c r="CAA1" s="637"/>
      <c r="CAB1" s="637"/>
      <c r="CAC1" s="637"/>
      <c r="CAD1" s="637"/>
      <c r="CAE1" s="637"/>
      <c r="CAF1" s="637"/>
      <c r="CAG1" s="637"/>
      <c r="CAH1" s="637"/>
      <c r="CAI1" s="637"/>
      <c r="CAJ1" s="637"/>
      <c r="CAK1" s="637"/>
      <c r="CAL1" s="637"/>
      <c r="CAM1" s="637"/>
      <c r="CAN1" s="637"/>
      <c r="CAO1" s="637"/>
      <c r="CAP1" s="637"/>
      <c r="CAQ1" s="637"/>
      <c r="CAR1" s="637"/>
      <c r="CAS1" s="637"/>
      <c r="CAT1" s="637"/>
      <c r="CAU1" s="637"/>
      <c r="CAV1" s="637"/>
      <c r="CAW1" s="637"/>
      <c r="CAX1" s="637"/>
      <c r="CAY1" s="637"/>
      <c r="CAZ1" s="637"/>
      <c r="CBA1" s="637"/>
      <c r="CBB1" s="637"/>
      <c r="CBC1" s="637"/>
      <c r="CBD1" s="637"/>
      <c r="CBE1" s="637"/>
      <c r="CBF1" s="637"/>
      <c r="CBG1" s="637"/>
      <c r="CBH1" s="637"/>
      <c r="CBI1" s="637"/>
      <c r="CBJ1" s="637"/>
      <c r="CBK1" s="637"/>
      <c r="CBL1" s="637"/>
      <c r="CBM1" s="637"/>
      <c r="CBN1" s="637"/>
      <c r="CBO1" s="637"/>
      <c r="CBP1" s="637"/>
      <c r="CBQ1" s="637"/>
      <c r="CBR1" s="637"/>
      <c r="CBS1" s="637"/>
      <c r="CBT1" s="637"/>
      <c r="CBU1" s="637"/>
      <c r="CBV1" s="637"/>
      <c r="CBW1" s="637"/>
      <c r="CBX1" s="637"/>
      <c r="CBY1" s="637"/>
      <c r="CBZ1" s="637"/>
      <c r="CCA1" s="637"/>
      <c r="CCB1" s="637"/>
      <c r="CCC1" s="637"/>
      <c r="CCD1" s="637"/>
      <c r="CCE1" s="637"/>
      <c r="CCF1" s="637"/>
      <c r="CCG1" s="637"/>
      <c r="CCH1" s="637"/>
      <c r="CCI1" s="637"/>
      <c r="CCJ1" s="637"/>
      <c r="CCK1" s="637"/>
      <c r="CCL1" s="637"/>
      <c r="CCM1" s="637"/>
      <c r="CCN1" s="637"/>
      <c r="CCO1" s="637"/>
      <c r="CCP1" s="637"/>
      <c r="CCQ1" s="637"/>
      <c r="CCR1" s="637"/>
      <c r="CCS1" s="637"/>
      <c r="CCT1" s="637"/>
      <c r="CCU1" s="637"/>
      <c r="CCV1" s="637"/>
      <c r="CCW1" s="637"/>
      <c r="CCX1" s="637"/>
      <c r="CCY1" s="637"/>
      <c r="CCZ1" s="637"/>
      <c r="CDA1" s="637"/>
      <c r="CDB1" s="637"/>
      <c r="CDC1" s="637"/>
      <c r="CDD1" s="637"/>
      <c r="CDE1" s="637"/>
      <c r="CDF1" s="637"/>
      <c r="CDG1" s="637"/>
      <c r="CDH1" s="637"/>
      <c r="CDI1" s="637"/>
      <c r="CDJ1" s="637"/>
      <c r="CDK1" s="637"/>
      <c r="CDL1" s="637"/>
      <c r="CDM1" s="637"/>
      <c r="CDN1" s="637"/>
      <c r="CDO1" s="637"/>
      <c r="CDP1" s="637"/>
      <c r="CDQ1" s="637"/>
      <c r="CDR1" s="637"/>
      <c r="CDS1" s="637"/>
      <c r="CDT1" s="637"/>
      <c r="CDU1" s="637"/>
      <c r="CDV1" s="637"/>
      <c r="CDW1" s="637"/>
      <c r="CDX1" s="637"/>
      <c r="CDY1" s="637"/>
      <c r="CDZ1" s="637"/>
      <c r="CEA1" s="637"/>
      <c r="CEB1" s="637"/>
      <c r="CEC1" s="637"/>
      <c r="CED1" s="637"/>
      <c r="CEE1" s="637"/>
      <c r="CEF1" s="637"/>
      <c r="CEG1" s="637"/>
      <c r="CEH1" s="637"/>
      <c r="CEI1" s="637"/>
      <c r="CEJ1" s="637"/>
      <c r="CEK1" s="637"/>
      <c r="CEL1" s="637"/>
      <c r="CEM1" s="637"/>
      <c r="CEN1" s="637"/>
      <c r="CEO1" s="637"/>
      <c r="CEP1" s="637"/>
      <c r="CEQ1" s="637"/>
      <c r="CER1" s="637"/>
      <c r="CES1" s="637"/>
      <c r="CET1" s="637"/>
      <c r="CEU1" s="637"/>
      <c r="CEV1" s="637"/>
      <c r="CEW1" s="637"/>
      <c r="CEX1" s="637"/>
      <c r="CEY1" s="637"/>
      <c r="CEZ1" s="637"/>
      <c r="CFA1" s="637"/>
      <c r="CFB1" s="637"/>
      <c r="CFC1" s="637"/>
      <c r="CFD1" s="637"/>
      <c r="CFE1" s="637"/>
      <c r="CFF1" s="637"/>
      <c r="CFG1" s="637"/>
      <c r="CFH1" s="637"/>
      <c r="CFI1" s="637"/>
      <c r="CFJ1" s="637"/>
      <c r="CFK1" s="637"/>
      <c r="CFL1" s="637"/>
      <c r="CFM1" s="637"/>
      <c r="CFN1" s="637"/>
      <c r="CFO1" s="637"/>
      <c r="CFP1" s="637"/>
      <c r="CFQ1" s="637"/>
      <c r="CFR1" s="637"/>
      <c r="CFS1" s="637"/>
      <c r="CFT1" s="637"/>
      <c r="CFU1" s="637"/>
      <c r="CFV1" s="637"/>
      <c r="CFW1" s="637"/>
      <c r="CFX1" s="637"/>
      <c r="CFY1" s="637"/>
      <c r="CFZ1" s="637"/>
      <c r="CGA1" s="637"/>
      <c r="CGB1" s="637"/>
      <c r="CGC1" s="637"/>
      <c r="CGD1" s="637"/>
      <c r="CGE1" s="637"/>
      <c r="CGF1" s="637"/>
      <c r="CGG1" s="637"/>
      <c r="CGH1" s="637"/>
      <c r="CGI1" s="637"/>
      <c r="CGJ1" s="637"/>
      <c r="CGK1" s="637"/>
      <c r="CGL1" s="637"/>
      <c r="CGM1" s="637"/>
      <c r="CGN1" s="637"/>
      <c r="CGO1" s="637"/>
      <c r="CGP1" s="637"/>
      <c r="CGQ1" s="637"/>
      <c r="CGR1" s="637"/>
      <c r="CGS1" s="637"/>
      <c r="CGT1" s="637"/>
      <c r="CGU1" s="637"/>
      <c r="CGV1" s="637"/>
      <c r="CGW1" s="637"/>
      <c r="CGX1" s="637"/>
      <c r="CGY1" s="637"/>
      <c r="CGZ1" s="637"/>
      <c r="CHA1" s="637"/>
      <c r="CHB1" s="637"/>
      <c r="CHC1" s="637"/>
      <c r="CHD1" s="637"/>
      <c r="CHE1" s="637"/>
      <c r="CHF1" s="637"/>
      <c r="CHG1" s="637"/>
      <c r="CHH1" s="637"/>
      <c r="CHI1" s="637"/>
      <c r="CHJ1" s="637"/>
      <c r="CHK1" s="637"/>
      <c r="CHL1" s="637"/>
      <c r="CHM1" s="637"/>
      <c r="CHN1" s="637"/>
      <c r="CHO1" s="637"/>
      <c r="CHP1" s="637"/>
      <c r="CHQ1" s="637"/>
      <c r="CHR1" s="637"/>
      <c r="CHS1" s="637"/>
      <c r="CHT1" s="637"/>
      <c r="CHU1" s="637"/>
      <c r="CHV1" s="637"/>
      <c r="CHW1" s="637"/>
      <c r="CHX1" s="637"/>
      <c r="CHY1" s="637"/>
      <c r="CHZ1" s="637"/>
      <c r="CIA1" s="637"/>
      <c r="CIB1" s="637"/>
      <c r="CIC1" s="637"/>
      <c r="CID1" s="637"/>
      <c r="CIE1" s="637"/>
      <c r="CIF1" s="637"/>
      <c r="CIG1" s="637"/>
      <c r="CIH1" s="637"/>
      <c r="CII1" s="637"/>
      <c r="CIJ1" s="637"/>
      <c r="CIK1" s="637"/>
      <c r="CIL1" s="637"/>
      <c r="CIM1" s="637"/>
      <c r="CIN1" s="637"/>
      <c r="CIO1" s="637"/>
      <c r="CIP1" s="637"/>
      <c r="CIQ1" s="637"/>
      <c r="CIR1" s="637"/>
      <c r="CIS1" s="637"/>
      <c r="CIT1" s="637"/>
      <c r="CIU1" s="637"/>
      <c r="CIV1" s="637"/>
      <c r="CIW1" s="637"/>
      <c r="CIX1" s="637"/>
      <c r="CIY1" s="637"/>
      <c r="CIZ1" s="637"/>
      <c r="CJA1" s="637"/>
      <c r="CJB1" s="637"/>
      <c r="CJC1" s="637"/>
      <c r="CJD1" s="637"/>
      <c r="CJE1" s="637"/>
      <c r="CJF1" s="637"/>
      <c r="CJG1" s="637"/>
      <c r="CJH1" s="637"/>
      <c r="CJI1" s="637"/>
      <c r="CJJ1" s="637"/>
      <c r="CJK1" s="637"/>
      <c r="CJL1" s="637"/>
      <c r="CJM1" s="637"/>
      <c r="CJN1" s="637"/>
      <c r="CJO1" s="637"/>
      <c r="CJP1" s="637"/>
      <c r="CJQ1" s="637"/>
      <c r="CJR1" s="637"/>
      <c r="CJS1" s="637"/>
      <c r="CJT1" s="637"/>
      <c r="CJU1" s="637"/>
      <c r="CJV1" s="637"/>
      <c r="CJW1" s="637"/>
      <c r="CJX1" s="637"/>
      <c r="CJY1" s="637"/>
      <c r="CJZ1" s="637"/>
      <c r="CKA1" s="637"/>
      <c r="CKB1" s="637"/>
      <c r="CKC1" s="637"/>
      <c r="CKD1" s="637"/>
      <c r="CKE1" s="637"/>
      <c r="CKF1" s="637"/>
      <c r="CKG1" s="637"/>
      <c r="CKH1" s="637"/>
      <c r="CKI1" s="637"/>
      <c r="CKJ1" s="637"/>
      <c r="CKK1" s="637"/>
      <c r="CKL1" s="637"/>
      <c r="CKM1" s="637"/>
      <c r="CKN1" s="637"/>
      <c r="CKO1" s="637"/>
      <c r="CKP1" s="637"/>
      <c r="CKQ1" s="637"/>
      <c r="CKR1" s="637"/>
      <c r="CKS1" s="637"/>
      <c r="CKT1" s="637"/>
      <c r="CKU1" s="637"/>
      <c r="CKV1" s="637"/>
      <c r="CKW1" s="637"/>
      <c r="CKX1" s="637"/>
      <c r="CKY1" s="637"/>
      <c r="CKZ1" s="637"/>
      <c r="CLA1" s="637"/>
      <c r="CLB1" s="637"/>
      <c r="CLC1" s="637"/>
      <c r="CLD1" s="637"/>
      <c r="CLE1" s="637"/>
      <c r="CLF1" s="637"/>
      <c r="CLG1" s="637"/>
      <c r="CLH1" s="637"/>
      <c r="CLI1" s="637"/>
      <c r="CLJ1" s="637"/>
      <c r="CLK1" s="637"/>
      <c r="CLL1" s="637"/>
      <c r="CLM1" s="637"/>
      <c r="CLN1" s="637"/>
      <c r="CLO1" s="637"/>
      <c r="CLP1" s="637"/>
      <c r="CLQ1" s="637"/>
      <c r="CLR1" s="637"/>
      <c r="CLS1" s="637"/>
      <c r="CLT1" s="637"/>
      <c r="CLU1" s="637"/>
      <c r="CLV1" s="637"/>
      <c r="CLW1" s="637"/>
      <c r="CLX1" s="637"/>
      <c r="CLY1" s="637"/>
      <c r="CLZ1" s="637"/>
      <c r="CMA1" s="637"/>
      <c r="CMB1" s="637"/>
      <c r="CMC1" s="637"/>
      <c r="CMD1" s="637"/>
      <c r="CME1" s="637"/>
      <c r="CMF1" s="637"/>
      <c r="CMG1" s="637"/>
      <c r="CMH1" s="637"/>
      <c r="CMI1" s="637"/>
      <c r="CMJ1" s="637"/>
      <c r="CMK1" s="637"/>
      <c r="CML1" s="637"/>
      <c r="CMM1" s="637"/>
      <c r="CMN1" s="637"/>
      <c r="CMO1" s="637"/>
      <c r="CMP1" s="637"/>
      <c r="CMQ1" s="637"/>
      <c r="CMR1" s="637"/>
      <c r="CMS1" s="637"/>
      <c r="CMT1" s="637"/>
      <c r="CMU1" s="637"/>
      <c r="CMV1" s="637"/>
      <c r="CMW1" s="637"/>
      <c r="CMX1" s="637"/>
      <c r="CMY1" s="637"/>
      <c r="CMZ1" s="637"/>
      <c r="CNA1" s="637"/>
      <c r="CNB1" s="637"/>
      <c r="CNC1" s="637"/>
      <c r="CND1" s="637"/>
      <c r="CNE1" s="637"/>
      <c r="CNF1" s="637"/>
      <c r="CNG1" s="637"/>
      <c r="CNH1" s="637"/>
      <c r="CNI1" s="637"/>
      <c r="CNJ1" s="637"/>
      <c r="CNK1" s="637"/>
      <c r="CNL1" s="637"/>
      <c r="CNM1" s="637"/>
      <c r="CNN1" s="637"/>
      <c r="CNO1" s="637"/>
      <c r="CNP1" s="637"/>
      <c r="CNQ1" s="637"/>
      <c r="CNR1" s="637"/>
      <c r="CNS1" s="637"/>
      <c r="CNT1" s="637"/>
      <c r="CNU1" s="637"/>
      <c r="CNV1" s="637"/>
      <c r="CNW1" s="637"/>
      <c r="CNX1" s="637"/>
      <c r="CNY1" s="637"/>
      <c r="CNZ1" s="637"/>
      <c r="COA1" s="637"/>
      <c r="COB1" s="637"/>
      <c r="COC1" s="637"/>
      <c r="COD1" s="637"/>
      <c r="COE1" s="637"/>
      <c r="COF1" s="637"/>
      <c r="COG1" s="637"/>
      <c r="COH1" s="637"/>
      <c r="COI1" s="637"/>
      <c r="COJ1" s="637"/>
      <c r="COK1" s="637"/>
      <c r="COL1" s="637"/>
      <c r="COM1" s="637"/>
      <c r="CON1" s="637"/>
      <c r="COO1" s="637"/>
      <c r="COP1" s="637"/>
      <c r="COQ1" s="637"/>
      <c r="COR1" s="637"/>
      <c r="COS1" s="637"/>
      <c r="COT1" s="637"/>
      <c r="COU1" s="637"/>
      <c r="COV1" s="637"/>
      <c r="COW1" s="637"/>
      <c r="COX1" s="637"/>
      <c r="COY1" s="637"/>
      <c r="COZ1" s="637"/>
      <c r="CPA1" s="637"/>
      <c r="CPB1" s="637"/>
      <c r="CPC1" s="637"/>
      <c r="CPD1" s="637"/>
      <c r="CPE1" s="637"/>
      <c r="CPF1" s="637"/>
      <c r="CPG1" s="637"/>
      <c r="CPH1" s="637"/>
      <c r="CPI1" s="637"/>
      <c r="CPJ1" s="637"/>
      <c r="CPK1" s="637"/>
      <c r="CPL1" s="637"/>
      <c r="CPM1" s="637"/>
      <c r="CPN1" s="637"/>
      <c r="CPO1" s="637"/>
      <c r="CPP1" s="637"/>
      <c r="CPQ1" s="637"/>
      <c r="CPR1" s="637"/>
      <c r="CPS1" s="637"/>
      <c r="CPT1" s="637"/>
      <c r="CPU1" s="637"/>
      <c r="CPV1" s="637"/>
      <c r="CPW1" s="637"/>
      <c r="CPX1" s="637"/>
      <c r="CPY1" s="637"/>
      <c r="CPZ1" s="637"/>
      <c r="CQA1" s="637"/>
      <c r="CQB1" s="637"/>
      <c r="CQC1" s="637"/>
      <c r="CQD1" s="637"/>
      <c r="CQE1" s="637"/>
      <c r="CQF1" s="637"/>
      <c r="CQG1" s="637"/>
      <c r="CQH1" s="637"/>
      <c r="CQI1" s="637"/>
      <c r="CQJ1" s="637"/>
      <c r="CQK1" s="637"/>
      <c r="CQL1" s="637"/>
      <c r="CQM1" s="637"/>
      <c r="CQN1" s="637"/>
      <c r="CQO1" s="637"/>
      <c r="CQP1" s="637"/>
      <c r="CQQ1" s="637"/>
      <c r="CQR1" s="637"/>
      <c r="CQS1" s="637"/>
      <c r="CQT1" s="637"/>
      <c r="CQU1" s="637"/>
      <c r="CQV1" s="637"/>
      <c r="CQW1" s="637"/>
      <c r="CQX1" s="637"/>
      <c r="CQY1" s="637"/>
      <c r="CQZ1" s="637"/>
      <c r="CRA1" s="637"/>
      <c r="CRB1" s="637"/>
      <c r="CRC1" s="637"/>
      <c r="CRD1" s="637"/>
      <c r="CRE1" s="637"/>
      <c r="CRF1" s="637"/>
      <c r="CRG1" s="637"/>
      <c r="CRH1" s="637"/>
      <c r="CRI1" s="637"/>
      <c r="CRJ1" s="637"/>
      <c r="CRK1" s="637"/>
      <c r="CRL1" s="637"/>
      <c r="CRM1" s="637"/>
      <c r="CRN1" s="637"/>
      <c r="CRO1" s="637"/>
      <c r="CRP1" s="637"/>
      <c r="CRQ1" s="637"/>
      <c r="CRR1" s="637"/>
      <c r="CRS1" s="637"/>
      <c r="CRT1" s="637"/>
      <c r="CRU1" s="637"/>
      <c r="CRV1" s="637"/>
      <c r="CRW1" s="637"/>
      <c r="CRX1" s="637"/>
      <c r="CRY1" s="637"/>
      <c r="CRZ1" s="637"/>
      <c r="CSA1" s="637"/>
      <c r="CSB1" s="637"/>
      <c r="CSC1" s="637"/>
      <c r="CSD1" s="637"/>
      <c r="CSE1" s="637"/>
      <c r="CSF1" s="637"/>
      <c r="CSG1" s="637"/>
      <c r="CSH1" s="637"/>
      <c r="CSI1" s="637"/>
      <c r="CSJ1" s="637"/>
      <c r="CSK1" s="637"/>
      <c r="CSL1" s="637"/>
      <c r="CSM1" s="637"/>
      <c r="CSN1" s="637"/>
      <c r="CSO1" s="637"/>
      <c r="CSP1" s="637"/>
      <c r="CSQ1" s="637"/>
      <c r="CSR1" s="637"/>
      <c r="CSS1" s="637"/>
      <c r="CST1" s="637"/>
      <c r="CSU1" s="637"/>
      <c r="CSV1" s="637"/>
      <c r="CSW1" s="637"/>
      <c r="CSX1" s="637"/>
      <c r="CSY1" s="637"/>
      <c r="CSZ1" s="637"/>
      <c r="CTA1" s="637"/>
      <c r="CTB1" s="637"/>
      <c r="CTC1" s="637"/>
      <c r="CTD1" s="637"/>
      <c r="CTE1" s="637"/>
      <c r="CTF1" s="637"/>
      <c r="CTG1" s="637"/>
      <c r="CTH1" s="637"/>
      <c r="CTI1" s="637"/>
      <c r="CTJ1" s="637"/>
      <c r="CTK1" s="637"/>
      <c r="CTL1" s="637"/>
      <c r="CTM1" s="637"/>
      <c r="CTN1" s="637"/>
      <c r="CTO1" s="637"/>
      <c r="CTP1" s="637"/>
      <c r="CTQ1" s="637"/>
      <c r="CTR1" s="637"/>
      <c r="CTS1" s="637"/>
      <c r="CTT1" s="637"/>
      <c r="CTU1" s="637"/>
      <c r="CTV1" s="637"/>
      <c r="CTW1" s="637"/>
      <c r="CTX1" s="637"/>
      <c r="CTY1" s="637"/>
      <c r="CTZ1" s="637"/>
      <c r="CUA1" s="637"/>
      <c r="CUB1" s="637"/>
      <c r="CUC1" s="637"/>
      <c r="CUD1" s="637"/>
      <c r="CUE1" s="637"/>
      <c r="CUF1" s="637"/>
      <c r="CUG1" s="637"/>
      <c r="CUH1" s="637"/>
      <c r="CUI1" s="637"/>
      <c r="CUJ1" s="637"/>
      <c r="CUK1" s="637"/>
      <c r="CUL1" s="637"/>
      <c r="CUM1" s="637"/>
      <c r="CUN1" s="637"/>
      <c r="CUO1" s="637"/>
      <c r="CUP1" s="637"/>
      <c r="CUQ1" s="637"/>
      <c r="CUR1" s="637"/>
      <c r="CUS1" s="637"/>
      <c r="CUT1" s="637"/>
      <c r="CUU1" s="637"/>
      <c r="CUV1" s="637"/>
      <c r="CUW1" s="637"/>
      <c r="CUX1" s="637"/>
      <c r="CUY1" s="637"/>
      <c r="CUZ1" s="637"/>
      <c r="CVA1" s="637"/>
      <c r="CVB1" s="637"/>
      <c r="CVC1" s="637"/>
      <c r="CVD1" s="637"/>
      <c r="CVE1" s="637"/>
      <c r="CVF1" s="637"/>
      <c r="CVG1" s="637"/>
      <c r="CVH1" s="637"/>
      <c r="CVI1" s="637"/>
      <c r="CVJ1" s="637"/>
      <c r="CVK1" s="637"/>
      <c r="CVL1" s="637"/>
      <c r="CVM1" s="637"/>
      <c r="CVN1" s="637"/>
      <c r="CVO1" s="637"/>
      <c r="CVP1" s="637"/>
      <c r="CVQ1" s="637"/>
      <c r="CVR1" s="637"/>
      <c r="CVS1" s="637"/>
      <c r="CVT1" s="637"/>
      <c r="CVU1" s="637"/>
      <c r="CVV1" s="637"/>
      <c r="CVW1" s="637"/>
      <c r="CVX1" s="637"/>
      <c r="CVY1" s="637"/>
      <c r="CVZ1" s="637"/>
      <c r="CWA1" s="637"/>
      <c r="CWB1" s="637"/>
      <c r="CWC1" s="637"/>
      <c r="CWD1" s="637"/>
      <c r="CWE1" s="637"/>
      <c r="CWF1" s="637"/>
      <c r="CWG1" s="637"/>
      <c r="CWH1" s="637"/>
      <c r="CWI1" s="637"/>
      <c r="CWJ1" s="637"/>
      <c r="CWK1" s="637"/>
      <c r="CWL1" s="637"/>
      <c r="CWM1" s="637"/>
      <c r="CWN1" s="637"/>
      <c r="CWO1" s="637"/>
      <c r="CWP1" s="637"/>
      <c r="CWQ1" s="637"/>
      <c r="CWR1" s="637"/>
      <c r="CWS1" s="637"/>
      <c r="CWT1" s="637"/>
      <c r="CWU1" s="637"/>
      <c r="CWV1" s="637"/>
      <c r="CWW1" s="637"/>
      <c r="CWX1" s="637"/>
      <c r="CWY1" s="637"/>
      <c r="CWZ1" s="637"/>
      <c r="CXA1" s="637"/>
      <c r="CXB1" s="637"/>
      <c r="CXC1" s="637"/>
      <c r="CXD1" s="637"/>
      <c r="CXE1" s="637"/>
      <c r="CXF1" s="637"/>
      <c r="CXG1" s="637"/>
      <c r="CXH1" s="637"/>
      <c r="CXI1" s="637"/>
      <c r="CXJ1" s="637"/>
      <c r="CXK1" s="637"/>
      <c r="CXL1" s="637"/>
      <c r="CXM1" s="637"/>
      <c r="CXN1" s="637"/>
      <c r="CXO1" s="637"/>
      <c r="CXP1" s="637"/>
      <c r="CXQ1" s="637"/>
      <c r="CXR1" s="637"/>
      <c r="CXS1" s="637"/>
      <c r="CXT1" s="637"/>
      <c r="CXU1" s="637"/>
      <c r="CXV1" s="637"/>
      <c r="CXW1" s="637"/>
      <c r="CXX1" s="637"/>
      <c r="CXY1" s="637"/>
      <c r="CXZ1" s="637"/>
      <c r="CYA1" s="637"/>
      <c r="CYB1" s="637"/>
      <c r="CYC1" s="637"/>
      <c r="CYD1" s="637"/>
      <c r="CYE1" s="637"/>
      <c r="CYF1" s="637"/>
      <c r="CYG1" s="637"/>
      <c r="CYH1" s="637"/>
      <c r="CYI1" s="637"/>
      <c r="CYJ1" s="637"/>
      <c r="CYK1" s="637"/>
      <c r="CYL1" s="637"/>
      <c r="CYM1" s="637"/>
      <c r="CYN1" s="637"/>
      <c r="CYO1" s="637"/>
      <c r="CYP1" s="637"/>
      <c r="CYQ1" s="637"/>
      <c r="CYR1" s="637"/>
      <c r="CYS1" s="637"/>
      <c r="CYT1" s="637"/>
      <c r="CYU1" s="637"/>
      <c r="CYV1" s="637"/>
      <c r="CYW1" s="637"/>
      <c r="CYX1" s="637"/>
      <c r="CYY1" s="637"/>
      <c r="CYZ1" s="637"/>
      <c r="CZA1" s="637"/>
      <c r="CZB1" s="637"/>
      <c r="CZC1" s="637"/>
      <c r="CZD1" s="637"/>
      <c r="CZE1" s="637"/>
      <c r="CZF1" s="637"/>
      <c r="CZG1" s="637"/>
      <c r="CZH1" s="637"/>
      <c r="CZI1" s="637"/>
      <c r="CZJ1" s="637"/>
      <c r="CZK1" s="637"/>
      <c r="CZL1" s="637"/>
      <c r="CZM1" s="637"/>
      <c r="CZN1" s="637"/>
      <c r="CZO1" s="637"/>
      <c r="CZP1" s="637"/>
      <c r="CZQ1" s="637"/>
      <c r="CZR1" s="637"/>
      <c r="CZS1" s="637"/>
      <c r="CZT1" s="637"/>
      <c r="CZU1" s="637"/>
      <c r="CZV1" s="637"/>
      <c r="CZW1" s="637"/>
      <c r="CZX1" s="637"/>
      <c r="CZY1" s="637"/>
      <c r="CZZ1" s="637"/>
      <c r="DAA1" s="637"/>
      <c r="DAB1" s="637"/>
      <c r="DAC1" s="637"/>
      <c r="DAD1" s="637"/>
      <c r="DAE1" s="637"/>
      <c r="DAF1" s="637"/>
      <c r="DAG1" s="637"/>
      <c r="DAH1" s="637"/>
      <c r="DAI1" s="637"/>
      <c r="DAJ1" s="637"/>
      <c r="DAK1" s="637"/>
      <c r="DAL1" s="637"/>
      <c r="DAM1" s="637"/>
      <c r="DAN1" s="637"/>
      <c r="DAO1" s="637"/>
      <c r="DAP1" s="637"/>
      <c r="DAQ1" s="637"/>
      <c r="DAR1" s="637"/>
      <c r="DAS1" s="637"/>
      <c r="DAT1" s="637"/>
      <c r="DAU1" s="637"/>
      <c r="DAV1" s="637"/>
      <c r="DAW1" s="637"/>
      <c r="DAX1" s="637"/>
      <c r="DAY1" s="637"/>
      <c r="DAZ1" s="637"/>
      <c r="DBA1" s="637"/>
      <c r="DBB1" s="637"/>
      <c r="DBC1" s="637"/>
      <c r="DBD1" s="637"/>
      <c r="DBE1" s="637"/>
      <c r="DBF1" s="637"/>
      <c r="DBG1" s="637"/>
      <c r="DBH1" s="637"/>
      <c r="DBI1" s="637"/>
      <c r="DBJ1" s="637"/>
      <c r="DBK1" s="637"/>
      <c r="DBL1" s="637"/>
      <c r="DBM1" s="637"/>
      <c r="DBN1" s="637"/>
      <c r="DBO1" s="637"/>
      <c r="DBP1" s="637"/>
      <c r="DBQ1" s="637"/>
      <c r="DBR1" s="637"/>
      <c r="DBS1" s="637"/>
      <c r="DBT1" s="637"/>
      <c r="DBU1" s="637"/>
      <c r="DBV1" s="637"/>
      <c r="DBW1" s="637"/>
      <c r="DBX1" s="637"/>
      <c r="DBY1" s="637"/>
      <c r="DBZ1" s="637"/>
      <c r="DCA1" s="637"/>
      <c r="DCB1" s="637"/>
      <c r="DCC1" s="637"/>
      <c r="DCD1" s="637"/>
      <c r="DCE1" s="637"/>
      <c r="DCF1" s="637"/>
      <c r="DCG1" s="637"/>
      <c r="DCH1" s="637"/>
      <c r="DCI1" s="637"/>
      <c r="DCJ1" s="637"/>
      <c r="DCK1" s="637"/>
      <c r="DCL1" s="637"/>
      <c r="DCM1" s="637"/>
      <c r="DCN1" s="637"/>
      <c r="DCO1" s="637"/>
      <c r="DCP1" s="637"/>
      <c r="DCQ1" s="637"/>
      <c r="DCR1" s="637"/>
      <c r="DCS1" s="637"/>
      <c r="DCT1" s="637"/>
      <c r="DCU1" s="637"/>
      <c r="DCV1" s="637"/>
      <c r="DCW1" s="637"/>
      <c r="DCX1" s="637"/>
      <c r="DCY1" s="637"/>
      <c r="DCZ1" s="637"/>
      <c r="DDA1" s="637"/>
      <c r="DDB1" s="637"/>
      <c r="DDC1" s="637"/>
      <c r="DDD1" s="637"/>
      <c r="DDE1" s="637"/>
      <c r="DDF1" s="637"/>
      <c r="DDG1" s="637"/>
      <c r="DDH1" s="637"/>
      <c r="DDI1" s="637"/>
      <c r="DDJ1" s="637"/>
      <c r="DDK1" s="637"/>
      <c r="DDL1" s="637"/>
      <c r="DDM1" s="637"/>
      <c r="DDN1" s="637"/>
      <c r="DDO1" s="637"/>
      <c r="DDP1" s="637"/>
      <c r="DDQ1" s="637"/>
      <c r="DDR1" s="637"/>
      <c r="DDS1" s="637"/>
      <c r="DDT1" s="637"/>
      <c r="DDU1" s="637"/>
      <c r="DDV1" s="637"/>
      <c r="DDW1" s="637"/>
      <c r="DDX1" s="637"/>
      <c r="DDY1" s="637"/>
      <c r="DDZ1" s="637"/>
      <c r="DEA1" s="637"/>
      <c r="DEB1" s="637"/>
      <c r="DEC1" s="637"/>
      <c r="DED1" s="637"/>
      <c r="DEE1" s="637"/>
      <c r="DEF1" s="637"/>
      <c r="DEG1" s="637"/>
      <c r="DEH1" s="637"/>
      <c r="DEI1" s="637"/>
      <c r="DEJ1" s="637"/>
      <c r="DEK1" s="637"/>
      <c r="DEL1" s="637"/>
      <c r="DEM1" s="637"/>
      <c r="DEN1" s="637"/>
      <c r="DEO1" s="637"/>
      <c r="DEP1" s="637"/>
      <c r="DEQ1" s="637"/>
      <c r="DER1" s="637"/>
      <c r="DES1" s="637"/>
      <c r="DET1" s="637"/>
      <c r="DEU1" s="637"/>
      <c r="DEV1" s="637"/>
      <c r="DEW1" s="637"/>
      <c r="DEX1" s="637"/>
      <c r="DEY1" s="637"/>
      <c r="DEZ1" s="637"/>
      <c r="DFA1" s="637"/>
      <c r="DFB1" s="637"/>
      <c r="DFC1" s="637"/>
      <c r="DFD1" s="637"/>
      <c r="DFE1" s="637"/>
      <c r="DFF1" s="637"/>
      <c r="DFG1" s="637"/>
      <c r="DFH1" s="637"/>
      <c r="DFI1" s="637"/>
      <c r="DFJ1" s="637"/>
      <c r="DFK1" s="637"/>
      <c r="DFL1" s="637"/>
      <c r="DFM1" s="637"/>
      <c r="DFN1" s="637"/>
      <c r="DFO1" s="637"/>
      <c r="DFP1" s="637"/>
      <c r="DFQ1" s="637"/>
      <c r="DFR1" s="637"/>
      <c r="DFS1" s="637"/>
      <c r="DFT1" s="637"/>
      <c r="DFU1" s="637"/>
      <c r="DFV1" s="637"/>
      <c r="DFW1" s="637"/>
      <c r="DFX1" s="637"/>
      <c r="DFY1" s="637"/>
      <c r="DFZ1" s="637"/>
      <c r="DGA1" s="637"/>
      <c r="DGB1" s="637"/>
      <c r="DGC1" s="637"/>
      <c r="DGD1" s="637"/>
      <c r="DGE1" s="637"/>
      <c r="DGF1" s="637"/>
      <c r="DGG1" s="637"/>
      <c r="DGH1" s="637"/>
      <c r="DGI1" s="637"/>
      <c r="DGJ1" s="637"/>
      <c r="DGK1" s="637"/>
      <c r="DGL1" s="637"/>
      <c r="DGM1" s="637"/>
      <c r="DGN1" s="637"/>
      <c r="DGO1" s="637"/>
      <c r="DGP1" s="637"/>
      <c r="DGQ1" s="637"/>
      <c r="DGR1" s="637"/>
      <c r="DGS1" s="637"/>
      <c r="DGT1" s="637"/>
      <c r="DGU1" s="637"/>
      <c r="DGV1" s="637"/>
      <c r="DGW1" s="637"/>
      <c r="DGX1" s="637"/>
      <c r="DGY1" s="637"/>
      <c r="DGZ1" s="637"/>
      <c r="DHA1" s="637"/>
      <c r="DHB1" s="637"/>
      <c r="DHC1" s="637"/>
      <c r="DHD1" s="637"/>
      <c r="DHE1" s="637"/>
      <c r="DHF1" s="637"/>
      <c r="DHG1" s="637"/>
      <c r="DHH1" s="637"/>
      <c r="DHI1" s="637"/>
      <c r="DHJ1" s="637"/>
      <c r="DHK1" s="637"/>
      <c r="DHL1" s="637"/>
      <c r="DHM1" s="637"/>
      <c r="DHN1" s="637"/>
      <c r="DHO1" s="637"/>
      <c r="DHP1" s="637"/>
      <c r="DHQ1" s="637"/>
      <c r="DHR1" s="637"/>
      <c r="DHS1" s="637"/>
      <c r="DHT1" s="637"/>
      <c r="DHU1" s="637"/>
      <c r="DHV1" s="637"/>
      <c r="DHW1" s="637"/>
      <c r="DHX1" s="637"/>
      <c r="DHY1" s="637"/>
      <c r="DHZ1" s="637"/>
      <c r="DIA1" s="637"/>
      <c r="DIB1" s="637"/>
      <c r="DIC1" s="637"/>
      <c r="DID1" s="637"/>
      <c r="DIE1" s="637"/>
      <c r="DIF1" s="637"/>
      <c r="DIG1" s="637"/>
      <c r="DIH1" s="637"/>
      <c r="DII1" s="637"/>
      <c r="DIJ1" s="637"/>
      <c r="DIK1" s="637"/>
      <c r="DIL1" s="637"/>
      <c r="DIM1" s="637"/>
      <c r="DIN1" s="637"/>
      <c r="DIO1" s="637"/>
      <c r="DIP1" s="637"/>
      <c r="DIQ1" s="637"/>
      <c r="DIR1" s="637"/>
      <c r="DIS1" s="637"/>
      <c r="DIT1" s="637"/>
      <c r="DIU1" s="637"/>
      <c r="DIV1" s="637"/>
      <c r="DIW1" s="637"/>
      <c r="DIX1" s="637"/>
      <c r="DIY1" s="637"/>
      <c r="DIZ1" s="637"/>
      <c r="DJA1" s="637"/>
      <c r="DJB1" s="637"/>
      <c r="DJC1" s="637"/>
      <c r="DJD1" s="637"/>
      <c r="DJE1" s="637"/>
      <c r="DJF1" s="637"/>
      <c r="DJG1" s="637"/>
      <c r="DJH1" s="637"/>
      <c r="DJI1" s="637"/>
      <c r="DJJ1" s="637"/>
      <c r="DJK1" s="637"/>
      <c r="DJL1" s="637"/>
      <c r="DJM1" s="637"/>
      <c r="DJN1" s="637"/>
      <c r="DJO1" s="637"/>
      <c r="DJP1" s="637"/>
      <c r="DJQ1" s="637"/>
      <c r="DJR1" s="637"/>
      <c r="DJS1" s="637"/>
      <c r="DJT1" s="637"/>
      <c r="DJU1" s="637"/>
      <c r="DJV1" s="637"/>
      <c r="DJW1" s="637"/>
      <c r="DJX1" s="637"/>
      <c r="DJY1" s="637"/>
      <c r="DJZ1" s="637"/>
      <c r="DKA1" s="637"/>
      <c r="DKB1" s="637"/>
      <c r="DKC1" s="637"/>
      <c r="DKD1" s="637"/>
      <c r="DKE1" s="637"/>
      <c r="DKF1" s="637"/>
      <c r="DKG1" s="637"/>
      <c r="DKH1" s="637"/>
      <c r="DKI1" s="637"/>
      <c r="DKJ1" s="637"/>
      <c r="DKK1" s="637"/>
      <c r="DKL1" s="637"/>
      <c r="DKM1" s="637"/>
      <c r="DKN1" s="637"/>
      <c r="DKO1" s="637"/>
      <c r="DKP1" s="637"/>
      <c r="DKQ1" s="637"/>
      <c r="DKR1" s="637"/>
      <c r="DKS1" s="637"/>
      <c r="DKT1" s="637"/>
      <c r="DKU1" s="637"/>
      <c r="DKV1" s="637"/>
      <c r="DKW1" s="637"/>
      <c r="DKX1" s="637"/>
      <c r="DKY1" s="637"/>
      <c r="DKZ1" s="637"/>
      <c r="DLA1" s="637"/>
      <c r="DLB1" s="637"/>
      <c r="DLC1" s="637"/>
      <c r="DLD1" s="637"/>
      <c r="DLE1" s="637"/>
      <c r="DLF1" s="637"/>
      <c r="DLG1" s="637"/>
      <c r="DLH1" s="637"/>
      <c r="DLI1" s="637"/>
      <c r="DLJ1" s="637"/>
      <c r="DLK1" s="637"/>
      <c r="DLL1" s="637"/>
      <c r="DLM1" s="637"/>
      <c r="DLN1" s="637"/>
      <c r="DLO1" s="637"/>
      <c r="DLP1" s="637"/>
      <c r="DLQ1" s="637"/>
      <c r="DLR1" s="637"/>
      <c r="DLS1" s="637"/>
      <c r="DLT1" s="637"/>
      <c r="DLU1" s="637"/>
      <c r="DLV1" s="637"/>
      <c r="DLW1" s="637"/>
      <c r="DLX1" s="637"/>
      <c r="DLY1" s="637"/>
      <c r="DLZ1" s="637"/>
      <c r="DMA1" s="637"/>
      <c r="DMB1" s="637"/>
      <c r="DMC1" s="637"/>
      <c r="DMD1" s="637"/>
      <c r="DME1" s="637"/>
      <c r="DMF1" s="637"/>
      <c r="DMG1" s="637"/>
      <c r="DMH1" s="637"/>
      <c r="DMI1" s="637"/>
      <c r="DMJ1" s="637"/>
      <c r="DMK1" s="637"/>
      <c r="DML1" s="637"/>
      <c r="DMM1" s="637"/>
      <c r="DMN1" s="637"/>
      <c r="DMO1" s="637"/>
      <c r="DMP1" s="637"/>
      <c r="DMQ1" s="637"/>
      <c r="DMR1" s="637"/>
      <c r="DMS1" s="637"/>
      <c r="DMT1" s="637"/>
      <c r="DMU1" s="637"/>
      <c r="DMV1" s="637"/>
      <c r="DMW1" s="637"/>
      <c r="DMX1" s="637"/>
      <c r="DMY1" s="637"/>
      <c r="DMZ1" s="637"/>
      <c r="DNA1" s="637"/>
      <c r="DNB1" s="637"/>
      <c r="DNC1" s="637"/>
      <c r="DND1" s="637"/>
      <c r="DNE1" s="637"/>
      <c r="DNF1" s="637"/>
      <c r="DNG1" s="637"/>
      <c r="DNH1" s="637"/>
      <c r="DNI1" s="637"/>
      <c r="DNJ1" s="637"/>
      <c r="DNK1" s="637"/>
      <c r="DNL1" s="637"/>
      <c r="DNM1" s="637"/>
      <c r="DNN1" s="637"/>
      <c r="DNO1" s="637"/>
      <c r="DNP1" s="637"/>
      <c r="DNQ1" s="637"/>
      <c r="DNR1" s="637"/>
      <c r="DNS1" s="637"/>
      <c r="DNT1" s="637"/>
      <c r="DNU1" s="637"/>
      <c r="DNV1" s="637"/>
      <c r="DNW1" s="637"/>
      <c r="DNX1" s="637"/>
      <c r="DNY1" s="637"/>
      <c r="DNZ1" s="637"/>
      <c r="DOA1" s="637"/>
      <c r="DOB1" s="637"/>
      <c r="DOC1" s="637"/>
      <c r="DOD1" s="637"/>
      <c r="DOE1" s="637"/>
      <c r="DOF1" s="637"/>
      <c r="DOG1" s="637"/>
      <c r="DOH1" s="637"/>
      <c r="DOI1" s="637"/>
      <c r="DOJ1" s="637"/>
      <c r="DOK1" s="637"/>
      <c r="DOL1" s="637"/>
      <c r="DOM1" s="637"/>
      <c r="DON1" s="637"/>
      <c r="DOO1" s="637"/>
      <c r="DOP1" s="637"/>
      <c r="DOQ1" s="637"/>
      <c r="DOR1" s="637"/>
      <c r="DOS1" s="637"/>
      <c r="DOT1" s="637"/>
      <c r="DOU1" s="637"/>
      <c r="DOV1" s="637"/>
      <c r="DOW1" s="637"/>
      <c r="DOX1" s="637"/>
      <c r="DOY1" s="637"/>
      <c r="DOZ1" s="637"/>
      <c r="DPA1" s="637"/>
      <c r="DPB1" s="637"/>
      <c r="DPC1" s="637"/>
      <c r="DPD1" s="637"/>
      <c r="DPE1" s="637"/>
      <c r="DPF1" s="637"/>
      <c r="DPG1" s="637"/>
      <c r="DPH1" s="637"/>
      <c r="DPI1" s="637"/>
      <c r="DPJ1" s="637"/>
      <c r="DPK1" s="637"/>
      <c r="DPL1" s="637"/>
      <c r="DPM1" s="637"/>
      <c r="DPN1" s="637"/>
      <c r="DPO1" s="637"/>
      <c r="DPP1" s="637"/>
      <c r="DPQ1" s="637"/>
      <c r="DPR1" s="637"/>
      <c r="DPS1" s="637"/>
      <c r="DPT1" s="637"/>
      <c r="DPU1" s="637"/>
      <c r="DPV1" s="637"/>
      <c r="DPW1" s="637"/>
      <c r="DPX1" s="637"/>
      <c r="DPY1" s="637"/>
      <c r="DPZ1" s="637"/>
      <c r="DQA1" s="637"/>
      <c r="DQB1" s="637"/>
      <c r="DQC1" s="637"/>
      <c r="DQD1" s="637"/>
      <c r="DQE1" s="637"/>
      <c r="DQF1" s="637"/>
      <c r="DQG1" s="637"/>
      <c r="DQH1" s="637"/>
      <c r="DQI1" s="637"/>
      <c r="DQJ1" s="637"/>
      <c r="DQK1" s="637"/>
      <c r="DQL1" s="637"/>
      <c r="DQM1" s="637"/>
      <c r="DQN1" s="637"/>
      <c r="DQO1" s="637"/>
      <c r="DQP1" s="637"/>
      <c r="DQQ1" s="637"/>
      <c r="DQR1" s="637"/>
      <c r="DQS1" s="637"/>
      <c r="DQT1" s="637"/>
      <c r="DQU1" s="637"/>
      <c r="DQV1" s="637"/>
      <c r="DQW1" s="637"/>
      <c r="DQX1" s="637"/>
      <c r="DQY1" s="637"/>
      <c r="DQZ1" s="637"/>
      <c r="DRA1" s="637"/>
      <c r="DRB1" s="637"/>
      <c r="DRC1" s="637"/>
      <c r="DRD1" s="637"/>
      <c r="DRE1" s="637"/>
      <c r="DRF1" s="637"/>
      <c r="DRG1" s="637"/>
      <c r="DRH1" s="637"/>
      <c r="DRI1" s="637"/>
      <c r="DRJ1" s="637"/>
      <c r="DRK1" s="637"/>
      <c r="DRL1" s="637"/>
      <c r="DRM1" s="637"/>
      <c r="DRN1" s="637"/>
      <c r="DRO1" s="637"/>
      <c r="DRP1" s="637"/>
      <c r="DRQ1" s="637"/>
      <c r="DRR1" s="637"/>
      <c r="DRS1" s="637"/>
      <c r="DRT1" s="637"/>
      <c r="DRU1" s="637"/>
      <c r="DRV1" s="637"/>
      <c r="DRW1" s="637"/>
      <c r="DRX1" s="637"/>
      <c r="DRY1" s="637"/>
      <c r="DRZ1" s="637"/>
      <c r="DSA1" s="637"/>
      <c r="DSB1" s="637"/>
      <c r="DSC1" s="637"/>
      <c r="DSD1" s="637"/>
      <c r="DSE1" s="637"/>
      <c r="DSF1" s="637"/>
      <c r="DSG1" s="637"/>
      <c r="DSH1" s="637"/>
      <c r="DSI1" s="637"/>
      <c r="DSJ1" s="637"/>
      <c r="DSK1" s="637"/>
      <c r="DSL1" s="637"/>
      <c r="DSM1" s="637"/>
      <c r="DSN1" s="637"/>
      <c r="DSO1" s="637"/>
      <c r="DSP1" s="637"/>
      <c r="DSQ1" s="637"/>
      <c r="DSR1" s="637"/>
      <c r="DSS1" s="637"/>
      <c r="DST1" s="637"/>
      <c r="DSU1" s="637"/>
      <c r="DSV1" s="637"/>
      <c r="DSW1" s="637"/>
      <c r="DSX1" s="637"/>
      <c r="DSY1" s="637"/>
      <c r="DSZ1" s="637"/>
      <c r="DTA1" s="637"/>
      <c r="DTB1" s="637"/>
      <c r="DTC1" s="637"/>
      <c r="DTD1" s="637"/>
      <c r="DTE1" s="637"/>
      <c r="DTF1" s="637"/>
      <c r="DTG1" s="637"/>
      <c r="DTH1" s="637"/>
      <c r="DTI1" s="637"/>
      <c r="DTJ1" s="637"/>
      <c r="DTK1" s="637"/>
      <c r="DTL1" s="637"/>
      <c r="DTM1" s="637"/>
      <c r="DTN1" s="637"/>
      <c r="DTO1" s="637"/>
      <c r="DTP1" s="637"/>
      <c r="DTQ1" s="637"/>
      <c r="DTR1" s="637"/>
      <c r="DTS1" s="637"/>
      <c r="DTT1" s="637"/>
      <c r="DTU1" s="637"/>
      <c r="DTV1" s="637"/>
      <c r="DTW1" s="637"/>
      <c r="DTX1" s="637"/>
      <c r="DTY1" s="637"/>
      <c r="DTZ1" s="637"/>
      <c r="DUA1" s="637"/>
      <c r="DUB1" s="637"/>
      <c r="DUC1" s="637"/>
      <c r="DUD1" s="637"/>
      <c r="DUE1" s="637"/>
      <c r="DUF1" s="637"/>
      <c r="DUG1" s="637"/>
      <c r="DUH1" s="637"/>
      <c r="DUI1" s="637"/>
      <c r="DUJ1" s="637"/>
      <c r="DUK1" s="637"/>
      <c r="DUL1" s="637"/>
      <c r="DUM1" s="637"/>
      <c r="DUN1" s="637"/>
      <c r="DUO1" s="637"/>
      <c r="DUP1" s="637"/>
      <c r="DUQ1" s="637"/>
      <c r="DUR1" s="637"/>
      <c r="DUS1" s="637"/>
      <c r="DUT1" s="637"/>
      <c r="DUU1" s="637"/>
      <c r="DUV1" s="637"/>
      <c r="DUW1" s="637"/>
      <c r="DUX1" s="637"/>
      <c r="DUY1" s="637"/>
      <c r="DUZ1" s="637"/>
      <c r="DVA1" s="637"/>
      <c r="DVB1" s="637"/>
      <c r="DVC1" s="637"/>
      <c r="DVD1" s="637"/>
      <c r="DVE1" s="637"/>
      <c r="DVF1" s="637"/>
      <c r="DVG1" s="637"/>
      <c r="DVH1" s="637"/>
      <c r="DVI1" s="637"/>
      <c r="DVJ1" s="637"/>
      <c r="DVK1" s="637"/>
      <c r="DVL1" s="637"/>
      <c r="DVM1" s="637"/>
      <c r="DVN1" s="637"/>
      <c r="DVO1" s="637"/>
      <c r="DVP1" s="637"/>
      <c r="DVQ1" s="637"/>
      <c r="DVR1" s="637"/>
      <c r="DVS1" s="637"/>
      <c r="DVT1" s="637"/>
      <c r="DVU1" s="637"/>
      <c r="DVV1" s="637"/>
      <c r="DVW1" s="637"/>
      <c r="DVX1" s="637"/>
      <c r="DVY1" s="637"/>
      <c r="DVZ1" s="637"/>
      <c r="DWA1" s="637"/>
      <c r="DWB1" s="637"/>
      <c r="DWC1" s="637"/>
      <c r="DWD1" s="637"/>
      <c r="DWE1" s="637"/>
      <c r="DWF1" s="637"/>
      <c r="DWG1" s="637"/>
      <c r="DWH1" s="637"/>
      <c r="DWI1" s="637"/>
      <c r="DWJ1" s="637"/>
      <c r="DWK1" s="637"/>
      <c r="DWL1" s="637"/>
      <c r="DWM1" s="637"/>
      <c r="DWN1" s="637"/>
      <c r="DWO1" s="637"/>
      <c r="DWP1" s="637"/>
      <c r="DWQ1" s="637"/>
      <c r="DWR1" s="637"/>
      <c r="DWS1" s="637"/>
      <c r="DWT1" s="637"/>
      <c r="DWU1" s="637"/>
      <c r="DWV1" s="637"/>
      <c r="DWW1" s="637"/>
      <c r="DWX1" s="637"/>
      <c r="DWY1" s="637"/>
      <c r="DWZ1" s="637"/>
      <c r="DXA1" s="637"/>
      <c r="DXB1" s="637"/>
      <c r="DXC1" s="637"/>
      <c r="DXD1" s="637"/>
      <c r="DXE1" s="637"/>
      <c r="DXF1" s="637"/>
      <c r="DXG1" s="637"/>
      <c r="DXH1" s="637"/>
      <c r="DXI1" s="637"/>
      <c r="DXJ1" s="637"/>
      <c r="DXK1" s="637"/>
      <c r="DXL1" s="637"/>
      <c r="DXM1" s="637"/>
      <c r="DXN1" s="637"/>
      <c r="DXO1" s="637"/>
      <c r="DXP1" s="637"/>
      <c r="DXQ1" s="637"/>
      <c r="DXR1" s="637"/>
      <c r="DXS1" s="637"/>
      <c r="DXT1" s="637"/>
      <c r="DXU1" s="637"/>
      <c r="DXV1" s="637"/>
      <c r="DXW1" s="637"/>
      <c r="DXX1" s="637"/>
      <c r="DXY1" s="637"/>
      <c r="DXZ1" s="637"/>
      <c r="DYA1" s="637"/>
      <c r="DYB1" s="637"/>
      <c r="DYC1" s="637"/>
      <c r="DYD1" s="637"/>
      <c r="DYE1" s="637"/>
      <c r="DYF1" s="637"/>
      <c r="DYG1" s="637"/>
      <c r="DYH1" s="637"/>
      <c r="DYI1" s="637"/>
      <c r="DYJ1" s="637"/>
      <c r="DYK1" s="637"/>
      <c r="DYL1" s="637"/>
      <c r="DYM1" s="637"/>
      <c r="DYN1" s="637"/>
      <c r="DYO1" s="637"/>
      <c r="DYP1" s="637"/>
      <c r="DYQ1" s="637"/>
      <c r="DYR1" s="637"/>
      <c r="DYS1" s="637"/>
      <c r="DYT1" s="637"/>
      <c r="DYU1" s="637"/>
      <c r="DYV1" s="637"/>
      <c r="DYW1" s="637"/>
      <c r="DYX1" s="637"/>
      <c r="DYY1" s="637"/>
      <c r="DYZ1" s="637"/>
      <c r="DZA1" s="637"/>
      <c r="DZB1" s="637"/>
      <c r="DZC1" s="637"/>
      <c r="DZD1" s="637"/>
      <c r="DZE1" s="637"/>
      <c r="DZF1" s="637"/>
      <c r="DZG1" s="637"/>
      <c r="DZH1" s="637"/>
      <c r="DZI1" s="637"/>
      <c r="DZJ1" s="637"/>
      <c r="DZK1" s="637"/>
      <c r="DZL1" s="637"/>
      <c r="DZM1" s="637"/>
      <c r="DZN1" s="637"/>
      <c r="DZO1" s="637"/>
      <c r="DZP1" s="637"/>
      <c r="DZQ1" s="637"/>
      <c r="DZR1" s="637"/>
      <c r="DZS1" s="637"/>
      <c r="DZT1" s="637"/>
      <c r="DZU1" s="637"/>
      <c r="DZV1" s="637"/>
      <c r="DZW1" s="637"/>
      <c r="DZX1" s="637"/>
      <c r="DZY1" s="637"/>
      <c r="DZZ1" s="637"/>
      <c r="EAA1" s="637"/>
      <c r="EAB1" s="637"/>
      <c r="EAC1" s="637"/>
      <c r="EAD1" s="637"/>
      <c r="EAE1" s="637"/>
      <c r="EAF1" s="637"/>
      <c r="EAG1" s="637"/>
      <c r="EAH1" s="637"/>
      <c r="EAI1" s="637"/>
      <c r="EAJ1" s="637"/>
      <c r="EAK1" s="637"/>
      <c r="EAL1" s="637"/>
      <c r="EAM1" s="637"/>
      <c r="EAN1" s="637"/>
      <c r="EAO1" s="637"/>
      <c r="EAP1" s="637"/>
      <c r="EAQ1" s="637"/>
      <c r="EAR1" s="637"/>
      <c r="EAS1" s="637"/>
      <c r="EAT1" s="637"/>
      <c r="EAU1" s="637"/>
      <c r="EAV1" s="637"/>
      <c r="EAW1" s="637"/>
      <c r="EAX1" s="637"/>
      <c r="EAY1" s="637"/>
      <c r="EAZ1" s="637"/>
      <c r="EBA1" s="637"/>
      <c r="EBB1" s="637"/>
      <c r="EBC1" s="637"/>
      <c r="EBD1" s="637"/>
      <c r="EBE1" s="637"/>
      <c r="EBF1" s="637"/>
      <c r="EBG1" s="637"/>
      <c r="EBH1" s="637"/>
      <c r="EBI1" s="637"/>
      <c r="EBJ1" s="637"/>
      <c r="EBK1" s="637"/>
      <c r="EBL1" s="637"/>
      <c r="EBM1" s="637"/>
      <c r="EBN1" s="637"/>
      <c r="EBO1" s="637"/>
      <c r="EBP1" s="637"/>
      <c r="EBQ1" s="637"/>
      <c r="EBR1" s="637"/>
      <c r="EBS1" s="637"/>
      <c r="EBT1" s="637"/>
      <c r="EBU1" s="637"/>
      <c r="EBV1" s="637"/>
      <c r="EBW1" s="637"/>
      <c r="EBX1" s="637"/>
      <c r="EBY1" s="637"/>
      <c r="EBZ1" s="637"/>
      <c r="ECA1" s="637"/>
      <c r="ECB1" s="637"/>
      <c r="ECC1" s="637"/>
      <c r="ECD1" s="637"/>
      <c r="ECE1" s="637"/>
      <c r="ECF1" s="637"/>
      <c r="ECG1" s="637"/>
      <c r="ECH1" s="637"/>
      <c r="ECI1" s="637"/>
      <c r="ECJ1" s="637"/>
      <c r="ECK1" s="637"/>
      <c r="ECL1" s="637"/>
      <c r="ECM1" s="637"/>
      <c r="ECN1" s="637"/>
      <c r="ECO1" s="637"/>
      <c r="ECP1" s="637"/>
      <c r="ECQ1" s="637"/>
      <c r="ECR1" s="637"/>
      <c r="ECS1" s="637"/>
      <c r="ECT1" s="637"/>
      <c r="ECU1" s="637"/>
      <c r="ECV1" s="637"/>
      <c r="ECW1" s="637"/>
      <c r="ECX1" s="637"/>
      <c r="ECY1" s="637"/>
      <c r="ECZ1" s="637"/>
      <c r="EDA1" s="637"/>
      <c r="EDB1" s="637"/>
      <c r="EDC1" s="637"/>
      <c r="EDD1" s="637"/>
      <c r="EDE1" s="637"/>
      <c r="EDF1" s="637"/>
      <c r="EDG1" s="637"/>
      <c r="EDH1" s="637"/>
      <c r="EDI1" s="637"/>
      <c r="EDJ1" s="637"/>
      <c r="EDK1" s="637"/>
      <c r="EDL1" s="637"/>
      <c r="EDM1" s="637"/>
      <c r="EDN1" s="637"/>
      <c r="EDO1" s="637"/>
      <c r="EDP1" s="637"/>
      <c r="EDQ1" s="637"/>
      <c r="EDR1" s="637"/>
      <c r="EDS1" s="637"/>
      <c r="EDT1" s="637"/>
      <c r="EDU1" s="637"/>
      <c r="EDV1" s="637"/>
      <c r="EDW1" s="637"/>
      <c r="EDX1" s="637"/>
      <c r="EDY1" s="637"/>
      <c r="EDZ1" s="637"/>
      <c r="EEA1" s="637"/>
      <c r="EEB1" s="637"/>
      <c r="EEC1" s="637"/>
      <c r="EED1" s="637"/>
      <c r="EEE1" s="637"/>
      <c r="EEF1" s="637"/>
      <c r="EEG1" s="637"/>
      <c r="EEH1" s="637"/>
      <c r="EEI1" s="637"/>
      <c r="EEJ1" s="637"/>
      <c r="EEK1" s="637"/>
      <c r="EEL1" s="637"/>
      <c r="EEM1" s="637"/>
      <c r="EEN1" s="637"/>
      <c r="EEO1" s="637"/>
      <c r="EEP1" s="637"/>
      <c r="EEQ1" s="637"/>
      <c r="EER1" s="637"/>
      <c r="EES1" s="637"/>
      <c r="EET1" s="637"/>
      <c r="EEU1" s="637"/>
      <c r="EEV1" s="637"/>
      <c r="EEW1" s="637"/>
      <c r="EEX1" s="637"/>
      <c r="EEY1" s="637"/>
      <c r="EEZ1" s="637"/>
      <c r="EFA1" s="637"/>
      <c r="EFB1" s="637"/>
      <c r="EFC1" s="637"/>
      <c r="EFD1" s="637"/>
      <c r="EFE1" s="637"/>
      <c r="EFF1" s="637"/>
      <c r="EFG1" s="637"/>
      <c r="EFH1" s="637"/>
      <c r="EFI1" s="637"/>
      <c r="EFJ1" s="637"/>
      <c r="EFK1" s="637"/>
      <c r="EFL1" s="637"/>
      <c r="EFM1" s="637"/>
      <c r="EFN1" s="637"/>
      <c r="EFO1" s="637"/>
      <c r="EFP1" s="637"/>
      <c r="EFQ1" s="637"/>
      <c r="EFR1" s="637"/>
      <c r="EFS1" s="637"/>
      <c r="EFT1" s="637"/>
      <c r="EFU1" s="637"/>
      <c r="EFV1" s="637"/>
      <c r="EFW1" s="637"/>
      <c r="EFX1" s="637"/>
      <c r="EFY1" s="637"/>
      <c r="EFZ1" s="637"/>
      <c r="EGA1" s="637"/>
      <c r="EGB1" s="637"/>
      <c r="EGC1" s="637"/>
      <c r="EGD1" s="637"/>
      <c r="EGE1" s="637"/>
      <c r="EGF1" s="637"/>
      <c r="EGG1" s="637"/>
      <c r="EGH1" s="637"/>
      <c r="EGI1" s="637"/>
      <c r="EGJ1" s="637"/>
      <c r="EGK1" s="637"/>
      <c r="EGL1" s="637"/>
      <c r="EGM1" s="637"/>
      <c r="EGN1" s="637"/>
      <c r="EGO1" s="637"/>
      <c r="EGP1" s="637"/>
      <c r="EGQ1" s="637"/>
      <c r="EGR1" s="637"/>
      <c r="EGS1" s="637"/>
      <c r="EGT1" s="637"/>
      <c r="EGU1" s="637"/>
      <c r="EGV1" s="637"/>
      <c r="EGW1" s="637"/>
      <c r="EGX1" s="637"/>
      <c r="EGY1" s="637"/>
      <c r="EGZ1" s="637"/>
      <c r="EHA1" s="637"/>
      <c r="EHB1" s="637"/>
      <c r="EHC1" s="637"/>
      <c r="EHD1" s="637"/>
      <c r="EHE1" s="637"/>
      <c r="EHF1" s="637"/>
      <c r="EHG1" s="637"/>
      <c r="EHH1" s="637"/>
      <c r="EHI1" s="637"/>
      <c r="EHJ1" s="637"/>
      <c r="EHK1" s="637"/>
      <c r="EHL1" s="637"/>
      <c r="EHM1" s="637"/>
      <c r="EHN1" s="637"/>
      <c r="EHO1" s="637"/>
      <c r="EHP1" s="637"/>
      <c r="EHQ1" s="637"/>
      <c r="EHR1" s="637"/>
      <c r="EHS1" s="637"/>
      <c r="EHT1" s="637"/>
      <c r="EHU1" s="637"/>
      <c r="EHV1" s="637"/>
      <c r="EHW1" s="637"/>
      <c r="EHX1" s="637"/>
      <c r="EHY1" s="637"/>
      <c r="EHZ1" s="637"/>
      <c r="EIA1" s="637"/>
      <c r="EIB1" s="637"/>
      <c r="EIC1" s="637"/>
      <c r="EID1" s="637"/>
      <c r="EIE1" s="637"/>
      <c r="EIF1" s="637"/>
      <c r="EIG1" s="637"/>
      <c r="EIH1" s="637"/>
      <c r="EII1" s="637"/>
      <c r="EIJ1" s="637"/>
      <c r="EIK1" s="637"/>
      <c r="EIL1" s="637"/>
      <c r="EIM1" s="637"/>
      <c r="EIN1" s="637"/>
      <c r="EIO1" s="637"/>
      <c r="EIP1" s="637"/>
      <c r="EIQ1" s="637"/>
      <c r="EIR1" s="637"/>
      <c r="EIS1" s="637"/>
      <c r="EIT1" s="637"/>
      <c r="EIU1" s="637"/>
      <c r="EIV1" s="637"/>
      <c r="EIW1" s="637"/>
      <c r="EIX1" s="637"/>
      <c r="EIY1" s="637"/>
      <c r="EIZ1" s="637"/>
      <c r="EJA1" s="637"/>
      <c r="EJB1" s="637"/>
      <c r="EJC1" s="637"/>
      <c r="EJD1" s="637"/>
      <c r="EJE1" s="637"/>
      <c r="EJF1" s="637"/>
      <c r="EJG1" s="637"/>
      <c r="EJH1" s="637"/>
      <c r="EJI1" s="637"/>
      <c r="EJJ1" s="637"/>
      <c r="EJK1" s="637"/>
      <c r="EJL1" s="637"/>
      <c r="EJM1" s="637"/>
      <c r="EJN1" s="637"/>
      <c r="EJO1" s="637"/>
      <c r="EJP1" s="637"/>
      <c r="EJQ1" s="637"/>
      <c r="EJR1" s="637"/>
      <c r="EJS1" s="637"/>
      <c r="EJT1" s="637"/>
      <c r="EJU1" s="637"/>
      <c r="EJV1" s="637"/>
      <c r="EJW1" s="637"/>
      <c r="EJX1" s="637"/>
      <c r="EJY1" s="637"/>
      <c r="EJZ1" s="637"/>
      <c r="EKA1" s="637"/>
      <c r="EKB1" s="637"/>
      <c r="EKC1" s="637"/>
      <c r="EKD1" s="637"/>
      <c r="EKE1" s="637"/>
      <c r="EKF1" s="637"/>
      <c r="EKG1" s="637"/>
      <c r="EKH1" s="637"/>
      <c r="EKI1" s="637"/>
      <c r="EKJ1" s="637"/>
      <c r="EKK1" s="637"/>
      <c r="EKL1" s="637"/>
      <c r="EKM1" s="637"/>
      <c r="EKN1" s="637"/>
      <c r="EKO1" s="637"/>
      <c r="EKP1" s="637"/>
      <c r="EKQ1" s="637"/>
      <c r="EKR1" s="637"/>
      <c r="EKS1" s="637"/>
      <c r="EKT1" s="637"/>
      <c r="EKU1" s="637"/>
      <c r="EKV1" s="637"/>
      <c r="EKW1" s="637"/>
      <c r="EKX1" s="637"/>
      <c r="EKY1" s="637"/>
      <c r="EKZ1" s="637"/>
      <c r="ELA1" s="637"/>
      <c r="ELB1" s="637"/>
      <c r="ELC1" s="637"/>
      <c r="ELD1" s="637"/>
      <c r="ELE1" s="637"/>
      <c r="ELF1" s="637"/>
      <c r="ELG1" s="637"/>
      <c r="ELH1" s="637"/>
      <c r="ELI1" s="637"/>
      <c r="ELJ1" s="637"/>
      <c r="ELK1" s="637"/>
      <c r="ELL1" s="637"/>
      <c r="ELM1" s="637"/>
      <c r="ELN1" s="637"/>
      <c r="ELO1" s="637"/>
      <c r="ELP1" s="637"/>
      <c r="ELQ1" s="637"/>
      <c r="ELR1" s="637"/>
      <c r="ELS1" s="637"/>
      <c r="ELT1" s="637"/>
      <c r="ELU1" s="637"/>
      <c r="ELV1" s="637"/>
      <c r="ELW1" s="637"/>
      <c r="ELX1" s="637"/>
      <c r="ELY1" s="637"/>
      <c r="ELZ1" s="637"/>
      <c r="EMA1" s="637"/>
      <c r="EMB1" s="637"/>
      <c r="EMC1" s="637"/>
      <c r="EMD1" s="637"/>
      <c r="EME1" s="637"/>
      <c r="EMF1" s="637"/>
      <c r="EMG1" s="637"/>
      <c r="EMH1" s="637"/>
      <c r="EMI1" s="637"/>
      <c r="EMJ1" s="637"/>
      <c r="EMK1" s="637"/>
      <c r="EML1" s="637"/>
      <c r="EMM1" s="637"/>
      <c r="EMN1" s="637"/>
      <c r="EMO1" s="637"/>
      <c r="EMP1" s="637"/>
      <c r="EMQ1" s="637"/>
      <c r="EMR1" s="637"/>
      <c r="EMS1" s="637"/>
      <c r="EMT1" s="637"/>
      <c r="EMU1" s="637"/>
      <c r="EMV1" s="637"/>
      <c r="EMW1" s="637"/>
      <c r="EMX1" s="637"/>
      <c r="EMY1" s="637"/>
      <c r="EMZ1" s="637"/>
      <c r="ENA1" s="637"/>
      <c r="ENB1" s="637"/>
      <c r="ENC1" s="637"/>
      <c r="END1" s="637"/>
      <c r="ENE1" s="637"/>
      <c r="ENF1" s="637"/>
      <c r="ENG1" s="637"/>
      <c r="ENH1" s="637"/>
      <c r="ENI1" s="637"/>
      <c r="ENJ1" s="637"/>
      <c r="ENK1" s="637"/>
      <c r="ENL1" s="637"/>
      <c r="ENM1" s="637"/>
      <c r="ENN1" s="637"/>
      <c r="ENO1" s="637"/>
      <c r="ENP1" s="637"/>
      <c r="ENQ1" s="637"/>
      <c r="ENR1" s="637"/>
      <c r="ENS1" s="637"/>
      <c r="ENT1" s="637"/>
      <c r="ENU1" s="637"/>
      <c r="ENV1" s="637"/>
      <c r="ENW1" s="637"/>
      <c r="ENX1" s="637"/>
      <c r="ENY1" s="637"/>
      <c r="ENZ1" s="637"/>
      <c r="EOA1" s="637"/>
      <c r="EOB1" s="637"/>
      <c r="EOC1" s="637"/>
      <c r="EOD1" s="637"/>
      <c r="EOE1" s="637"/>
      <c r="EOF1" s="637"/>
      <c r="EOG1" s="637"/>
      <c r="EOH1" s="637"/>
      <c r="EOI1" s="637"/>
      <c r="EOJ1" s="637"/>
      <c r="EOK1" s="637"/>
      <c r="EOL1" s="637"/>
      <c r="EOM1" s="637"/>
      <c r="EON1" s="637"/>
      <c r="EOO1" s="637"/>
      <c r="EOP1" s="637"/>
      <c r="EOQ1" s="637"/>
      <c r="EOR1" s="637"/>
      <c r="EOS1" s="637"/>
      <c r="EOT1" s="637"/>
      <c r="EOU1" s="637"/>
      <c r="EOV1" s="637"/>
      <c r="EOW1" s="637"/>
      <c r="EOX1" s="637"/>
      <c r="EOY1" s="637"/>
      <c r="EOZ1" s="637"/>
      <c r="EPA1" s="637"/>
      <c r="EPB1" s="637"/>
      <c r="EPC1" s="637"/>
      <c r="EPD1" s="637"/>
      <c r="EPE1" s="637"/>
      <c r="EPF1" s="637"/>
      <c r="EPG1" s="637"/>
      <c r="EPH1" s="637"/>
      <c r="EPI1" s="637"/>
      <c r="EPJ1" s="637"/>
      <c r="EPK1" s="637"/>
      <c r="EPL1" s="637"/>
      <c r="EPM1" s="637"/>
      <c r="EPN1" s="637"/>
      <c r="EPO1" s="637"/>
      <c r="EPP1" s="637"/>
      <c r="EPQ1" s="637"/>
      <c r="EPR1" s="637"/>
      <c r="EPS1" s="637"/>
      <c r="EPT1" s="637"/>
      <c r="EPU1" s="637"/>
      <c r="EPV1" s="637"/>
      <c r="EPW1" s="637"/>
      <c r="EPX1" s="637"/>
      <c r="EPY1" s="637"/>
      <c r="EPZ1" s="637"/>
      <c r="EQA1" s="637"/>
      <c r="EQB1" s="637"/>
      <c r="EQC1" s="637"/>
      <c r="EQD1" s="637"/>
      <c r="EQE1" s="637"/>
      <c r="EQF1" s="637"/>
      <c r="EQG1" s="637"/>
      <c r="EQH1" s="637"/>
      <c r="EQI1" s="637"/>
      <c r="EQJ1" s="637"/>
      <c r="EQK1" s="637"/>
      <c r="EQL1" s="637"/>
      <c r="EQM1" s="637"/>
      <c r="EQN1" s="637"/>
      <c r="EQO1" s="637"/>
      <c r="EQP1" s="637"/>
      <c r="EQQ1" s="637"/>
      <c r="EQR1" s="637"/>
      <c r="EQS1" s="637"/>
      <c r="EQT1" s="637"/>
      <c r="EQU1" s="637"/>
      <c r="EQV1" s="637"/>
      <c r="EQW1" s="637"/>
      <c r="EQX1" s="637"/>
      <c r="EQY1" s="637"/>
      <c r="EQZ1" s="637"/>
      <c r="ERA1" s="637"/>
      <c r="ERB1" s="637"/>
      <c r="ERC1" s="637"/>
      <c r="ERD1" s="637"/>
      <c r="ERE1" s="637"/>
      <c r="ERF1" s="637"/>
      <c r="ERG1" s="637"/>
      <c r="ERH1" s="637"/>
      <c r="ERI1" s="637"/>
      <c r="ERJ1" s="637"/>
      <c r="ERK1" s="637"/>
      <c r="ERL1" s="637"/>
      <c r="ERM1" s="637"/>
      <c r="ERN1" s="637"/>
      <c r="ERO1" s="637"/>
      <c r="ERP1" s="637"/>
      <c r="ERQ1" s="637"/>
      <c r="ERR1" s="637"/>
      <c r="ERS1" s="637"/>
      <c r="ERT1" s="637"/>
      <c r="ERU1" s="637"/>
      <c r="ERV1" s="637"/>
      <c r="ERW1" s="637"/>
      <c r="ERX1" s="637"/>
      <c r="ERY1" s="637"/>
      <c r="ERZ1" s="637"/>
      <c r="ESA1" s="637"/>
      <c r="ESB1" s="637"/>
      <c r="ESC1" s="637"/>
      <c r="ESD1" s="637"/>
      <c r="ESE1" s="637"/>
      <c r="ESF1" s="637"/>
      <c r="ESG1" s="637"/>
      <c r="ESH1" s="637"/>
      <c r="ESI1" s="637"/>
      <c r="ESJ1" s="637"/>
      <c r="ESK1" s="637"/>
      <c r="ESL1" s="637"/>
      <c r="ESM1" s="637"/>
      <c r="ESN1" s="637"/>
      <c r="ESO1" s="637"/>
      <c r="ESP1" s="637"/>
      <c r="ESQ1" s="637"/>
      <c r="ESR1" s="637"/>
      <c r="ESS1" s="637"/>
      <c r="EST1" s="637"/>
      <c r="ESU1" s="637"/>
      <c r="ESV1" s="637"/>
      <c r="ESW1" s="637"/>
      <c r="ESX1" s="637"/>
      <c r="ESY1" s="637"/>
      <c r="ESZ1" s="637"/>
      <c r="ETA1" s="637"/>
      <c r="ETB1" s="637"/>
      <c r="ETC1" s="637"/>
      <c r="ETD1" s="637"/>
      <c r="ETE1" s="637"/>
      <c r="ETF1" s="637"/>
      <c r="ETG1" s="637"/>
      <c r="ETH1" s="637"/>
      <c r="ETI1" s="637"/>
      <c r="ETJ1" s="637"/>
      <c r="ETK1" s="637"/>
      <c r="ETL1" s="637"/>
      <c r="ETM1" s="637"/>
      <c r="ETN1" s="637"/>
      <c r="ETO1" s="637"/>
      <c r="ETP1" s="637"/>
      <c r="ETQ1" s="637"/>
      <c r="ETR1" s="637"/>
      <c r="ETS1" s="637"/>
      <c r="ETT1" s="637"/>
      <c r="ETU1" s="637"/>
      <c r="ETV1" s="637"/>
      <c r="ETW1" s="637"/>
      <c r="ETX1" s="637"/>
      <c r="ETY1" s="637"/>
      <c r="ETZ1" s="637"/>
      <c r="EUA1" s="637"/>
      <c r="EUB1" s="637"/>
      <c r="EUC1" s="637"/>
      <c r="EUD1" s="637"/>
      <c r="EUE1" s="637"/>
      <c r="EUF1" s="637"/>
      <c r="EUG1" s="637"/>
      <c r="EUH1" s="637"/>
      <c r="EUI1" s="637"/>
      <c r="EUJ1" s="637"/>
      <c r="EUK1" s="637"/>
      <c r="EUL1" s="637"/>
      <c r="EUM1" s="637"/>
      <c r="EUN1" s="637"/>
      <c r="EUO1" s="637"/>
      <c r="EUP1" s="637"/>
      <c r="EUQ1" s="637"/>
      <c r="EUR1" s="637"/>
      <c r="EUS1" s="637"/>
      <c r="EUT1" s="637"/>
      <c r="EUU1" s="637"/>
      <c r="EUV1" s="637"/>
      <c r="EUW1" s="637"/>
      <c r="EUX1" s="637"/>
      <c r="EUY1" s="637"/>
      <c r="EUZ1" s="637"/>
      <c r="EVA1" s="637"/>
      <c r="EVB1" s="637"/>
      <c r="EVC1" s="637"/>
      <c r="EVD1" s="637"/>
      <c r="EVE1" s="637"/>
      <c r="EVF1" s="637"/>
      <c r="EVG1" s="637"/>
      <c r="EVH1" s="637"/>
      <c r="EVI1" s="637"/>
      <c r="EVJ1" s="637"/>
      <c r="EVK1" s="637"/>
      <c r="EVL1" s="637"/>
      <c r="EVM1" s="637"/>
      <c r="EVN1" s="637"/>
      <c r="EVO1" s="637"/>
      <c r="EVP1" s="637"/>
      <c r="EVQ1" s="637"/>
      <c r="EVR1" s="637"/>
      <c r="EVS1" s="637"/>
      <c r="EVT1" s="637"/>
      <c r="EVU1" s="637"/>
      <c r="EVV1" s="637"/>
      <c r="EVW1" s="637"/>
      <c r="EVX1" s="637"/>
      <c r="EVY1" s="637"/>
      <c r="EVZ1" s="637"/>
      <c r="EWA1" s="637"/>
      <c r="EWB1" s="637"/>
      <c r="EWC1" s="637"/>
      <c r="EWD1" s="637"/>
      <c r="EWE1" s="637"/>
      <c r="EWF1" s="637"/>
      <c r="EWG1" s="637"/>
      <c r="EWH1" s="637"/>
      <c r="EWI1" s="637"/>
      <c r="EWJ1" s="637"/>
      <c r="EWK1" s="637"/>
      <c r="EWL1" s="637"/>
      <c r="EWM1" s="637"/>
      <c r="EWN1" s="637"/>
      <c r="EWO1" s="637"/>
      <c r="EWP1" s="637"/>
      <c r="EWQ1" s="637"/>
      <c r="EWR1" s="637"/>
      <c r="EWS1" s="637"/>
      <c r="EWT1" s="637"/>
      <c r="EWU1" s="637"/>
      <c r="EWV1" s="637"/>
      <c r="EWW1" s="637"/>
      <c r="EWX1" s="637"/>
      <c r="EWY1" s="637"/>
      <c r="EWZ1" s="637"/>
      <c r="EXA1" s="637"/>
      <c r="EXB1" s="637"/>
      <c r="EXC1" s="637"/>
      <c r="EXD1" s="637"/>
      <c r="EXE1" s="637"/>
      <c r="EXF1" s="637"/>
      <c r="EXG1" s="637"/>
      <c r="EXH1" s="637"/>
      <c r="EXI1" s="637"/>
      <c r="EXJ1" s="637"/>
      <c r="EXK1" s="637"/>
      <c r="EXL1" s="637"/>
      <c r="EXM1" s="637"/>
      <c r="EXN1" s="637"/>
      <c r="EXO1" s="637"/>
      <c r="EXP1" s="637"/>
      <c r="EXQ1" s="637"/>
      <c r="EXR1" s="637"/>
      <c r="EXS1" s="637"/>
      <c r="EXT1" s="637"/>
      <c r="EXU1" s="637"/>
      <c r="EXV1" s="637"/>
      <c r="EXW1" s="637"/>
      <c r="EXX1" s="637"/>
      <c r="EXY1" s="637"/>
      <c r="EXZ1" s="637"/>
      <c r="EYA1" s="637"/>
      <c r="EYB1" s="637"/>
      <c r="EYC1" s="637"/>
      <c r="EYD1" s="637"/>
      <c r="EYE1" s="637"/>
      <c r="EYF1" s="637"/>
      <c r="EYG1" s="637"/>
      <c r="EYH1" s="637"/>
      <c r="EYI1" s="637"/>
      <c r="EYJ1" s="637"/>
      <c r="EYK1" s="637"/>
      <c r="EYL1" s="637"/>
      <c r="EYM1" s="637"/>
      <c r="EYN1" s="637"/>
      <c r="EYO1" s="637"/>
      <c r="EYP1" s="637"/>
      <c r="EYQ1" s="637"/>
      <c r="EYR1" s="637"/>
      <c r="EYS1" s="637"/>
      <c r="EYT1" s="637"/>
      <c r="EYU1" s="637"/>
      <c r="EYV1" s="637"/>
      <c r="EYW1" s="637"/>
      <c r="EYX1" s="637"/>
      <c r="EYY1" s="637"/>
      <c r="EYZ1" s="637"/>
      <c r="EZA1" s="637"/>
      <c r="EZB1" s="637"/>
      <c r="EZC1" s="637"/>
      <c r="EZD1" s="637"/>
      <c r="EZE1" s="637"/>
      <c r="EZF1" s="637"/>
      <c r="EZG1" s="637"/>
      <c r="EZH1" s="637"/>
      <c r="EZI1" s="637"/>
      <c r="EZJ1" s="637"/>
      <c r="EZK1" s="637"/>
      <c r="EZL1" s="637"/>
      <c r="EZM1" s="637"/>
      <c r="EZN1" s="637"/>
      <c r="EZO1" s="637"/>
      <c r="EZP1" s="637"/>
      <c r="EZQ1" s="637"/>
      <c r="EZR1" s="637"/>
      <c r="EZS1" s="637"/>
      <c r="EZT1" s="637"/>
      <c r="EZU1" s="637"/>
      <c r="EZV1" s="637"/>
      <c r="EZW1" s="637"/>
      <c r="EZX1" s="637"/>
      <c r="EZY1" s="637"/>
      <c r="EZZ1" s="637"/>
      <c r="FAA1" s="637"/>
      <c r="FAB1" s="637"/>
      <c r="FAC1" s="637"/>
      <c r="FAD1" s="637"/>
      <c r="FAE1" s="637"/>
      <c r="FAF1" s="637"/>
      <c r="FAG1" s="637"/>
      <c r="FAH1" s="637"/>
      <c r="FAI1" s="637"/>
      <c r="FAJ1" s="637"/>
      <c r="FAK1" s="637"/>
      <c r="FAL1" s="637"/>
      <c r="FAM1" s="637"/>
      <c r="FAN1" s="637"/>
      <c r="FAO1" s="637"/>
      <c r="FAP1" s="637"/>
      <c r="FAQ1" s="637"/>
      <c r="FAR1" s="637"/>
      <c r="FAS1" s="637"/>
      <c r="FAT1" s="637"/>
      <c r="FAU1" s="637"/>
      <c r="FAV1" s="637"/>
      <c r="FAW1" s="637"/>
      <c r="FAX1" s="637"/>
      <c r="FAY1" s="637"/>
      <c r="FAZ1" s="637"/>
      <c r="FBA1" s="637"/>
      <c r="FBB1" s="637"/>
      <c r="FBC1" s="637"/>
      <c r="FBD1" s="637"/>
      <c r="FBE1" s="637"/>
      <c r="FBF1" s="637"/>
      <c r="FBG1" s="637"/>
      <c r="FBH1" s="637"/>
      <c r="FBI1" s="637"/>
      <c r="FBJ1" s="637"/>
      <c r="FBK1" s="637"/>
      <c r="FBL1" s="637"/>
      <c r="FBM1" s="637"/>
      <c r="FBN1" s="637"/>
      <c r="FBO1" s="637"/>
      <c r="FBP1" s="637"/>
      <c r="FBQ1" s="637"/>
      <c r="FBR1" s="637"/>
      <c r="FBS1" s="637"/>
      <c r="FBT1" s="637"/>
      <c r="FBU1" s="637"/>
      <c r="FBV1" s="637"/>
      <c r="FBW1" s="637"/>
      <c r="FBX1" s="637"/>
      <c r="FBY1" s="637"/>
      <c r="FBZ1" s="637"/>
      <c r="FCA1" s="637"/>
      <c r="FCB1" s="637"/>
      <c r="FCC1" s="637"/>
      <c r="FCD1" s="637"/>
      <c r="FCE1" s="637"/>
      <c r="FCF1" s="637"/>
      <c r="FCG1" s="637"/>
      <c r="FCH1" s="637"/>
      <c r="FCI1" s="637"/>
      <c r="FCJ1" s="637"/>
      <c r="FCK1" s="637"/>
      <c r="FCL1" s="637"/>
      <c r="FCM1" s="637"/>
      <c r="FCN1" s="637"/>
      <c r="FCO1" s="637"/>
      <c r="FCP1" s="637"/>
      <c r="FCQ1" s="637"/>
      <c r="FCR1" s="637"/>
      <c r="FCS1" s="637"/>
      <c r="FCT1" s="637"/>
      <c r="FCU1" s="637"/>
      <c r="FCV1" s="637"/>
      <c r="FCW1" s="637"/>
      <c r="FCX1" s="637"/>
      <c r="FCY1" s="637"/>
      <c r="FCZ1" s="637"/>
      <c r="FDA1" s="637"/>
      <c r="FDB1" s="637"/>
      <c r="FDC1" s="637"/>
      <c r="FDD1" s="637"/>
      <c r="FDE1" s="637"/>
      <c r="FDF1" s="637"/>
      <c r="FDG1" s="637"/>
      <c r="FDH1" s="637"/>
      <c r="FDI1" s="637"/>
      <c r="FDJ1" s="637"/>
      <c r="FDK1" s="637"/>
      <c r="FDL1" s="637"/>
      <c r="FDM1" s="637"/>
      <c r="FDN1" s="637"/>
      <c r="FDO1" s="637"/>
      <c r="FDP1" s="637"/>
      <c r="FDQ1" s="637"/>
      <c r="FDR1" s="637"/>
      <c r="FDS1" s="637"/>
      <c r="FDT1" s="637"/>
      <c r="FDU1" s="637"/>
      <c r="FDV1" s="637"/>
      <c r="FDW1" s="637"/>
      <c r="FDX1" s="637"/>
      <c r="FDY1" s="637"/>
      <c r="FDZ1" s="637"/>
      <c r="FEA1" s="637"/>
      <c r="FEB1" s="637"/>
      <c r="FEC1" s="637"/>
      <c r="FED1" s="637"/>
      <c r="FEE1" s="637"/>
      <c r="FEF1" s="637"/>
      <c r="FEG1" s="637"/>
      <c r="FEH1" s="637"/>
      <c r="FEI1" s="637"/>
      <c r="FEJ1" s="637"/>
      <c r="FEK1" s="637"/>
      <c r="FEL1" s="637"/>
      <c r="FEM1" s="637"/>
      <c r="FEN1" s="637"/>
      <c r="FEO1" s="637"/>
      <c r="FEP1" s="637"/>
      <c r="FEQ1" s="637"/>
      <c r="FER1" s="637"/>
      <c r="FES1" s="637"/>
      <c r="FET1" s="637"/>
      <c r="FEU1" s="637"/>
      <c r="FEV1" s="637"/>
      <c r="FEW1" s="637"/>
      <c r="FEX1" s="637"/>
      <c r="FEY1" s="637"/>
      <c r="FEZ1" s="637"/>
      <c r="FFA1" s="637"/>
      <c r="FFB1" s="637"/>
      <c r="FFC1" s="637"/>
      <c r="FFD1" s="637"/>
      <c r="FFE1" s="637"/>
      <c r="FFF1" s="637"/>
      <c r="FFG1" s="637"/>
      <c r="FFH1" s="637"/>
      <c r="FFI1" s="637"/>
      <c r="FFJ1" s="637"/>
      <c r="FFK1" s="637"/>
      <c r="FFL1" s="637"/>
      <c r="FFM1" s="637"/>
      <c r="FFN1" s="637"/>
      <c r="FFO1" s="637"/>
      <c r="FFP1" s="637"/>
      <c r="FFQ1" s="637"/>
      <c r="FFR1" s="637"/>
      <c r="FFS1" s="637"/>
      <c r="FFT1" s="637"/>
      <c r="FFU1" s="637"/>
      <c r="FFV1" s="637"/>
      <c r="FFW1" s="637"/>
      <c r="FFX1" s="637"/>
      <c r="FFY1" s="637"/>
      <c r="FFZ1" s="637"/>
      <c r="FGA1" s="637"/>
      <c r="FGB1" s="637"/>
      <c r="FGC1" s="637"/>
      <c r="FGD1" s="637"/>
      <c r="FGE1" s="637"/>
      <c r="FGF1" s="637"/>
      <c r="FGG1" s="637"/>
      <c r="FGH1" s="637"/>
      <c r="FGI1" s="637"/>
      <c r="FGJ1" s="637"/>
      <c r="FGK1" s="637"/>
      <c r="FGL1" s="637"/>
      <c r="FGM1" s="637"/>
      <c r="FGN1" s="637"/>
      <c r="FGO1" s="637"/>
      <c r="FGP1" s="637"/>
      <c r="FGQ1" s="637"/>
      <c r="FGR1" s="637"/>
      <c r="FGS1" s="637"/>
      <c r="FGT1" s="637"/>
      <c r="FGU1" s="637"/>
      <c r="FGV1" s="637"/>
      <c r="FGW1" s="637"/>
      <c r="FGX1" s="637"/>
      <c r="FGY1" s="637"/>
      <c r="FGZ1" s="637"/>
      <c r="FHA1" s="637"/>
      <c r="FHB1" s="637"/>
      <c r="FHC1" s="637"/>
      <c r="FHD1" s="637"/>
      <c r="FHE1" s="637"/>
      <c r="FHF1" s="637"/>
      <c r="FHG1" s="637"/>
      <c r="FHH1" s="637"/>
      <c r="FHI1" s="637"/>
      <c r="FHJ1" s="637"/>
      <c r="FHK1" s="637"/>
      <c r="FHL1" s="637"/>
      <c r="FHM1" s="637"/>
      <c r="FHN1" s="637"/>
      <c r="FHO1" s="637"/>
      <c r="FHP1" s="637"/>
      <c r="FHQ1" s="637"/>
      <c r="FHR1" s="637"/>
      <c r="FHS1" s="637"/>
      <c r="FHT1" s="637"/>
      <c r="FHU1" s="637"/>
      <c r="FHV1" s="637"/>
      <c r="FHW1" s="637"/>
      <c r="FHX1" s="637"/>
      <c r="FHY1" s="637"/>
      <c r="FHZ1" s="637"/>
      <c r="FIA1" s="637"/>
      <c r="FIB1" s="637"/>
      <c r="FIC1" s="637"/>
      <c r="FID1" s="637"/>
      <c r="FIE1" s="637"/>
      <c r="FIF1" s="637"/>
      <c r="FIG1" s="637"/>
      <c r="FIH1" s="637"/>
      <c r="FII1" s="637"/>
      <c r="FIJ1" s="637"/>
      <c r="FIK1" s="637"/>
      <c r="FIL1" s="637"/>
      <c r="FIM1" s="637"/>
      <c r="FIN1" s="637"/>
      <c r="FIO1" s="637"/>
      <c r="FIP1" s="637"/>
      <c r="FIQ1" s="637"/>
      <c r="FIR1" s="637"/>
      <c r="FIS1" s="637"/>
      <c r="FIT1" s="637"/>
      <c r="FIU1" s="637"/>
      <c r="FIV1" s="637"/>
      <c r="FIW1" s="637"/>
      <c r="FIX1" s="637"/>
      <c r="FIY1" s="637"/>
      <c r="FIZ1" s="637"/>
      <c r="FJA1" s="637"/>
      <c r="FJB1" s="637"/>
      <c r="FJC1" s="637"/>
      <c r="FJD1" s="637"/>
      <c r="FJE1" s="637"/>
      <c r="FJF1" s="637"/>
      <c r="FJG1" s="637"/>
      <c r="FJH1" s="637"/>
      <c r="FJI1" s="637"/>
      <c r="FJJ1" s="637"/>
      <c r="FJK1" s="637"/>
      <c r="FJL1" s="637"/>
      <c r="FJM1" s="637"/>
      <c r="FJN1" s="637"/>
      <c r="FJO1" s="637"/>
      <c r="FJP1" s="637"/>
      <c r="FJQ1" s="637"/>
      <c r="FJR1" s="637"/>
      <c r="FJS1" s="637"/>
      <c r="FJT1" s="637"/>
      <c r="FJU1" s="637"/>
      <c r="FJV1" s="637"/>
      <c r="FJW1" s="637"/>
      <c r="FJX1" s="637"/>
      <c r="FJY1" s="637"/>
      <c r="FJZ1" s="637"/>
      <c r="FKA1" s="637"/>
      <c r="FKB1" s="637"/>
      <c r="FKC1" s="637"/>
      <c r="FKD1" s="637"/>
      <c r="FKE1" s="637"/>
      <c r="FKF1" s="637"/>
      <c r="FKG1" s="637"/>
      <c r="FKH1" s="637"/>
      <c r="FKI1" s="637"/>
      <c r="FKJ1" s="637"/>
      <c r="FKK1" s="637"/>
      <c r="FKL1" s="637"/>
      <c r="FKM1" s="637"/>
      <c r="FKN1" s="637"/>
      <c r="FKO1" s="637"/>
      <c r="FKP1" s="637"/>
      <c r="FKQ1" s="637"/>
      <c r="FKR1" s="637"/>
      <c r="FKS1" s="637"/>
      <c r="FKT1" s="637"/>
      <c r="FKU1" s="637"/>
      <c r="FKV1" s="637"/>
      <c r="FKW1" s="637"/>
      <c r="FKX1" s="637"/>
      <c r="FKY1" s="637"/>
      <c r="FKZ1" s="637"/>
      <c r="FLA1" s="637"/>
      <c r="FLB1" s="637"/>
      <c r="FLC1" s="637"/>
      <c r="FLD1" s="637"/>
      <c r="FLE1" s="637"/>
      <c r="FLF1" s="637"/>
      <c r="FLG1" s="637"/>
      <c r="FLH1" s="637"/>
      <c r="FLI1" s="637"/>
      <c r="FLJ1" s="637"/>
      <c r="FLK1" s="637"/>
      <c r="FLL1" s="637"/>
      <c r="FLM1" s="637"/>
      <c r="FLN1" s="637"/>
      <c r="FLO1" s="637"/>
      <c r="FLP1" s="637"/>
      <c r="FLQ1" s="637"/>
      <c r="FLR1" s="637"/>
      <c r="FLS1" s="637"/>
      <c r="FLT1" s="637"/>
      <c r="FLU1" s="637"/>
      <c r="FLV1" s="637"/>
      <c r="FLW1" s="637"/>
      <c r="FLX1" s="637"/>
      <c r="FLY1" s="637"/>
      <c r="FLZ1" s="637"/>
      <c r="FMA1" s="637"/>
      <c r="FMB1" s="637"/>
      <c r="FMC1" s="637"/>
      <c r="FMD1" s="637"/>
      <c r="FME1" s="637"/>
      <c r="FMF1" s="637"/>
      <c r="FMG1" s="637"/>
      <c r="FMH1" s="637"/>
      <c r="FMI1" s="637"/>
      <c r="FMJ1" s="637"/>
      <c r="FMK1" s="637"/>
      <c r="FML1" s="637"/>
      <c r="FMM1" s="637"/>
      <c r="FMN1" s="637"/>
      <c r="FMO1" s="637"/>
      <c r="FMP1" s="637"/>
      <c r="FMQ1" s="637"/>
      <c r="FMR1" s="637"/>
      <c r="FMS1" s="637"/>
      <c r="FMT1" s="637"/>
      <c r="FMU1" s="637"/>
      <c r="FMV1" s="637"/>
      <c r="FMW1" s="637"/>
      <c r="FMX1" s="637"/>
      <c r="FMY1" s="637"/>
      <c r="FMZ1" s="637"/>
      <c r="FNA1" s="637"/>
      <c r="FNB1" s="637"/>
      <c r="FNC1" s="637"/>
      <c r="FND1" s="637"/>
      <c r="FNE1" s="637"/>
      <c r="FNF1" s="637"/>
      <c r="FNG1" s="637"/>
      <c r="FNH1" s="637"/>
      <c r="FNI1" s="637"/>
      <c r="FNJ1" s="637"/>
      <c r="FNK1" s="637"/>
      <c r="FNL1" s="637"/>
      <c r="FNM1" s="637"/>
      <c r="FNN1" s="637"/>
      <c r="FNO1" s="637"/>
      <c r="FNP1" s="637"/>
      <c r="FNQ1" s="637"/>
      <c r="FNR1" s="637"/>
      <c r="FNS1" s="637"/>
      <c r="FNT1" s="637"/>
      <c r="FNU1" s="637"/>
      <c r="FNV1" s="637"/>
      <c r="FNW1" s="637"/>
      <c r="FNX1" s="637"/>
      <c r="FNY1" s="637"/>
      <c r="FNZ1" s="637"/>
      <c r="FOA1" s="637"/>
      <c r="FOB1" s="637"/>
      <c r="FOC1" s="637"/>
      <c r="FOD1" s="637"/>
      <c r="FOE1" s="637"/>
      <c r="FOF1" s="637"/>
      <c r="FOG1" s="637"/>
      <c r="FOH1" s="637"/>
      <c r="FOI1" s="637"/>
      <c r="FOJ1" s="637"/>
      <c r="FOK1" s="637"/>
      <c r="FOL1" s="637"/>
      <c r="FOM1" s="637"/>
      <c r="FON1" s="637"/>
      <c r="FOO1" s="637"/>
      <c r="FOP1" s="637"/>
      <c r="FOQ1" s="637"/>
      <c r="FOR1" s="637"/>
      <c r="FOS1" s="637"/>
      <c r="FOT1" s="637"/>
      <c r="FOU1" s="637"/>
      <c r="FOV1" s="637"/>
      <c r="FOW1" s="637"/>
      <c r="FOX1" s="637"/>
      <c r="FOY1" s="637"/>
      <c r="FOZ1" s="637"/>
      <c r="FPA1" s="637"/>
      <c r="FPB1" s="637"/>
      <c r="FPC1" s="637"/>
      <c r="FPD1" s="637"/>
      <c r="FPE1" s="637"/>
      <c r="FPF1" s="637"/>
      <c r="FPG1" s="637"/>
      <c r="FPH1" s="637"/>
      <c r="FPI1" s="637"/>
      <c r="FPJ1" s="637"/>
      <c r="FPK1" s="637"/>
      <c r="FPL1" s="637"/>
      <c r="FPM1" s="637"/>
      <c r="FPN1" s="637"/>
      <c r="FPO1" s="637"/>
      <c r="FPP1" s="637"/>
      <c r="FPQ1" s="637"/>
      <c r="FPR1" s="637"/>
      <c r="FPS1" s="637"/>
      <c r="FPT1" s="637"/>
      <c r="FPU1" s="637"/>
      <c r="FPV1" s="637"/>
      <c r="FPW1" s="637"/>
      <c r="FPX1" s="637"/>
      <c r="FPY1" s="637"/>
      <c r="FPZ1" s="637"/>
      <c r="FQA1" s="637"/>
      <c r="FQB1" s="637"/>
      <c r="FQC1" s="637"/>
      <c r="FQD1" s="637"/>
      <c r="FQE1" s="637"/>
      <c r="FQF1" s="637"/>
      <c r="FQG1" s="637"/>
      <c r="FQH1" s="637"/>
      <c r="FQI1" s="637"/>
      <c r="FQJ1" s="637"/>
      <c r="FQK1" s="637"/>
      <c r="FQL1" s="637"/>
      <c r="FQM1" s="637"/>
      <c r="FQN1" s="637"/>
      <c r="FQO1" s="637"/>
      <c r="FQP1" s="637"/>
      <c r="FQQ1" s="637"/>
      <c r="FQR1" s="637"/>
      <c r="FQS1" s="637"/>
      <c r="FQT1" s="637"/>
      <c r="FQU1" s="637"/>
      <c r="FQV1" s="637"/>
      <c r="FQW1" s="637"/>
      <c r="FQX1" s="637"/>
      <c r="FQY1" s="637"/>
      <c r="FQZ1" s="637"/>
      <c r="FRA1" s="637"/>
      <c r="FRB1" s="637"/>
      <c r="FRC1" s="637"/>
      <c r="FRD1" s="637"/>
      <c r="FRE1" s="637"/>
      <c r="FRF1" s="637"/>
      <c r="FRG1" s="637"/>
      <c r="FRH1" s="637"/>
      <c r="FRI1" s="637"/>
      <c r="FRJ1" s="637"/>
      <c r="FRK1" s="637"/>
      <c r="FRL1" s="637"/>
      <c r="FRM1" s="637"/>
      <c r="FRN1" s="637"/>
      <c r="FRO1" s="637"/>
      <c r="FRP1" s="637"/>
      <c r="FRQ1" s="637"/>
      <c r="FRR1" s="637"/>
      <c r="FRS1" s="637"/>
      <c r="FRT1" s="637"/>
      <c r="FRU1" s="637"/>
      <c r="FRV1" s="637"/>
      <c r="FRW1" s="637"/>
      <c r="FRX1" s="637"/>
      <c r="FRY1" s="637"/>
      <c r="FRZ1" s="637"/>
      <c r="FSA1" s="637"/>
      <c r="FSB1" s="637"/>
      <c r="FSC1" s="637"/>
      <c r="FSD1" s="637"/>
      <c r="FSE1" s="637"/>
      <c r="FSF1" s="637"/>
      <c r="FSG1" s="637"/>
      <c r="FSH1" s="637"/>
      <c r="FSI1" s="637"/>
      <c r="FSJ1" s="637"/>
      <c r="FSK1" s="637"/>
      <c r="FSL1" s="637"/>
      <c r="FSM1" s="637"/>
      <c r="FSN1" s="637"/>
      <c r="FSO1" s="637"/>
      <c r="FSP1" s="637"/>
      <c r="FSQ1" s="637"/>
      <c r="FSR1" s="637"/>
      <c r="FSS1" s="637"/>
      <c r="FST1" s="637"/>
      <c r="FSU1" s="637"/>
      <c r="FSV1" s="637"/>
      <c r="FSW1" s="637"/>
      <c r="FSX1" s="637"/>
      <c r="FSY1" s="637"/>
      <c r="FSZ1" s="637"/>
      <c r="FTA1" s="637"/>
      <c r="FTB1" s="637"/>
      <c r="FTC1" s="637"/>
      <c r="FTD1" s="637"/>
      <c r="FTE1" s="637"/>
      <c r="FTF1" s="637"/>
      <c r="FTG1" s="637"/>
      <c r="FTH1" s="637"/>
      <c r="FTI1" s="637"/>
      <c r="FTJ1" s="637"/>
      <c r="FTK1" s="637"/>
      <c r="FTL1" s="637"/>
      <c r="FTM1" s="637"/>
      <c r="FTN1" s="637"/>
      <c r="FTO1" s="637"/>
      <c r="FTP1" s="637"/>
      <c r="FTQ1" s="637"/>
      <c r="FTR1" s="637"/>
      <c r="FTS1" s="637"/>
      <c r="FTT1" s="637"/>
      <c r="FTU1" s="637"/>
      <c r="FTV1" s="637"/>
      <c r="FTW1" s="637"/>
      <c r="FTX1" s="637"/>
      <c r="FTY1" s="637"/>
      <c r="FTZ1" s="637"/>
      <c r="FUA1" s="637"/>
      <c r="FUB1" s="637"/>
      <c r="FUC1" s="637"/>
      <c r="FUD1" s="637"/>
      <c r="FUE1" s="637"/>
      <c r="FUF1" s="637"/>
      <c r="FUG1" s="637"/>
      <c r="FUH1" s="637"/>
      <c r="FUI1" s="637"/>
      <c r="FUJ1" s="637"/>
      <c r="FUK1" s="637"/>
      <c r="FUL1" s="637"/>
      <c r="FUM1" s="637"/>
      <c r="FUN1" s="637"/>
      <c r="FUO1" s="637"/>
      <c r="FUP1" s="637"/>
      <c r="FUQ1" s="637"/>
      <c r="FUR1" s="637"/>
      <c r="FUS1" s="637"/>
      <c r="FUT1" s="637"/>
      <c r="FUU1" s="637"/>
      <c r="FUV1" s="637"/>
      <c r="FUW1" s="637"/>
      <c r="FUX1" s="637"/>
      <c r="FUY1" s="637"/>
      <c r="FUZ1" s="637"/>
      <c r="FVA1" s="637"/>
      <c r="FVB1" s="637"/>
      <c r="FVC1" s="637"/>
      <c r="FVD1" s="637"/>
      <c r="FVE1" s="637"/>
      <c r="FVF1" s="637"/>
      <c r="FVG1" s="637"/>
      <c r="FVH1" s="637"/>
      <c r="FVI1" s="637"/>
      <c r="FVJ1" s="637"/>
      <c r="FVK1" s="637"/>
      <c r="FVL1" s="637"/>
      <c r="FVM1" s="637"/>
      <c r="FVN1" s="637"/>
      <c r="FVO1" s="637"/>
      <c r="FVP1" s="637"/>
      <c r="FVQ1" s="637"/>
      <c r="FVR1" s="637"/>
      <c r="FVS1" s="637"/>
      <c r="FVT1" s="637"/>
      <c r="FVU1" s="637"/>
      <c r="FVV1" s="637"/>
      <c r="FVW1" s="637"/>
      <c r="FVX1" s="637"/>
      <c r="FVY1" s="637"/>
      <c r="FVZ1" s="637"/>
      <c r="FWA1" s="637"/>
      <c r="FWB1" s="637"/>
      <c r="FWC1" s="637"/>
      <c r="FWD1" s="637"/>
      <c r="FWE1" s="637"/>
      <c r="FWF1" s="637"/>
      <c r="FWG1" s="637"/>
      <c r="FWH1" s="637"/>
      <c r="FWI1" s="637"/>
      <c r="FWJ1" s="637"/>
      <c r="FWK1" s="637"/>
      <c r="FWL1" s="637"/>
      <c r="FWM1" s="637"/>
      <c r="FWN1" s="637"/>
      <c r="FWO1" s="637"/>
      <c r="FWP1" s="637"/>
      <c r="FWQ1" s="637"/>
      <c r="FWR1" s="637"/>
      <c r="FWS1" s="637"/>
      <c r="FWT1" s="637"/>
      <c r="FWU1" s="637"/>
      <c r="FWV1" s="637"/>
      <c r="FWW1" s="637"/>
      <c r="FWX1" s="637"/>
      <c r="FWY1" s="637"/>
      <c r="FWZ1" s="637"/>
      <c r="FXA1" s="637"/>
      <c r="FXB1" s="637"/>
      <c r="FXC1" s="637"/>
      <c r="FXD1" s="637"/>
      <c r="FXE1" s="637"/>
      <c r="FXF1" s="637"/>
      <c r="FXG1" s="637"/>
      <c r="FXH1" s="637"/>
      <c r="FXI1" s="637"/>
      <c r="FXJ1" s="637"/>
      <c r="FXK1" s="637"/>
      <c r="FXL1" s="637"/>
      <c r="FXM1" s="637"/>
      <c r="FXN1" s="637"/>
      <c r="FXO1" s="637"/>
      <c r="FXP1" s="637"/>
      <c r="FXQ1" s="637"/>
      <c r="FXR1" s="637"/>
      <c r="FXS1" s="637"/>
      <c r="FXT1" s="637"/>
      <c r="FXU1" s="637"/>
      <c r="FXV1" s="637"/>
      <c r="FXW1" s="637"/>
      <c r="FXX1" s="637"/>
      <c r="FXY1" s="637"/>
      <c r="FXZ1" s="637"/>
      <c r="FYA1" s="637"/>
      <c r="FYB1" s="637"/>
      <c r="FYC1" s="637"/>
      <c r="FYD1" s="637"/>
      <c r="FYE1" s="637"/>
      <c r="FYF1" s="637"/>
      <c r="FYG1" s="637"/>
      <c r="FYH1" s="637"/>
      <c r="FYI1" s="637"/>
      <c r="FYJ1" s="637"/>
      <c r="FYK1" s="637"/>
      <c r="FYL1" s="637"/>
      <c r="FYM1" s="637"/>
      <c r="FYN1" s="637"/>
      <c r="FYO1" s="637"/>
      <c r="FYP1" s="637"/>
      <c r="FYQ1" s="637"/>
      <c r="FYR1" s="637"/>
      <c r="FYS1" s="637"/>
      <c r="FYT1" s="637"/>
      <c r="FYU1" s="637"/>
      <c r="FYV1" s="637"/>
      <c r="FYW1" s="637"/>
      <c r="FYX1" s="637"/>
      <c r="FYY1" s="637"/>
      <c r="FYZ1" s="637"/>
      <c r="FZA1" s="637"/>
      <c r="FZB1" s="637"/>
      <c r="FZC1" s="637"/>
      <c r="FZD1" s="637"/>
      <c r="FZE1" s="637"/>
      <c r="FZF1" s="637"/>
      <c r="FZG1" s="637"/>
      <c r="FZH1" s="637"/>
      <c r="FZI1" s="637"/>
      <c r="FZJ1" s="637"/>
      <c r="FZK1" s="637"/>
      <c r="FZL1" s="637"/>
      <c r="FZM1" s="637"/>
      <c r="FZN1" s="637"/>
      <c r="FZO1" s="637"/>
      <c r="FZP1" s="637"/>
      <c r="FZQ1" s="637"/>
      <c r="FZR1" s="637"/>
      <c r="FZS1" s="637"/>
      <c r="FZT1" s="637"/>
      <c r="FZU1" s="637"/>
      <c r="FZV1" s="637"/>
      <c r="FZW1" s="637"/>
      <c r="FZX1" s="637"/>
      <c r="FZY1" s="637"/>
      <c r="FZZ1" s="637"/>
      <c r="GAA1" s="637"/>
      <c r="GAB1" s="637"/>
      <c r="GAC1" s="637"/>
      <c r="GAD1" s="637"/>
      <c r="GAE1" s="637"/>
      <c r="GAF1" s="637"/>
      <c r="GAG1" s="637"/>
      <c r="GAH1" s="637"/>
      <c r="GAI1" s="637"/>
      <c r="GAJ1" s="637"/>
      <c r="GAK1" s="637"/>
      <c r="GAL1" s="637"/>
      <c r="GAM1" s="637"/>
      <c r="GAN1" s="637"/>
      <c r="GAO1" s="637"/>
      <c r="GAP1" s="637"/>
      <c r="GAQ1" s="637"/>
      <c r="GAR1" s="637"/>
      <c r="GAS1" s="637"/>
      <c r="GAT1" s="637"/>
      <c r="GAU1" s="637"/>
      <c r="GAV1" s="637"/>
      <c r="GAW1" s="637"/>
      <c r="GAX1" s="637"/>
      <c r="GAY1" s="637"/>
      <c r="GAZ1" s="637"/>
      <c r="GBA1" s="637"/>
      <c r="GBB1" s="637"/>
      <c r="GBC1" s="637"/>
      <c r="GBD1" s="637"/>
      <c r="GBE1" s="637"/>
      <c r="GBF1" s="637"/>
      <c r="GBG1" s="637"/>
      <c r="GBH1" s="637"/>
      <c r="GBI1" s="637"/>
      <c r="GBJ1" s="637"/>
      <c r="GBK1" s="637"/>
      <c r="GBL1" s="637"/>
      <c r="GBM1" s="637"/>
      <c r="GBN1" s="637"/>
      <c r="GBO1" s="637"/>
      <c r="GBP1" s="637"/>
      <c r="GBQ1" s="637"/>
      <c r="GBR1" s="637"/>
      <c r="GBS1" s="637"/>
      <c r="GBT1" s="637"/>
      <c r="GBU1" s="637"/>
      <c r="GBV1" s="637"/>
      <c r="GBW1" s="637"/>
      <c r="GBX1" s="637"/>
      <c r="GBY1" s="637"/>
      <c r="GBZ1" s="637"/>
      <c r="GCA1" s="637"/>
      <c r="GCB1" s="637"/>
      <c r="GCC1" s="637"/>
      <c r="GCD1" s="637"/>
      <c r="GCE1" s="637"/>
      <c r="GCF1" s="637"/>
      <c r="GCG1" s="637"/>
      <c r="GCH1" s="637"/>
      <c r="GCI1" s="637"/>
      <c r="GCJ1" s="637"/>
      <c r="GCK1" s="637"/>
      <c r="GCL1" s="637"/>
      <c r="GCM1" s="637"/>
      <c r="GCN1" s="637"/>
      <c r="GCO1" s="637"/>
      <c r="GCP1" s="637"/>
      <c r="GCQ1" s="637"/>
      <c r="GCR1" s="637"/>
      <c r="GCS1" s="637"/>
      <c r="GCT1" s="637"/>
      <c r="GCU1" s="637"/>
      <c r="GCV1" s="637"/>
      <c r="GCW1" s="637"/>
      <c r="GCX1" s="637"/>
      <c r="GCY1" s="637"/>
      <c r="GCZ1" s="637"/>
      <c r="GDA1" s="637"/>
      <c r="GDB1" s="637"/>
      <c r="GDC1" s="637"/>
      <c r="GDD1" s="637"/>
      <c r="GDE1" s="637"/>
      <c r="GDF1" s="637"/>
      <c r="GDG1" s="637"/>
      <c r="GDH1" s="637"/>
      <c r="GDI1" s="637"/>
      <c r="GDJ1" s="637"/>
      <c r="GDK1" s="637"/>
      <c r="GDL1" s="637"/>
      <c r="GDM1" s="637"/>
      <c r="GDN1" s="637"/>
      <c r="GDO1" s="637"/>
      <c r="GDP1" s="637"/>
      <c r="GDQ1" s="637"/>
      <c r="GDR1" s="637"/>
      <c r="GDS1" s="637"/>
      <c r="GDT1" s="637"/>
      <c r="GDU1" s="637"/>
      <c r="GDV1" s="637"/>
      <c r="GDW1" s="637"/>
      <c r="GDX1" s="637"/>
      <c r="GDY1" s="637"/>
      <c r="GDZ1" s="637"/>
      <c r="GEA1" s="637"/>
      <c r="GEB1" s="637"/>
      <c r="GEC1" s="637"/>
      <c r="GED1" s="637"/>
      <c r="GEE1" s="637"/>
      <c r="GEF1" s="637"/>
      <c r="GEG1" s="637"/>
      <c r="GEH1" s="637"/>
      <c r="GEI1" s="637"/>
      <c r="GEJ1" s="637"/>
      <c r="GEK1" s="637"/>
      <c r="GEL1" s="637"/>
      <c r="GEM1" s="637"/>
      <c r="GEN1" s="637"/>
      <c r="GEO1" s="637"/>
      <c r="GEP1" s="637"/>
      <c r="GEQ1" s="637"/>
      <c r="GER1" s="637"/>
      <c r="GES1" s="637"/>
      <c r="GET1" s="637"/>
      <c r="GEU1" s="637"/>
      <c r="GEV1" s="637"/>
      <c r="GEW1" s="637"/>
      <c r="GEX1" s="637"/>
      <c r="GEY1" s="637"/>
      <c r="GEZ1" s="637"/>
      <c r="GFA1" s="637"/>
      <c r="GFB1" s="637"/>
      <c r="GFC1" s="637"/>
      <c r="GFD1" s="637"/>
      <c r="GFE1" s="637"/>
      <c r="GFF1" s="637"/>
      <c r="GFG1" s="637"/>
      <c r="GFH1" s="637"/>
      <c r="GFI1" s="637"/>
      <c r="GFJ1" s="637"/>
      <c r="GFK1" s="637"/>
      <c r="GFL1" s="637"/>
      <c r="GFM1" s="637"/>
      <c r="GFN1" s="637"/>
      <c r="GFO1" s="637"/>
      <c r="GFP1" s="637"/>
      <c r="GFQ1" s="637"/>
      <c r="GFR1" s="637"/>
      <c r="GFS1" s="637"/>
      <c r="GFT1" s="637"/>
      <c r="GFU1" s="637"/>
      <c r="GFV1" s="637"/>
      <c r="GFW1" s="637"/>
      <c r="GFX1" s="637"/>
      <c r="GFY1" s="637"/>
      <c r="GFZ1" s="637"/>
      <c r="GGA1" s="637"/>
      <c r="GGB1" s="637"/>
      <c r="GGC1" s="637"/>
      <c r="GGD1" s="637"/>
      <c r="GGE1" s="637"/>
      <c r="GGF1" s="637"/>
      <c r="GGG1" s="637"/>
      <c r="GGH1" s="637"/>
      <c r="GGI1" s="637"/>
      <c r="GGJ1" s="637"/>
      <c r="GGK1" s="637"/>
      <c r="GGL1" s="637"/>
      <c r="GGM1" s="637"/>
      <c r="GGN1" s="637"/>
      <c r="GGO1" s="637"/>
      <c r="GGP1" s="637"/>
      <c r="GGQ1" s="637"/>
      <c r="GGR1" s="637"/>
      <c r="GGS1" s="637"/>
      <c r="GGT1" s="637"/>
      <c r="GGU1" s="637"/>
      <c r="GGV1" s="637"/>
      <c r="GGW1" s="637"/>
      <c r="GGX1" s="637"/>
      <c r="GGY1" s="637"/>
      <c r="GGZ1" s="637"/>
      <c r="GHA1" s="637"/>
      <c r="GHB1" s="637"/>
      <c r="GHC1" s="637"/>
      <c r="GHD1" s="637"/>
      <c r="GHE1" s="637"/>
      <c r="GHF1" s="637"/>
      <c r="GHG1" s="637"/>
      <c r="GHH1" s="637"/>
      <c r="GHI1" s="637"/>
      <c r="GHJ1" s="637"/>
      <c r="GHK1" s="637"/>
      <c r="GHL1" s="637"/>
      <c r="GHM1" s="637"/>
      <c r="GHN1" s="637"/>
      <c r="GHO1" s="637"/>
      <c r="GHP1" s="637"/>
      <c r="GHQ1" s="637"/>
      <c r="GHR1" s="637"/>
      <c r="GHS1" s="637"/>
      <c r="GHT1" s="637"/>
      <c r="GHU1" s="637"/>
      <c r="GHV1" s="637"/>
      <c r="GHW1" s="637"/>
      <c r="GHX1" s="637"/>
      <c r="GHY1" s="637"/>
      <c r="GHZ1" s="637"/>
      <c r="GIA1" s="637"/>
      <c r="GIB1" s="637"/>
      <c r="GIC1" s="637"/>
      <c r="GID1" s="637"/>
      <c r="GIE1" s="637"/>
      <c r="GIF1" s="637"/>
      <c r="GIG1" s="637"/>
      <c r="GIH1" s="637"/>
      <c r="GII1" s="637"/>
      <c r="GIJ1" s="637"/>
      <c r="GIK1" s="637"/>
      <c r="GIL1" s="637"/>
      <c r="GIM1" s="637"/>
      <c r="GIN1" s="637"/>
      <c r="GIO1" s="637"/>
      <c r="GIP1" s="637"/>
      <c r="GIQ1" s="637"/>
      <c r="GIR1" s="637"/>
      <c r="GIS1" s="637"/>
      <c r="GIT1" s="637"/>
      <c r="GIU1" s="637"/>
      <c r="GIV1" s="637"/>
      <c r="GIW1" s="637"/>
      <c r="GIX1" s="637"/>
      <c r="GIY1" s="637"/>
      <c r="GIZ1" s="637"/>
      <c r="GJA1" s="637"/>
      <c r="GJB1" s="637"/>
      <c r="GJC1" s="637"/>
      <c r="GJD1" s="637"/>
      <c r="GJE1" s="637"/>
      <c r="GJF1" s="637"/>
      <c r="GJG1" s="637"/>
      <c r="GJH1" s="637"/>
      <c r="GJI1" s="637"/>
      <c r="GJJ1" s="637"/>
      <c r="GJK1" s="637"/>
      <c r="GJL1" s="637"/>
      <c r="GJM1" s="637"/>
      <c r="GJN1" s="637"/>
      <c r="GJO1" s="637"/>
      <c r="GJP1" s="637"/>
      <c r="GJQ1" s="637"/>
      <c r="GJR1" s="637"/>
      <c r="GJS1" s="637"/>
      <c r="GJT1" s="637"/>
      <c r="GJU1" s="637"/>
      <c r="GJV1" s="637"/>
      <c r="GJW1" s="637"/>
      <c r="GJX1" s="637"/>
      <c r="GJY1" s="637"/>
      <c r="GJZ1" s="637"/>
      <c r="GKA1" s="637"/>
      <c r="GKB1" s="637"/>
      <c r="GKC1" s="637"/>
      <c r="GKD1" s="637"/>
      <c r="GKE1" s="637"/>
      <c r="GKF1" s="637"/>
      <c r="GKG1" s="637"/>
      <c r="GKH1" s="637"/>
      <c r="GKI1" s="637"/>
      <c r="GKJ1" s="637"/>
      <c r="GKK1" s="637"/>
      <c r="GKL1" s="637"/>
      <c r="GKM1" s="637"/>
      <c r="GKN1" s="637"/>
      <c r="GKO1" s="637"/>
      <c r="GKP1" s="637"/>
      <c r="GKQ1" s="637"/>
      <c r="GKR1" s="637"/>
      <c r="GKS1" s="637"/>
      <c r="GKT1" s="637"/>
      <c r="GKU1" s="637"/>
      <c r="GKV1" s="637"/>
      <c r="GKW1" s="637"/>
      <c r="GKX1" s="637"/>
      <c r="GKY1" s="637"/>
      <c r="GKZ1" s="637"/>
      <c r="GLA1" s="637"/>
      <c r="GLB1" s="637"/>
      <c r="GLC1" s="637"/>
      <c r="GLD1" s="637"/>
      <c r="GLE1" s="637"/>
      <c r="GLF1" s="637"/>
      <c r="GLG1" s="637"/>
      <c r="GLH1" s="637"/>
      <c r="GLI1" s="637"/>
      <c r="GLJ1" s="637"/>
      <c r="GLK1" s="637"/>
      <c r="GLL1" s="637"/>
      <c r="GLM1" s="637"/>
      <c r="GLN1" s="637"/>
      <c r="GLO1" s="637"/>
      <c r="GLP1" s="637"/>
      <c r="GLQ1" s="637"/>
      <c r="GLR1" s="637"/>
      <c r="GLS1" s="637"/>
      <c r="GLT1" s="637"/>
      <c r="GLU1" s="637"/>
      <c r="GLV1" s="637"/>
      <c r="GLW1" s="637"/>
      <c r="GLX1" s="637"/>
      <c r="GLY1" s="637"/>
      <c r="GLZ1" s="637"/>
      <c r="GMA1" s="637"/>
      <c r="GMB1" s="637"/>
      <c r="GMC1" s="637"/>
      <c r="GMD1" s="637"/>
      <c r="GME1" s="637"/>
      <c r="GMF1" s="637"/>
      <c r="GMG1" s="637"/>
      <c r="GMH1" s="637"/>
      <c r="GMI1" s="637"/>
      <c r="GMJ1" s="637"/>
      <c r="GMK1" s="637"/>
      <c r="GML1" s="637"/>
      <c r="GMM1" s="637"/>
      <c r="GMN1" s="637"/>
      <c r="GMO1" s="637"/>
      <c r="GMP1" s="637"/>
      <c r="GMQ1" s="637"/>
      <c r="GMR1" s="637"/>
      <c r="GMS1" s="637"/>
      <c r="GMT1" s="637"/>
      <c r="GMU1" s="637"/>
      <c r="GMV1" s="637"/>
      <c r="GMW1" s="637"/>
      <c r="GMX1" s="637"/>
      <c r="GMY1" s="637"/>
      <c r="GMZ1" s="637"/>
      <c r="GNA1" s="637"/>
      <c r="GNB1" s="637"/>
      <c r="GNC1" s="637"/>
      <c r="GND1" s="637"/>
      <c r="GNE1" s="637"/>
      <c r="GNF1" s="637"/>
      <c r="GNG1" s="637"/>
      <c r="GNH1" s="637"/>
      <c r="GNI1" s="637"/>
      <c r="GNJ1" s="637"/>
      <c r="GNK1" s="637"/>
      <c r="GNL1" s="637"/>
      <c r="GNM1" s="637"/>
      <c r="GNN1" s="637"/>
      <c r="GNO1" s="637"/>
      <c r="GNP1" s="637"/>
      <c r="GNQ1" s="637"/>
      <c r="GNR1" s="637"/>
      <c r="GNS1" s="637"/>
      <c r="GNT1" s="637"/>
      <c r="GNU1" s="637"/>
      <c r="GNV1" s="637"/>
      <c r="GNW1" s="637"/>
      <c r="GNX1" s="637"/>
      <c r="GNY1" s="637"/>
      <c r="GNZ1" s="637"/>
      <c r="GOA1" s="637"/>
      <c r="GOB1" s="637"/>
      <c r="GOC1" s="637"/>
      <c r="GOD1" s="637"/>
      <c r="GOE1" s="637"/>
      <c r="GOF1" s="637"/>
      <c r="GOG1" s="637"/>
      <c r="GOH1" s="637"/>
      <c r="GOI1" s="637"/>
      <c r="GOJ1" s="637"/>
      <c r="GOK1" s="637"/>
      <c r="GOL1" s="637"/>
      <c r="GOM1" s="637"/>
      <c r="GON1" s="637"/>
      <c r="GOO1" s="637"/>
      <c r="GOP1" s="637"/>
      <c r="GOQ1" s="637"/>
      <c r="GOR1" s="637"/>
      <c r="GOS1" s="637"/>
      <c r="GOT1" s="637"/>
      <c r="GOU1" s="637"/>
      <c r="GOV1" s="637"/>
      <c r="GOW1" s="637"/>
      <c r="GOX1" s="637"/>
      <c r="GOY1" s="637"/>
      <c r="GOZ1" s="637"/>
      <c r="GPA1" s="637"/>
      <c r="GPB1" s="637"/>
      <c r="GPC1" s="637"/>
      <c r="GPD1" s="637"/>
      <c r="GPE1" s="637"/>
      <c r="GPF1" s="637"/>
      <c r="GPG1" s="637"/>
      <c r="GPH1" s="637"/>
      <c r="GPI1" s="637"/>
      <c r="GPJ1" s="637"/>
      <c r="GPK1" s="637"/>
      <c r="GPL1" s="637"/>
      <c r="GPM1" s="637"/>
      <c r="GPN1" s="637"/>
      <c r="GPO1" s="637"/>
      <c r="GPP1" s="637"/>
      <c r="GPQ1" s="637"/>
      <c r="GPR1" s="637"/>
      <c r="GPS1" s="637"/>
      <c r="GPT1" s="637"/>
      <c r="GPU1" s="637"/>
      <c r="GPV1" s="637"/>
      <c r="GPW1" s="637"/>
      <c r="GPX1" s="637"/>
      <c r="GPY1" s="637"/>
      <c r="GPZ1" s="637"/>
      <c r="GQA1" s="637"/>
      <c r="GQB1" s="637"/>
      <c r="GQC1" s="637"/>
      <c r="GQD1" s="637"/>
      <c r="GQE1" s="637"/>
      <c r="GQF1" s="637"/>
      <c r="GQG1" s="637"/>
      <c r="GQH1" s="637"/>
      <c r="GQI1" s="637"/>
      <c r="GQJ1" s="637"/>
      <c r="GQK1" s="637"/>
      <c r="GQL1" s="637"/>
      <c r="GQM1" s="637"/>
      <c r="GQN1" s="637"/>
      <c r="GQO1" s="637"/>
      <c r="GQP1" s="637"/>
      <c r="GQQ1" s="637"/>
      <c r="GQR1" s="637"/>
      <c r="GQS1" s="637"/>
      <c r="GQT1" s="637"/>
      <c r="GQU1" s="637"/>
      <c r="GQV1" s="637"/>
      <c r="GQW1" s="637"/>
      <c r="GQX1" s="637"/>
      <c r="GQY1" s="637"/>
      <c r="GQZ1" s="637"/>
      <c r="GRA1" s="637"/>
      <c r="GRB1" s="637"/>
      <c r="GRC1" s="637"/>
      <c r="GRD1" s="637"/>
      <c r="GRE1" s="637"/>
      <c r="GRF1" s="637"/>
      <c r="GRG1" s="637"/>
      <c r="GRH1" s="637"/>
      <c r="GRI1" s="637"/>
      <c r="GRJ1" s="637"/>
      <c r="GRK1" s="637"/>
      <c r="GRL1" s="637"/>
      <c r="GRM1" s="637"/>
      <c r="GRN1" s="637"/>
      <c r="GRO1" s="637"/>
      <c r="GRP1" s="637"/>
      <c r="GRQ1" s="637"/>
      <c r="GRR1" s="637"/>
      <c r="GRS1" s="637"/>
      <c r="GRT1" s="637"/>
      <c r="GRU1" s="637"/>
      <c r="GRV1" s="637"/>
      <c r="GRW1" s="637"/>
      <c r="GRX1" s="637"/>
      <c r="GRY1" s="637"/>
      <c r="GRZ1" s="637"/>
      <c r="GSA1" s="637"/>
      <c r="GSB1" s="637"/>
      <c r="GSC1" s="637"/>
      <c r="GSD1" s="637"/>
      <c r="GSE1" s="637"/>
      <c r="GSF1" s="637"/>
      <c r="GSG1" s="637"/>
      <c r="GSH1" s="637"/>
      <c r="GSI1" s="637"/>
      <c r="GSJ1" s="637"/>
      <c r="GSK1" s="637"/>
      <c r="GSL1" s="637"/>
      <c r="GSM1" s="637"/>
      <c r="GSN1" s="637"/>
      <c r="GSO1" s="637"/>
      <c r="GSP1" s="637"/>
      <c r="GSQ1" s="637"/>
      <c r="GSR1" s="637"/>
      <c r="GSS1" s="637"/>
      <c r="GST1" s="637"/>
      <c r="GSU1" s="637"/>
      <c r="GSV1" s="637"/>
      <c r="GSW1" s="637"/>
      <c r="GSX1" s="637"/>
      <c r="GSY1" s="637"/>
      <c r="GSZ1" s="637"/>
      <c r="GTA1" s="637"/>
      <c r="GTB1" s="637"/>
      <c r="GTC1" s="637"/>
      <c r="GTD1" s="637"/>
      <c r="GTE1" s="637"/>
      <c r="GTF1" s="637"/>
      <c r="GTG1" s="637"/>
      <c r="GTH1" s="637"/>
      <c r="GTI1" s="637"/>
      <c r="GTJ1" s="637"/>
      <c r="GTK1" s="637"/>
      <c r="GTL1" s="637"/>
      <c r="GTM1" s="637"/>
      <c r="GTN1" s="637"/>
      <c r="GTO1" s="637"/>
      <c r="GTP1" s="637"/>
      <c r="GTQ1" s="637"/>
      <c r="GTR1" s="637"/>
      <c r="GTS1" s="637"/>
      <c r="GTT1" s="637"/>
      <c r="GTU1" s="637"/>
      <c r="GTV1" s="637"/>
      <c r="GTW1" s="637"/>
      <c r="GTX1" s="637"/>
      <c r="GTY1" s="637"/>
      <c r="GTZ1" s="637"/>
      <c r="GUA1" s="637"/>
      <c r="GUB1" s="637"/>
      <c r="GUC1" s="637"/>
      <c r="GUD1" s="637"/>
      <c r="GUE1" s="637"/>
      <c r="GUF1" s="637"/>
      <c r="GUG1" s="637"/>
      <c r="GUH1" s="637"/>
      <c r="GUI1" s="637"/>
      <c r="GUJ1" s="637"/>
      <c r="GUK1" s="637"/>
      <c r="GUL1" s="637"/>
      <c r="GUM1" s="637"/>
      <c r="GUN1" s="637"/>
      <c r="GUO1" s="637"/>
      <c r="GUP1" s="637"/>
      <c r="GUQ1" s="637"/>
      <c r="GUR1" s="637"/>
      <c r="GUS1" s="637"/>
      <c r="GUT1" s="637"/>
      <c r="GUU1" s="637"/>
      <c r="GUV1" s="637"/>
      <c r="GUW1" s="637"/>
      <c r="GUX1" s="637"/>
      <c r="GUY1" s="637"/>
      <c r="GUZ1" s="637"/>
      <c r="GVA1" s="637"/>
      <c r="GVB1" s="637"/>
      <c r="GVC1" s="637"/>
      <c r="GVD1" s="637"/>
      <c r="GVE1" s="637"/>
      <c r="GVF1" s="637"/>
      <c r="GVG1" s="637"/>
      <c r="GVH1" s="637"/>
      <c r="GVI1" s="637"/>
      <c r="GVJ1" s="637"/>
      <c r="GVK1" s="637"/>
      <c r="GVL1" s="637"/>
      <c r="GVM1" s="637"/>
      <c r="GVN1" s="637"/>
      <c r="GVO1" s="637"/>
      <c r="GVP1" s="637"/>
      <c r="GVQ1" s="637"/>
      <c r="GVR1" s="637"/>
      <c r="GVS1" s="637"/>
      <c r="GVT1" s="637"/>
      <c r="GVU1" s="637"/>
      <c r="GVV1" s="637"/>
      <c r="GVW1" s="637"/>
      <c r="GVX1" s="637"/>
      <c r="GVY1" s="637"/>
      <c r="GVZ1" s="637"/>
      <c r="GWA1" s="637"/>
      <c r="GWB1" s="637"/>
      <c r="GWC1" s="637"/>
      <c r="GWD1" s="637"/>
      <c r="GWE1" s="637"/>
      <c r="GWF1" s="637"/>
      <c r="GWG1" s="637"/>
      <c r="GWH1" s="637"/>
      <c r="GWI1" s="637"/>
      <c r="GWJ1" s="637"/>
      <c r="GWK1" s="637"/>
      <c r="GWL1" s="637"/>
      <c r="GWM1" s="637"/>
      <c r="GWN1" s="637"/>
      <c r="GWO1" s="637"/>
      <c r="GWP1" s="637"/>
      <c r="GWQ1" s="637"/>
      <c r="GWR1" s="637"/>
      <c r="GWS1" s="637"/>
      <c r="GWT1" s="637"/>
      <c r="GWU1" s="637"/>
      <c r="GWV1" s="637"/>
      <c r="GWW1" s="637"/>
      <c r="GWX1" s="637"/>
      <c r="GWY1" s="637"/>
      <c r="GWZ1" s="637"/>
      <c r="GXA1" s="637"/>
      <c r="GXB1" s="637"/>
      <c r="GXC1" s="637"/>
      <c r="GXD1" s="637"/>
      <c r="GXE1" s="637"/>
      <c r="GXF1" s="637"/>
      <c r="GXG1" s="637"/>
      <c r="GXH1" s="637"/>
      <c r="GXI1" s="637"/>
      <c r="GXJ1" s="637"/>
      <c r="GXK1" s="637"/>
      <c r="GXL1" s="637"/>
      <c r="GXM1" s="637"/>
      <c r="GXN1" s="637"/>
      <c r="GXO1" s="637"/>
      <c r="GXP1" s="637"/>
      <c r="GXQ1" s="637"/>
      <c r="GXR1" s="637"/>
      <c r="GXS1" s="637"/>
      <c r="GXT1" s="637"/>
      <c r="GXU1" s="637"/>
      <c r="GXV1" s="637"/>
      <c r="GXW1" s="637"/>
      <c r="GXX1" s="637"/>
      <c r="GXY1" s="637"/>
      <c r="GXZ1" s="637"/>
      <c r="GYA1" s="637"/>
      <c r="GYB1" s="637"/>
      <c r="GYC1" s="637"/>
      <c r="GYD1" s="637"/>
      <c r="GYE1" s="637"/>
      <c r="GYF1" s="637"/>
      <c r="GYG1" s="637"/>
      <c r="GYH1" s="637"/>
      <c r="GYI1" s="637"/>
      <c r="GYJ1" s="637"/>
      <c r="GYK1" s="637"/>
      <c r="GYL1" s="637"/>
      <c r="GYM1" s="637"/>
      <c r="GYN1" s="637"/>
      <c r="GYO1" s="637"/>
      <c r="GYP1" s="637"/>
      <c r="GYQ1" s="637"/>
      <c r="GYR1" s="637"/>
      <c r="GYS1" s="637"/>
      <c r="GYT1" s="637"/>
      <c r="GYU1" s="637"/>
      <c r="GYV1" s="637"/>
      <c r="GYW1" s="637"/>
      <c r="GYX1" s="637"/>
      <c r="GYY1" s="637"/>
      <c r="GYZ1" s="637"/>
      <c r="GZA1" s="637"/>
      <c r="GZB1" s="637"/>
      <c r="GZC1" s="637"/>
      <c r="GZD1" s="637"/>
      <c r="GZE1" s="637"/>
      <c r="GZF1" s="637"/>
      <c r="GZG1" s="637"/>
      <c r="GZH1" s="637"/>
      <c r="GZI1" s="637"/>
      <c r="GZJ1" s="637"/>
      <c r="GZK1" s="637"/>
      <c r="GZL1" s="637"/>
      <c r="GZM1" s="637"/>
      <c r="GZN1" s="637"/>
      <c r="GZO1" s="637"/>
      <c r="GZP1" s="637"/>
      <c r="GZQ1" s="637"/>
      <c r="GZR1" s="637"/>
      <c r="GZS1" s="637"/>
      <c r="GZT1" s="637"/>
      <c r="GZU1" s="637"/>
      <c r="GZV1" s="637"/>
      <c r="GZW1" s="637"/>
      <c r="GZX1" s="637"/>
      <c r="GZY1" s="637"/>
      <c r="GZZ1" s="637"/>
      <c r="HAA1" s="637"/>
      <c r="HAB1" s="637"/>
      <c r="HAC1" s="637"/>
      <c r="HAD1" s="637"/>
      <c r="HAE1" s="637"/>
      <c r="HAF1" s="637"/>
      <c r="HAG1" s="637"/>
      <c r="HAH1" s="637"/>
      <c r="HAI1" s="637"/>
      <c r="HAJ1" s="637"/>
      <c r="HAK1" s="637"/>
      <c r="HAL1" s="637"/>
      <c r="HAM1" s="637"/>
      <c r="HAN1" s="637"/>
      <c r="HAO1" s="637"/>
      <c r="HAP1" s="637"/>
      <c r="HAQ1" s="637"/>
      <c r="HAR1" s="637"/>
      <c r="HAS1" s="637"/>
      <c r="HAT1" s="637"/>
      <c r="HAU1" s="637"/>
      <c r="HAV1" s="637"/>
      <c r="HAW1" s="637"/>
      <c r="HAX1" s="637"/>
      <c r="HAY1" s="637"/>
      <c r="HAZ1" s="637"/>
      <c r="HBA1" s="637"/>
      <c r="HBB1" s="637"/>
      <c r="HBC1" s="637"/>
      <c r="HBD1" s="637"/>
      <c r="HBE1" s="637"/>
      <c r="HBF1" s="637"/>
      <c r="HBG1" s="637"/>
      <c r="HBH1" s="637"/>
      <c r="HBI1" s="637"/>
      <c r="HBJ1" s="637"/>
      <c r="HBK1" s="637"/>
      <c r="HBL1" s="637"/>
      <c r="HBM1" s="637"/>
      <c r="HBN1" s="637"/>
      <c r="HBO1" s="637"/>
      <c r="HBP1" s="637"/>
      <c r="HBQ1" s="637"/>
      <c r="HBR1" s="637"/>
      <c r="HBS1" s="637"/>
      <c r="HBT1" s="637"/>
      <c r="HBU1" s="637"/>
      <c r="HBV1" s="637"/>
      <c r="HBW1" s="637"/>
      <c r="HBX1" s="637"/>
      <c r="HBY1" s="637"/>
      <c r="HBZ1" s="637"/>
      <c r="HCA1" s="637"/>
      <c r="HCB1" s="637"/>
      <c r="HCC1" s="637"/>
      <c r="HCD1" s="637"/>
      <c r="HCE1" s="637"/>
      <c r="HCF1" s="637"/>
      <c r="HCG1" s="637"/>
      <c r="HCH1" s="637"/>
      <c r="HCI1" s="637"/>
      <c r="HCJ1" s="637"/>
      <c r="HCK1" s="637"/>
      <c r="HCL1" s="637"/>
      <c r="HCM1" s="637"/>
      <c r="HCN1" s="637"/>
      <c r="HCO1" s="637"/>
      <c r="HCP1" s="637"/>
      <c r="HCQ1" s="637"/>
      <c r="HCR1" s="637"/>
      <c r="HCS1" s="637"/>
      <c r="HCT1" s="637"/>
      <c r="HCU1" s="637"/>
      <c r="HCV1" s="637"/>
      <c r="HCW1" s="637"/>
      <c r="HCX1" s="637"/>
      <c r="HCY1" s="637"/>
      <c r="HCZ1" s="637"/>
      <c r="HDA1" s="637"/>
      <c r="HDB1" s="637"/>
      <c r="HDC1" s="637"/>
      <c r="HDD1" s="637"/>
      <c r="HDE1" s="637"/>
      <c r="HDF1" s="637"/>
      <c r="HDG1" s="637"/>
      <c r="HDH1" s="637"/>
      <c r="HDI1" s="637"/>
      <c r="HDJ1" s="637"/>
      <c r="HDK1" s="637"/>
      <c r="HDL1" s="637"/>
      <c r="HDM1" s="637"/>
      <c r="HDN1" s="637"/>
      <c r="HDO1" s="637"/>
      <c r="HDP1" s="637"/>
      <c r="HDQ1" s="637"/>
      <c r="HDR1" s="637"/>
      <c r="HDS1" s="637"/>
      <c r="HDT1" s="637"/>
      <c r="HDU1" s="637"/>
      <c r="HDV1" s="637"/>
      <c r="HDW1" s="637"/>
      <c r="HDX1" s="637"/>
      <c r="HDY1" s="637"/>
      <c r="HDZ1" s="637"/>
      <c r="HEA1" s="637"/>
      <c r="HEB1" s="637"/>
      <c r="HEC1" s="637"/>
      <c r="HED1" s="637"/>
      <c r="HEE1" s="637"/>
      <c r="HEF1" s="637"/>
      <c r="HEG1" s="637"/>
      <c r="HEH1" s="637"/>
      <c r="HEI1" s="637"/>
      <c r="HEJ1" s="637"/>
      <c r="HEK1" s="637"/>
      <c r="HEL1" s="637"/>
      <c r="HEM1" s="637"/>
      <c r="HEN1" s="637"/>
      <c r="HEO1" s="637"/>
      <c r="HEP1" s="637"/>
      <c r="HEQ1" s="637"/>
      <c r="HER1" s="637"/>
      <c r="HES1" s="637"/>
      <c r="HET1" s="637"/>
      <c r="HEU1" s="637"/>
      <c r="HEV1" s="637"/>
      <c r="HEW1" s="637"/>
      <c r="HEX1" s="637"/>
      <c r="HEY1" s="637"/>
      <c r="HEZ1" s="637"/>
      <c r="HFA1" s="637"/>
      <c r="HFB1" s="637"/>
      <c r="HFC1" s="637"/>
      <c r="HFD1" s="637"/>
      <c r="HFE1" s="637"/>
      <c r="HFF1" s="637"/>
      <c r="HFG1" s="637"/>
      <c r="HFH1" s="637"/>
      <c r="HFI1" s="637"/>
      <c r="HFJ1" s="637"/>
      <c r="HFK1" s="637"/>
      <c r="HFL1" s="637"/>
      <c r="HFM1" s="637"/>
      <c r="HFN1" s="637"/>
      <c r="HFO1" s="637"/>
      <c r="HFP1" s="637"/>
      <c r="HFQ1" s="637"/>
      <c r="HFR1" s="637"/>
      <c r="HFS1" s="637"/>
      <c r="HFT1" s="637"/>
      <c r="HFU1" s="637"/>
      <c r="HFV1" s="637"/>
      <c r="HFW1" s="637"/>
      <c r="HFX1" s="637"/>
      <c r="HFY1" s="637"/>
      <c r="HFZ1" s="637"/>
      <c r="HGA1" s="637"/>
      <c r="HGB1" s="637"/>
      <c r="HGC1" s="637"/>
      <c r="HGD1" s="637"/>
      <c r="HGE1" s="637"/>
      <c r="HGF1" s="637"/>
      <c r="HGG1" s="637"/>
      <c r="HGH1" s="637"/>
      <c r="HGI1" s="637"/>
      <c r="HGJ1" s="637"/>
      <c r="HGK1" s="637"/>
      <c r="HGL1" s="637"/>
      <c r="HGM1" s="637"/>
      <c r="HGN1" s="637"/>
      <c r="HGO1" s="637"/>
      <c r="HGP1" s="637"/>
      <c r="HGQ1" s="637"/>
      <c r="HGR1" s="637"/>
      <c r="HGS1" s="637"/>
      <c r="HGT1" s="637"/>
      <c r="HGU1" s="637"/>
      <c r="HGV1" s="637"/>
      <c r="HGW1" s="637"/>
      <c r="HGX1" s="637"/>
      <c r="HGY1" s="637"/>
      <c r="HGZ1" s="637"/>
      <c r="HHA1" s="637"/>
      <c r="HHB1" s="637"/>
      <c r="HHC1" s="637"/>
      <c r="HHD1" s="637"/>
      <c r="HHE1" s="637"/>
      <c r="HHF1" s="637"/>
      <c r="HHG1" s="637"/>
      <c r="HHH1" s="637"/>
      <c r="HHI1" s="637"/>
      <c r="HHJ1" s="637"/>
      <c r="HHK1" s="637"/>
      <c r="HHL1" s="637"/>
      <c r="HHM1" s="637"/>
      <c r="HHN1" s="637"/>
      <c r="HHO1" s="637"/>
      <c r="HHP1" s="637"/>
      <c r="HHQ1" s="637"/>
      <c r="HHR1" s="637"/>
      <c r="HHS1" s="637"/>
      <c r="HHT1" s="637"/>
      <c r="HHU1" s="637"/>
      <c r="HHV1" s="637"/>
      <c r="HHW1" s="637"/>
      <c r="HHX1" s="637"/>
      <c r="HHY1" s="637"/>
      <c r="HHZ1" s="637"/>
      <c r="HIA1" s="637"/>
      <c r="HIB1" s="637"/>
      <c r="HIC1" s="637"/>
      <c r="HID1" s="637"/>
      <c r="HIE1" s="637"/>
      <c r="HIF1" s="637"/>
      <c r="HIG1" s="637"/>
      <c r="HIH1" s="637"/>
      <c r="HII1" s="637"/>
      <c r="HIJ1" s="637"/>
      <c r="HIK1" s="637"/>
      <c r="HIL1" s="637"/>
      <c r="HIM1" s="637"/>
      <c r="HIN1" s="637"/>
      <c r="HIO1" s="637"/>
      <c r="HIP1" s="637"/>
      <c r="HIQ1" s="637"/>
      <c r="HIR1" s="637"/>
      <c r="HIS1" s="637"/>
      <c r="HIT1" s="637"/>
      <c r="HIU1" s="637"/>
      <c r="HIV1" s="637"/>
      <c r="HIW1" s="637"/>
      <c r="HIX1" s="637"/>
      <c r="HIY1" s="637"/>
      <c r="HIZ1" s="637"/>
      <c r="HJA1" s="637"/>
      <c r="HJB1" s="637"/>
      <c r="HJC1" s="637"/>
      <c r="HJD1" s="637"/>
      <c r="HJE1" s="637"/>
      <c r="HJF1" s="637"/>
      <c r="HJG1" s="637"/>
      <c r="HJH1" s="637"/>
      <c r="HJI1" s="637"/>
      <c r="HJJ1" s="637"/>
      <c r="HJK1" s="637"/>
      <c r="HJL1" s="637"/>
      <c r="HJM1" s="637"/>
      <c r="HJN1" s="637"/>
      <c r="HJO1" s="637"/>
      <c r="HJP1" s="637"/>
      <c r="HJQ1" s="637"/>
      <c r="HJR1" s="637"/>
      <c r="HJS1" s="637"/>
      <c r="HJT1" s="637"/>
      <c r="HJU1" s="637"/>
      <c r="HJV1" s="637"/>
      <c r="HJW1" s="637"/>
      <c r="HJX1" s="637"/>
      <c r="HJY1" s="637"/>
      <c r="HJZ1" s="637"/>
      <c r="HKA1" s="637"/>
      <c r="HKB1" s="637"/>
      <c r="HKC1" s="637"/>
      <c r="HKD1" s="637"/>
      <c r="HKE1" s="637"/>
      <c r="HKF1" s="637"/>
      <c r="HKG1" s="637"/>
      <c r="HKH1" s="637"/>
      <c r="HKI1" s="637"/>
      <c r="HKJ1" s="637"/>
      <c r="HKK1" s="637"/>
      <c r="HKL1" s="637"/>
      <c r="HKM1" s="637"/>
      <c r="HKN1" s="637"/>
      <c r="HKO1" s="637"/>
      <c r="HKP1" s="637"/>
      <c r="HKQ1" s="637"/>
      <c r="HKR1" s="637"/>
      <c r="HKS1" s="637"/>
      <c r="HKT1" s="637"/>
      <c r="HKU1" s="637"/>
      <c r="HKV1" s="637"/>
      <c r="HKW1" s="637"/>
      <c r="HKX1" s="637"/>
      <c r="HKY1" s="637"/>
      <c r="HKZ1" s="637"/>
      <c r="HLA1" s="637"/>
      <c r="HLB1" s="637"/>
      <c r="HLC1" s="637"/>
      <c r="HLD1" s="637"/>
      <c r="HLE1" s="637"/>
      <c r="HLF1" s="637"/>
      <c r="HLG1" s="637"/>
      <c r="HLH1" s="637"/>
      <c r="HLI1" s="637"/>
      <c r="HLJ1" s="637"/>
      <c r="HLK1" s="637"/>
      <c r="HLL1" s="637"/>
      <c r="HLM1" s="637"/>
      <c r="HLN1" s="637"/>
      <c r="HLO1" s="637"/>
      <c r="HLP1" s="637"/>
      <c r="HLQ1" s="637"/>
      <c r="HLR1" s="637"/>
      <c r="HLS1" s="637"/>
      <c r="HLT1" s="637"/>
      <c r="HLU1" s="637"/>
      <c r="HLV1" s="637"/>
      <c r="HLW1" s="637"/>
      <c r="HLX1" s="637"/>
      <c r="HLY1" s="637"/>
      <c r="HLZ1" s="637"/>
      <c r="HMA1" s="637"/>
      <c r="HMB1" s="637"/>
      <c r="HMC1" s="637"/>
      <c r="HMD1" s="637"/>
      <c r="HME1" s="637"/>
      <c r="HMF1" s="637"/>
      <c r="HMG1" s="637"/>
      <c r="HMH1" s="637"/>
      <c r="HMI1" s="637"/>
      <c r="HMJ1" s="637"/>
      <c r="HMK1" s="637"/>
      <c r="HML1" s="637"/>
      <c r="HMM1" s="637"/>
      <c r="HMN1" s="637"/>
      <c r="HMO1" s="637"/>
      <c r="HMP1" s="637"/>
      <c r="HMQ1" s="637"/>
      <c r="HMR1" s="637"/>
      <c r="HMS1" s="637"/>
      <c r="HMT1" s="637"/>
      <c r="HMU1" s="637"/>
      <c r="HMV1" s="637"/>
      <c r="HMW1" s="637"/>
      <c r="HMX1" s="637"/>
      <c r="HMY1" s="637"/>
      <c r="HMZ1" s="637"/>
      <c r="HNA1" s="637"/>
      <c r="HNB1" s="637"/>
      <c r="HNC1" s="637"/>
      <c r="HND1" s="637"/>
      <c r="HNE1" s="637"/>
      <c r="HNF1" s="637"/>
      <c r="HNG1" s="637"/>
      <c r="HNH1" s="637"/>
      <c r="HNI1" s="637"/>
      <c r="HNJ1" s="637"/>
      <c r="HNK1" s="637"/>
      <c r="HNL1" s="637"/>
      <c r="HNM1" s="637"/>
      <c r="HNN1" s="637"/>
      <c r="HNO1" s="637"/>
      <c r="HNP1" s="637"/>
      <c r="HNQ1" s="637"/>
      <c r="HNR1" s="637"/>
      <c r="HNS1" s="637"/>
      <c r="HNT1" s="637"/>
      <c r="HNU1" s="637"/>
      <c r="HNV1" s="637"/>
      <c r="HNW1" s="637"/>
      <c r="HNX1" s="637"/>
      <c r="HNY1" s="637"/>
      <c r="HNZ1" s="637"/>
      <c r="HOA1" s="637"/>
      <c r="HOB1" s="637"/>
      <c r="HOC1" s="637"/>
      <c r="HOD1" s="637"/>
      <c r="HOE1" s="637"/>
      <c r="HOF1" s="637"/>
      <c r="HOG1" s="637"/>
      <c r="HOH1" s="637"/>
      <c r="HOI1" s="637"/>
      <c r="HOJ1" s="637"/>
      <c r="HOK1" s="637"/>
      <c r="HOL1" s="637"/>
      <c r="HOM1" s="637"/>
      <c r="HON1" s="637"/>
      <c r="HOO1" s="637"/>
      <c r="HOP1" s="637"/>
      <c r="HOQ1" s="637"/>
      <c r="HOR1" s="637"/>
      <c r="HOS1" s="637"/>
      <c r="HOT1" s="637"/>
      <c r="HOU1" s="637"/>
      <c r="HOV1" s="637"/>
      <c r="HOW1" s="637"/>
      <c r="HOX1" s="637"/>
      <c r="HOY1" s="637"/>
      <c r="HOZ1" s="637"/>
      <c r="HPA1" s="637"/>
      <c r="HPB1" s="637"/>
      <c r="HPC1" s="637"/>
      <c r="HPD1" s="637"/>
      <c r="HPE1" s="637"/>
      <c r="HPF1" s="637"/>
      <c r="HPG1" s="637"/>
      <c r="HPH1" s="637"/>
      <c r="HPI1" s="637"/>
      <c r="HPJ1" s="637"/>
      <c r="HPK1" s="637"/>
      <c r="HPL1" s="637"/>
      <c r="HPM1" s="637"/>
      <c r="HPN1" s="637"/>
      <c r="HPO1" s="637"/>
      <c r="HPP1" s="637"/>
      <c r="HPQ1" s="637"/>
      <c r="HPR1" s="637"/>
      <c r="HPS1" s="637"/>
      <c r="HPT1" s="637"/>
      <c r="HPU1" s="637"/>
      <c r="HPV1" s="637"/>
      <c r="HPW1" s="637"/>
      <c r="HPX1" s="637"/>
      <c r="HPY1" s="637"/>
      <c r="HPZ1" s="637"/>
      <c r="HQA1" s="637"/>
      <c r="HQB1" s="637"/>
      <c r="HQC1" s="637"/>
      <c r="HQD1" s="637"/>
      <c r="HQE1" s="637"/>
      <c r="HQF1" s="637"/>
      <c r="HQG1" s="637"/>
      <c r="HQH1" s="637"/>
      <c r="HQI1" s="637"/>
      <c r="HQJ1" s="637"/>
      <c r="HQK1" s="637"/>
      <c r="HQL1" s="637"/>
      <c r="HQM1" s="637"/>
      <c r="HQN1" s="637"/>
      <c r="HQO1" s="637"/>
      <c r="HQP1" s="637"/>
      <c r="HQQ1" s="637"/>
      <c r="HQR1" s="637"/>
      <c r="HQS1" s="637"/>
      <c r="HQT1" s="637"/>
      <c r="HQU1" s="637"/>
      <c r="HQV1" s="637"/>
      <c r="HQW1" s="637"/>
      <c r="HQX1" s="637"/>
      <c r="HQY1" s="637"/>
      <c r="HQZ1" s="637"/>
      <c r="HRA1" s="637"/>
      <c r="HRB1" s="637"/>
      <c r="HRC1" s="637"/>
      <c r="HRD1" s="637"/>
      <c r="HRE1" s="637"/>
      <c r="HRF1" s="637"/>
      <c r="HRG1" s="637"/>
      <c r="HRH1" s="637"/>
      <c r="HRI1" s="637"/>
      <c r="HRJ1" s="637"/>
      <c r="HRK1" s="637"/>
      <c r="HRL1" s="637"/>
      <c r="HRM1" s="637"/>
      <c r="HRN1" s="637"/>
      <c r="HRO1" s="637"/>
      <c r="HRP1" s="637"/>
      <c r="HRQ1" s="637"/>
      <c r="HRR1" s="637"/>
      <c r="HRS1" s="637"/>
      <c r="HRT1" s="637"/>
      <c r="HRU1" s="637"/>
      <c r="HRV1" s="637"/>
      <c r="HRW1" s="637"/>
      <c r="HRX1" s="637"/>
      <c r="HRY1" s="637"/>
      <c r="HRZ1" s="637"/>
      <c r="HSA1" s="637"/>
      <c r="HSB1" s="637"/>
      <c r="HSC1" s="637"/>
      <c r="HSD1" s="637"/>
      <c r="HSE1" s="637"/>
      <c r="HSF1" s="637"/>
      <c r="HSG1" s="637"/>
      <c r="HSH1" s="637"/>
      <c r="HSI1" s="637"/>
      <c r="HSJ1" s="637"/>
      <c r="HSK1" s="637"/>
      <c r="HSL1" s="637"/>
      <c r="HSM1" s="637"/>
      <c r="HSN1" s="637"/>
      <c r="HSO1" s="637"/>
      <c r="HSP1" s="637"/>
      <c r="HSQ1" s="637"/>
      <c r="HSR1" s="637"/>
      <c r="HSS1" s="637"/>
      <c r="HST1" s="637"/>
      <c r="HSU1" s="637"/>
      <c r="HSV1" s="637"/>
      <c r="HSW1" s="637"/>
      <c r="HSX1" s="637"/>
      <c r="HSY1" s="637"/>
      <c r="HSZ1" s="637"/>
      <c r="HTA1" s="637"/>
      <c r="HTB1" s="637"/>
      <c r="HTC1" s="637"/>
      <c r="HTD1" s="637"/>
      <c r="HTE1" s="637"/>
      <c r="HTF1" s="637"/>
      <c r="HTG1" s="637"/>
      <c r="HTH1" s="637"/>
      <c r="HTI1" s="637"/>
      <c r="HTJ1" s="637"/>
      <c r="HTK1" s="637"/>
      <c r="HTL1" s="637"/>
      <c r="HTM1" s="637"/>
      <c r="HTN1" s="637"/>
      <c r="HTO1" s="637"/>
      <c r="HTP1" s="637"/>
      <c r="HTQ1" s="637"/>
      <c r="HTR1" s="637"/>
      <c r="HTS1" s="637"/>
      <c r="HTT1" s="637"/>
      <c r="HTU1" s="637"/>
      <c r="HTV1" s="637"/>
      <c r="HTW1" s="637"/>
      <c r="HTX1" s="637"/>
      <c r="HTY1" s="637"/>
      <c r="HTZ1" s="637"/>
      <c r="HUA1" s="637"/>
      <c r="HUB1" s="637"/>
      <c r="HUC1" s="637"/>
      <c r="HUD1" s="637"/>
      <c r="HUE1" s="637"/>
      <c r="HUF1" s="637"/>
      <c r="HUG1" s="637"/>
      <c r="HUH1" s="637"/>
      <c r="HUI1" s="637"/>
      <c r="HUJ1" s="637"/>
      <c r="HUK1" s="637"/>
      <c r="HUL1" s="637"/>
      <c r="HUM1" s="637"/>
      <c r="HUN1" s="637"/>
      <c r="HUO1" s="637"/>
      <c r="HUP1" s="637"/>
      <c r="HUQ1" s="637"/>
      <c r="HUR1" s="637"/>
      <c r="HUS1" s="637"/>
      <c r="HUT1" s="637"/>
      <c r="HUU1" s="637"/>
      <c r="HUV1" s="637"/>
      <c r="HUW1" s="637"/>
      <c r="HUX1" s="637"/>
      <c r="HUY1" s="637"/>
      <c r="HUZ1" s="637"/>
      <c r="HVA1" s="637"/>
      <c r="HVB1" s="637"/>
      <c r="HVC1" s="637"/>
      <c r="HVD1" s="637"/>
      <c r="HVE1" s="637"/>
      <c r="HVF1" s="637"/>
      <c r="HVG1" s="637"/>
      <c r="HVH1" s="637"/>
      <c r="HVI1" s="637"/>
      <c r="HVJ1" s="637"/>
      <c r="HVK1" s="637"/>
      <c r="HVL1" s="637"/>
      <c r="HVM1" s="637"/>
      <c r="HVN1" s="637"/>
      <c r="HVO1" s="637"/>
      <c r="HVP1" s="637"/>
      <c r="HVQ1" s="637"/>
      <c r="HVR1" s="637"/>
      <c r="HVS1" s="637"/>
      <c r="HVT1" s="637"/>
      <c r="HVU1" s="637"/>
      <c r="HVV1" s="637"/>
      <c r="HVW1" s="637"/>
      <c r="HVX1" s="637"/>
      <c r="HVY1" s="637"/>
      <c r="HVZ1" s="637"/>
      <c r="HWA1" s="637"/>
      <c r="HWB1" s="637"/>
      <c r="HWC1" s="637"/>
      <c r="HWD1" s="637"/>
      <c r="HWE1" s="637"/>
      <c r="HWF1" s="637"/>
      <c r="HWG1" s="637"/>
      <c r="HWH1" s="637"/>
      <c r="HWI1" s="637"/>
      <c r="HWJ1" s="637"/>
      <c r="HWK1" s="637"/>
      <c r="HWL1" s="637"/>
      <c r="HWM1" s="637"/>
      <c r="HWN1" s="637"/>
      <c r="HWO1" s="637"/>
      <c r="HWP1" s="637"/>
      <c r="HWQ1" s="637"/>
      <c r="HWR1" s="637"/>
      <c r="HWS1" s="637"/>
      <c r="HWT1" s="637"/>
      <c r="HWU1" s="637"/>
      <c r="HWV1" s="637"/>
      <c r="HWW1" s="637"/>
      <c r="HWX1" s="637"/>
      <c r="HWY1" s="637"/>
      <c r="HWZ1" s="637"/>
      <c r="HXA1" s="637"/>
      <c r="HXB1" s="637"/>
      <c r="HXC1" s="637"/>
      <c r="HXD1" s="637"/>
      <c r="HXE1" s="637"/>
      <c r="HXF1" s="637"/>
      <c r="HXG1" s="637"/>
      <c r="HXH1" s="637"/>
      <c r="HXI1" s="637"/>
      <c r="HXJ1" s="637"/>
      <c r="HXK1" s="637"/>
      <c r="HXL1" s="637"/>
      <c r="HXM1" s="637"/>
      <c r="HXN1" s="637"/>
      <c r="HXO1" s="637"/>
      <c r="HXP1" s="637"/>
      <c r="HXQ1" s="637"/>
      <c r="HXR1" s="637"/>
      <c r="HXS1" s="637"/>
      <c r="HXT1" s="637"/>
      <c r="HXU1" s="637"/>
      <c r="HXV1" s="637"/>
      <c r="HXW1" s="637"/>
      <c r="HXX1" s="637"/>
      <c r="HXY1" s="637"/>
      <c r="HXZ1" s="637"/>
      <c r="HYA1" s="637"/>
      <c r="HYB1" s="637"/>
      <c r="HYC1" s="637"/>
      <c r="HYD1" s="637"/>
      <c r="HYE1" s="637"/>
      <c r="HYF1" s="637"/>
      <c r="HYG1" s="637"/>
      <c r="HYH1" s="637"/>
      <c r="HYI1" s="637"/>
      <c r="HYJ1" s="637"/>
      <c r="HYK1" s="637"/>
      <c r="HYL1" s="637"/>
      <c r="HYM1" s="637"/>
      <c r="HYN1" s="637"/>
      <c r="HYO1" s="637"/>
      <c r="HYP1" s="637"/>
      <c r="HYQ1" s="637"/>
      <c r="HYR1" s="637"/>
      <c r="HYS1" s="637"/>
      <c r="HYT1" s="637"/>
      <c r="HYU1" s="637"/>
      <c r="HYV1" s="637"/>
      <c r="HYW1" s="637"/>
      <c r="HYX1" s="637"/>
      <c r="HYY1" s="637"/>
      <c r="HYZ1" s="637"/>
      <c r="HZA1" s="637"/>
      <c r="HZB1" s="637"/>
      <c r="HZC1" s="637"/>
      <c r="HZD1" s="637"/>
      <c r="HZE1" s="637"/>
      <c r="HZF1" s="637"/>
      <c r="HZG1" s="637"/>
      <c r="HZH1" s="637"/>
      <c r="HZI1" s="637"/>
      <c r="HZJ1" s="637"/>
      <c r="HZK1" s="637"/>
      <c r="HZL1" s="637"/>
      <c r="HZM1" s="637"/>
      <c r="HZN1" s="637"/>
      <c r="HZO1" s="637"/>
      <c r="HZP1" s="637"/>
      <c r="HZQ1" s="637"/>
      <c r="HZR1" s="637"/>
      <c r="HZS1" s="637"/>
      <c r="HZT1" s="637"/>
      <c r="HZU1" s="637"/>
      <c r="HZV1" s="637"/>
      <c r="HZW1" s="637"/>
      <c r="HZX1" s="637"/>
      <c r="HZY1" s="637"/>
      <c r="HZZ1" s="637"/>
      <c r="IAA1" s="637"/>
      <c r="IAB1" s="637"/>
      <c r="IAC1" s="637"/>
      <c r="IAD1" s="637"/>
      <c r="IAE1" s="637"/>
      <c r="IAF1" s="637"/>
      <c r="IAG1" s="637"/>
      <c r="IAH1" s="637"/>
      <c r="IAI1" s="637"/>
      <c r="IAJ1" s="637"/>
      <c r="IAK1" s="637"/>
      <c r="IAL1" s="637"/>
      <c r="IAM1" s="637"/>
      <c r="IAN1" s="637"/>
      <c r="IAO1" s="637"/>
      <c r="IAP1" s="637"/>
      <c r="IAQ1" s="637"/>
      <c r="IAR1" s="637"/>
      <c r="IAS1" s="637"/>
      <c r="IAT1" s="637"/>
      <c r="IAU1" s="637"/>
      <c r="IAV1" s="637"/>
      <c r="IAW1" s="637"/>
      <c r="IAX1" s="637"/>
      <c r="IAY1" s="637"/>
      <c r="IAZ1" s="637"/>
      <c r="IBA1" s="637"/>
      <c r="IBB1" s="637"/>
      <c r="IBC1" s="637"/>
      <c r="IBD1" s="637"/>
      <c r="IBE1" s="637"/>
      <c r="IBF1" s="637"/>
      <c r="IBG1" s="637"/>
      <c r="IBH1" s="637"/>
      <c r="IBI1" s="637"/>
      <c r="IBJ1" s="637"/>
      <c r="IBK1" s="637"/>
      <c r="IBL1" s="637"/>
      <c r="IBM1" s="637"/>
      <c r="IBN1" s="637"/>
      <c r="IBO1" s="637"/>
      <c r="IBP1" s="637"/>
      <c r="IBQ1" s="637"/>
      <c r="IBR1" s="637"/>
      <c r="IBS1" s="637"/>
      <c r="IBT1" s="637"/>
      <c r="IBU1" s="637"/>
      <c r="IBV1" s="637"/>
      <c r="IBW1" s="637"/>
      <c r="IBX1" s="637"/>
      <c r="IBY1" s="637"/>
      <c r="IBZ1" s="637"/>
      <c r="ICA1" s="637"/>
      <c r="ICB1" s="637"/>
      <c r="ICC1" s="637"/>
      <c r="ICD1" s="637"/>
      <c r="ICE1" s="637"/>
      <c r="ICF1" s="637"/>
      <c r="ICG1" s="637"/>
      <c r="ICH1" s="637"/>
      <c r="ICI1" s="637"/>
      <c r="ICJ1" s="637"/>
      <c r="ICK1" s="637"/>
      <c r="ICL1" s="637"/>
      <c r="ICM1" s="637"/>
      <c r="ICN1" s="637"/>
      <c r="ICO1" s="637"/>
      <c r="ICP1" s="637"/>
      <c r="ICQ1" s="637"/>
      <c r="ICR1" s="637"/>
      <c r="ICS1" s="637"/>
      <c r="ICT1" s="637"/>
      <c r="ICU1" s="637"/>
      <c r="ICV1" s="637"/>
      <c r="ICW1" s="637"/>
      <c r="ICX1" s="637"/>
      <c r="ICY1" s="637"/>
      <c r="ICZ1" s="637"/>
      <c r="IDA1" s="637"/>
      <c r="IDB1" s="637"/>
      <c r="IDC1" s="637"/>
      <c r="IDD1" s="637"/>
      <c r="IDE1" s="637"/>
      <c r="IDF1" s="637"/>
      <c r="IDG1" s="637"/>
      <c r="IDH1" s="637"/>
      <c r="IDI1" s="637"/>
      <c r="IDJ1" s="637"/>
      <c r="IDK1" s="637"/>
      <c r="IDL1" s="637"/>
      <c r="IDM1" s="637"/>
      <c r="IDN1" s="637"/>
      <c r="IDO1" s="637"/>
      <c r="IDP1" s="637"/>
      <c r="IDQ1" s="637"/>
      <c r="IDR1" s="637"/>
      <c r="IDS1" s="637"/>
      <c r="IDT1" s="637"/>
      <c r="IDU1" s="637"/>
      <c r="IDV1" s="637"/>
      <c r="IDW1" s="637"/>
      <c r="IDX1" s="637"/>
      <c r="IDY1" s="637"/>
      <c r="IDZ1" s="637"/>
      <c r="IEA1" s="637"/>
      <c r="IEB1" s="637"/>
      <c r="IEC1" s="637"/>
      <c r="IED1" s="637"/>
      <c r="IEE1" s="637"/>
      <c r="IEF1" s="637"/>
      <c r="IEG1" s="637"/>
      <c r="IEH1" s="637"/>
      <c r="IEI1" s="637"/>
      <c r="IEJ1" s="637"/>
      <c r="IEK1" s="637"/>
      <c r="IEL1" s="637"/>
      <c r="IEM1" s="637"/>
      <c r="IEN1" s="637"/>
      <c r="IEO1" s="637"/>
      <c r="IEP1" s="637"/>
      <c r="IEQ1" s="637"/>
      <c r="IER1" s="637"/>
      <c r="IES1" s="637"/>
      <c r="IET1" s="637"/>
      <c r="IEU1" s="637"/>
      <c r="IEV1" s="637"/>
      <c r="IEW1" s="637"/>
      <c r="IEX1" s="637"/>
      <c r="IEY1" s="637"/>
      <c r="IEZ1" s="637"/>
      <c r="IFA1" s="637"/>
      <c r="IFB1" s="637"/>
      <c r="IFC1" s="637"/>
      <c r="IFD1" s="637"/>
      <c r="IFE1" s="637"/>
      <c r="IFF1" s="637"/>
      <c r="IFG1" s="637"/>
      <c r="IFH1" s="637"/>
      <c r="IFI1" s="637"/>
      <c r="IFJ1" s="637"/>
      <c r="IFK1" s="637"/>
      <c r="IFL1" s="637"/>
      <c r="IFM1" s="637"/>
      <c r="IFN1" s="637"/>
      <c r="IFO1" s="637"/>
      <c r="IFP1" s="637"/>
      <c r="IFQ1" s="637"/>
      <c r="IFR1" s="637"/>
      <c r="IFS1" s="637"/>
      <c r="IFT1" s="637"/>
      <c r="IFU1" s="637"/>
      <c r="IFV1" s="637"/>
      <c r="IFW1" s="637"/>
      <c r="IFX1" s="637"/>
      <c r="IFY1" s="637"/>
      <c r="IFZ1" s="637"/>
      <c r="IGA1" s="637"/>
      <c r="IGB1" s="637"/>
      <c r="IGC1" s="637"/>
      <c r="IGD1" s="637"/>
      <c r="IGE1" s="637"/>
      <c r="IGF1" s="637"/>
      <c r="IGG1" s="637"/>
      <c r="IGH1" s="637"/>
      <c r="IGI1" s="637"/>
      <c r="IGJ1" s="637"/>
      <c r="IGK1" s="637"/>
      <c r="IGL1" s="637"/>
      <c r="IGM1" s="637"/>
      <c r="IGN1" s="637"/>
      <c r="IGO1" s="637"/>
      <c r="IGP1" s="637"/>
      <c r="IGQ1" s="637"/>
      <c r="IGR1" s="637"/>
      <c r="IGS1" s="637"/>
      <c r="IGT1" s="637"/>
      <c r="IGU1" s="637"/>
      <c r="IGV1" s="637"/>
      <c r="IGW1" s="637"/>
      <c r="IGX1" s="637"/>
      <c r="IGY1" s="637"/>
      <c r="IGZ1" s="637"/>
      <c r="IHA1" s="637"/>
      <c r="IHB1" s="637"/>
      <c r="IHC1" s="637"/>
      <c r="IHD1" s="637"/>
      <c r="IHE1" s="637"/>
      <c r="IHF1" s="637"/>
      <c r="IHG1" s="637"/>
      <c r="IHH1" s="637"/>
      <c r="IHI1" s="637"/>
      <c r="IHJ1" s="637"/>
      <c r="IHK1" s="637"/>
      <c r="IHL1" s="637"/>
      <c r="IHM1" s="637"/>
      <c r="IHN1" s="637"/>
      <c r="IHO1" s="637"/>
      <c r="IHP1" s="637"/>
      <c r="IHQ1" s="637"/>
      <c r="IHR1" s="637"/>
      <c r="IHS1" s="637"/>
      <c r="IHT1" s="637"/>
      <c r="IHU1" s="637"/>
      <c r="IHV1" s="637"/>
      <c r="IHW1" s="637"/>
      <c r="IHX1" s="637"/>
      <c r="IHY1" s="637"/>
      <c r="IHZ1" s="637"/>
      <c r="IIA1" s="637"/>
      <c r="IIB1" s="637"/>
      <c r="IIC1" s="637"/>
      <c r="IID1" s="637"/>
      <c r="IIE1" s="637"/>
      <c r="IIF1" s="637"/>
      <c r="IIG1" s="637"/>
      <c r="IIH1" s="637"/>
      <c r="III1" s="637"/>
      <c r="IIJ1" s="637"/>
      <c r="IIK1" s="637"/>
      <c r="IIL1" s="637"/>
      <c r="IIM1" s="637"/>
      <c r="IIN1" s="637"/>
      <c r="IIO1" s="637"/>
      <c r="IIP1" s="637"/>
      <c r="IIQ1" s="637"/>
      <c r="IIR1" s="637"/>
      <c r="IIS1" s="637"/>
      <c r="IIT1" s="637"/>
      <c r="IIU1" s="637"/>
      <c r="IIV1" s="637"/>
      <c r="IIW1" s="637"/>
      <c r="IIX1" s="637"/>
      <c r="IIY1" s="637"/>
      <c r="IIZ1" s="637"/>
      <c r="IJA1" s="637"/>
      <c r="IJB1" s="637"/>
      <c r="IJC1" s="637"/>
      <c r="IJD1" s="637"/>
      <c r="IJE1" s="637"/>
      <c r="IJF1" s="637"/>
      <c r="IJG1" s="637"/>
      <c r="IJH1" s="637"/>
      <c r="IJI1" s="637"/>
      <c r="IJJ1" s="637"/>
      <c r="IJK1" s="637"/>
      <c r="IJL1" s="637"/>
      <c r="IJM1" s="637"/>
      <c r="IJN1" s="637"/>
      <c r="IJO1" s="637"/>
      <c r="IJP1" s="637"/>
      <c r="IJQ1" s="637"/>
      <c r="IJR1" s="637"/>
      <c r="IJS1" s="637"/>
      <c r="IJT1" s="637"/>
      <c r="IJU1" s="637"/>
      <c r="IJV1" s="637"/>
      <c r="IJW1" s="637"/>
      <c r="IJX1" s="637"/>
      <c r="IJY1" s="637"/>
      <c r="IJZ1" s="637"/>
      <c r="IKA1" s="637"/>
      <c r="IKB1" s="637"/>
      <c r="IKC1" s="637"/>
      <c r="IKD1" s="637"/>
      <c r="IKE1" s="637"/>
      <c r="IKF1" s="637"/>
      <c r="IKG1" s="637"/>
      <c r="IKH1" s="637"/>
      <c r="IKI1" s="637"/>
      <c r="IKJ1" s="637"/>
      <c r="IKK1" s="637"/>
      <c r="IKL1" s="637"/>
      <c r="IKM1" s="637"/>
      <c r="IKN1" s="637"/>
      <c r="IKO1" s="637"/>
      <c r="IKP1" s="637"/>
      <c r="IKQ1" s="637"/>
      <c r="IKR1" s="637"/>
      <c r="IKS1" s="637"/>
      <c r="IKT1" s="637"/>
      <c r="IKU1" s="637"/>
      <c r="IKV1" s="637"/>
      <c r="IKW1" s="637"/>
      <c r="IKX1" s="637"/>
      <c r="IKY1" s="637"/>
      <c r="IKZ1" s="637"/>
      <c r="ILA1" s="637"/>
      <c r="ILB1" s="637"/>
      <c r="ILC1" s="637"/>
      <c r="ILD1" s="637"/>
      <c r="ILE1" s="637"/>
      <c r="ILF1" s="637"/>
      <c r="ILG1" s="637"/>
      <c r="ILH1" s="637"/>
      <c r="ILI1" s="637"/>
      <c r="ILJ1" s="637"/>
      <c r="ILK1" s="637"/>
      <c r="ILL1" s="637"/>
      <c r="ILM1" s="637"/>
      <c r="ILN1" s="637"/>
      <c r="ILO1" s="637"/>
      <c r="ILP1" s="637"/>
      <c r="ILQ1" s="637"/>
      <c r="ILR1" s="637"/>
      <c r="ILS1" s="637"/>
      <c r="ILT1" s="637"/>
      <c r="ILU1" s="637"/>
      <c r="ILV1" s="637"/>
      <c r="ILW1" s="637"/>
      <c r="ILX1" s="637"/>
      <c r="ILY1" s="637"/>
      <c r="ILZ1" s="637"/>
      <c r="IMA1" s="637"/>
      <c r="IMB1" s="637"/>
      <c r="IMC1" s="637"/>
      <c r="IMD1" s="637"/>
      <c r="IME1" s="637"/>
      <c r="IMF1" s="637"/>
      <c r="IMG1" s="637"/>
      <c r="IMH1" s="637"/>
      <c r="IMI1" s="637"/>
      <c r="IMJ1" s="637"/>
      <c r="IMK1" s="637"/>
      <c r="IML1" s="637"/>
      <c r="IMM1" s="637"/>
      <c r="IMN1" s="637"/>
      <c r="IMO1" s="637"/>
      <c r="IMP1" s="637"/>
      <c r="IMQ1" s="637"/>
      <c r="IMR1" s="637"/>
      <c r="IMS1" s="637"/>
      <c r="IMT1" s="637"/>
      <c r="IMU1" s="637"/>
      <c r="IMV1" s="637"/>
      <c r="IMW1" s="637"/>
      <c r="IMX1" s="637"/>
      <c r="IMY1" s="637"/>
      <c r="IMZ1" s="637"/>
      <c r="INA1" s="637"/>
      <c r="INB1" s="637"/>
      <c r="INC1" s="637"/>
      <c r="IND1" s="637"/>
      <c r="INE1" s="637"/>
      <c r="INF1" s="637"/>
      <c r="ING1" s="637"/>
      <c r="INH1" s="637"/>
      <c r="INI1" s="637"/>
      <c r="INJ1" s="637"/>
      <c r="INK1" s="637"/>
      <c r="INL1" s="637"/>
      <c r="INM1" s="637"/>
      <c r="INN1" s="637"/>
      <c r="INO1" s="637"/>
      <c r="INP1" s="637"/>
      <c r="INQ1" s="637"/>
      <c r="INR1" s="637"/>
      <c r="INS1" s="637"/>
      <c r="INT1" s="637"/>
      <c r="INU1" s="637"/>
      <c r="INV1" s="637"/>
      <c r="INW1" s="637"/>
      <c r="INX1" s="637"/>
      <c r="INY1" s="637"/>
      <c r="INZ1" s="637"/>
      <c r="IOA1" s="637"/>
      <c r="IOB1" s="637"/>
      <c r="IOC1" s="637"/>
      <c r="IOD1" s="637"/>
      <c r="IOE1" s="637"/>
      <c r="IOF1" s="637"/>
      <c r="IOG1" s="637"/>
      <c r="IOH1" s="637"/>
      <c r="IOI1" s="637"/>
      <c r="IOJ1" s="637"/>
      <c r="IOK1" s="637"/>
      <c r="IOL1" s="637"/>
      <c r="IOM1" s="637"/>
      <c r="ION1" s="637"/>
      <c r="IOO1" s="637"/>
      <c r="IOP1" s="637"/>
      <c r="IOQ1" s="637"/>
      <c r="IOR1" s="637"/>
      <c r="IOS1" s="637"/>
      <c r="IOT1" s="637"/>
      <c r="IOU1" s="637"/>
      <c r="IOV1" s="637"/>
      <c r="IOW1" s="637"/>
      <c r="IOX1" s="637"/>
      <c r="IOY1" s="637"/>
      <c r="IOZ1" s="637"/>
      <c r="IPA1" s="637"/>
      <c r="IPB1" s="637"/>
      <c r="IPC1" s="637"/>
      <c r="IPD1" s="637"/>
      <c r="IPE1" s="637"/>
      <c r="IPF1" s="637"/>
      <c r="IPG1" s="637"/>
      <c r="IPH1" s="637"/>
      <c r="IPI1" s="637"/>
      <c r="IPJ1" s="637"/>
      <c r="IPK1" s="637"/>
      <c r="IPL1" s="637"/>
      <c r="IPM1" s="637"/>
      <c r="IPN1" s="637"/>
      <c r="IPO1" s="637"/>
      <c r="IPP1" s="637"/>
      <c r="IPQ1" s="637"/>
      <c r="IPR1" s="637"/>
      <c r="IPS1" s="637"/>
      <c r="IPT1" s="637"/>
      <c r="IPU1" s="637"/>
      <c r="IPV1" s="637"/>
      <c r="IPW1" s="637"/>
      <c r="IPX1" s="637"/>
      <c r="IPY1" s="637"/>
      <c r="IPZ1" s="637"/>
      <c r="IQA1" s="637"/>
      <c r="IQB1" s="637"/>
      <c r="IQC1" s="637"/>
      <c r="IQD1" s="637"/>
      <c r="IQE1" s="637"/>
      <c r="IQF1" s="637"/>
      <c r="IQG1" s="637"/>
      <c r="IQH1" s="637"/>
      <c r="IQI1" s="637"/>
      <c r="IQJ1" s="637"/>
      <c r="IQK1" s="637"/>
      <c r="IQL1" s="637"/>
      <c r="IQM1" s="637"/>
      <c r="IQN1" s="637"/>
      <c r="IQO1" s="637"/>
      <c r="IQP1" s="637"/>
      <c r="IQQ1" s="637"/>
      <c r="IQR1" s="637"/>
      <c r="IQS1" s="637"/>
      <c r="IQT1" s="637"/>
      <c r="IQU1" s="637"/>
      <c r="IQV1" s="637"/>
      <c r="IQW1" s="637"/>
      <c r="IQX1" s="637"/>
      <c r="IQY1" s="637"/>
      <c r="IQZ1" s="637"/>
      <c r="IRA1" s="637"/>
      <c r="IRB1" s="637"/>
      <c r="IRC1" s="637"/>
      <c r="IRD1" s="637"/>
      <c r="IRE1" s="637"/>
      <c r="IRF1" s="637"/>
      <c r="IRG1" s="637"/>
      <c r="IRH1" s="637"/>
      <c r="IRI1" s="637"/>
      <c r="IRJ1" s="637"/>
      <c r="IRK1" s="637"/>
      <c r="IRL1" s="637"/>
      <c r="IRM1" s="637"/>
      <c r="IRN1" s="637"/>
      <c r="IRO1" s="637"/>
      <c r="IRP1" s="637"/>
      <c r="IRQ1" s="637"/>
      <c r="IRR1" s="637"/>
      <c r="IRS1" s="637"/>
      <c r="IRT1" s="637"/>
      <c r="IRU1" s="637"/>
      <c r="IRV1" s="637"/>
      <c r="IRW1" s="637"/>
      <c r="IRX1" s="637"/>
      <c r="IRY1" s="637"/>
      <c r="IRZ1" s="637"/>
      <c r="ISA1" s="637"/>
      <c r="ISB1" s="637"/>
      <c r="ISC1" s="637"/>
      <c r="ISD1" s="637"/>
      <c r="ISE1" s="637"/>
      <c r="ISF1" s="637"/>
      <c r="ISG1" s="637"/>
      <c r="ISH1" s="637"/>
      <c r="ISI1" s="637"/>
      <c r="ISJ1" s="637"/>
      <c r="ISK1" s="637"/>
      <c r="ISL1" s="637"/>
      <c r="ISM1" s="637"/>
      <c r="ISN1" s="637"/>
      <c r="ISO1" s="637"/>
      <c r="ISP1" s="637"/>
      <c r="ISQ1" s="637"/>
      <c r="ISR1" s="637"/>
      <c r="ISS1" s="637"/>
      <c r="IST1" s="637"/>
      <c r="ISU1" s="637"/>
      <c r="ISV1" s="637"/>
      <c r="ISW1" s="637"/>
      <c r="ISX1" s="637"/>
      <c r="ISY1" s="637"/>
      <c r="ISZ1" s="637"/>
      <c r="ITA1" s="637"/>
      <c r="ITB1" s="637"/>
      <c r="ITC1" s="637"/>
      <c r="ITD1" s="637"/>
      <c r="ITE1" s="637"/>
      <c r="ITF1" s="637"/>
      <c r="ITG1" s="637"/>
      <c r="ITH1" s="637"/>
      <c r="ITI1" s="637"/>
      <c r="ITJ1" s="637"/>
      <c r="ITK1" s="637"/>
      <c r="ITL1" s="637"/>
      <c r="ITM1" s="637"/>
      <c r="ITN1" s="637"/>
      <c r="ITO1" s="637"/>
      <c r="ITP1" s="637"/>
      <c r="ITQ1" s="637"/>
      <c r="ITR1" s="637"/>
      <c r="ITS1" s="637"/>
      <c r="ITT1" s="637"/>
      <c r="ITU1" s="637"/>
      <c r="ITV1" s="637"/>
      <c r="ITW1" s="637"/>
      <c r="ITX1" s="637"/>
      <c r="ITY1" s="637"/>
      <c r="ITZ1" s="637"/>
      <c r="IUA1" s="637"/>
      <c r="IUB1" s="637"/>
      <c r="IUC1" s="637"/>
      <c r="IUD1" s="637"/>
      <c r="IUE1" s="637"/>
      <c r="IUF1" s="637"/>
      <c r="IUG1" s="637"/>
      <c r="IUH1" s="637"/>
      <c r="IUI1" s="637"/>
      <c r="IUJ1" s="637"/>
      <c r="IUK1" s="637"/>
      <c r="IUL1" s="637"/>
      <c r="IUM1" s="637"/>
      <c r="IUN1" s="637"/>
      <c r="IUO1" s="637"/>
      <c r="IUP1" s="637"/>
      <c r="IUQ1" s="637"/>
      <c r="IUR1" s="637"/>
      <c r="IUS1" s="637"/>
      <c r="IUT1" s="637"/>
      <c r="IUU1" s="637"/>
      <c r="IUV1" s="637"/>
      <c r="IUW1" s="637"/>
      <c r="IUX1" s="637"/>
      <c r="IUY1" s="637"/>
      <c r="IUZ1" s="637"/>
      <c r="IVA1" s="637"/>
      <c r="IVB1" s="637"/>
      <c r="IVC1" s="637"/>
      <c r="IVD1" s="637"/>
      <c r="IVE1" s="637"/>
      <c r="IVF1" s="637"/>
      <c r="IVG1" s="637"/>
      <c r="IVH1" s="637"/>
      <c r="IVI1" s="637"/>
      <c r="IVJ1" s="637"/>
      <c r="IVK1" s="637"/>
      <c r="IVL1" s="637"/>
      <c r="IVM1" s="637"/>
      <c r="IVN1" s="637"/>
      <c r="IVO1" s="637"/>
      <c r="IVP1" s="637"/>
      <c r="IVQ1" s="637"/>
      <c r="IVR1" s="637"/>
      <c r="IVS1" s="637"/>
      <c r="IVT1" s="637"/>
      <c r="IVU1" s="637"/>
      <c r="IVV1" s="637"/>
      <c r="IVW1" s="637"/>
      <c r="IVX1" s="637"/>
      <c r="IVY1" s="637"/>
      <c r="IVZ1" s="637"/>
      <c r="IWA1" s="637"/>
      <c r="IWB1" s="637"/>
      <c r="IWC1" s="637"/>
      <c r="IWD1" s="637"/>
      <c r="IWE1" s="637"/>
      <c r="IWF1" s="637"/>
      <c r="IWG1" s="637"/>
      <c r="IWH1" s="637"/>
      <c r="IWI1" s="637"/>
      <c r="IWJ1" s="637"/>
      <c r="IWK1" s="637"/>
      <c r="IWL1" s="637"/>
      <c r="IWM1" s="637"/>
      <c r="IWN1" s="637"/>
      <c r="IWO1" s="637"/>
      <c r="IWP1" s="637"/>
      <c r="IWQ1" s="637"/>
      <c r="IWR1" s="637"/>
      <c r="IWS1" s="637"/>
      <c r="IWT1" s="637"/>
      <c r="IWU1" s="637"/>
      <c r="IWV1" s="637"/>
      <c r="IWW1" s="637"/>
      <c r="IWX1" s="637"/>
      <c r="IWY1" s="637"/>
      <c r="IWZ1" s="637"/>
      <c r="IXA1" s="637"/>
      <c r="IXB1" s="637"/>
      <c r="IXC1" s="637"/>
      <c r="IXD1" s="637"/>
      <c r="IXE1" s="637"/>
      <c r="IXF1" s="637"/>
      <c r="IXG1" s="637"/>
      <c r="IXH1" s="637"/>
      <c r="IXI1" s="637"/>
      <c r="IXJ1" s="637"/>
      <c r="IXK1" s="637"/>
      <c r="IXL1" s="637"/>
      <c r="IXM1" s="637"/>
      <c r="IXN1" s="637"/>
      <c r="IXO1" s="637"/>
      <c r="IXP1" s="637"/>
      <c r="IXQ1" s="637"/>
      <c r="IXR1" s="637"/>
      <c r="IXS1" s="637"/>
      <c r="IXT1" s="637"/>
      <c r="IXU1" s="637"/>
      <c r="IXV1" s="637"/>
      <c r="IXW1" s="637"/>
      <c r="IXX1" s="637"/>
      <c r="IXY1" s="637"/>
      <c r="IXZ1" s="637"/>
      <c r="IYA1" s="637"/>
      <c r="IYB1" s="637"/>
      <c r="IYC1" s="637"/>
      <c r="IYD1" s="637"/>
      <c r="IYE1" s="637"/>
      <c r="IYF1" s="637"/>
      <c r="IYG1" s="637"/>
      <c r="IYH1" s="637"/>
      <c r="IYI1" s="637"/>
      <c r="IYJ1" s="637"/>
      <c r="IYK1" s="637"/>
      <c r="IYL1" s="637"/>
      <c r="IYM1" s="637"/>
      <c r="IYN1" s="637"/>
      <c r="IYO1" s="637"/>
      <c r="IYP1" s="637"/>
      <c r="IYQ1" s="637"/>
      <c r="IYR1" s="637"/>
      <c r="IYS1" s="637"/>
      <c r="IYT1" s="637"/>
      <c r="IYU1" s="637"/>
      <c r="IYV1" s="637"/>
      <c r="IYW1" s="637"/>
      <c r="IYX1" s="637"/>
      <c r="IYY1" s="637"/>
      <c r="IYZ1" s="637"/>
      <c r="IZA1" s="637"/>
      <c r="IZB1" s="637"/>
      <c r="IZC1" s="637"/>
      <c r="IZD1" s="637"/>
      <c r="IZE1" s="637"/>
      <c r="IZF1" s="637"/>
      <c r="IZG1" s="637"/>
      <c r="IZH1" s="637"/>
      <c r="IZI1" s="637"/>
      <c r="IZJ1" s="637"/>
      <c r="IZK1" s="637"/>
      <c r="IZL1" s="637"/>
      <c r="IZM1" s="637"/>
      <c r="IZN1" s="637"/>
      <c r="IZO1" s="637"/>
      <c r="IZP1" s="637"/>
      <c r="IZQ1" s="637"/>
      <c r="IZR1" s="637"/>
      <c r="IZS1" s="637"/>
      <c r="IZT1" s="637"/>
      <c r="IZU1" s="637"/>
      <c r="IZV1" s="637"/>
      <c r="IZW1" s="637"/>
      <c r="IZX1" s="637"/>
      <c r="IZY1" s="637"/>
      <c r="IZZ1" s="637"/>
      <c r="JAA1" s="637"/>
      <c r="JAB1" s="637"/>
      <c r="JAC1" s="637"/>
      <c r="JAD1" s="637"/>
      <c r="JAE1" s="637"/>
      <c r="JAF1" s="637"/>
      <c r="JAG1" s="637"/>
      <c r="JAH1" s="637"/>
      <c r="JAI1" s="637"/>
      <c r="JAJ1" s="637"/>
      <c r="JAK1" s="637"/>
      <c r="JAL1" s="637"/>
      <c r="JAM1" s="637"/>
      <c r="JAN1" s="637"/>
      <c r="JAO1" s="637"/>
      <c r="JAP1" s="637"/>
      <c r="JAQ1" s="637"/>
      <c r="JAR1" s="637"/>
      <c r="JAS1" s="637"/>
      <c r="JAT1" s="637"/>
      <c r="JAU1" s="637"/>
      <c r="JAV1" s="637"/>
      <c r="JAW1" s="637"/>
      <c r="JAX1" s="637"/>
      <c r="JAY1" s="637"/>
      <c r="JAZ1" s="637"/>
      <c r="JBA1" s="637"/>
      <c r="JBB1" s="637"/>
      <c r="JBC1" s="637"/>
      <c r="JBD1" s="637"/>
      <c r="JBE1" s="637"/>
      <c r="JBF1" s="637"/>
      <c r="JBG1" s="637"/>
      <c r="JBH1" s="637"/>
      <c r="JBI1" s="637"/>
      <c r="JBJ1" s="637"/>
      <c r="JBK1" s="637"/>
      <c r="JBL1" s="637"/>
      <c r="JBM1" s="637"/>
      <c r="JBN1" s="637"/>
      <c r="JBO1" s="637"/>
      <c r="JBP1" s="637"/>
      <c r="JBQ1" s="637"/>
      <c r="JBR1" s="637"/>
      <c r="JBS1" s="637"/>
      <c r="JBT1" s="637"/>
      <c r="JBU1" s="637"/>
      <c r="JBV1" s="637"/>
      <c r="JBW1" s="637"/>
      <c r="JBX1" s="637"/>
      <c r="JBY1" s="637"/>
      <c r="JBZ1" s="637"/>
      <c r="JCA1" s="637"/>
      <c r="JCB1" s="637"/>
      <c r="JCC1" s="637"/>
      <c r="JCD1" s="637"/>
      <c r="JCE1" s="637"/>
      <c r="JCF1" s="637"/>
      <c r="JCG1" s="637"/>
      <c r="JCH1" s="637"/>
      <c r="JCI1" s="637"/>
      <c r="JCJ1" s="637"/>
      <c r="JCK1" s="637"/>
      <c r="JCL1" s="637"/>
      <c r="JCM1" s="637"/>
      <c r="JCN1" s="637"/>
      <c r="JCO1" s="637"/>
      <c r="JCP1" s="637"/>
      <c r="JCQ1" s="637"/>
      <c r="JCR1" s="637"/>
      <c r="JCS1" s="637"/>
      <c r="JCT1" s="637"/>
      <c r="JCU1" s="637"/>
      <c r="JCV1" s="637"/>
      <c r="JCW1" s="637"/>
      <c r="JCX1" s="637"/>
      <c r="JCY1" s="637"/>
      <c r="JCZ1" s="637"/>
      <c r="JDA1" s="637"/>
      <c r="JDB1" s="637"/>
      <c r="JDC1" s="637"/>
      <c r="JDD1" s="637"/>
      <c r="JDE1" s="637"/>
      <c r="JDF1" s="637"/>
      <c r="JDG1" s="637"/>
      <c r="JDH1" s="637"/>
      <c r="JDI1" s="637"/>
      <c r="JDJ1" s="637"/>
      <c r="JDK1" s="637"/>
      <c r="JDL1" s="637"/>
      <c r="JDM1" s="637"/>
      <c r="JDN1" s="637"/>
      <c r="JDO1" s="637"/>
      <c r="JDP1" s="637"/>
      <c r="JDQ1" s="637"/>
      <c r="JDR1" s="637"/>
      <c r="JDS1" s="637"/>
      <c r="JDT1" s="637"/>
      <c r="JDU1" s="637"/>
      <c r="JDV1" s="637"/>
      <c r="JDW1" s="637"/>
      <c r="JDX1" s="637"/>
      <c r="JDY1" s="637"/>
      <c r="JDZ1" s="637"/>
      <c r="JEA1" s="637"/>
      <c r="JEB1" s="637"/>
      <c r="JEC1" s="637"/>
      <c r="JED1" s="637"/>
      <c r="JEE1" s="637"/>
      <c r="JEF1" s="637"/>
      <c r="JEG1" s="637"/>
      <c r="JEH1" s="637"/>
      <c r="JEI1" s="637"/>
      <c r="JEJ1" s="637"/>
      <c r="JEK1" s="637"/>
      <c r="JEL1" s="637"/>
      <c r="JEM1" s="637"/>
      <c r="JEN1" s="637"/>
      <c r="JEO1" s="637"/>
      <c r="JEP1" s="637"/>
      <c r="JEQ1" s="637"/>
      <c r="JER1" s="637"/>
      <c r="JES1" s="637"/>
      <c r="JET1" s="637"/>
      <c r="JEU1" s="637"/>
      <c r="JEV1" s="637"/>
      <c r="JEW1" s="637"/>
      <c r="JEX1" s="637"/>
      <c r="JEY1" s="637"/>
      <c r="JEZ1" s="637"/>
      <c r="JFA1" s="637"/>
      <c r="JFB1" s="637"/>
      <c r="JFC1" s="637"/>
      <c r="JFD1" s="637"/>
      <c r="JFE1" s="637"/>
      <c r="JFF1" s="637"/>
      <c r="JFG1" s="637"/>
      <c r="JFH1" s="637"/>
      <c r="JFI1" s="637"/>
      <c r="JFJ1" s="637"/>
      <c r="JFK1" s="637"/>
      <c r="JFL1" s="637"/>
      <c r="JFM1" s="637"/>
      <c r="JFN1" s="637"/>
      <c r="JFO1" s="637"/>
      <c r="JFP1" s="637"/>
      <c r="JFQ1" s="637"/>
      <c r="JFR1" s="637"/>
      <c r="JFS1" s="637"/>
      <c r="JFT1" s="637"/>
      <c r="JFU1" s="637"/>
      <c r="JFV1" s="637"/>
      <c r="JFW1" s="637"/>
      <c r="JFX1" s="637"/>
      <c r="JFY1" s="637"/>
      <c r="JFZ1" s="637"/>
      <c r="JGA1" s="637"/>
      <c r="JGB1" s="637"/>
      <c r="JGC1" s="637"/>
      <c r="JGD1" s="637"/>
      <c r="JGE1" s="637"/>
      <c r="JGF1" s="637"/>
      <c r="JGG1" s="637"/>
      <c r="JGH1" s="637"/>
      <c r="JGI1" s="637"/>
      <c r="JGJ1" s="637"/>
      <c r="JGK1" s="637"/>
      <c r="JGL1" s="637"/>
      <c r="JGM1" s="637"/>
      <c r="JGN1" s="637"/>
      <c r="JGO1" s="637"/>
      <c r="JGP1" s="637"/>
      <c r="JGQ1" s="637"/>
      <c r="JGR1" s="637"/>
      <c r="JGS1" s="637"/>
      <c r="JGT1" s="637"/>
      <c r="JGU1" s="637"/>
      <c r="JGV1" s="637"/>
      <c r="JGW1" s="637"/>
      <c r="JGX1" s="637"/>
      <c r="JGY1" s="637"/>
      <c r="JGZ1" s="637"/>
      <c r="JHA1" s="637"/>
      <c r="JHB1" s="637"/>
      <c r="JHC1" s="637"/>
      <c r="JHD1" s="637"/>
      <c r="JHE1" s="637"/>
      <c r="JHF1" s="637"/>
      <c r="JHG1" s="637"/>
      <c r="JHH1" s="637"/>
      <c r="JHI1" s="637"/>
      <c r="JHJ1" s="637"/>
      <c r="JHK1" s="637"/>
      <c r="JHL1" s="637"/>
      <c r="JHM1" s="637"/>
      <c r="JHN1" s="637"/>
      <c r="JHO1" s="637"/>
      <c r="JHP1" s="637"/>
      <c r="JHQ1" s="637"/>
      <c r="JHR1" s="637"/>
      <c r="JHS1" s="637"/>
      <c r="JHT1" s="637"/>
      <c r="JHU1" s="637"/>
      <c r="JHV1" s="637"/>
      <c r="JHW1" s="637"/>
      <c r="JHX1" s="637"/>
      <c r="JHY1" s="637"/>
      <c r="JHZ1" s="637"/>
      <c r="JIA1" s="637"/>
      <c r="JIB1" s="637"/>
      <c r="JIC1" s="637"/>
      <c r="JID1" s="637"/>
      <c r="JIE1" s="637"/>
      <c r="JIF1" s="637"/>
      <c r="JIG1" s="637"/>
      <c r="JIH1" s="637"/>
      <c r="JII1" s="637"/>
      <c r="JIJ1" s="637"/>
      <c r="JIK1" s="637"/>
      <c r="JIL1" s="637"/>
      <c r="JIM1" s="637"/>
      <c r="JIN1" s="637"/>
      <c r="JIO1" s="637"/>
      <c r="JIP1" s="637"/>
      <c r="JIQ1" s="637"/>
      <c r="JIR1" s="637"/>
      <c r="JIS1" s="637"/>
      <c r="JIT1" s="637"/>
      <c r="JIU1" s="637"/>
      <c r="JIV1" s="637"/>
      <c r="JIW1" s="637"/>
      <c r="JIX1" s="637"/>
      <c r="JIY1" s="637"/>
      <c r="JIZ1" s="637"/>
      <c r="JJA1" s="637"/>
      <c r="JJB1" s="637"/>
      <c r="JJC1" s="637"/>
      <c r="JJD1" s="637"/>
      <c r="JJE1" s="637"/>
      <c r="JJF1" s="637"/>
      <c r="JJG1" s="637"/>
      <c r="JJH1" s="637"/>
      <c r="JJI1" s="637"/>
      <c r="JJJ1" s="637"/>
      <c r="JJK1" s="637"/>
      <c r="JJL1" s="637"/>
      <c r="JJM1" s="637"/>
      <c r="JJN1" s="637"/>
      <c r="JJO1" s="637"/>
      <c r="JJP1" s="637"/>
      <c r="JJQ1" s="637"/>
      <c r="JJR1" s="637"/>
      <c r="JJS1" s="637"/>
      <c r="JJT1" s="637"/>
      <c r="JJU1" s="637"/>
      <c r="JJV1" s="637"/>
      <c r="JJW1" s="637"/>
      <c r="JJX1" s="637"/>
      <c r="JJY1" s="637"/>
      <c r="JJZ1" s="637"/>
      <c r="JKA1" s="637"/>
      <c r="JKB1" s="637"/>
      <c r="JKC1" s="637"/>
      <c r="JKD1" s="637"/>
      <c r="JKE1" s="637"/>
      <c r="JKF1" s="637"/>
      <c r="JKG1" s="637"/>
      <c r="JKH1" s="637"/>
      <c r="JKI1" s="637"/>
      <c r="JKJ1" s="637"/>
      <c r="JKK1" s="637"/>
      <c r="JKL1" s="637"/>
      <c r="JKM1" s="637"/>
      <c r="JKN1" s="637"/>
      <c r="JKO1" s="637"/>
      <c r="JKP1" s="637"/>
      <c r="JKQ1" s="637"/>
      <c r="JKR1" s="637"/>
      <c r="JKS1" s="637"/>
      <c r="JKT1" s="637"/>
      <c r="JKU1" s="637"/>
      <c r="JKV1" s="637"/>
      <c r="JKW1" s="637"/>
      <c r="JKX1" s="637"/>
      <c r="JKY1" s="637"/>
      <c r="JKZ1" s="637"/>
      <c r="JLA1" s="637"/>
      <c r="JLB1" s="637"/>
      <c r="JLC1" s="637"/>
      <c r="JLD1" s="637"/>
      <c r="JLE1" s="637"/>
      <c r="JLF1" s="637"/>
      <c r="JLG1" s="637"/>
      <c r="JLH1" s="637"/>
      <c r="JLI1" s="637"/>
      <c r="JLJ1" s="637"/>
      <c r="JLK1" s="637"/>
      <c r="JLL1" s="637"/>
      <c r="JLM1" s="637"/>
      <c r="JLN1" s="637"/>
      <c r="JLO1" s="637"/>
      <c r="JLP1" s="637"/>
      <c r="JLQ1" s="637"/>
      <c r="JLR1" s="637"/>
      <c r="JLS1" s="637"/>
      <c r="JLT1" s="637"/>
      <c r="JLU1" s="637"/>
      <c r="JLV1" s="637"/>
      <c r="JLW1" s="637"/>
      <c r="JLX1" s="637"/>
      <c r="JLY1" s="637"/>
      <c r="JLZ1" s="637"/>
      <c r="JMA1" s="637"/>
      <c r="JMB1" s="637"/>
      <c r="JMC1" s="637"/>
      <c r="JMD1" s="637"/>
      <c r="JME1" s="637"/>
      <c r="JMF1" s="637"/>
      <c r="JMG1" s="637"/>
      <c r="JMH1" s="637"/>
      <c r="JMI1" s="637"/>
      <c r="JMJ1" s="637"/>
      <c r="JMK1" s="637"/>
      <c r="JML1" s="637"/>
      <c r="JMM1" s="637"/>
      <c r="JMN1" s="637"/>
      <c r="JMO1" s="637"/>
      <c r="JMP1" s="637"/>
      <c r="JMQ1" s="637"/>
      <c r="JMR1" s="637"/>
      <c r="JMS1" s="637"/>
      <c r="JMT1" s="637"/>
      <c r="JMU1" s="637"/>
      <c r="JMV1" s="637"/>
      <c r="JMW1" s="637"/>
      <c r="JMX1" s="637"/>
      <c r="JMY1" s="637"/>
      <c r="JMZ1" s="637"/>
      <c r="JNA1" s="637"/>
      <c r="JNB1" s="637"/>
      <c r="JNC1" s="637"/>
      <c r="JND1" s="637"/>
      <c r="JNE1" s="637"/>
      <c r="JNF1" s="637"/>
      <c r="JNG1" s="637"/>
      <c r="JNH1" s="637"/>
      <c r="JNI1" s="637"/>
      <c r="JNJ1" s="637"/>
      <c r="JNK1" s="637"/>
      <c r="JNL1" s="637"/>
      <c r="JNM1" s="637"/>
      <c r="JNN1" s="637"/>
      <c r="JNO1" s="637"/>
      <c r="JNP1" s="637"/>
      <c r="JNQ1" s="637"/>
      <c r="JNR1" s="637"/>
      <c r="JNS1" s="637"/>
      <c r="JNT1" s="637"/>
      <c r="JNU1" s="637"/>
      <c r="JNV1" s="637"/>
      <c r="JNW1" s="637"/>
      <c r="JNX1" s="637"/>
      <c r="JNY1" s="637"/>
      <c r="JNZ1" s="637"/>
      <c r="JOA1" s="637"/>
      <c r="JOB1" s="637"/>
      <c r="JOC1" s="637"/>
      <c r="JOD1" s="637"/>
      <c r="JOE1" s="637"/>
      <c r="JOF1" s="637"/>
      <c r="JOG1" s="637"/>
      <c r="JOH1" s="637"/>
      <c r="JOI1" s="637"/>
      <c r="JOJ1" s="637"/>
      <c r="JOK1" s="637"/>
      <c r="JOL1" s="637"/>
      <c r="JOM1" s="637"/>
      <c r="JON1" s="637"/>
      <c r="JOO1" s="637"/>
      <c r="JOP1" s="637"/>
      <c r="JOQ1" s="637"/>
      <c r="JOR1" s="637"/>
      <c r="JOS1" s="637"/>
      <c r="JOT1" s="637"/>
      <c r="JOU1" s="637"/>
      <c r="JOV1" s="637"/>
      <c r="JOW1" s="637"/>
      <c r="JOX1" s="637"/>
      <c r="JOY1" s="637"/>
      <c r="JOZ1" s="637"/>
      <c r="JPA1" s="637"/>
      <c r="JPB1" s="637"/>
      <c r="JPC1" s="637"/>
      <c r="JPD1" s="637"/>
      <c r="JPE1" s="637"/>
      <c r="JPF1" s="637"/>
      <c r="JPG1" s="637"/>
      <c r="JPH1" s="637"/>
      <c r="JPI1" s="637"/>
      <c r="JPJ1" s="637"/>
      <c r="JPK1" s="637"/>
      <c r="JPL1" s="637"/>
      <c r="JPM1" s="637"/>
      <c r="JPN1" s="637"/>
      <c r="JPO1" s="637"/>
      <c r="JPP1" s="637"/>
      <c r="JPQ1" s="637"/>
      <c r="JPR1" s="637"/>
      <c r="JPS1" s="637"/>
      <c r="JPT1" s="637"/>
      <c r="JPU1" s="637"/>
      <c r="JPV1" s="637"/>
      <c r="JPW1" s="637"/>
      <c r="JPX1" s="637"/>
      <c r="JPY1" s="637"/>
      <c r="JPZ1" s="637"/>
      <c r="JQA1" s="637"/>
      <c r="JQB1" s="637"/>
      <c r="JQC1" s="637"/>
      <c r="JQD1" s="637"/>
      <c r="JQE1" s="637"/>
      <c r="JQF1" s="637"/>
      <c r="JQG1" s="637"/>
      <c r="JQH1" s="637"/>
      <c r="JQI1" s="637"/>
      <c r="JQJ1" s="637"/>
      <c r="JQK1" s="637"/>
      <c r="JQL1" s="637"/>
      <c r="JQM1" s="637"/>
      <c r="JQN1" s="637"/>
      <c r="JQO1" s="637"/>
      <c r="JQP1" s="637"/>
      <c r="JQQ1" s="637"/>
      <c r="JQR1" s="637"/>
      <c r="JQS1" s="637"/>
      <c r="JQT1" s="637"/>
      <c r="JQU1" s="637"/>
      <c r="JQV1" s="637"/>
      <c r="JQW1" s="637"/>
      <c r="JQX1" s="637"/>
      <c r="JQY1" s="637"/>
      <c r="JQZ1" s="637"/>
      <c r="JRA1" s="637"/>
      <c r="JRB1" s="637"/>
      <c r="JRC1" s="637"/>
      <c r="JRD1" s="637"/>
      <c r="JRE1" s="637"/>
      <c r="JRF1" s="637"/>
      <c r="JRG1" s="637"/>
      <c r="JRH1" s="637"/>
      <c r="JRI1" s="637"/>
      <c r="JRJ1" s="637"/>
      <c r="JRK1" s="637"/>
      <c r="JRL1" s="637"/>
      <c r="JRM1" s="637"/>
      <c r="JRN1" s="637"/>
      <c r="JRO1" s="637"/>
      <c r="JRP1" s="637"/>
      <c r="JRQ1" s="637"/>
      <c r="JRR1" s="637"/>
      <c r="JRS1" s="637"/>
      <c r="JRT1" s="637"/>
      <c r="JRU1" s="637"/>
      <c r="JRV1" s="637"/>
      <c r="JRW1" s="637"/>
      <c r="JRX1" s="637"/>
      <c r="JRY1" s="637"/>
      <c r="JRZ1" s="637"/>
      <c r="JSA1" s="637"/>
      <c r="JSB1" s="637"/>
      <c r="JSC1" s="637"/>
      <c r="JSD1" s="637"/>
      <c r="JSE1" s="637"/>
      <c r="JSF1" s="637"/>
      <c r="JSG1" s="637"/>
      <c r="JSH1" s="637"/>
      <c r="JSI1" s="637"/>
      <c r="JSJ1" s="637"/>
      <c r="JSK1" s="637"/>
      <c r="JSL1" s="637"/>
      <c r="JSM1" s="637"/>
      <c r="JSN1" s="637"/>
      <c r="JSO1" s="637"/>
      <c r="JSP1" s="637"/>
      <c r="JSQ1" s="637"/>
      <c r="JSR1" s="637"/>
      <c r="JSS1" s="637"/>
      <c r="JST1" s="637"/>
      <c r="JSU1" s="637"/>
      <c r="JSV1" s="637"/>
      <c r="JSW1" s="637"/>
      <c r="JSX1" s="637"/>
      <c r="JSY1" s="637"/>
      <c r="JSZ1" s="637"/>
      <c r="JTA1" s="637"/>
      <c r="JTB1" s="637"/>
      <c r="JTC1" s="637"/>
      <c r="JTD1" s="637"/>
      <c r="JTE1" s="637"/>
      <c r="JTF1" s="637"/>
      <c r="JTG1" s="637"/>
      <c r="JTH1" s="637"/>
      <c r="JTI1" s="637"/>
      <c r="JTJ1" s="637"/>
      <c r="JTK1" s="637"/>
      <c r="JTL1" s="637"/>
      <c r="JTM1" s="637"/>
      <c r="JTN1" s="637"/>
      <c r="JTO1" s="637"/>
      <c r="JTP1" s="637"/>
      <c r="JTQ1" s="637"/>
      <c r="JTR1" s="637"/>
      <c r="JTS1" s="637"/>
      <c r="JTT1" s="637"/>
      <c r="JTU1" s="637"/>
      <c r="JTV1" s="637"/>
      <c r="JTW1" s="637"/>
      <c r="JTX1" s="637"/>
      <c r="JTY1" s="637"/>
      <c r="JTZ1" s="637"/>
      <c r="JUA1" s="637"/>
      <c r="JUB1" s="637"/>
      <c r="JUC1" s="637"/>
      <c r="JUD1" s="637"/>
      <c r="JUE1" s="637"/>
      <c r="JUF1" s="637"/>
      <c r="JUG1" s="637"/>
      <c r="JUH1" s="637"/>
      <c r="JUI1" s="637"/>
      <c r="JUJ1" s="637"/>
      <c r="JUK1" s="637"/>
      <c r="JUL1" s="637"/>
      <c r="JUM1" s="637"/>
      <c r="JUN1" s="637"/>
      <c r="JUO1" s="637"/>
      <c r="JUP1" s="637"/>
      <c r="JUQ1" s="637"/>
      <c r="JUR1" s="637"/>
      <c r="JUS1" s="637"/>
      <c r="JUT1" s="637"/>
      <c r="JUU1" s="637"/>
      <c r="JUV1" s="637"/>
      <c r="JUW1" s="637"/>
      <c r="JUX1" s="637"/>
      <c r="JUY1" s="637"/>
      <c r="JUZ1" s="637"/>
      <c r="JVA1" s="637"/>
      <c r="JVB1" s="637"/>
      <c r="JVC1" s="637"/>
      <c r="JVD1" s="637"/>
      <c r="JVE1" s="637"/>
      <c r="JVF1" s="637"/>
      <c r="JVG1" s="637"/>
      <c r="JVH1" s="637"/>
      <c r="JVI1" s="637"/>
      <c r="JVJ1" s="637"/>
      <c r="JVK1" s="637"/>
      <c r="JVL1" s="637"/>
      <c r="JVM1" s="637"/>
      <c r="JVN1" s="637"/>
      <c r="JVO1" s="637"/>
      <c r="JVP1" s="637"/>
      <c r="JVQ1" s="637"/>
      <c r="JVR1" s="637"/>
      <c r="JVS1" s="637"/>
      <c r="JVT1" s="637"/>
      <c r="JVU1" s="637"/>
      <c r="JVV1" s="637"/>
      <c r="JVW1" s="637"/>
      <c r="JVX1" s="637"/>
      <c r="JVY1" s="637"/>
      <c r="JVZ1" s="637"/>
      <c r="JWA1" s="637"/>
      <c r="JWB1" s="637"/>
      <c r="JWC1" s="637"/>
      <c r="JWD1" s="637"/>
      <c r="JWE1" s="637"/>
      <c r="JWF1" s="637"/>
      <c r="JWG1" s="637"/>
      <c r="JWH1" s="637"/>
      <c r="JWI1" s="637"/>
      <c r="JWJ1" s="637"/>
      <c r="JWK1" s="637"/>
      <c r="JWL1" s="637"/>
      <c r="JWM1" s="637"/>
      <c r="JWN1" s="637"/>
      <c r="JWO1" s="637"/>
      <c r="JWP1" s="637"/>
      <c r="JWQ1" s="637"/>
      <c r="JWR1" s="637"/>
      <c r="JWS1" s="637"/>
      <c r="JWT1" s="637"/>
      <c r="JWU1" s="637"/>
      <c r="JWV1" s="637"/>
      <c r="JWW1" s="637"/>
      <c r="JWX1" s="637"/>
      <c r="JWY1" s="637"/>
      <c r="JWZ1" s="637"/>
      <c r="JXA1" s="637"/>
      <c r="JXB1" s="637"/>
      <c r="JXC1" s="637"/>
      <c r="JXD1" s="637"/>
      <c r="JXE1" s="637"/>
      <c r="JXF1" s="637"/>
      <c r="JXG1" s="637"/>
      <c r="JXH1" s="637"/>
      <c r="JXI1" s="637"/>
      <c r="JXJ1" s="637"/>
      <c r="JXK1" s="637"/>
      <c r="JXL1" s="637"/>
      <c r="JXM1" s="637"/>
      <c r="JXN1" s="637"/>
      <c r="JXO1" s="637"/>
      <c r="JXP1" s="637"/>
      <c r="JXQ1" s="637"/>
      <c r="JXR1" s="637"/>
      <c r="JXS1" s="637"/>
      <c r="JXT1" s="637"/>
      <c r="JXU1" s="637"/>
      <c r="JXV1" s="637"/>
      <c r="JXW1" s="637"/>
      <c r="JXX1" s="637"/>
      <c r="JXY1" s="637"/>
      <c r="JXZ1" s="637"/>
      <c r="JYA1" s="637"/>
      <c r="JYB1" s="637"/>
      <c r="JYC1" s="637"/>
      <c r="JYD1" s="637"/>
      <c r="JYE1" s="637"/>
      <c r="JYF1" s="637"/>
      <c r="JYG1" s="637"/>
      <c r="JYH1" s="637"/>
      <c r="JYI1" s="637"/>
      <c r="JYJ1" s="637"/>
      <c r="JYK1" s="637"/>
      <c r="JYL1" s="637"/>
      <c r="JYM1" s="637"/>
      <c r="JYN1" s="637"/>
      <c r="JYO1" s="637"/>
      <c r="JYP1" s="637"/>
      <c r="JYQ1" s="637"/>
      <c r="JYR1" s="637"/>
      <c r="JYS1" s="637"/>
      <c r="JYT1" s="637"/>
      <c r="JYU1" s="637"/>
      <c r="JYV1" s="637"/>
      <c r="JYW1" s="637"/>
      <c r="JYX1" s="637"/>
      <c r="JYY1" s="637"/>
      <c r="JYZ1" s="637"/>
      <c r="JZA1" s="637"/>
      <c r="JZB1" s="637"/>
      <c r="JZC1" s="637"/>
      <c r="JZD1" s="637"/>
      <c r="JZE1" s="637"/>
      <c r="JZF1" s="637"/>
      <c r="JZG1" s="637"/>
      <c r="JZH1" s="637"/>
      <c r="JZI1" s="637"/>
      <c r="JZJ1" s="637"/>
      <c r="JZK1" s="637"/>
      <c r="JZL1" s="637"/>
      <c r="JZM1" s="637"/>
      <c r="JZN1" s="637"/>
      <c r="JZO1" s="637"/>
      <c r="JZP1" s="637"/>
      <c r="JZQ1" s="637"/>
      <c r="JZR1" s="637"/>
      <c r="JZS1" s="637"/>
      <c r="JZT1" s="637"/>
      <c r="JZU1" s="637"/>
      <c r="JZV1" s="637"/>
      <c r="JZW1" s="637"/>
      <c r="JZX1" s="637"/>
      <c r="JZY1" s="637"/>
      <c r="JZZ1" s="637"/>
      <c r="KAA1" s="637"/>
      <c r="KAB1" s="637"/>
      <c r="KAC1" s="637"/>
      <c r="KAD1" s="637"/>
      <c r="KAE1" s="637"/>
      <c r="KAF1" s="637"/>
      <c r="KAG1" s="637"/>
      <c r="KAH1" s="637"/>
      <c r="KAI1" s="637"/>
      <c r="KAJ1" s="637"/>
      <c r="KAK1" s="637"/>
      <c r="KAL1" s="637"/>
      <c r="KAM1" s="637"/>
      <c r="KAN1" s="637"/>
      <c r="KAO1" s="637"/>
      <c r="KAP1" s="637"/>
      <c r="KAQ1" s="637"/>
      <c r="KAR1" s="637"/>
      <c r="KAS1" s="637"/>
      <c r="KAT1" s="637"/>
      <c r="KAU1" s="637"/>
      <c r="KAV1" s="637"/>
      <c r="KAW1" s="637"/>
      <c r="KAX1" s="637"/>
      <c r="KAY1" s="637"/>
      <c r="KAZ1" s="637"/>
      <c r="KBA1" s="637"/>
      <c r="KBB1" s="637"/>
      <c r="KBC1" s="637"/>
      <c r="KBD1" s="637"/>
      <c r="KBE1" s="637"/>
      <c r="KBF1" s="637"/>
      <c r="KBG1" s="637"/>
      <c r="KBH1" s="637"/>
      <c r="KBI1" s="637"/>
      <c r="KBJ1" s="637"/>
      <c r="KBK1" s="637"/>
      <c r="KBL1" s="637"/>
      <c r="KBM1" s="637"/>
      <c r="KBN1" s="637"/>
      <c r="KBO1" s="637"/>
      <c r="KBP1" s="637"/>
      <c r="KBQ1" s="637"/>
      <c r="KBR1" s="637"/>
      <c r="KBS1" s="637"/>
      <c r="KBT1" s="637"/>
      <c r="KBU1" s="637"/>
      <c r="KBV1" s="637"/>
      <c r="KBW1" s="637"/>
      <c r="KBX1" s="637"/>
      <c r="KBY1" s="637"/>
      <c r="KBZ1" s="637"/>
      <c r="KCA1" s="637"/>
      <c r="KCB1" s="637"/>
      <c r="KCC1" s="637"/>
      <c r="KCD1" s="637"/>
      <c r="KCE1" s="637"/>
      <c r="KCF1" s="637"/>
      <c r="KCG1" s="637"/>
      <c r="KCH1" s="637"/>
      <c r="KCI1" s="637"/>
      <c r="KCJ1" s="637"/>
      <c r="KCK1" s="637"/>
      <c r="KCL1" s="637"/>
      <c r="KCM1" s="637"/>
      <c r="KCN1" s="637"/>
      <c r="KCO1" s="637"/>
      <c r="KCP1" s="637"/>
      <c r="KCQ1" s="637"/>
      <c r="KCR1" s="637"/>
      <c r="KCS1" s="637"/>
      <c r="KCT1" s="637"/>
      <c r="KCU1" s="637"/>
      <c r="KCV1" s="637"/>
      <c r="KCW1" s="637"/>
      <c r="KCX1" s="637"/>
      <c r="KCY1" s="637"/>
      <c r="KCZ1" s="637"/>
      <c r="KDA1" s="637"/>
      <c r="KDB1" s="637"/>
      <c r="KDC1" s="637"/>
      <c r="KDD1" s="637"/>
      <c r="KDE1" s="637"/>
      <c r="KDF1" s="637"/>
      <c r="KDG1" s="637"/>
      <c r="KDH1" s="637"/>
      <c r="KDI1" s="637"/>
      <c r="KDJ1" s="637"/>
      <c r="KDK1" s="637"/>
      <c r="KDL1" s="637"/>
      <c r="KDM1" s="637"/>
      <c r="KDN1" s="637"/>
      <c r="KDO1" s="637"/>
      <c r="KDP1" s="637"/>
      <c r="KDQ1" s="637"/>
      <c r="KDR1" s="637"/>
      <c r="KDS1" s="637"/>
      <c r="KDT1" s="637"/>
      <c r="KDU1" s="637"/>
      <c r="KDV1" s="637"/>
      <c r="KDW1" s="637"/>
      <c r="KDX1" s="637"/>
      <c r="KDY1" s="637"/>
      <c r="KDZ1" s="637"/>
      <c r="KEA1" s="637"/>
      <c r="KEB1" s="637"/>
      <c r="KEC1" s="637"/>
      <c r="KED1" s="637"/>
      <c r="KEE1" s="637"/>
      <c r="KEF1" s="637"/>
      <c r="KEG1" s="637"/>
      <c r="KEH1" s="637"/>
      <c r="KEI1" s="637"/>
      <c r="KEJ1" s="637"/>
      <c r="KEK1" s="637"/>
      <c r="KEL1" s="637"/>
      <c r="KEM1" s="637"/>
      <c r="KEN1" s="637"/>
      <c r="KEO1" s="637"/>
      <c r="KEP1" s="637"/>
      <c r="KEQ1" s="637"/>
      <c r="KER1" s="637"/>
      <c r="KES1" s="637"/>
      <c r="KET1" s="637"/>
      <c r="KEU1" s="637"/>
      <c r="KEV1" s="637"/>
      <c r="KEW1" s="637"/>
      <c r="KEX1" s="637"/>
      <c r="KEY1" s="637"/>
      <c r="KEZ1" s="637"/>
      <c r="KFA1" s="637"/>
      <c r="KFB1" s="637"/>
      <c r="KFC1" s="637"/>
      <c r="KFD1" s="637"/>
      <c r="KFE1" s="637"/>
      <c r="KFF1" s="637"/>
      <c r="KFG1" s="637"/>
      <c r="KFH1" s="637"/>
      <c r="KFI1" s="637"/>
      <c r="KFJ1" s="637"/>
      <c r="KFK1" s="637"/>
      <c r="KFL1" s="637"/>
      <c r="KFM1" s="637"/>
      <c r="KFN1" s="637"/>
      <c r="KFO1" s="637"/>
      <c r="KFP1" s="637"/>
      <c r="KFQ1" s="637"/>
      <c r="KFR1" s="637"/>
      <c r="KFS1" s="637"/>
      <c r="KFT1" s="637"/>
      <c r="KFU1" s="637"/>
      <c r="KFV1" s="637"/>
      <c r="KFW1" s="637"/>
      <c r="KFX1" s="637"/>
      <c r="KFY1" s="637"/>
      <c r="KFZ1" s="637"/>
      <c r="KGA1" s="637"/>
      <c r="KGB1" s="637"/>
      <c r="KGC1" s="637"/>
      <c r="KGD1" s="637"/>
      <c r="KGE1" s="637"/>
      <c r="KGF1" s="637"/>
      <c r="KGG1" s="637"/>
      <c r="KGH1" s="637"/>
      <c r="KGI1" s="637"/>
      <c r="KGJ1" s="637"/>
      <c r="KGK1" s="637"/>
      <c r="KGL1" s="637"/>
      <c r="KGM1" s="637"/>
      <c r="KGN1" s="637"/>
      <c r="KGO1" s="637"/>
      <c r="KGP1" s="637"/>
      <c r="KGQ1" s="637"/>
      <c r="KGR1" s="637"/>
      <c r="KGS1" s="637"/>
      <c r="KGT1" s="637"/>
      <c r="KGU1" s="637"/>
      <c r="KGV1" s="637"/>
      <c r="KGW1" s="637"/>
      <c r="KGX1" s="637"/>
      <c r="KGY1" s="637"/>
      <c r="KGZ1" s="637"/>
      <c r="KHA1" s="637"/>
      <c r="KHB1" s="637"/>
      <c r="KHC1" s="637"/>
      <c r="KHD1" s="637"/>
      <c r="KHE1" s="637"/>
      <c r="KHF1" s="637"/>
      <c r="KHG1" s="637"/>
      <c r="KHH1" s="637"/>
      <c r="KHI1" s="637"/>
      <c r="KHJ1" s="637"/>
      <c r="KHK1" s="637"/>
      <c r="KHL1" s="637"/>
      <c r="KHM1" s="637"/>
      <c r="KHN1" s="637"/>
      <c r="KHO1" s="637"/>
      <c r="KHP1" s="637"/>
      <c r="KHQ1" s="637"/>
      <c r="KHR1" s="637"/>
      <c r="KHS1" s="637"/>
      <c r="KHT1" s="637"/>
      <c r="KHU1" s="637"/>
      <c r="KHV1" s="637"/>
      <c r="KHW1" s="637"/>
      <c r="KHX1" s="637"/>
      <c r="KHY1" s="637"/>
      <c r="KHZ1" s="637"/>
      <c r="KIA1" s="637"/>
      <c r="KIB1" s="637"/>
      <c r="KIC1" s="637"/>
      <c r="KID1" s="637"/>
      <c r="KIE1" s="637"/>
      <c r="KIF1" s="637"/>
      <c r="KIG1" s="637"/>
      <c r="KIH1" s="637"/>
      <c r="KII1" s="637"/>
      <c r="KIJ1" s="637"/>
      <c r="KIK1" s="637"/>
      <c r="KIL1" s="637"/>
      <c r="KIM1" s="637"/>
      <c r="KIN1" s="637"/>
      <c r="KIO1" s="637"/>
      <c r="KIP1" s="637"/>
      <c r="KIQ1" s="637"/>
      <c r="KIR1" s="637"/>
      <c r="KIS1" s="637"/>
      <c r="KIT1" s="637"/>
      <c r="KIU1" s="637"/>
      <c r="KIV1" s="637"/>
      <c r="KIW1" s="637"/>
      <c r="KIX1" s="637"/>
      <c r="KIY1" s="637"/>
      <c r="KIZ1" s="637"/>
      <c r="KJA1" s="637"/>
      <c r="KJB1" s="637"/>
      <c r="KJC1" s="637"/>
      <c r="KJD1" s="637"/>
      <c r="KJE1" s="637"/>
      <c r="KJF1" s="637"/>
      <c r="KJG1" s="637"/>
      <c r="KJH1" s="637"/>
      <c r="KJI1" s="637"/>
      <c r="KJJ1" s="637"/>
      <c r="KJK1" s="637"/>
      <c r="KJL1" s="637"/>
      <c r="KJM1" s="637"/>
      <c r="KJN1" s="637"/>
      <c r="KJO1" s="637"/>
      <c r="KJP1" s="637"/>
      <c r="KJQ1" s="637"/>
      <c r="KJR1" s="637"/>
      <c r="KJS1" s="637"/>
      <c r="KJT1" s="637"/>
      <c r="KJU1" s="637"/>
      <c r="KJV1" s="637"/>
      <c r="KJW1" s="637"/>
      <c r="KJX1" s="637"/>
      <c r="KJY1" s="637"/>
      <c r="KJZ1" s="637"/>
      <c r="KKA1" s="637"/>
      <c r="KKB1" s="637"/>
      <c r="KKC1" s="637"/>
      <c r="KKD1" s="637"/>
      <c r="KKE1" s="637"/>
      <c r="KKF1" s="637"/>
      <c r="KKG1" s="637"/>
      <c r="KKH1" s="637"/>
      <c r="KKI1" s="637"/>
      <c r="KKJ1" s="637"/>
      <c r="KKK1" s="637"/>
      <c r="KKL1" s="637"/>
      <c r="KKM1" s="637"/>
      <c r="KKN1" s="637"/>
      <c r="KKO1" s="637"/>
      <c r="KKP1" s="637"/>
      <c r="KKQ1" s="637"/>
      <c r="KKR1" s="637"/>
      <c r="KKS1" s="637"/>
      <c r="KKT1" s="637"/>
      <c r="KKU1" s="637"/>
      <c r="KKV1" s="637"/>
      <c r="KKW1" s="637"/>
      <c r="KKX1" s="637"/>
      <c r="KKY1" s="637"/>
      <c r="KKZ1" s="637"/>
      <c r="KLA1" s="637"/>
      <c r="KLB1" s="637"/>
      <c r="KLC1" s="637"/>
      <c r="KLD1" s="637"/>
      <c r="KLE1" s="637"/>
      <c r="KLF1" s="637"/>
      <c r="KLG1" s="637"/>
      <c r="KLH1" s="637"/>
      <c r="KLI1" s="637"/>
      <c r="KLJ1" s="637"/>
      <c r="KLK1" s="637"/>
      <c r="KLL1" s="637"/>
      <c r="KLM1" s="637"/>
      <c r="KLN1" s="637"/>
      <c r="KLO1" s="637"/>
      <c r="KLP1" s="637"/>
      <c r="KLQ1" s="637"/>
      <c r="KLR1" s="637"/>
      <c r="KLS1" s="637"/>
      <c r="KLT1" s="637"/>
      <c r="KLU1" s="637"/>
      <c r="KLV1" s="637"/>
      <c r="KLW1" s="637"/>
      <c r="KLX1" s="637"/>
      <c r="KLY1" s="637"/>
      <c r="KLZ1" s="637"/>
      <c r="KMA1" s="637"/>
      <c r="KMB1" s="637"/>
      <c r="KMC1" s="637"/>
      <c r="KMD1" s="637"/>
      <c r="KME1" s="637"/>
      <c r="KMF1" s="637"/>
      <c r="KMG1" s="637"/>
      <c r="KMH1" s="637"/>
      <c r="KMI1" s="637"/>
      <c r="KMJ1" s="637"/>
      <c r="KMK1" s="637"/>
      <c r="KML1" s="637"/>
      <c r="KMM1" s="637"/>
      <c r="KMN1" s="637"/>
      <c r="KMO1" s="637"/>
      <c r="KMP1" s="637"/>
      <c r="KMQ1" s="637"/>
      <c r="KMR1" s="637"/>
      <c r="KMS1" s="637"/>
      <c r="KMT1" s="637"/>
      <c r="KMU1" s="637"/>
      <c r="KMV1" s="637"/>
      <c r="KMW1" s="637"/>
      <c r="KMX1" s="637"/>
      <c r="KMY1" s="637"/>
      <c r="KMZ1" s="637"/>
      <c r="KNA1" s="637"/>
      <c r="KNB1" s="637"/>
      <c r="KNC1" s="637"/>
      <c r="KND1" s="637"/>
      <c r="KNE1" s="637"/>
      <c r="KNF1" s="637"/>
      <c r="KNG1" s="637"/>
      <c r="KNH1" s="637"/>
      <c r="KNI1" s="637"/>
      <c r="KNJ1" s="637"/>
      <c r="KNK1" s="637"/>
      <c r="KNL1" s="637"/>
      <c r="KNM1" s="637"/>
      <c r="KNN1" s="637"/>
      <c r="KNO1" s="637"/>
      <c r="KNP1" s="637"/>
      <c r="KNQ1" s="637"/>
      <c r="KNR1" s="637"/>
      <c r="KNS1" s="637"/>
      <c r="KNT1" s="637"/>
      <c r="KNU1" s="637"/>
      <c r="KNV1" s="637"/>
      <c r="KNW1" s="637"/>
      <c r="KNX1" s="637"/>
      <c r="KNY1" s="637"/>
      <c r="KNZ1" s="637"/>
      <c r="KOA1" s="637"/>
      <c r="KOB1" s="637"/>
      <c r="KOC1" s="637"/>
      <c r="KOD1" s="637"/>
      <c r="KOE1" s="637"/>
      <c r="KOF1" s="637"/>
      <c r="KOG1" s="637"/>
      <c r="KOH1" s="637"/>
      <c r="KOI1" s="637"/>
      <c r="KOJ1" s="637"/>
      <c r="KOK1" s="637"/>
      <c r="KOL1" s="637"/>
      <c r="KOM1" s="637"/>
      <c r="KON1" s="637"/>
      <c r="KOO1" s="637"/>
      <c r="KOP1" s="637"/>
      <c r="KOQ1" s="637"/>
      <c r="KOR1" s="637"/>
      <c r="KOS1" s="637"/>
      <c r="KOT1" s="637"/>
      <c r="KOU1" s="637"/>
      <c r="KOV1" s="637"/>
      <c r="KOW1" s="637"/>
      <c r="KOX1" s="637"/>
      <c r="KOY1" s="637"/>
      <c r="KOZ1" s="637"/>
      <c r="KPA1" s="637"/>
      <c r="KPB1" s="637"/>
      <c r="KPC1" s="637"/>
      <c r="KPD1" s="637"/>
      <c r="KPE1" s="637"/>
      <c r="KPF1" s="637"/>
      <c r="KPG1" s="637"/>
      <c r="KPH1" s="637"/>
      <c r="KPI1" s="637"/>
      <c r="KPJ1" s="637"/>
      <c r="KPK1" s="637"/>
      <c r="KPL1" s="637"/>
      <c r="KPM1" s="637"/>
      <c r="KPN1" s="637"/>
      <c r="KPO1" s="637"/>
      <c r="KPP1" s="637"/>
      <c r="KPQ1" s="637"/>
      <c r="KPR1" s="637"/>
      <c r="KPS1" s="637"/>
      <c r="KPT1" s="637"/>
      <c r="KPU1" s="637"/>
      <c r="KPV1" s="637"/>
      <c r="KPW1" s="637"/>
      <c r="KPX1" s="637"/>
      <c r="KPY1" s="637"/>
      <c r="KPZ1" s="637"/>
      <c r="KQA1" s="637"/>
      <c r="KQB1" s="637"/>
      <c r="KQC1" s="637"/>
      <c r="KQD1" s="637"/>
      <c r="KQE1" s="637"/>
      <c r="KQF1" s="637"/>
      <c r="KQG1" s="637"/>
      <c r="KQH1" s="637"/>
      <c r="KQI1" s="637"/>
      <c r="KQJ1" s="637"/>
      <c r="KQK1" s="637"/>
      <c r="KQL1" s="637"/>
      <c r="KQM1" s="637"/>
      <c r="KQN1" s="637"/>
      <c r="KQO1" s="637"/>
      <c r="KQP1" s="637"/>
      <c r="KQQ1" s="637"/>
      <c r="KQR1" s="637"/>
      <c r="KQS1" s="637"/>
      <c r="KQT1" s="637"/>
      <c r="KQU1" s="637"/>
      <c r="KQV1" s="637"/>
      <c r="KQW1" s="637"/>
      <c r="KQX1" s="637"/>
      <c r="KQY1" s="637"/>
      <c r="KQZ1" s="637"/>
      <c r="KRA1" s="637"/>
      <c r="KRB1" s="637"/>
      <c r="KRC1" s="637"/>
      <c r="KRD1" s="637"/>
      <c r="KRE1" s="637"/>
      <c r="KRF1" s="637"/>
      <c r="KRG1" s="637"/>
      <c r="KRH1" s="637"/>
      <c r="KRI1" s="637"/>
      <c r="KRJ1" s="637"/>
      <c r="KRK1" s="637"/>
      <c r="KRL1" s="637"/>
      <c r="KRM1" s="637"/>
      <c r="KRN1" s="637"/>
      <c r="KRO1" s="637"/>
      <c r="KRP1" s="637"/>
      <c r="KRQ1" s="637"/>
      <c r="KRR1" s="637"/>
      <c r="KRS1" s="637"/>
      <c r="KRT1" s="637"/>
      <c r="KRU1" s="637"/>
      <c r="KRV1" s="637"/>
      <c r="KRW1" s="637"/>
      <c r="KRX1" s="637"/>
      <c r="KRY1" s="637"/>
      <c r="KRZ1" s="637"/>
      <c r="KSA1" s="637"/>
      <c r="KSB1" s="637"/>
      <c r="KSC1" s="637"/>
      <c r="KSD1" s="637"/>
      <c r="KSE1" s="637"/>
      <c r="KSF1" s="637"/>
      <c r="KSG1" s="637"/>
      <c r="KSH1" s="637"/>
      <c r="KSI1" s="637"/>
      <c r="KSJ1" s="637"/>
      <c r="KSK1" s="637"/>
      <c r="KSL1" s="637"/>
      <c r="KSM1" s="637"/>
      <c r="KSN1" s="637"/>
      <c r="KSO1" s="637"/>
      <c r="KSP1" s="637"/>
      <c r="KSQ1" s="637"/>
      <c r="KSR1" s="637"/>
      <c r="KSS1" s="637"/>
      <c r="KST1" s="637"/>
      <c r="KSU1" s="637"/>
      <c r="KSV1" s="637"/>
      <c r="KSW1" s="637"/>
      <c r="KSX1" s="637"/>
      <c r="KSY1" s="637"/>
      <c r="KSZ1" s="637"/>
      <c r="KTA1" s="637"/>
      <c r="KTB1" s="637"/>
      <c r="KTC1" s="637"/>
      <c r="KTD1" s="637"/>
      <c r="KTE1" s="637"/>
      <c r="KTF1" s="637"/>
      <c r="KTG1" s="637"/>
      <c r="KTH1" s="637"/>
      <c r="KTI1" s="637"/>
      <c r="KTJ1" s="637"/>
      <c r="KTK1" s="637"/>
      <c r="KTL1" s="637"/>
      <c r="KTM1" s="637"/>
      <c r="KTN1" s="637"/>
      <c r="KTO1" s="637"/>
      <c r="KTP1" s="637"/>
      <c r="KTQ1" s="637"/>
      <c r="KTR1" s="637"/>
      <c r="KTS1" s="637"/>
      <c r="KTT1" s="637"/>
      <c r="KTU1" s="637"/>
      <c r="KTV1" s="637"/>
      <c r="KTW1" s="637"/>
      <c r="KTX1" s="637"/>
      <c r="KTY1" s="637"/>
      <c r="KTZ1" s="637"/>
      <c r="KUA1" s="637"/>
      <c r="KUB1" s="637"/>
      <c r="KUC1" s="637"/>
      <c r="KUD1" s="637"/>
      <c r="KUE1" s="637"/>
      <c r="KUF1" s="637"/>
      <c r="KUG1" s="637"/>
      <c r="KUH1" s="637"/>
      <c r="KUI1" s="637"/>
      <c r="KUJ1" s="637"/>
      <c r="KUK1" s="637"/>
      <c r="KUL1" s="637"/>
      <c r="KUM1" s="637"/>
      <c r="KUN1" s="637"/>
      <c r="KUO1" s="637"/>
      <c r="KUP1" s="637"/>
      <c r="KUQ1" s="637"/>
      <c r="KUR1" s="637"/>
      <c r="KUS1" s="637"/>
      <c r="KUT1" s="637"/>
      <c r="KUU1" s="637"/>
      <c r="KUV1" s="637"/>
      <c r="KUW1" s="637"/>
      <c r="KUX1" s="637"/>
      <c r="KUY1" s="637"/>
      <c r="KUZ1" s="637"/>
      <c r="KVA1" s="637"/>
      <c r="KVB1" s="637"/>
      <c r="KVC1" s="637"/>
      <c r="KVD1" s="637"/>
      <c r="KVE1" s="637"/>
      <c r="KVF1" s="637"/>
      <c r="KVG1" s="637"/>
      <c r="KVH1" s="637"/>
      <c r="KVI1" s="637"/>
      <c r="KVJ1" s="637"/>
      <c r="KVK1" s="637"/>
      <c r="KVL1" s="637"/>
      <c r="KVM1" s="637"/>
      <c r="KVN1" s="637"/>
      <c r="KVO1" s="637"/>
      <c r="KVP1" s="637"/>
      <c r="KVQ1" s="637"/>
      <c r="KVR1" s="637"/>
      <c r="KVS1" s="637"/>
      <c r="KVT1" s="637"/>
      <c r="KVU1" s="637"/>
      <c r="KVV1" s="637"/>
      <c r="KVW1" s="637"/>
      <c r="KVX1" s="637"/>
      <c r="KVY1" s="637"/>
      <c r="KVZ1" s="637"/>
      <c r="KWA1" s="637"/>
      <c r="KWB1" s="637"/>
      <c r="KWC1" s="637"/>
      <c r="KWD1" s="637"/>
      <c r="KWE1" s="637"/>
      <c r="KWF1" s="637"/>
      <c r="KWG1" s="637"/>
      <c r="KWH1" s="637"/>
      <c r="KWI1" s="637"/>
      <c r="KWJ1" s="637"/>
      <c r="KWK1" s="637"/>
      <c r="KWL1" s="637"/>
      <c r="KWM1" s="637"/>
      <c r="KWN1" s="637"/>
      <c r="KWO1" s="637"/>
      <c r="KWP1" s="637"/>
      <c r="KWQ1" s="637"/>
      <c r="KWR1" s="637"/>
      <c r="KWS1" s="637"/>
      <c r="KWT1" s="637"/>
      <c r="KWU1" s="637"/>
      <c r="KWV1" s="637"/>
      <c r="KWW1" s="637"/>
      <c r="KWX1" s="637"/>
      <c r="KWY1" s="637"/>
      <c r="KWZ1" s="637"/>
      <c r="KXA1" s="637"/>
      <c r="KXB1" s="637"/>
      <c r="KXC1" s="637"/>
      <c r="KXD1" s="637"/>
      <c r="KXE1" s="637"/>
      <c r="KXF1" s="637"/>
      <c r="KXG1" s="637"/>
      <c r="KXH1" s="637"/>
      <c r="KXI1" s="637"/>
      <c r="KXJ1" s="637"/>
      <c r="KXK1" s="637"/>
      <c r="KXL1" s="637"/>
      <c r="KXM1" s="637"/>
      <c r="KXN1" s="637"/>
      <c r="KXO1" s="637"/>
      <c r="KXP1" s="637"/>
      <c r="KXQ1" s="637"/>
      <c r="KXR1" s="637"/>
      <c r="KXS1" s="637"/>
      <c r="KXT1" s="637"/>
      <c r="KXU1" s="637"/>
      <c r="KXV1" s="637"/>
      <c r="KXW1" s="637"/>
      <c r="KXX1" s="637"/>
      <c r="KXY1" s="637"/>
      <c r="KXZ1" s="637"/>
      <c r="KYA1" s="637"/>
      <c r="KYB1" s="637"/>
      <c r="KYC1" s="637"/>
      <c r="KYD1" s="637"/>
      <c r="KYE1" s="637"/>
      <c r="KYF1" s="637"/>
      <c r="KYG1" s="637"/>
      <c r="KYH1" s="637"/>
      <c r="KYI1" s="637"/>
      <c r="KYJ1" s="637"/>
      <c r="KYK1" s="637"/>
      <c r="KYL1" s="637"/>
      <c r="KYM1" s="637"/>
      <c r="KYN1" s="637"/>
      <c r="KYO1" s="637"/>
      <c r="KYP1" s="637"/>
      <c r="KYQ1" s="637"/>
      <c r="KYR1" s="637"/>
      <c r="KYS1" s="637"/>
      <c r="KYT1" s="637"/>
      <c r="KYU1" s="637"/>
      <c r="KYV1" s="637"/>
      <c r="KYW1" s="637"/>
      <c r="KYX1" s="637"/>
      <c r="KYY1" s="637"/>
      <c r="KYZ1" s="637"/>
      <c r="KZA1" s="637"/>
      <c r="KZB1" s="637"/>
      <c r="KZC1" s="637"/>
      <c r="KZD1" s="637"/>
      <c r="KZE1" s="637"/>
      <c r="KZF1" s="637"/>
      <c r="KZG1" s="637"/>
      <c r="KZH1" s="637"/>
      <c r="KZI1" s="637"/>
      <c r="KZJ1" s="637"/>
      <c r="KZK1" s="637"/>
      <c r="KZL1" s="637"/>
      <c r="KZM1" s="637"/>
      <c r="KZN1" s="637"/>
      <c r="KZO1" s="637"/>
      <c r="KZP1" s="637"/>
      <c r="KZQ1" s="637"/>
      <c r="KZR1" s="637"/>
      <c r="KZS1" s="637"/>
      <c r="KZT1" s="637"/>
      <c r="KZU1" s="637"/>
      <c r="KZV1" s="637"/>
      <c r="KZW1" s="637"/>
      <c r="KZX1" s="637"/>
      <c r="KZY1" s="637"/>
      <c r="KZZ1" s="637"/>
      <c r="LAA1" s="637"/>
      <c r="LAB1" s="637"/>
      <c r="LAC1" s="637"/>
      <c r="LAD1" s="637"/>
      <c r="LAE1" s="637"/>
      <c r="LAF1" s="637"/>
      <c r="LAG1" s="637"/>
      <c r="LAH1" s="637"/>
      <c r="LAI1" s="637"/>
      <c r="LAJ1" s="637"/>
      <c r="LAK1" s="637"/>
      <c r="LAL1" s="637"/>
      <c r="LAM1" s="637"/>
      <c r="LAN1" s="637"/>
      <c r="LAO1" s="637"/>
      <c r="LAP1" s="637"/>
      <c r="LAQ1" s="637"/>
      <c r="LAR1" s="637"/>
      <c r="LAS1" s="637"/>
      <c r="LAT1" s="637"/>
      <c r="LAU1" s="637"/>
      <c r="LAV1" s="637"/>
      <c r="LAW1" s="637"/>
      <c r="LAX1" s="637"/>
      <c r="LAY1" s="637"/>
      <c r="LAZ1" s="637"/>
      <c r="LBA1" s="637"/>
      <c r="LBB1" s="637"/>
      <c r="LBC1" s="637"/>
      <c r="LBD1" s="637"/>
      <c r="LBE1" s="637"/>
      <c r="LBF1" s="637"/>
      <c r="LBG1" s="637"/>
      <c r="LBH1" s="637"/>
      <c r="LBI1" s="637"/>
      <c r="LBJ1" s="637"/>
      <c r="LBK1" s="637"/>
      <c r="LBL1" s="637"/>
      <c r="LBM1" s="637"/>
      <c r="LBN1" s="637"/>
      <c r="LBO1" s="637"/>
      <c r="LBP1" s="637"/>
      <c r="LBQ1" s="637"/>
      <c r="LBR1" s="637"/>
      <c r="LBS1" s="637"/>
      <c r="LBT1" s="637"/>
      <c r="LBU1" s="637"/>
      <c r="LBV1" s="637"/>
      <c r="LBW1" s="637"/>
      <c r="LBX1" s="637"/>
      <c r="LBY1" s="637"/>
      <c r="LBZ1" s="637"/>
      <c r="LCA1" s="637"/>
      <c r="LCB1" s="637"/>
      <c r="LCC1" s="637"/>
      <c r="LCD1" s="637"/>
      <c r="LCE1" s="637"/>
      <c r="LCF1" s="637"/>
      <c r="LCG1" s="637"/>
      <c r="LCH1" s="637"/>
      <c r="LCI1" s="637"/>
      <c r="LCJ1" s="637"/>
      <c r="LCK1" s="637"/>
      <c r="LCL1" s="637"/>
      <c r="LCM1" s="637"/>
      <c r="LCN1" s="637"/>
      <c r="LCO1" s="637"/>
      <c r="LCP1" s="637"/>
      <c r="LCQ1" s="637"/>
      <c r="LCR1" s="637"/>
      <c r="LCS1" s="637"/>
      <c r="LCT1" s="637"/>
      <c r="LCU1" s="637"/>
      <c r="LCV1" s="637"/>
      <c r="LCW1" s="637"/>
      <c r="LCX1" s="637"/>
      <c r="LCY1" s="637"/>
      <c r="LCZ1" s="637"/>
      <c r="LDA1" s="637"/>
      <c r="LDB1" s="637"/>
      <c r="LDC1" s="637"/>
      <c r="LDD1" s="637"/>
      <c r="LDE1" s="637"/>
      <c r="LDF1" s="637"/>
      <c r="LDG1" s="637"/>
      <c r="LDH1" s="637"/>
      <c r="LDI1" s="637"/>
      <c r="LDJ1" s="637"/>
      <c r="LDK1" s="637"/>
      <c r="LDL1" s="637"/>
      <c r="LDM1" s="637"/>
      <c r="LDN1" s="637"/>
      <c r="LDO1" s="637"/>
      <c r="LDP1" s="637"/>
      <c r="LDQ1" s="637"/>
      <c r="LDR1" s="637"/>
      <c r="LDS1" s="637"/>
      <c r="LDT1" s="637"/>
      <c r="LDU1" s="637"/>
      <c r="LDV1" s="637"/>
      <c r="LDW1" s="637"/>
      <c r="LDX1" s="637"/>
      <c r="LDY1" s="637"/>
      <c r="LDZ1" s="637"/>
      <c r="LEA1" s="637"/>
      <c r="LEB1" s="637"/>
      <c r="LEC1" s="637"/>
      <c r="LED1" s="637"/>
      <c r="LEE1" s="637"/>
      <c r="LEF1" s="637"/>
      <c r="LEG1" s="637"/>
      <c r="LEH1" s="637"/>
      <c r="LEI1" s="637"/>
      <c r="LEJ1" s="637"/>
      <c r="LEK1" s="637"/>
      <c r="LEL1" s="637"/>
      <c r="LEM1" s="637"/>
      <c r="LEN1" s="637"/>
      <c r="LEO1" s="637"/>
      <c r="LEP1" s="637"/>
      <c r="LEQ1" s="637"/>
      <c r="LER1" s="637"/>
      <c r="LES1" s="637"/>
      <c r="LET1" s="637"/>
      <c r="LEU1" s="637"/>
      <c r="LEV1" s="637"/>
      <c r="LEW1" s="637"/>
      <c r="LEX1" s="637"/>
      <c r="LEY1" s="637"/>
      <c r="LEZ1" s="637"/>
      <c r="LFA1" s="637"/>
      <c r="LFB1" s="637"/>
      <c r="LFC1" s="637"/>
      <c r="LFD1" s="637"/>
      <c r="LFE1" s="637"/>
      <c r="LFF1" s="637"/>
      <c r="LFG1" s="637"/>
      <c r="LFH1" s="637"/>
      <c r="LFI1" s="637"/>
      <c r="LFJ1" s="637"/>
      <c r="LFK1" s="637"/>
      <c r="LFL1" s="637"/>
      <c r="LFM1" s="637"/>
      <c r="LFN1" s="637"/>
      <c r="LFO1" s="637"/>
      <c r="LFP1" s="637"/>
      <c r="LFQ1" s="637"/>
      <c r="LFR1" s="637"/>
      <c r="LFS1" s="637"/>
      <c r="LFT1" s="637"/>
      <c r="LFU1" s="637"/>
      <c r="LFV1" s="637"/>
      <c r="LFW1" s="637"/>
      <c r="LFX1" s="637"/>
      <c r="LFY1" s="637"/>
      <c r="LFZ1" s="637"/>
      <c r="LGA1" s="637"/>
      <c r="LGB1" s="637"/>
      <c r="LGC1" s="637"/>
      <c r="LGD1" s="637"/>
      <c r="LGE1" s="637"/>
      <c r="LGF1" s="637"/>
      <c r="LGG1" s="637"/>
      <c r="LGH1" s="637"/>
      <c r="LGI1" s="637"/>
      <c r="LGJ1" s="637"/>
      <c r="LGK1" s="637"/>
      <c r="LGL1" s="637"/>
      <c r="LGM1" s="637"/>
      <c r="LGN1" s="637"/>
      <c r="LGO1" s="637"/>
      <c r="LGP1" s="637"/>
      <c r="LGQ1" s="637"/>
      <c r="LGR1" s="637"/>
      <c r="LGS1" s="637"/>
      <c r="LGT1" s="637"/>
      <c r="LGU1" s="637"/>
      <c r="LGV1" s="637"/>
      <c r="LGW1" s="637"/>
      <c r="LGX1" s="637"/>
      <c r="LGY1" s="637"/>
      <c r="LGZ1" s="637"/>
      <c r="LHA1" s="637"/>
      <c r="LHB1" s="637"/>
      <c r="LHC1" s="637"/>
      <c r="LHD1" s="637"/>
      <c r="LHE1" s="637"/>
      <c r="LHF1" s="637"/>
      <c r="LHG1" s="637"/>
      <c r="LHH1" s="637"/>
      <c r="LHI1" s="637"/>
      <c r="LHJ1" s="637"/>
      <c r="LHK1" s="637"/>
      <c r="LHL1" s="637"/>
      <c r="LHM1" s="637"/>
      <c r="LHN1" s="637"/>
      <c r="LHO1" s="637"/>
      <c r="LHP1" s="637"/>
      <c r="LHQ1" s="637"/>
      <c r="LHR1" s="637"/>
      <c r="LHS1" s="637"/>
      <c r="LHT1" s="637"/>
      <c r="LHU1" s="637"/>
      <c r="LHV1" s="637"/>
      <c r="LHW1" s="637"/>
      <c r="LHX1" s="637"/>
      <c r="LHY1" s="637"/>
      <c r="LHZ1" s="637"/>
      <c r="LIA1" s="637"/>
      <c r="LIB1" s="637"/>
      <c r="LIC1" s="637"/>
      <c r="LID1" s="637"/>
      <c r="LIE1" s="637"/>
      <c r="LIF1" s="637"/>
      <c r="LIG1" s="637"/>
      <c r="LIH1" s="637"/>
      <c r="LII1" s="637"/>
      <c r="LIJ1" s="637"/>
      <c r="LIK1" s="637"/>
      <c r="LIL1" s="637"/>
      <c r="LIM1" s="637"/>
      <c r="LIN1" s="637"/>
      <c r="LIO1" s="637"/>
      <c r="LIP1" s="637"/>
      <c r="LIQ1" s="637"/>
      <c r="LIR1" s="637"/>
      <c r="LIS1" s="637"/>
      <c r="LIT1" s="637"/>
      <c r="LIU1" s="637"/>
      <c r="LIV1" s="637"/>
      <c r="LIW1" s="637"/>
      <c r="LIX1" s="637"/>
      <c r="LIY1" s="637"/>
      <c r="LIZ1" s="637"/>
      <c r="LJA1" s="637"/>
      <c r="LJB1" s="637"/>
      <c r="LJC1" s="637"/>
      <c r="LJD1" s="637"/>
      <c r="LJE1" s="637"/>
      <c r="LJF1" s="637"/>
      <c r="LJG1" s="637"/>
      <c r="LJH1" s="637"/>
      <c r="LJI1" s="637"/>
      <c r="LJJ1" s="637"/>
      <c r="LJK1" s="637"/>
      <c r="LJL1" s="637"/>
      <c r="LJM1" s="637"/>
      <c r="LJN1" s="637"/>
      <c r="LJO1" s="637"/>
      <c r="LJP1" s="637"/>
      <c r="LJQ1" s="637"/>
      <c r="LJR1" s="637"/>
      <c r="LJS1" s="637"/>
      <c r="LJT1" s="637"/>
      <c r="LJU1" s="637"/>
      <c r="LJV1" s="637"/>
      <c r="LJW1" s="637"/>
      <c r="LJX1" s="637"/>
      <c r="LJY1" s="637"/>
      <c r="LJZ1" s="637"/>
      <c r="LKA1" s="637"/>
      <c r="LKB1" s="637"/>
      <c r="LKC1" s="637"/>
      <c r="LKD1" s="637"/>
      <c r="LKE1" s="637"/>
      <c r="LKF1" s="637"/>
      <c r="LKG1" s="637"/>
      <c r="LKH1" s="637"/>
      <c r="LKI1" s="637"/>
      <c r="LKJ1" s="637"/>
      <c r="LKK1" s="637"/>
      <c r="LKL1" s="637"/>
      <c r="LKM1" s="637"/>
      <c r="LKN1" s="637"/>
      <c r="LKO1" s="637"/>
      <c r="LKP1" s="637"/>
      <c r="LKQ1" s="637"/>
      <c r="LKR1" s="637"/>
      <c r="LKS1" s="637"/>
      <c r="LKT1" s="637"/>
      <c r="LKU1" s="637"/>
      <c r="LKV1" s="637"/>
      <c r="LKW1" s="637"/>
      <c r="LKX1" s="637"/>
      <c r="LKY1" s="637"/>
      <c r="LKZ1" s="637"/>
      <c r="LLA1" s="637"/>
      <c r="LLB1" s="637"/>
      <c r="LLC1" s="637"/>
      <c r="LLD1" s="637"/>
      <c r="LLE1" s="637"/>
      <c r="LLF1" s="637"/>
      <c r="LLG1" s="637"/>
      <c r="LLH1" s="637"/>
      <c r="LLI1" s="637"/>
      <c r="LLJ1" s="637"/>
      <c r="LLK1" s="637"/>
      <c r="LLL1" s="637"/>
      <c r="LLM1" s="637"/>
      <c r="LLN1" s="637"/>
      <c r="LLO1" s="637"/>
      <c r="LLP1" s="637"/>
      <c r="LLQ1" s="637"/>
      <c r="LLR1" s="637"/>
      <c r="LLS1" s="637"/>
      <c r="LLT1" s="637"/>
      <c r="LLU1" s="637"/>
      <c r="LLV1" s="637"/>
      <c r="LLW1" s="637"/>
      <c r="LLX1" s="637"/>
      <c r="LLY1" s="637"/>
      <c r="LLZ1" s="637"/>
      <c r="LMA1" s="637"/>
      <c r="LMB1" s="637"/>
      <c r="LMC1" s="637"/>
      <c r="LMD1" s="637"/>
      <c r="LME1" s="637"/>
      <c r="LMF1" s="637"/>
      <c r="LMG1" s="637"/>
      <c r="LMH1" s="637"/>
      <c r="LMI1" s="637"/>
      <c r="LMJ1" s="637"/>
      <c r="LMK1" s="637"/>
      <c r="LML1" s="637"/>
      <c r="LMM1" s="637"/>
      <c r="LMN1" s="637"/>
      <c r="LMO1" s="637"/>
      <c r="LMP1" s="637"/>
      <c r="LMQ1" s="637"/>
      <c r="LMR1" s="637"/>
      <c r="LMS1" s="637"/>
      <c r="LMT1" s="637"/>
      <c r="LMU1" s="637"/>
      <c r="LMV1" s="637"/>
      <c r="LMW1" s="637"/>
      <c r="LMX1" s="637"/>
      <c r="LMY1" s="637"/>
      <c r="LMZ1" s="637"/>
      <c r="LNA1" s="637"/>
      <c r="LNB1" s="637"/>
      <c r="LNC1" s="637"/>
      <c r="LND1" s="637"/>
      <c r="LNE1" s="637"/>
      <c r="LNF1" s="637"/>
      <c r="LNG1" s="637"/>
      <c r="LNH1" s="637"/>
      <c r="LNI1" s="637"/>
      <c r="LNJ1" s="637"/>
      <c r="LNK1" s="637"/>
      <c r="LNL1" s="637"/>
      <c r="LNM1" s="637"/>
      <c r="LNN1" s="637"/>
      <c r="LNO1" s="637"/>
      <c r="LNP1" s="637"/>
      <c r="LNQ1" s="637"/>
      <c r="LNR1" s="637"/>
      <c r="LNS1" s="637"/>
      <c r="LNT1" s="637"/>
      <c r="LNU1" s="637"/>
      <c r="LNV1" s="637"/>
      <c r="LNW1" s="637"/>
      <c r="LNX1" s="637"/>
      <c r="LNY1" s="637"/>
      <c r="LNZ1" s="637"/>
      <c r="LOA1" s="637"/>
      <c r="LOB1" s="637"/>
      <c r="LOC1" s="637"/>
      <c r="LOD1" s="637"/>
      <c r="LOE1" s="637"/>
      <c r="LOF1" s="637"/>
      <c r="LOG1" s="637"/>
      <c r="LOH1" s="637"/>
      <c r="LOI1" s="637"/>
      <c r="LOJ1" s="637"/>
      <c r="LOK1" s="637"/>
      <c r="LOL1" s="637"/>
      <c r="LOM1" s="637"/>
      <c r="LON1" s="637"/>
      <c r="LOO1" s="637"/>
      <c r="LOP1" s="637"/>
      <c r="LOQ1" s="637"/>
      <c r="LOR1" s="637"/>
      <c r="LOS1" s="637"/>
      <c r="LOT1" s="637"/>
      <c r="LOU1" s="637"/>
      <c r="LOV1" s="637"/>
      <c r="LOW1" s="637"/>
      <c r="LOX1" s="637"/>
      <c r="LOY1" s="637"/>
      <c r="LOZ1" s="637"/>
      <c r="LPA1" s="637"/>
      <c r="LPB1" s="637"/>
      <c r="LPC1" s="637"/>
      <c r="LPD1" s="637"/>
      <c r="LPE1" s="637"/>
      <c r="LPF1" s="637"/>
      <c r="LPG1" s="637"/>
      <c r="LPH1" s="637"/>
      <c r="LPI1" s="637"/>
      <c r="LPJ1" s="637"/>
      <c r="LPK1" s="637"/>
      <c r="LPL1" s="637"/>
      <c r="LPM1" s="637"/>
      <c r="LPN1" s="637"/>
      <c r="LPO1" s="637"/>
      <c r="LPP1" s="637"/>
      <c r="LPQ1" s="637"/>
      <c r="LPR1" s="637"/>
      <c r="LPS1" s="637"/>
      <c r="LPT1" s="637"/>
      <c r="LPU1" s="637"/>
      <c r="LPV1" s="637"/>
      <c r="LPW1" s="637"/>
      <c r="LPX1" s="637"/>
      <c r="LPY1" s="637"/>
      <c r="LPZ1" s="637"/>
      <c r="LQA1" s="637"/>
      <c r="LQB1" s="637"/>
      <c r="LQC1" s="637"/>
      <c r="LQD1" s="637"/>
      <c r="LQE1" s="637"/>
      <c r="LQF1" s="637"/>
      <c r="LQG1" s="637"/>
      <c r="LQH1" s="637"/>
      <c r="LQI1" s="637"/>
      <c r="LQJ1" s="637"/>
      <c r="LQK1" s="637"/>
      <c r="LQL1" s="637"/>
      <c r="LQM1" s="637"/>
      <c r="LQN1" s="637"/>
      <c r="LQO1" s="637"/>
      <c r="LQP1" s="637"/>
      <c r="LQQ1" s="637"/>
      <c r="LQR1" s="637"/>
      <c r="LQS1" s="637"/>
      <c r="LQT1" s="637"/>
      <c r="LQU1" s="637"/>
      <c r="LQV1" s="637"/>
      <c r="LQW1" s="637"/>
      <c r="LQX1" s="637"/>
      <c r="LQY1" s="637"/>
      <c r="LQZ1" s="637"/>
      <c r="LRA1" s="637"/>
      <c r="LRB1" s="637"/>
      <c r="LRC1" s="637"/>
      <c r="LRD1" s="637"/>
      <c r="LRE1" s="637"/>
      <c r="LRF1" s="637"/>
      <c r="LRG1" s="637"/>
      <c r="LRH1" s="637"/>
      <c r="LRI1" s="637"/>
      <c r="LRJ1" s="637"/>
      <c r="LRK1" s="637"/>
      <c r="LRL1" s="637"/>
      <c r="LRM1" s="637"/>
      <c r="LRN1" s="637"/>
      <c r="LRO1" s="637"/>
      <c r="LRP1" s="637"/>
      <c r="LRQ1" s="637"/>
      <c r="LRR1" s="637"/>
      <c r="LRS1" s="637"/>
      <c r="LRT1" s="637"/>
      <c r="LRU1" s="637"/>
      <c r="LRV1" s="637"/>
      <c r="LRW1" s="637"/>
      <c r="LRX1" s="637"/>
      <c r="LRY1" s="637"/>
      <c r="LRZ1" s="637"/>
      <c r="LSA1" s="637"/>
      <c r="LSB1" s="637"/>
      <c r="LSC1" s="637"/>
      <c r="LSD1" s="637"/>
      <c r="LSE1" s="637"/>
      <c r="LSF1" s="637"/>
      <c r="LSG1" s="637"/>
      <c r="LSH1" s="637"/>
      <c r="LSI1" s="637"/>
      <c r="LSJ1" s="637"/>
      <c r="LSK1" s="637"/>
      <c r="LSL1" s="637"/>
      <c r="LSM1" s="637"/>
      <c r="LSN1" s="637"/>
      <c r="LSO1" s="637"/>
      <c r="LSP1" s="637"/>
      <c r="LSQ1" s="637"/>
      <c r="LSR1" s="637"/>
      <c r="LSS1" s="637"/>
      <c r="LST1" s="637"/>
      <c r="LSU1" s="637"/>
      <c r="LSV1" s="637"/>
      <c r="LSW1" s="637"/>
      <c r="LSX1" s="637"/>
      <c r="LSY1" s="637"/>
      <c r="LSZ1" s="637"/>
      <c r="LTA1" s="637"/>
      <c r="LTB1" s="637"/>
      <c r="LTC1" s="637"/>
      <c r="LTD1" s="637"/>
      <c r="LTE1" s="637"/>
      <c r="LTF1" s="637"/>
      <c r="LTG1" s="637"/>
      <c r="LTH1" s="637"/>
      <c r="LTI1" s="637"/>
      <c r="LTJ1" s="637"/>
      <c r="LTK1" s="637"/>
      <c r="LTL1" s="637"/>
      <c r="LTM1" s="637"/>
      <c r="LTN1" s="637"/>
      <c r="LTO1" s="637"/>
      <c r="LTP1" s="637"/>
      <c r="LTQ1" s="637"/>
      <c r="LTR1" s="637"/>
      <c r="LTS1" s="637"/>
      <c r="LTT1" s="637"/>
      <c r="LTU1" s="637"/>
      <c r="LTV1" s="637"/>
      <c r="LTW1" s="637"/>
      <c r="LTX1" s="637"/>
      <c r="LTY1" s="637"/>
      <c r="LTZ1" s="637"/>
      <c r="LUA1" s="637"/>
      <c r="LUB1" s="637"/>
      <c r="LUC1" s="637"/>
      <c r="LUD1" s="637"/>
      <c r="LUE1" s="637"/>
      <c r="LUF1" s="637"/>
      <c r="LUG1" s="637"/>
      <c r="LUH1" s="637"/>
      <c r="LUI1" s="637"/>
      <c r="LUJ1" s="637"/>
      <c r="LUK1" s="637"/>
      <c r="LUL1" s="637"/>
      <c r="LUM1" s="637"/>
      <c r="LUN1" s="637"/>
      <c r="LUO1" s="637"/>
      <c r="LUP1" s="637"/>
      <c r="LUQ1" s="637"/>
      <c r="LUR1" s="637"/>
      <c r="LUS1" s="637"/>
      <c r="LUT1" s="637"/>
      <c r="LUU1" s="637"/>
      <c r="LUV1" s="637"/>
      <c r="LUW1" s="637"/>
      <c r="LUX1" s="637"/>
      <c r="LUY1" s="637"/>
      <c r="LUZ1" s="637"/>
      <c r="LVA1" s="637"/>
      <c r="LVB1" s="637"/>
      <c r="LVC1" s="637"/>
      <c r="LVD1" s="637"/>
      <c r="LVE1" s="637"/>
      <c r="LVF1" s="637"/>
      <c r="LVG1" s="637"/>
      <c r="LVH1" s="637"/>
      <c r="LVI1" s="637"/>
      <c r="LVJ1" s="637"/>
      <c r="LVK1" s="637"/>
      <c r="LVL1" s="637"/>
      <c r="LVM1" s="637"/>
      <c r="LVN1" s="637"/>
      <c r="LVO1" s="637"/>
      <c r="LVP1" s="637"/>
      <c r="LVQ1" s="637"/>
      <c r="LVR1" s="637"/>
      <c r="LVS1" s="637"/>
      <c r="LVT1" s="637"/>
      <c r="LVU1" s="637"/>
      <c r="LVV1" s="637"/>
      <c r="LVW1" s="637"/>
      <c r="LVX1" s="637"/>
      <c r="LVY1" s="637"/>
      <c r="LVZ1" s="637"/>
      <c r="LWA1" s="637"/>
      <c r="LWB1" s="637"/>
      <c r="LWC1" s="637"/>
      <c r="LWD1" s="637"/>
      <c r="LWE1" s="637"/>
      <c r="LWF1" s="637"/>
      <c r="LWG1" s="637"/>
      <c r="LWH1" s="637"/>
      <c r="LWI1" s="637"/>
      <c r="LWJ1" s="637"/>
      <c r="LWK1" s="637"/>
      <c r="LWL1" s="637"/>
      <c r="LWM1" s="637"/>
      <c r="LWN1" s="637"/>
      <c r="LWO1" s="637"/>
      <c r="LWP1" s="637"/>
      <c r="LWQ1" s="637"/>
      <c r="LWR1" s="637"/>
      <c r="LWS1" s="637"/>
      <c r="LWT1" s="637"/>
      <c r="LWU1" s="637"/>
      <c r="LWV1" s="637"/>
      <c r="LWW1" s="637"/>
      <c r="LWX1" s="637"/>
      <c r="LWY1" s="637"/>
      <c r="LWZ1" s="637"/>
      <c r="LXA1" s="637"/>
      <c r="LXB1" s="637"/>
      <c r="LXC1" s="637"/>
      <c r="LXD1" s="637"/>
      <c r="LXE1" s="637"/>
      <c r="LXF1" s="637"/>
      <c r="LXG1" s="637"/>
      <c r="LXH1" s="637"/>
      <c r="LXI1" s="637"/>
      <c r="LXJ1" s="637"/>
      <c r="LXK1" s="637"/>
      <c r="LXL1" s="637"/>
      <c r="LXM1" s="637"/>
      <c r="LXN1" s="637"/>
      <c r="LXO1" s="637"/>
      <c r="LXP1" s="637"/>
      <c r="LXQ1" s="637"/>
      <c r="LXR1" s="637"/>
      <c r="LXS1" s="637"/>
      <c r="LXT1" s="637"/>
      <c r="LXU1" s="637"/>
      <c r="LXV1" s="637"/>
      <c r="LXW1" s="637"/>
      <c r="LXX1" s="637"/>
      <c r="LXY1" s="637"/>
      <c r="LXZ1" s="637"/>
      <c r="LYA1" s="637"/>
      <c r="LYB1" s="637"/>
      <c r="LYC1" s="637"/>
      <c r="LYD1" s="637"/>
      <c r="LYE1" s="637"/>
      <c r="LYF1" s="637"/>
      <c r="LYG1" s="637"/>
      <c r="LYH1" s="637"/>
      <c r="LYI1" s="637"/>
      <c r="LYJ1" s="637"/>
      <c r="LYK1" s="637"/>
      <c r="LYL1" s="637"/>
      <c r="LYM1" s="637"/>
      <c r="LYN1" s="637"/>
      <c r="LYO1" s="637"/>
      <c r="LYP1" s="637"/>
      <c r="LYQ1" s="637"/>
      <c r="LYR1" s="637"/>
      <c r="LYS1" s="637"/>
      <c r="LYT1" s="637"/>
      <c r="LYU1" s="637"/>
      <c r="LYV1" s="637"/>
      <c r="LYW1" s="637"/>
      <c r="LYX1" s="637"/>
      <c r="LYY1" s="637"/>
      <c r="LYZ1" s="637"/>
      <c r="LZA1" s="637"/>
      <c r="LZB1" s="637"/>
      <c r="LZC1" s="637"/>
      <c r="LZD1" s="637"/>
      <c r="LZE1" s="637"/>
      <c r="LZF1" s="637"/>
      <c r="LZG1" s="637"/>
      <c r="LZH1" s="637"/>
      <c r="LZI1" s="637"/>
      <c r="LZJ1" s="637"/>
      <c r="LZK1" s="637"/>
      <c r="LZL1" s="637"/>
      <c r="LZM1" s="637"/>
      <c r="LZN1" s="637"/>
      <c r="LZO1" s="637"/>
      <c r="LZP1" s="637"/>
      <c r="LZQ1" s="637"/>
      <c r="LZR1" s="637"/>
      <c r="LZS1" s="637"/>
      <c r="LZT1" s="637"/>
      <c r="LZU1" s="637"/>
      <c r="LZV1" s="637"/>
      <c r="LZW1" s="637"/>
      <c r="LZX1" s="637"/>
      <c r="LZY1" s="637"/>
      <c r="LZZ1" s="637"/>
      <c r="MAA1" s="637"/>
      <c r="MAB1" s="637"/>
      <c r="MAC1" s="637"/>
      <c r="MAD1" s="637"/>
      <c r="MAE1" s="637"/>
      <c r="MAF1" s="637"/>
      <c r="MAG1" s="637"/>
      <c r="MAH1" s="637"/>
      <c r="MAI1" s="637"/>
      <c r="MAJ1" s="637"/>
      <c r="MAK1" s="637"/>
      <c r="MAL1" s="637"/>
      <c r="MAM1" s="637"/>
      <c r="MAN1" s="637"/>
      <c r="MAO1" s="637"/>
      <c r="MAP1" s="637"/>
      <c r="MAQ1" s="637"/>
      <c r="MAR1" s="637"/>
      <c r="MAS1" s="637"/>
      <c r="MAT1" s="637"/>
      <c r="MAU1" s="637"/>
      <c r="MAV1" s="637"/>
      <c r="MAW1" s="637"/>
      <c r="MAX1" s="637"/>
      <c r="MAY1" s="637"/>
      <c r="MAZ1" s="637"/>
      <c r="MBA1" s="637"/>
      <c r="MBB1" s="637"/>
      <c r="MBC1" s="637"/>
      <c r="MBD1" s="637"/>
      <c r="MBE1" s="637"/>
      <c r="MBF1" s="637"/>
      <c r="MBG1" s="637"/>
      <c r="MBH1" s="637"/>
      <c r="MBI1" s="637"/>
      <c r="MBJ1" s="637"/>
      <c r="MBK1" s="637"/>
      <c r="MBL1" s="637"/>
      <c r="MBM1" s="637"/>
      <c r="MBN1" s="637"/>
      <c r="MBO1" s="637"/>
      <c r="MBP1" s="637"/>
      <c r="MBQ1" s="637"/>
      <c r="MBR1" s="637"/>
      <c r="MBS1" s="637"/>
      <c r="MBT1" s="637"/>
      <c r="MBU1" s="637"/>
      <c r="MBV1" s="637"/>
      <c r="MBW1" s="637"/>
      <c r="MBX1" s="637"/>
      <c r="MBY1" s="637"/>
      <c r="MBZ1" s="637"/>
      <c r="MCA1" s="637"/>
      <c r="MCB1" s="637"/>
      <c r="MCC1" s="637"/>
      <c r="MCD1" s="637"/>
      <c r="MCE1" s="637"/>
      <c r="MCF1" s="637"/>
      <c r="MCG1" s="637"/>
      <c r="MCH1" s="637"/>
      <c r="MCI1" s="637"/>
      <c r="MCJ1" s="637"/>
      <c r="MCK1" s="637"/>
      <c r="MCL1" s="637"/>
      <c r="MCM1" s="637"/>
      <c r="MCN1" s="637"/>
      <c r="MCO1" s="637"/>
      <c r="MCP1" s="637"/>
      <c r="MCQ1" s="637"/>
      <c r="MCR1" s="637"/>
      <c r="MCS1" s="637"/>
      <c r="MCT1" s="637"/>
      <c r="MCU1" s="637"/>
      <c r="MCV1" s="637"/>
      <c r="MCW1" s="637"/>
      <c r="MCX1" s="637"/>
      <c r="MCY1" s="637"/>
      <c r="MCZ1" s="637"/>
      <c r="MDA1" s="637"/>
      <c r="MDB1" s="637"/>
      <c r="MDC1" s="637"/>
      <c r="MDD1" s="637"/>
      <c r="MDE1" s="637"/>
      <c r="MDF1" s="637"/>
      <c r="MDG1" s="637"/>
      <c r="MDH1" s="637"/>
      <c r="MDI1" s="637"/>
      <c r="MDJ1" s="637"/>
      <c r="MDK1" s="637"/>
      <c r="MDL1" s="637"/>
      <c r="MDM1" s="637"/>
      <c r="MDN1" s="637"/>
      <c r="MDO1" s="637"/>
      <c r="MDP1" s="637"/>
      <c r="MDQ1" s="637"/>
      <c r="MDR1" s="637"/>
      <c r="MDS1" s="637"/>
      <c r="MDT1" s="637"/>
      <c r="MDU1" s="637"/>
      <c r="MDV1" s="637"/>
      <c r="MDW1" s="637"/>
      <c r="MDX1" s="637"/>
      <c r="MDY1" s="637"/>
      <c r="MDZ1" s="637"/>
      <c r="MEA1" s="637"/>
      <c r="MEB1" s="637"/>
      <c r="MEC1" s="637"/>
      <c r="MED1" s="637"/>
      <c r="MEE1" s="637"/>
      <c r="MEF1" s="637"/>
      <c r="MEG1" s="637"/>
      <c r="MEH1" s="637"/>
      <c r="MEI1" s="637"/>
      <c r="MEJ1" s="637"/>
      <c r="MEK1" s="637"/>
      <c r="MEL1" s="637"/>
      <c r="MEM1" s="637"/>
      <c r="MEN1" s="637"/>
      <c r="MEO1" s="637"/>
      <c r="MEP1" s="637"/>
      <c r="MEQ1" s="637"/>
      <c r="MER1" s="637"/>
      <c r="MES1" s="637"/>
      <c r="MET1" s="637"/>
      <c r="MEU1" s="637"/>
      <c r="MEV1" s="637"/>
      <c r="MEW1" s="637"/>
      <c r="MEX1" s="637"/>
      <c r="MEY1" s="637"/>
      <c r="MEZ1" s="637"/>
      <c r="MFA1" s="637"/>
      <c r="MFB1" s="637"/>
      <c r="MFC1" s="637"/>
      <c r="MFD1" s="637"/>
      <c r="MFE1" s="637"/>
      <c r="MFF1" s="637"/>
      <c r="MFG1" s="637"/>
      <c r="MFH1" s="637"/>
      <c r="MFI1" s="637"/>
      <c r="MFJ1" s="637"/>
      <c r="MFK1" s="637"/>
      <c r="MFL1" s="637"/>
      <c r="MFM1" s="637"/>
      <c r="MFN1" s="637"/>
      <c r="MFO1" s="637"/>
      <c r="MFP1" s="637"/>
      <c r="MFQ1" s="637"/>
      <c r="MFR1" s="637"/>
      <c r="MFS1" s="637"/>
      <c r="MFT1" s="637"/>
      <c r="MFU1" s="637"/>
      <c r="MFV1" s="637"/>
      <c r="MFW1" s="637"/>
      <c r="MFX1" s="637"/>
      <c r="MFY1" s="637"/>
      <c r="MFZ1" s="637"/>
      <c r="MGA1" s="637"/>
      <c r="MGB1" s="637"/>
      <c r="MGC1" s="637"/>
      <c r="MGD1" s="637"/>
      <c r="MGE1" s="637"/>
      <c r="MGF1" s="637"/>
      <c r="MGG1" s="637"/>
      <c r="MGH1" s="637"/>
      <c r="MGI1" s="637"/>
      <c r="MGJ1" s="637"/>
      <c r="MGK1" s="637"/>
      <c r="MGL1" s="637"/>
      <c r="MGM1" s="637"/>
      <c r="MGN1" s="637"/>
      <c r="MGO1" s="637"/>
      <c r="MGP1" s="637"/>
      <c r="MGQ1" s="637"/>
      <c r="MGR1" s="637"/>
      <c r="MGS1" s="637"/>
      <c r="MGT1" s="637"/>
      <c r="MGU1" s="637"/>
      <c r="MGV1" s="637"/>
      <c r="MGW1" s="637"/>
      <c r="MGX1" s="637"/>
      <c r="MGY1" s="637"/>
      <c r="MGZ1" s="637"/>
      <c r="MHA1" s="637"/>
      <c r="MHB1" s="637"/>
      <c r="MHC1" s="637"/>
      <c r="MHD1" s="637"/>
      <c r="MHE1" s="637"/>
      <c r="MHF1" s="637"/>
      <c r="MHG1" s="637"/>
      <c r="MHH1" s="637"/>
      <c r="MHI1" s="637"/>
      <c r="MHJ1" s="637"/>
      <c r="MHK1" s="637"/>
      <c r="MHL1" s="637"/>
      <c r="MHM1" s="637"/>
      <c r="MHN1" s="637"/>
      <c r="MHO1" s="637"/>
      <c r="MHP1" s="637"/>
      <c r="MHQ1" s="637"/>
      <c r="MHR1" s="637"/>
      <c r="MHS1" s="637"/>
      <c r="MHT1" s="637"/>
      <c r="MHU1" s="637"/>
      <c r="MHV1" s="637"/>
      <c r="MHW1" s="637"/>
      <c r="MHX1" s="637"/>
      <c r="MHY1" s="637"/>
      <c r="MHZ1" s="637"/>
      <c r="MIA1" s="637"/>
      <c r="MIB1" s="637"/>
      <c r="MIC1" s="637"/>
      <c r="MID1" s="637"/>
      <c r="MIE1" s="637"/>
      <c r="MIF1" s="637"/>
      <c r="MIG1" s="637"/>
      <c r="MIH1" s="637"/>
      <c r="MII1" s="637"/>
      <c r="MIJ1" s="637"/>
      <c r="MIK1" s="637"/>
      <c r="MIL1" s="637"/>
      <c r="MIM1" s="637"/>
      <c r="MIN1" s="637"/>
      <c r="MIO1" s="637"/>
      <c r="MIP1" s="637"/>
      <c r="MIQ1" s="637"/>
      <c r="MIR1" s="637"/>
      <c r="MIS1" s="637"/>
      <c r="MIT1" s="637"/>
      <c r="MIU1" s="637"/>
      <c r="MIV1" s="637"/>
      <c r="MIW1" s="637"/>
      <c r="MIX1" s="637"/>
      <c r="MIY1" s="637"/>
      <c r="MIZ1" s="637"/>
      <c r="MJA1" s="637"/>
      <c r="MJB1" s="637"/>
      <c r="MJC1" s="637"/>
      <c r="MJD1" s="637"/>
      <c r="MJE1" s="637"/>
      <c r="MJF1" s="637"/>
      <c r="MJG1" s="637"/>
      <c r="MJH1" s="637"/>
      <c r="MJI1" s="637"/>
      <c r="MJJ1" s="637"/>
      <c r="MJK1" s="637"/>
      <c r="MJL1" s="637"/>
      <c r="MJM1" s="637"/>
      <c r="MJN1" s="637"/>
      <c r="MJO1" s="637"/>
      <c r="MJP1" s="637"/>
      <c r="MJQ1" s="637"/>
      <c r="MJR1" s="637"/>
      <c r="MJS1" s="637"/>
      <c r="MJT1" s="637"/>
      <c r="MJU1" s="637"/>
      <c r="MJV1" s="637"/>
      <c r="MJW1" s="637"/>
      <c r="MJX1" s="637"/>
      <c r="MJY1" s="637"/>
      <c r="MJZ1" s="637"/>
      <c r="MKA1" s="637"/>
      <c r="MKB1" s="637"/>
      <c r="MKC1" s="637"/>
      <c r="MKD1" s="637"/>
      <c r="MKE1" s="637"/>
      <c r="MKF1" s="637"/>
      <c r="MKG1" s="637"/>
      <c r="MKH1" s="637"/>
      <c r="MKI1" s="637"/>
      <c r="MKJ1" s="637"/>
      <c r="MKK1" s="637"/>
      <c r="MKL1" s="637"/>
      <c r="MKM1" s="637"/>
      <c r="MKN1" s="637"/>
      <c r="MKO1" s="637"/>
      <c r="MKP1" s="637"/>
      <c r="MKQ1" s="637"/>
      <c r="MKR1" s="637"/>
      <c r="MKS1" s="637"/>
      <c r="MKT1" s="637"/>
      <c r="MKU1" s="637"/>
      <c r="MKV1" s="637"/>
      <c r="MKW1" s="637"/>
      <c r="MKX1" s="637"/>
      <c r="MKY1" s="637"/>
      <c r="MKZ1" s="637"/>
      <c r="MLA1" s="637"/>
      <c r="MLB1" s="637"/>
      <c r="MLC1" s="637"/>
      <c r="MLD1" s="637"/>
      <c r="MLE1" s="637"/>
      <c r="MLF1" s="637"/>
      <c r="MLG1" s="637"/>
      <c r="MLH1" s="637"/>
      <c r="MLI1" s="637"/>
      <c r="MLJ1" s="637"/>
      <c r="MLK1" s="637"/>
      <c r="MLL1" s="637"/>
      <c r="MLM1" s="637"/>
      <c r="MLN1" s="637"/>
      <c r="MLO1" s="637"/>
      <c r="MLP1" s="637"/>
      <c r="MLQ1" s="637"/>
      <c r="MLR1" s="637"/>
      <c r="MLS1" s="637"/>
      <c r="MLT1" s="637"/>
      <c r="MLU1" s="637"/>
      <c r="MLV1" s="637"/>
      <c r="MLW1" s="637"/>
      <c r="MLX1" s="637"/>
      <c r="MLY1" s="637"/>
      <c r="MLZ1" s="637"/>
      <c r="MMA1" s="637"/>
      <c r="MMB1" s="637"/>
      <c r="MMC1" s="637"/>
      <c r="MMD1" s="637"/>
      <c r="MME1" s="637"/>
      <c r="MMF1" s="637"/>
      <c r="MMG1" s="637"/>
      <c r="MMH1" s="637"/>
      <c r="MMI1" s="637"/>
      <c r="MMJ1" s="637"/>
      <c r="MMK1" s="637"/>
      <c r="MML1" s="637"/>
      <c r="MMM1" s="637"/>
      <c r="MMN1" s="637"/>
      <c r="MMO1" s="637"/>
      <c r="MMP1" s="637"/>
      <c r="MMQ1" s="637"/>
      <c r="MMR1" s="637"/>
      <c r="MMS1" s="637"/>
      <c r="MMT1" s="637"/>
      <c r="MMU1" s="637"/>
      <c r="MMV1" s="637"/>
      <c r="MMW1" s="637"/>
      <c r="MMX1" s="637"/>
      <c r="MMY1" s="637"/>
      <c r="MMZ1" s="637"/>
      <c r="MNA1" s="637"/>
      <c r="MNB1" s="637"/>
      <c r="MNC1" s="637"/>
      <c r="MND1" s="637"/>
      <c r="MNE1" s="637"/>
      <c r="MNF1" s="637"/>
      <c r="MNG1" s="637"/>
      <c r="MNH1" s="637"/>
      <c r="MNI1" s="637"/>
      <c r="MNJ1" s="637"/>
      <c r="MNK1" s="637"/>
      <c r="MNL1" s="637"/>
      <c r="MNM1" s="637"/>
      <c r="MNN1" s="637"/>
      <c r="MNO1" s="637"/>
      <c r="MNP1" s="637"/>
      <c r="MNQ1" s="637"/>
      <c r="MNR1" s="637"/>
      <c r="MNS1" s="637"/>
      <c r="MNT1" s="637"/>
      <c r="MNU1" s="637"/>
      <c r="MNV1" s="637"/>
      <c r="MNW1" s="637"/>
      <c r="MNX1" s="637"/>
      <c r="MNY1" s="637"/>
      <c r="MNZ1" s="637"/>
      <c r="MOA1" s="637"/>
      <c r="MOB1" s="637"/>
      <c r="MOC1" s="637"/>
      <c r="MOD1" s="637"/>
      <c r="MOE1" s="637"/>
      <c r="MOF1" s="637"/>
      <c r="MOG1" s="637"/>
      <c r="MOH1" s="637"/>
      <c r="MOI1" s="637"/>
      <c r="MOJ1" s="637"/>
      <c r="MOK1" s="637"/>
      <c r="MOL1" s="637"/>
      <c r="MOM1" s="637"/>
      <c r="MON1" s="637"/>
      <c r="MOO1" s="637"/>
      <c r="MOP1" s="637"/>
      <c r="MOQ1" s="637"/>
      <c r="MOR1" s="637"/>
      <c r="MOS1" s="637"/>
      <c r="MOT1" s="637"/>
      <c r="MOU1" s="637"/>
      <c r="MOV1" s="637"/>
      <c r="MOW1" s="637"/>
      <c r="MOX1" s="637"/>
      <c r="MOY1" s="637"/>
      <c r="MOZ1" s="637"/>
      <c r="MPA1" s="637"/>
      <c r="MPB1" s="637"/>
      <c r="MPC1" s="637"/>
      <c r="MPD1" s="637"/>
      <c r="MPE1" s="637"/>
      <c r="MPF1" s="637"/>
      <c r="MPG1" s="637"/>
      <c r="MPH1" s="637"/>
      <c r="MPI1" s="637"/>
      <c r="MPJ1" s="637"/>
      <c r="MPK1" s="637"/>
      <c r="MPL1" s="637"/>
      <c r="MPM1" s="637"/>
      <c r="MPN1" s="637"/>
      <c r="MPO1" s="637"/>
      <c r="MPP1" s="637"/>
      <c r="MPQ1" s="637"/>
      <c r="MPR1" s="637"/>
      <c r="MPS1" s="637"/>
      <c r="MPT1" s="637"/>
      <c r="MPU1" s="637"/>
      <c r="MPV1" s="637"/>
      <c r="MPW1" s="637"/>
      <c r="MPX1" s="637"/>
      <c r="MPY1" s="637"/>
      <c r="MPZ1" s="637"/>
      <c r="MQA1" s="637"/>
      <c r="MQB1" s="637"/>
      <c r="MQC1" s="637"/>
      <c r="MQD1" s="637"/>
      <c r="MQE1" s="637"/>
      <c r="MQF1" s="637"/>
      <c r="MQG1" s="637"/>
      <c r="MQH1" s="637"/>
      <c r="MQI1" s="637"/>
      <c r="MQJ1" s="637"/>
      <c r="MQK1" s="637"/>
      <c r="MQL1" s="637"/>
      <c r="MQM1" s="637"/>
      <c r="MQN1" s="637"/>
      <c r="MQO1" s="637"/>
      <c r="MQP1" s="637"/>
      <c r="MQQ1" s="637"/>
      <c r="MQR1" s="637"/>
      <c r="MQS1" s="637"/>
      <c r="MQT1" s="637"/>
      <c r="MQU1" s="637"/>
      <c r="MQV1" s="637"/>
      <c r="MQW1" s="637"/>
      <c r="MQX1" s="637"/>
      <c r="MQY1" s="637"/>
      <c r="MQZ1" s="637"/>
      <c r="MRA1" s="637"/>
      <c r="MRB1" s="637"/>
      <c r="MRC1" s="637"/>
      <c r="MRD1" s="637"/>
      <c r="MRE1" s="637"/>
      <c r="MRF1" s="637"/>
      <c r="MRG1" s="637"/>
      <c r="MRH1" s="637"/>
      <c r="MRI1" s="637"/>
      <c r="MRJ1" s="637"/>
      <c r="MRK1" s="637"/>
      <c r="MRL1" s="637"/>
      <c r="MRM1" s="637"/>
      <c r="MRN1" s="637"/>
      <c r="MRO1" s="637"/>
      <c r="MRP1" s="637"/>
      <c r="MRQ1" s="637"/>
      <c r="MRR1" s="637"/>
      <c r="MRS1" s="637"/>
      <c r="MRT1" s="637"/>
      <c r="MRU1" s="637"/>
      <c r="MRV1" s="637"/>
      <c r="MRW1" s="637"/>
      <c r="MRX1" s="637"/>
      <c r="MRY1" s="637"/>
      <c r="MRZ1" s="637"/>
      <c r="MSA1" s="637"/>
      <c r="MSB1" s="637"/>
      <c r="MSC1" s="637"/>
      <c r="MSD1" s="637"/>
      <c r="MSE1" s="637"/>
      <c r="MSF1" s="637"/>
      <c r="MSG1" s="637"/>
      <c r="MSH1" s="637"/>
      <c r="MSI1" s="637"/>
      <c r="MSJ1" s="637"/>
      <c r="MSK1" s="637"/>
      <c r="MSL1" s="637"/>
      <c r="MSM1" s="637"/>
      <c r="MSN1" s="637"/>
      <c r="MSO1" s="637"/>
      <c r="MSP1" s="637"/>
      <c r="MSQ1" s="637"/>
      <c r="MSR1" s="637"/>
      <c r="MSS1" s="637"/>
      <c r="MST1" s="637"/>
      <c r="MSU1" s="637"/>
      <c r="MSV1" s="637"/>
      <c r="MSW1" s="637"/>
      <c r="MSX1" s="637"/>
      <c r="MSY1" s="637"/>
      <c r="MSZ1" s="637"/>
      <c r="MTA1" s="637"/>
      <c r="MTB1" s="637"/>
      <c r="MTC1" s="637"/>
      <c r="MTD1" s="637"/>
      <c r="MTE1" s="637"/>
      <c r="MTF1" s="637"/>
      <c r="MTG1" s="637"/>
      <c r="MTH1" s="637"/>
      <c r="MTI1" s="637"/>
      <c r="MTJ1" s="637"/>
      <c r="MTK1" s="637"/>
      <c r="MTL1" s="637"/>
      <c r="MTM1" s="637"/>
      <c r="MTN1" s="637"/>
      <c r="MTO1" s="637"/>
      <c r="MTP1" s="637"/>
      <c r="MTQ1" s="637"/>
      <c r="MTR1" s="637"/>
      <c r="MTS1" s="637"/>
      <c r="MTT1" s="637"/>
      <c r="MTU1" s="637"/>
      <c r="MTV1" s="637"/>
      <c r="MTW1" s="637"/>
      <c r="MTX1" s="637"/>
      <c r="MTY1" s="637"/>
      <c r="MTZ1" s="637"/>
      <c r="MUA1" s="637"/>
      <c r="MUB1" s="637"/>
      <c r="MUC1" s="637"/>
      <c r="MUD1" s="637"/>
      <c r="MUE1" s="637"/>
      <c r="MUF1" s="637"/>
      <c r="MUG1" s="637"/>
      <c r="MUH1" s="637"/>
      <c r="MUI1" s="637"/>
      <c r="MUJ1" s="637"/>
      <c r="MUK1" s="637"/>
      <c r="MUL1" s="637"/>
      <c r="MUM1" s="637"/>
      <c r="MUN1" s="637"/>
      <c r="MUO1" s="637"/>
      <c r="MUP1" s="637"/>
      <c r="MUQ1" s="637"/>
      <c r="MUR1" s="637"/>
      <c r="MUS1" s="637"/>
      <c r="MUT1" s="637"/>
      <c r="MUU1" s="637"/>
      <c r="MUV1" s="637"/>
      <c r="MUW1" s="637"/>
      <c r="MUX1" s="637"/>
      <c r="MUY1" s="637"/>
      <c r="MUZ1" s="637"/>
      <c r="MVA1" s="637"/>
      <c r="MVB1" s="637"/>
      <c r="MVC1" s="637"/>
      <c r="MVD1" s="637"/>
      <c r="MVE1" s="637"/>
      <c r="MVF1" s="637"/>
      <c r="MVG1" s="637"/>
      <c r="MVH1" s="637"/>
      <c r="MVI1" s="637"/>
      <c r="MVJ1" s="637"/>
      <c r="MVK1" s="637"/>
      <c r="MVL1" s="637"/>
      <c r="MVM1" s="637"/>
      <c r="MVN1" s="637"/>
      <c r="MVO1" s="637"/>
      <c r="MVP1" s="637"/>
      <c r="MVQ1" s="637"/>
      <c r="MVR1" s="637"/>
      <c r="MVS1" s="637"/>
      <c r="MVT1" s="637"/>
      <c r="MVU1" s="637"/>
      <c r="MVV1" s="637"/>
      <c r="MVW1" s="637"/>
      <c r="MVX1" s="637"/>
      <c r="MVY1" s="637"/>
      <c r="MVZ1" s="637"/>
      <c r="MWA1" s="637"/>
      <c r="MWB1" s="637"/>
      <c r="MWC1" s="637"/>
      <c r="MWD1" s="637"/>
      <c r="MWE1" s="637"/>
      <c r="MWF1" s="637"/>
      <c r="MWG1" s="637"/>
      <c r="MWH1" s="637"/>
      <c r="MWI1" s="637"/>
      <c r="MWJ1" s="637"/>
      <c r="MWK1" s="637"/>
      <c r="MWL1" s="637"/>
      <c r="MWM1" s="637"/>
      <c r="MWN1" s="637"/>
      <c r="MWO1" s="637"/>
      <c r="MWP1" s="637"/>
      <c r="MWQ1" s="637"/>
      <c r="MWR1" s="637"/>
      <c r="MWS1" s="637"/>
      <c r="MWT1" s="637"/>
      <c r="MWU1" s="637"/>
      <c r="MWV1" s="637"/>
      <c r="MWW1" s="637"/>
      <c r="MWX1" s="637"/>
      <c r="MWY1" s="637"/>
      <c r="MWZ1" s="637"/>
      <c r="MXA1" s="637"/>
      <c r="MXB1" s="637"/>
      <c r="MXC1" s="637"/>
      <c r="MXD1" s="637"/>
      <c r="MXE1" s="637"/>
      <c r="MXF1" s="637"/>
      <c r="MXG1" s="637"/>
      <c r="MXH1" s="637"/>
      <c r="MXI1" s="637"/>
      <c r="MXJ1" s="637"/>
      <c r="MXK1" s="637"/>
      <c r="MXL1" s="637"/>
      <c r="MXM1" s="637"/>
      <c r="MXN1" s="637"/>
      <c r="MXO1" s="637"/>
      <c r="MXP1" s="637"/>
      <c r="MXQ1" s="637"/>
      <c r="MXR1" s="637"/>
      <c r="MXS1" s="637"/>
      <c r="MXT1" s="637"/>
      <c r="MXU1" s="637"/>
      <c r="MXV1" s="637"/>
      <c r="MXW1" s="637"/>
      <c r="MXX1" s="637"/>
      <c r="MXY1" s="637"/>
      <c r="MXZ1" s="637"/>
      <c r="MYA1" s="637"/>
      <c r="MYB1" s="637"/>
      <c r="MYC1" s="637"/>
      <c r="MYD1" s="637"/>
      <c r="MYE1" s="637"/>
      <c r="MYF1" s="637"/>
      <c r="MYG1" s="637"/>
      <c r="MYH1" s="637"/>
      <c r="MYI1" s="637"/>
      <c r="MYJ1" s="637"/>
      <c r="MYK1" s="637"/>
      <c r="MYL1" s="637"/>
      <c r="MYM1" s="637"/>
      <c r="MYN1" s="637"/>
      <c r="MYO1" s="637"/>
      <c r="MYP1" s="637"/>
      <c r="MYQ1" s="637"/>
      <c r="MYR1" s="637"/>
      <c r="MYS1" s="637"/>
      <c r="MYT1" s="637"/>
      <c r="MYU1" s="637"/>
      <c r="MYV1" s="637"/>
      <c r="MYW1" s="637"/>
      <c r="MYX1" s="637"/>
      <c r="MYY1" s="637"/>
      <c r="MYZ1" s="637"/>
      <c r="MZA1" s="637"/>
      <c r="MZB1" s="637"/>
      <c r="MZC1" s="637"/>
      <c r="MZD1" s="637"/>
      <c r="MZE1" s="637"/>
      <c r="MZF1" s="637"/>
      <c r="MZG1" s="637"/>
      <c r="MZH1" s="637"/>
      <c r="MZI1" s="637"/>
      <c r="MZJ1" s="637"/>
      <c r="MZK1" s="637"/>
      <c r="MZL1" s="637"/>
      <c r="MZM1" s="637"/>
      <c r="MZN1" s="637"/>
      <c r="MZO1" s="637"/>
      <c r="MZP1" s="637"/>
      <c r="MZQ1" s="637"/>
      <c r="MZR1" s="637"/>
      <c r="MZS1" s="637"/>
      <c r="MZT1" s="637"/>
      <c r="MZU1" s="637"/>
      <c r="MZV1" s="637"/>
      <c r="MZW1" s="637"/>
      <c r="MZX1" s="637"/>
      <c r="MZY1" s="637"/>
      <c r="MZZ1" s="637"/>
      <c r="NAA1" s="637"/>
      <c r="NAB1" s="637"/>
      <c r="NAC1" s="637"/>
      <c r="NAD1" s="637"/>
      <c r="NAE1" s="637"/>
      <c r="NAF1" s="637"/>
      <c r="NAG1" s="637"/>
      <c r="NAH1" s="637"/>
      <c r="NAI1" s="637"/>
      <c r="NAJ1" s="637"/>
      <c r="NAK1" s="637"/>
      <c r="NAL1" s="637"/>
      <c r="NAM1" s="637"/>
      <c r="NAN1" s="637"/>
      <c r="NAO1" s="637"/>
      <c r="NAP1" s="637"/>
      <c r="NAQ1" s="637"/>
      <c r="NAR1" s="637"/>
      <c r="NAS1" s="637"/>
      <c r="NAT1" s="637"/>
      <c r="NAU1" s="637"/>
      <c r="NAV1" s="637"/>
      <c r="NAW1" s="637"/>
      <c r="NAX1" s="637"/>
      <c r="NAY1" s="637"/>
      <c r="NAZ1" s="637"/>
      <c r="NBA1" s="637"/>
      <c r="NBB1" s="637"/>
      <c r="NBC1" s="637"/>
      <c r="NBD1" s="637"/>
      <c r="NBE1" s="637"/>
      <c r="NBF1" s="637"/>
      <c r="NBG1" s="637"/>
      <c r="NBH1" s="637"/>
      <c r="NBI1" s="637"/>
      <c r="NBJ1" s="637"/>
      <c r="NBK1" s="637"/>
      <c r="NBL1" s="637"/>
      <c r="NBM1" s="637"/>
      <c r="NBN1" s="637"/>
      <c r="NBO1" s="637"/>
      <c r="NBP1" s="637"/>
      <c r="NBQ1" s="637"/>
      <c r="NBR1" s="637"/>
      <c r="NBS1" s="637"/>
      <c r="NBT1" s="637"/>
      <c r="NBU1" s="637"/>
      <c r="NBV1" s="637"/>
      <c r="NBW1" s="637"/>
      <c r="NBX1" s="637"/>
      <c r="NBY1" s="637"/>
      <c r="NBZ1" s="637"/>
      <c r="NCA1" s="637"/>
      <c r="NCB1" s="637"/>
      <c r="NCC1" s="637"/>
      <c r="NCD1" s="637"/>
      <c r="NCE1" s="637"/>
      <c r="NCF1" s="637"/>
      <c r="NCG1" s="637"/>
      <c r="NCH1" s="637"/>
      <c r="NCI1" s="637"/>
      <c r="NCJ1" s="637"/>
      <c r="NCK1" s="637"/>
      <c r="NCL1" s="637"/>
      <c r="NCM1" s="637"/>
      <c r="NCN1" s="637"/>
      <c r="NCO1" s="637"/>
      <c r="NCP1" s="637"/>
      <c r="NCQ1" s="637"/>
      <c r="NCR1" s="637"/>
      <c r="NCS1" s="637"/>
      <c r="NCT1" s="637"/>
      <c r="NCU1" s="637"/>
      <c r="NCV1" s="637"/>
      <c r="NCW1" s="637"/>
      <c r="NCX1" s="637"/>
      <c r="NCY1" s="637"/>
      <c r="NCZ1" s="637"/>
      <c r="NDA1" s="637"/>
      <c r="NDB1" s="637"/>
      <c r="NDC1" s="637"/>
      <c r="NDD1" s="637"/>
      <c r="NDE1" s="637"/>
      <c r="NDF1" s="637"/>
      <c r="NDG1" s="637"/>
      <c r="NDH1" s="637"/>
      <c r="NDI1" s="637"/>
      <c r="NDJ1" s="637"/>
      <c r="NDK1" s="637"/>
      <c r="NDL1" s="637"/>
      <c r="NDM1" s="637"/>
      <c r="NDN1" s="637"/>
      <c r="NDO1" s="637"/>
      <c r="NDP1" s="637"/>
      <c r="NDQ1" s="637"/>
      <c r="NDR1" s="637"/>
      <c r="NDS1" s="637"/>
      <c r="NDT1" s="637"/>
      <c r="NDU1" s="637"/>
      <c r="NDV1" s="637"/>
      <c r="NDW1" s="637"/>
      <c r="NDX1" s="637"/>
      <c r="NDY1" s="637"/>
      <c r="NDZ1" s="637"/>
      <c r="NEA1" s="637"/>
      <c r="NEB1" s="637"/>
      <c r="NEC1" s="637"/>
      <c r="NED1" s="637"/>
      <c r="NEE1" s="637"/>
      <c r="NEF1" s="637"/>
      <c r="NEG1" s="637"/>
      <c r="NEH1" s="637"/>
      <c r="NEI1" s="637"/>
      <c r="NEJ1" s="637"/>
      <c r="NEK1" s="637"/>
      <c r="NEL1" s="637"/>
      <c r="NEM1" s="637"/>
      <c r="NEN1" s="637"/>
      <c r="NEO1" s="637"/>
      <c r="NEP1" s="637"/>
      <c r="NEQ1" s="637"/>
      <c r="NER1" s="637"/>
      <c r="NES1" s="637"/>
      <c r="NET1" s="637"/>
      <c r="NEU1" s="637"/>
      <c r="NEV1" s="637"/>
      <c r="NEW1" s="637"/>
      <c r="NEX1" s="637"/>
      <c r="NEY1" s="637"/>
      <c r="NEZ1" s="637"/>
      <c r="NFA1" s="637"/>
      <c r="NFB1" s="637"/>
      <c r="NFC1" s="637"/>
      <c r="NFD1" s="637"/>
      <c r="NFE1" s="637"/>
      <c r="NFF1" s="637"/>
      <c r="NFG1" s="637"/>
      <c r="NFH1" s="637"/>
      <c r="NFI1" s="637"/>
      <c r="NFJ1" s="637"/>
      <c r="NFK1" s="637"/>
      <c r="NFL1" s="637"/>
      <c r="NFM1" s="637"/>
      <c r="NFN1" s="637"/>
      <c r="NFO1" s="637"/>
      <c r="NFP1" s="637"/>
      <c r="NFQ1" s="637"/>
      <c r="NFR1" s="637"/>
      <c r="NFS1" s="637"/>
      <c r="NFT1" s="637"/>
      <c r="NFU1" s="637"/>
      <c r="NFV1" s="637"/>
      <c r="NFW1" s="637"/>
      <c r="NFX1" s="637"/>
      <c r="NFY1" s="637"/>
      <c r="NFZ1" s="637"/>
      <c r="NGA1" s="637"/>
      <c r="NGB1" s="637"/>
      <c r="NGC1" s="637"/>
      <c r="NGD1" s="637"/>
      <c r="NGE1" s="637"/>
      <c r="NGF1" s="637"/>
      <c r="NGG1" s="637"/>
      <c r="NGH1" s="637"/>
      <c r="NGI1" s="637"/>
      <c r="NGJ1" s="637"/>
      <c r="NGK1" s="637"/>
      <c r="NGL1" s="637"/>
      <c r="NGM1" s="637"/>
      <c r="NGN1" s="637"/>
      <c r="NGO1" s="637"/>
      <c r="NGP1" s="637"/>
      <c r="NGQ1" s="637"/>
      <c r="NGR1" s="637"/>
      <c r="NGS1" s="637"/>
      <c r="NGT1" s="637"/>
      <c r="NGU1" s="637"/>
      <c r="NGV1" s="637"/>
      <c r="NGW1" s="637"/>
      <c r="NGX1" s="637"/>
      <c r="NGY1" s="637"/>
      <c r="NGZ1" s="637"/>
      <c r="NHA1" s="637"/>
      <c r="NHB1" s="637"/>
      <c r="NHC1" s="637"/>
      <c r="NHD1" s="637"/>
      <c r="NHE1" s="637"/>
      <c r="NHF1" s="637"/>
      <c r="NHG1" s="637"/>
      <c r="NHH1" s="637"/>
      <c r="NHI1" s="637"/>
      <c r="NHJ1" s="637"/>
      <c r="NHK1" s="637"/>
      <c r="NHL1" s="637"/>
      <c r="NHM1" s="637"/>
      <c r="NHN1" s="637"/>
      <c r="NHO1" s="637"/>
      <c r="NHP1" s="637"/>
      <c r="NHQ1" s="637"/>
      <c r="NHR1" s="637"/>
      <c r="NHS1" s="637"/>
      <c r="NHT1" s="637"/>
      <c r="NHU1" s="637"/>
      <c r="NHV1" s="637"/>
      <c r="NHW1" s="637"/>
      <c r="NHX1" s="637"/>
      <c r="NHY1" s="637"/>
      <c r="NHZ1" s="637"/>
      <c r="NIA1" s="637"/>
      <c r="NIB1" s="637"/>
      <c r="NIC1" s="637"/>
      <c r="NID1" s="637"/>
      <c r="NIE1" s="637"/>
      <c r="NIF1" s="637"/>
      <c r="NIG1" s="637"/>
      <c r="NIH1" s="637"/>
      <c r="NII1" s="637"/>
      <c r="NIJ1" s="637"/>
      <c r="NIK1" s="637"/>
      <c r="NIL1" s="637"/>
      <c r="NIM1" s="637"/>
      <c r="NIN1" s="637"/>
      <c r="NIO1" s="637"/>
      <c r="NIP1" s="637"/>
      <c r="NIQ1" s="637"/>
      <c r="NIR1" s="637"/>
      <c r="NIS1" s="637"/>
      <c r="NIT1" s="637"/>
      <c r="NIU1" s="637"/>
      <c r="NIV1" s="637"/>
      <c r="NIW1" s="637"/>
      <c r="NIX1" s="637"/>
      <c r="NIY1" s="637"/>
      <c r="NIZ1" s="637"/>
      <c r="NJA1" s="637"/>
      <c r="NJB1" s="637"/>
      <c r="NJC1" s="637"/>
      <c r="NJD1" s="637"/>
      <c r="NJE1" s="637"/>
      <c r="NJF1" s="637"/>
      <c r="NJG1" s="637"/>
      <c r="NJH1" s="637"/>
      <c r="NJI1" s="637"/>
      <c r="NJJ1" s="637"/>
      <c r="NJK1" s="637"/>
      <c r="NJL1" s="637"/>
      <c r="NJM1" s="637"/>
      <c r="NJN1" s="637"/>
      <c r="NJO1" s="637"/>
      <c r="NJP1" s="637"/>
      <c r="NJQ1" s="637"/>
      <c r="NJR1" s="637"/>
      <c r="NJS1" s="637"/>
      <c r="NJT1" s="637"/>
      <c r="NJU1" s="637"/>
      <c r="NJV1" s="637"/>
      <c r="NJW1" s="637"/>
      <c r="NJX1" s="637"/>
      <c r="NJY1" s="637"/>
      <c r="NJZ1" s="637"/>
      <c r="NKA1" s="637"/>
      <c r="NKB1" s="637"/>
      <c r="NKC1" s="637"/>
      <c r="NKD1" s="637"/>
      <c r="NKE1" s="637"/>
      <c r="NKF1" s="637"/>
      <c r="NKG1" s="637"/>
      <c r="NKH1" s="637"/>
      <c r="NKI1" s="637"/>
      <c r="NKJ1" s="637"/>
      <c r="NKK1" s="637"/>
      <c r="NKL1" s="637"/>
      <c r="NKM1" s="637"/>
      <c r="NKN1" s="637"/>
      <c r="NKO1" s="637"/>
      <c r="NKP1" s="637"/>
      <c r="NKQ1" s="637"/>
      <c r="NKR1" s="637"/>
      <c r="NKS1" s="637"/>
      <c r="NKT1" s="637"/>
      <c r="NKU1" s="637"/>
      <c r="NKV1" s="637"/>
      <c r="NKW1" s="637"/>
      <c r="NKX1" s="637"/>
      <c r="NKY1" s="637"/>
      <c r="NKZ1" s="637"/>
      <c r="NLA1" s="637"/>
      <c r="NLB1" s="637"/>
      <c r="NLC1" s="637"/>
      <c r="NLD1" s="637"/>
      <c r="NLE1" s="637"/>
      <c r="NLF1" s="637"/>
      <c r="NLG1" s="637"/>
      <c r="NLH1" s="637"/>
      <c r="NLI1" s="637"/>
      <c r="NLJ1" s="637"/>
      <c r="NLK1" s="637"/>
      <c r="NLL1" s="637"/>
      <c r="NLM1" s="637"/>
      <c r="NLN1" s="637"/>
      <c r="NLO1" s="637"/>
      <c r="NLP1" s="637"/>
      <c r="NLQ1" s="637"/>
      <c r="NLR1" s="637"/>
      <c r="NLS1" s="637"/>
      <c r="NLT1" s="637"/>
      <c r="NLU1" s="637"/>
      <c r="NLV1" s="637"/>
      <c r="NLW1" s="637"/>
      <c r="NLX1" s="637"/>
      <c r="NLY1" s="637"/>
      <c r="NLZ1" s="637"/>
      <c r="NMA1" s="637"/>
      <c r="NMB1" s="637"/>
      <c r="NMC1" s="637"/>
      <c r="NMD1" s="637"/>
      <c r="NME1" s="637"/>
      <c r="NMF1" s="637"/>
      <c r="NMG1" s="637"/>
      <c r="NMH1" s="637"/>
      <c r="NMI1" s="637"/>
      <c r="NMJ1" s="637"/>
      <c r="NMK1" s="637"/>
      <c r="NML1" s="637"/>
      <c r="NMM1" s="637"/>
      <c r="NMN1" s="637"/>
      <c r="NMO1" s="637"/>
      <c r="NMP1" s="637"/>
      <c r="NMQ1" s="637"/>
      <c r="NMR1" s="637"/>
      <c r="NMS1" s="637"/>
      <c r="NMT1" s="637"/>
      <c r="NMU1" s="637"/>
      <c r="NMV1" s="637"/>
      <c r="NMW1" s="637"/>
      <c r="NMX1" s="637"/>
      <c r="NMY1" s="637"/>
      <c r="NMZ1" s="637"/>
      <c r="NNA1" s="637"/>
      <c r="NNB1" s="637"/>
      <c r="NNC1" s="637"/>
      <c r="NND1" s="637"/>
      <c r="NNE1" s="637"/>
      <c r="NNF1" s="637"/>
      <c r="NNG1" s="637"/>
      <c r="NNH1" s="637"/>
      <c r="NNI1" s="637"/>
      <c r="NNJ1" s="637"/>
      <c r="NNK1" s="637"/>
      <c r="NNL1" s="637"/>
      <c r="NNM1" s="637"/>
      <c r="NNN1" s="637"/>
      <c r="NNO1" s="637"/>
      <c r="NNP1" s="637"/>
      <c r="NNQ1" s="637"/>
      <c r="NNR1" s="637"/>
      <c r="NNS1" s="637"/>
      <c r="NNT1" s="637"/>
      <c r="NNU1" s="637"/>
      <c r="NNV1" s="637"/>
      <c r="NNW1" s="637"/>
      <c r="NNX1" s="637"/>
      <c r="NNY1" s="637"/>
      <c r="NNZ1" s="637"/>
      <c r="NOA1" s="637"/>
      <c r="NOB1" s="637"/>
      <c r="NOC1" s="637"/>
      <c r="NOD1" s="637"/>
      <c r="NOE1" s="637"/>
      <c r="NOF1" s="637"/>
      <c r="NOG1" s="637"/>
      <c r="NOH1" s="637"/>
      <c r="NOI1" s="637"/>
      <c r="NOJ1" s="637"/>
      <c r="NOK1" s="637"/>
      <c r="NOL1" s="637"/>
      <c r="NOM1" s="637"/>
      <c r="NON1" s="637"/>
      <c r="NOO1" s="637"/>
      <c r="NOP1" s="637"/>
      <c r="NOQ1" s="637"/>
      <c r="NOR1" s="637"/>
      <c r="NOS1" s="637"/>
      <c r="NOT1" s="637"/>
      <c r="NOU1" s="637"/>
      <c r="NOV1" s="637"/>
      <c r="NOW1" s="637"/>
      <c r="NOX1" s="637"/>
      <c r="NOY1" s="637"/>
      <c r="NOZ1" s="637"/>
      <c r="NPA1" s="637"/>
      <c r="NPB1" s="637"/>
      <c r="NPC1" s="637"/>
      <c r="NPD1" s="637"/>
      <c r="NPE1" s="637"/>
      <c r="NPF1" s="637"/>
      <c r="NPG1" s="637"/>
      <c r="NPH1" s="637"/>
      <c r="NPI1" s="637"/>
      <c r="NPJ1" s="637"/>
      <c r="NPK1" s="637"/>
      <c r="NPL1" s="637"/>
      <c r="NPM1" s="637"/>
      <c r="NPN1" s="637"/>
      <c r="NPO1" s="637"/>
      <c r="NPP1" s="637"/>
      <c r="NPQ1" s="637"/>
      <c r="NPR1" s="637"/>
      <c r="NPS1" s="637"/>
      <c r="NPT1" s="637"/>
      <c r="NPU1" s="637"/>
      <c r="NPV1" s="637"/>
      <c r="NPW1" s="637"/>
      <c r="NPX1" s="637"/>
      <c r="NPY1" s="637"/>
      <c r="NPZ1" s="637"/>
      <c r="NQA1" s="637"/>
      <c r="NQB1" s="637"/>
      <c r="NQC1" s="637"/>
      <c r="NQD1" s="637"/>
      <c r="NQE1" s="637"/>
      <c r="NQF1" s="637"/>
      <c r="NQG1" s="637"/>
      <c r="NQH1" s="637"/>
      <c r="NQI1" s="637"/>
      <c r="NQJ1" s="637"/>
      <c r="NQK1" s="637"/>
      <c r="NQL1" s="637"/>
      <c r="NQM1" s="637"/>
      <c r="NQN1" s="637"/>
      <c r="NQO1" s="637"/>
      <c r="NQP1" s="637"/>
      <c r="NQQ1" s="637"/>
      <c r="NQR1" s="637"/>
      <c r="NQS1" s="637"/>
      <c r="NQT1" s="637"/>
      <c r="NQU1" s="637"/>
      <c r="NQV1" s="637"/>
      <c r="NQW1" s="637"/>
      <c r="NQX1" s="637"/>
      <c r="NQY1" s="637"/>
      <c r="NQZ1" s="637"/>
      <c r="NRA1" s="637"/>
      <c r="NRB1" s="637"/>
      <c r="NRC1" s="637"/>
      <c r="NRD1" s="637"/>
      <c r="NRE1" s="637"/>
      <c r="NRF1" s="637"/>
      <c r="NRG1" s="637"/>
      <c r="NRH1" s="637"/>
      <c r="NRI1" s="637"/>
      <c r="NRJ1" s="637"/>
      <c r="NRK1" s="637"/>
      <c r="NRL1" s="637"/>
      <c r="NRM1" s="637"/>
      <c r="NRN1" s="637"/>
      <c r="NRO1" s="637"/>
      <c r="NRP1" s="637"/>
      <c r="NRQ1" s="637"/>
      <c r="NRR1" s="637"/>
      <c r="NRS1" s="637"/>
      <c r="NRT1" s="637"/>
      <c r="NRU1" s="637"/>
      <c r="NRV1" s="637"/>
      <c r="NRW1" s="637"/>
      <c r="NRX1" s="637"/>
      <c r="NRY1" s="637"/>
      <c r="NRZ1" s="637"/>
      <c r="NSA1" s="637"/>
      <c r="NSB1" s="637"/>
      <c r="NSC1" s="637"/>
      <c r="NSD1" s="637"/>
      <c r="NSE1" s="637"/>
      <c r="NSF1" s="637"/>
      <c r="NSG1" s="637"/>
      <c r="NSH1" s="637"/>
      <c r="NSI1" s="637"/>
      <c r="NSJ1" s="637"/>
      <c r="NSK1" s="637"/>
      <c r="NSL1" s="637"/>
      <c r="NSM1" s="637"/>
      <c r="NSN1" s="637"/>
      <c r="NSO1" s="637"/>
      <c r="NSP1" s="637"/>
      <c r="NSQ1" s="637"/>
      <c r="NSR1" s="637"/>
      <c r="NSS1" s="637"/>
      <c r="NST1" s="637"/>
      <c r="NSU1" s="637"/>
      <c r="NSV1" s="637"/>
      <c r="NSW1" s="637"/>
      <c r="NSX1" s="637"/>
      <c r="NSY1" s="637"/>
      <c r="NSZ1" s="637"/>
      <c r="NTA1" s="637"/>
      <c r="NTB1" s="637"/>
      <c r="NTC1" s="637"/>
      <c r="NTD1" s="637"/>
      <c r="NTE1" s="637"/>
      <c r="NTF1" s="637"/>
      <c r="NTG1" s="637"/>
      <c r="NTH1" s="637"/>
      <c r="NTI1" s="637"/>
      <c r="NTJ1" s="637"/>
      <c r="NTK1" s="637"/>
      <c r="NTL1" s="637"/>
      <c r="NTM1" s="637"/>
      <c r="NTN1" s="637"/>
      <c r="NTO1" s="637"/>
      <c r="NTP1" s="637"/>
      <c r="NTQ1" s="637"/>
      <c r="NTR1" s="637"/>
      <c r="NTS1" s="637"/>
      <c r="NTT1" s="637"/>
      <c r="NTU1" s="637"/>
      <c r="NTV1" s="637"/>
      <c r="NTW1" s="637"/>
      <c r="NTX1" s="637"/>
      <c r="NTY1" s="637"/>
      <c r="NTZ1" s="637"/>
      <c r="NUA1" s="637"/>
      <c r="NUB1" s="637"/>
      <c r="NUC1" s="637"/>
      <c r="NUD1" s="637"/>
      <c r="NUE1" s="637"/>
      <c r="NUF1" s="637"/>
      <c r="NUG1" s="637"/>
      <c r="NUH1" s="637"/>
      <c r="NUI1" s="637"/>
      <c r="NUJ1" s="637"/>
      <c r="NUK1" s="637"/>
      <c r="NUL1" s="637"/>
      <c r="NUM1" s="637"/>
      <c r="NUN1" s="637"/>
      <c r="NUO1" s="637"/>
      <c r="NUP1" s="637"/>
      <c r="NUQ1" s="637"/>
      <c r="NUR1" s="637"/>
      <c r="NUS1" s="637"/>
      <c r="NUT1" s="637"/>
      <c r="NUU1" s="637"/>
      <c r="NUV1" s="637"/>
      <c r="NUW1" s="637"/>
      <c r="NUX1" s="637"/>
      <c r="NUY1" s="637"/>
      <c r="NUZ1" s="637"/>
      <c r="NVA1" s="637"/>
      <c r="NVB1" s="637"/>
      <c r="NVC1" s="637"/>
      <c r="NVD1" s="637"/>
      <c r="NVE1" s="637"/>
      <c r="NVF1" s="637"/>
      <c r="NVG1" s="637"/>
      <c r="NVH1" s="637"/>
      <c r="NVI1" s="637"/>
      <c r="NVJ1" s="637"/>
      <c r="NVK1" s="637"/>
      <c r="NVL1" s="637"/>
      <c r="NVM1" s="637"/>
      <c r="NVN1" s="637"/>
      <c r="NVO1" s="637"/>
      <c r="NVP1" s="637"/>
      <c r="NVQ1" s="637"/>
      <c r="NVR1" s="637"/>
      <c r="NVS1" s="637"/>
      <c r="NVT1" s="637"/>
      <c r="NVU1" s="637"/>
      <c r="NVV1" s="637"/>
      <c r="NVW1" s="637"/>
      <c r="NVX1" s="637"/>
      <c r="NVY1" s="637"/>
      <c r="NVZ1" s="637"/>
      <c r="NWA1" s="637"/>
      <c r="NWB1" s="637"/>
      <c r="NWC1" s="637"/>
      <c r="NWD1" s="637"/>
      <c r="NWE1" s="637"/>
      <c r="NWF1" s="637"/>
      <c r="NWG1" s="637"/>
      <c r="NWH1" s="637"/>
      <c r="NWI1" s="637"/>
      <c r="NWJ1" s="637"/>
      <c r="NWK1" s="637"/>
      <c r="NWL1" s="637"/>
      <c r="NWM1" s="637"/>
      <c r="NWN1" s="637"/>
      <c r="NWO1" s="637"/>
      <c r="NWP1" s="637"/>
      <c r="NWQ1" s="637"/>
      <c r="NWR1" s="637"/>
      <c r="NWS1" s="637"/>
      <c r="NWT1" s="637"/>
      <c r="NWU1" s="637"/>
      <c r="NWV1" s="637"/>
      <c r="NWW1" s="637"/>
      <c r="NWX1" s="637"/>
      <c r="NWY1" s="637"/>
      <c r="NWZ1" s="637"/>
      <c r="NXA1" s="637"/>
      <c r="NXB1" s="637"/>
      <c r="NXC1" s="637"/>
      <c r="NXD1" s="637"/>
      <c r="NXE1" s="637"/>
      <c r="NXF1" s="637"/>
      <c r="NXG1" s="637"/>
      <c r="NXH1" s="637"/>
      <c r="NXI1" s="637"/>
      <c r="NXJ1" s="637"/>
      <c r="NXK1" s="637"/>
      <c r="NXL1" s="637"/>
      <c r="NXM1" s="637"/>
      <c r="NXN1" s="637"/>
      <c r="NXO1" s="637"/>
      <c r="NXP1" s="637"/>
      <c r="NXQ1" s="637"/>
      <c r="NXR1" s="637"/>
      <c r="NXS1" s="637"/>
      <c r="NXT1" s="637"/>
      <c r="NXU1" s="637"/>
      <c r="NXV1" s="637"/>
      <c r="NXW1" s="637"/>
      <c r="NXX1" s="637"/>
      <c r="NXY1" s="637"/>
      <c r="NXZ1" s="637"/>
      <c r="NYA1" s="637"/>
      <c r="NYB1" s="637"/>
      <c r="NYC1" s="637"/>
      <c r="NYD1" s="637"/>
      <c r="NYE1" s="637"/>
      <c r="NYF1" s="637"/>
      <c r="NYG1" s="637"/>
      <c r="NYH1" s="637"/>
      <c r="NYI1" s="637"/>
      <c r="NYJ1" s="637"/>
      <c r="NYK1" s="637"/>
      <c r="NYL1" s="637"/>
      <c r="NYM1" s="637"/>
      <c r="NYN1" s="637"/>
      <c r="NYO1" s="637"/>
      <c r="NYP1" s="637"/>
      <c r="NYQ1" s="637"/>
      <c r="NYR1" s="637"/>
      <c r="NYS1" s="637"/>
      <c r="NYT1" s="637"/>
      <c r="NYU1" s="637"/>
      <c r="NYV1" s="637"/>
      <c r="NYW1" s="637"/>
      <c r="NYX1" s="637"/>
      <c r="NYY1" s="637"/>
      <c r="NYZ1" s="637"/>
      <c r="NZA1" s="637"/>
      <c r="NZB1" s="637"/>
      <c r="NZC1" s="637"/>
      <c r="NZD1" s="637"/>
      <c r="NZE1" s="637"/>
      <c r="NZF1" s="637"/>
      <c r="NZG1" s="637"/>
      <c r="NZH1" s="637"/>
      <c r="NZI1" s="637"/>
      <c r="NZJ1" s="637"/>
      <c r="NZK1" s="637"/>
      <c r="NZL1" s="637"/>
      <c r="NZM1" s="637"/>
      <c r="NZN1" s="637"/>
      <c r="NZO1" s="637"/>
      <c r="NZP1" s="637"/>
      <c r="NZQ1" s="637"/>
      <c r="NZR1" s="637"/>
      <c r="NZS1" s="637"/>
      <c r="NZT1" s="637"/>
      <c r="NZU1" s="637"/>
      <c r="NZV1" s="637"/>
      <c r="NZW1" s="637"/>
      <c r="NZX1" s="637"/>
      <c r="NZY1" s="637"/>
      <c r="NZZ1" s="637"/>
      <c r="OAA1" s="637"/>
      <c r="OAB1" s="637"/>
      <c r="OAC1" s="637"/>
      <c r="OAD1" s="637"/>
      <c r="OAE1" s="637"/>
      <c r="OAF1" s="637"/>
      <c r="OAG1" s="637"/>
      <c r="OAH1" s="637"/>
      <c r="OAI1" s="637"/>
      <c r="OAJ1" s="637"/>
      <c r="OAK1" s="637"/>
      <c r="OAL1" s="637"/>
      <c r="OAM1" s="637"/>
      <c r="OAN1" s="637"/>
      <c r="OAO1" s="637"/>
      <c r="OAP1" s="637"/>
      <c r="OAQ1" s="637"/>
      <c r="OAR1" s="637"/>
      <c r="OAS1" s="637"/>
      <c r="OAT1" s="637"/>
      <c r="OAU1" s="637"/>
      <c r="OAV1" s="637"/>
      <c r="OAW1" s="637"/>
      <c r="OAX1" s="637"/>
      <c r="OAY1" s="637"/>
      <c r="OAZ1" s="637"/>
      <c r="OBA1" s="637"/>
      <c r="OBB1" s="637"/>
      <c r="OBC1" s="637"/>
      <c r="OBD1" s="637"/>
      <c r="OBE1" s="637"/>
      <c r="OBF1" s="637"/>
      <c r="OBG1" s="637"/>
      <c r="OBH1" s="637"/>
      <c r="OBI1" s="637"/>
      <c r="OBJ1" s="637"/>
      <c r="OBK1" s="637"/>
      <c r="OBL1" s="637"/>
      <c r="OBM1" s="637"/>
      <c r="OBN1" s="637"/>
      <c r="OBO1" s="637"/>
      <c r="OBP1" s="637"/>
      <c r="OBQ1" s="637"/>
      <c r="OBR1" s="637"/>
      <c r="OBS1" s="637"/>
      <c r="OBT1" s="637"/>
      <c r="OBU1" s="637"/>
      <c r="OBV1" s="637"/>
      <c r="OBW1" s="637"/>
      <c r="OBX1" s="637"/>
      <c r="OBY1" s="637"/>
      <c r="OBZ1" s="637"/>
      <c r="OCA1" s="637"/>
      <c r="OCB1" s="637"/>
      <c r="OCC1" s="637"/>
      <c r="OCD1" s="637"/>
      <c r="OCE1" s="637"/>
      <c r="OCF1" s="637"/>
      <c r="OCG1" s="637"/>
      <c r="OCH1" s="637"/>
      <c r="OCI1" s="637"/>
      <c r="OCJ1" s="637"/>
      <c r="OCK1" s="637"/>
      <c r="OCL1" s="637"/>
      <c r="OCM1" s="637"/>
      <c r="OCN1" s="637"/>
      <c r="OCO1" s="637"/>
      <c r="OCP1" s="637"/>
      <c r="OCQ1" s="637"/>
      <c r="OCR1" s="637"/>
      <c r="OCS1" s="637"/>
      <c r="OCT1" s="637"/>
      <c r="OCU1" s="637"/>
      <c r="OCV1" s="637"/>
      <c r="OCW1" s="637"/>
      <c r="OCX1" s="637"/>
      <c r="OCY1" s="637"/>
      <c r="OCZ1" s="637"/>
      <c r="ODA1" s="637"/>
      <c r="ODB1" s="637"/>
      <c r="ODC1" s="637"/>
      <c r="ODD1" s="637"/>
      <c r="ODE1" s="637"/>
      <c r="ODF1" s="637"/>
      <c r="ODG1" s="637"/>
      <c r="ODH1" s="637"/>
      <c r="ODI1" s="637"/>
      <c r="ODJ1" s="637"/>
      <c r="ODK1" s="637"/>
      <c r="ODL1" s="637"/>
      <c r="ODM1" s="637"/>
      <c r="ODN1" s="637"/>
      <c r="ODO1" s="637"/>
      <c r="ODP1" s="637"/>
      <c r="ODQ1" s="637"/>
      <c r="ODR1" s="637"/>
      <c r="ODS1" s="637"/>
      <c r="ODT1" s="637"/>
      <c r="ODU1" s="637"/>
      <c r="ODV1" s="637"/>
      <c r="ODW1" s="637"/>
      <c r="ODX1" s="637"/>
      <c r="ODY1" s="637"/>
      <c r="ODZ1" s="637"/>
      <c r="OEA1" s="637"/>
      <c r="OEB1" s="637"/>
      <c r="OEC1" s="637"/>
      <c r="OED1" s="637"/>
      <c r="OEE1" s="637"/>
      <c r="OEF1" s="637"/>
      <c r="OEG1" s="637"/>
      <c r="OEH1" s="637"/>
      <c r="OEI1" s="637"/>
      <c r="OEJ1" s="637"/>
      <c r="OEK1" s="637"/>
      <c r="OEL1" s="637"/>
      <c r="OEM1" s="637"/>
      <c r="OEN1" s="637"/>
      <c r="OEO1" s="637"/>
      <c r="OEP1" s="637"/>
      <c r="OEQ1" s="637"/>
      <c r="OER1" s="637"/>
      <c r="OES1" s="637"/>
      <c r="OET1" s="637"/>
      <c r="OEU1" s="637"/>
      <c r="OEV1" s="637"/>
      <c r="OEW1" s="637"/>
      <c r="OEX1" s="637"/>
      <c r="OEY1" s="637"/>
      <c r="OEZ1" s="637"/>
      <c r="OFA1" s="637"/>
      <c r="OFB1" s="637"/>
      <c r="OFC1" s="637"/>
      <c r="OFD1" s="637"/>
      <c r="OFE1" s="637"/>
      <c r="OFF1" s="637"/>
      <c r="OFG1" s="637"/>
      <c r="OFH1" s="637"/>
      <c r="OFI1" s="637"/>
      <c r="OFJ1" s="637"/>
      <c r="OFK1" s="637"/>
      <c r="OFL1" s="637"/>
      <c r="OFM1" s="637"/>
      <c r="OFN1" s="637"/>
      <c r="OFO1" s="637"/>
      <c r="OFP1" s="637"/>
      <c r="OFQ1" s="637"/>
      <c r="OFR1" s="637"/>
      <c r="OFS1" s="637"/>
      <c r="OFT1" s="637"/>
      <c r="OFU1" s="637"/>
      <c r="OFV1" s="637"/>
      <c r="OFW1" s="637"/>
      <c r="OFX1" s="637"/>
      <c r="OFY1" s="637"/>
      <c r="OFZ1" s="637"/>
      <c r="OGA1" s="637"/>
      <c r="OGB1" s="637"/>
      <c r="OGC1" s="637"/>
      <c r="OGD1" s="637"/>
      <c r="OGE1" s="637"/>
      <c r="OGF1" s="637"/>
      <c r="OGG1" s="637"/>
      <c r="OGH1" s="637"/>
      <c r="OGI1" s="637"/>
      <c r="OGJ1" s="637"/>
      <c r="OGK1" s="637"/>
      <c r="OGL1" s="637"/>
      <c r="OGM1" s="637"/>
      <c r="OGN1" s="637"/>
      <c r="OGO1" s="637"/>
      <c r="OGP1" s="637"/>
      <c r="OGQ1" s="637"/>
      <c r="OGR1" s="637"/>
      <c r="OGS1" s="637"/>
      <c r="OGT1" s="637"/>
      <c r="OGU1" s="637"/>
      <c r="OGV1" s="637"/>
      <c r="OGW1" s="637"/>
      <c r="OGX1" s="637"/>
      <c r="OGY1" s="637"/>
      <c r="OGZ1" s="637"/>
      <c r="OHA1" s="637"/>
      <c r="OHB1" s="637"/>
      <c r="OHC1" s="637"/>
      <c r="OHD1" s="637"/>
      <c r="OHE1" s="637"/>
      <c r="OHF1" s="637"/>
      <c r="OHG1" s="637"/>
      <c r="OHH1" s="637"/>
      <c r="OHI1" s="637"/>
      <c r="OHJ1" s="637"/>
      <c r="OHK1" s="637"/>
      <c r="OHL1" s="637"/>
      <c r="OHM1" s="637"/>
      <c r="OHN1" s="637"/>
      <c r="OHO1" s="637"/>
      <c r="OHP1" s="637"/>
      <c r="OHQ1" s="637"/>
      <c r="OHR1" s="637"/>
      <c r="OHS1" s="637"/>
      <c r="OHT1" s="637"/>
      <c r="OHU1" s="637"/>
      <c r="OHV1" s="637"/>
      <c r="OHW1" s="637"/>
      <c r="OHX1" s="637"/>
      <c r="OHY1" s="637"/>
      <c r="OHZ1" s="637"/>
      <c r="OIA1" s="637"/>
      <c r="OIB1" s="637"/>
      <c r="OIC1" s="637"/>
      <c r="OID1" s="637"/>
      <c r="OIE1" s="637"/>
      <c r="OIF1" s="637"/>
      <c r="OIG1" s="637"/>
      <c r="OIH1" s="637"/>
      <c r="OII1" s="637"/>
      <c r="OIJ1" s="637"/>
      <c r="OIK1" s="637"/>
      <c r="OIL1" s="637"/>
      <c r="OIM1" s="637"/>
      <c r="OIN1" s="637"/>
      <c r="OIO1" s="637"/>
      <c r="OIP1" s="637"/>
      <c r="OIQ1" s="637"/>
      <c r="OIR1" s="637"/>
      <c r="OIS1" s="637"/>
      <c r="OIT1" s="637"/>
      <c r="OIU1" s="637"/>
      <c r="OIV1" s="637"/>
      <c r="OIW1" s="637"/>
      <c r="OIX1" s="637"/>
      <c r="OIY1" s="637"/>
      <c r="OIZ1" s="637"/>
      <c r="OJA1" s="637"/>
      <c r="OJB1" s="637"/>
      <c r="OJC1" s="637"/>
      <c r="OJD1" s="637"/>
      <c r="OJE1" s="637"/>
      <c r="OJF1" s="637"/>
      <c r="OJG1" s="637"/>
      <c r="OJH1" s="637"/>
      <c r="OJI1" s="637"/>
      <c r="OJJ1" s="637"/>
      <c r="OJK1" s="637"/>
      <c r="OJL1" s="637"/>
      <c r="OJM1" s="637"/>
      <c r="OJN1" s="637"/>
      <c r="OJO1" s="637"/>
      <c r="OJP1" s="637"/>
      <c r="OJQ1" s="637"/>
      <c r="OJR1" s="637"/>
      <c r="OJS1" s="637"/>
      <c r="OJT1" s="637"/>
      <c r="OJU1" s="637"/>
      <c r="OJV1" s="637"/>
      <c r="OJW1" s="637"/>
      <c r="OJX1" s="637"/>
      <c r="OJY1" s="637"/>
      <c r="OJZ1" s="637"/>
      <c r="OKA1" s="637"/>
      <c r="OKB1" s="637"/>
      <c r="OKC1" s="637"/>
      <c r="OKD1" s="637"/>
      <c r="OKE1" s="637"/>
      <c r="OKF1" s="637"/>
      <c r="OKG1" s="637"/>
      <c r="OKH1" s="637"/>
      <c r="OKI1" s="637"/>
      <c r="OKJ1" s="637"/>
      <c r="OKK1" s="637"/>
      <c r="OKL1" s="637"/>
      <c r="OKM1" s="637"/>
      <c r="OKN1" s="637"/>
      <c r="OKO1" s="637"/>
      <c r="OKP1" s="637"/>
      <c r="OKQ1" s="637"/>
      <c r="OKR1" s="637"/>
      <c r="OKS1" s="637"/>
      <c r="OKT1" s="637"/>
      <c r="OKU1" s="637"/>
      <c r="OKV1" s="637"/>
      <c r="OKW1" s="637"/>
      <c r="OKX1" s="637"/>
      <c r="OKY1" s="637"/>
      <c r="OKZ1" s="637"/>
      <c r="OLA1" s="637"/>
      <c r="OLB1" s="637"/>
      <c r="OLC1" s="637"/>
      <c r="OLD1" s="637"/>
      <c r="OLE1" s="637"/>
      <c r="OLF1" s="637"/>
      <c r="OLG1" s="637"/>
      <c r="OLH1" s="637"/>
      <c r="OLI1" s="637"/>
      <c r="OLJ1" s="637"/>
      <c r="OLK1" s="637"/>
      <c r="OLL1" s="637"/>
      <c r="OLM1" s="637"/>
      <c r="OLN1" s="637"/>
      <c r="OLO1" s="637"/>
      <c r="OLP1" s="637"/>
      <c r="OLQ1" s="637"/>
      <c r="OLR1" s="637"/>
      <c r="OLS1" s="637"/>
      <c r="OLT1" s="637"/>
      <c r="OLU1" s="637"/>
      <c r="OLV1" s="637"/>
      <c r="OLW1" s="637"/>
      <c r="OLX1" s="637"/>
      <c r="OLY1" s="637"/>
      <c r="OLZ1" s="637"/>
      <c r="OMA1" s="637"/>
      <c r="OMB1" s="637"/>
      <c r="OMC1" s="637"/>
      <c r="OMD1" s="637"/>
      <c r="OME1" s="637"/>
      <c r="OMF1" s="637"/>
      <c r="OMG1" s="637"/>
      <c r="OMH1" s="637"/>
      <c r="OMI1" s="637"/>
      <c r="OMJ1" s="637"/>
      <c r="OMK1" s="637"/>
      <c r="OML1" s="637"/>
      <c r="OMM1" s="637"/>
      <c r="OMN1" s="637"/>
      <c r="OMO1" s="637"/>
      <c r="OMP1" s="637"/>
      <c r="OMQ1" s="637"/>
      <c r="OMR1" s="637"/>
      <c r="OMS1" s="637"/>
      <c r="OMT1" s="637"/>
      <c r="OMU1" s="637"/>
      <c r="OMV1" s="637"/>
      <c r="OMW1" s="637"/>
      <c r="OMX1" s="637"/>
      <c r="OMY1" s="637"/>
      <c r="OMZ1" s="637"/>
      <c r="ONA1" s="637"/>
      <c r="ONB1" s="637"/>
      <c r="ONC1" s="637"/>
      <c r="OND1" s="637"/>
      <c r="ONE1" s="637"/>
      <c r="ONF1" s="637"/>
      <c r="ONG1" s="637"/>
      <c r="ONH1" s="637"/>
      <c r="ONI1" s="637"/>
      <c r="ONJ1" s="637"/>
      <c r="ONK1" s="637"/>
      <c r="ONL1" s="637"/>
      <c r="ONM1" s="637"/>
      <c r="ONN1" s="637"/>
      <c r="ONO1" s="637"/>
      <c r="ONP1" s="637"/>
      <c r="ONQ1" s="637"/>
      <c r="ONR1" s="637"/>
      <c r="ONS1" s="637"/>
      <c r="ONT1" s="637"/>
      <c r="ONU1" s="637"/>
      <c r="ONV1" s="637"/>
      <c r="ONW1" s="637"/>
      <c r="ONX1" s="637"/>
      <c r="ONY1" s="637"/>
      <c r="ONZ1" s="637"/>
      <c r="OOA1" s="637"/>
      <c r="OOB1" s="637"/>
      <c r="OOC1" s="637"/>
      <c r="OOD1" s="637"/>
      <c r="OOE1" s="637"/>
      <c r="OOF1" s="637"/>
      <c r="OOG1" s="637"/>
      <c r="OOH1" s="637"/>
      <c r="OOI1" s="637"/>
      <c r="OOJ1" s="637"/>
      <c r="OOK1" s="637"/>
      <c r="OOL1" s="637"/>
      <c r="OOM1" s="637"/>
      <c r="OON1" s="637"/>
      <c r="OOO1" s="637"/>
      <c r="OOP1" s="637"/>
      <c r="OOQ1" s="637"/>
      <c r="OOR1" s="637"/>
      <c r="OOS1" s="637"/>
      <c r="OOT1" s="637"/>
      <c r="OOU1" s="637"/>
      <c r="OOV1" s="637"/>
      <c r="OOW1" s="637"/>
      <c r="OOX1" s="637"/>
      <c r="OOY1" s="637"/>
      <c r="OOZ1" s="637"/>
      <c r="OPA1" s="637"/>
      <c r="OPB1" s="637"/>
      <c r="OPC1" s="637"/>
      <c r="OPD1" s="637"/>
      <c r="OPE1" s="637"/>
      <c r="OPF1" s="637"/>
      <c r="OPG1" s="637"/>
      <c r="OPH1" s="637"/>
      <c r="OPI1" s="637"/>
      <c r="OPJ1" s="637"/>
      <c r="OPK1" s="637"/>
      <c r="OPL1" s="637"/>
      <c r="OPM1" s="637"/>
      <c r="OPN1" s="637"/>
      <c r="OPO1" s="637"/>
      <c r="OPP1" s="637"/>
      <c r="OPQ1" s="637"/>
      <c r="OPR1" s="637"/>
      <c r="OPS1" s="637"/>
      <c r="OPT1" s="637"/>
      <c r="OPU1" s="637"/>
      <c r="OPV1" s="637"/>
      <c r="OPW1" s="637"/>
      <c r="OPX1" s="637"/>
      <c r="OPY1" s="637"/>
      <c r="OPZ1" s="637"/>
      <c r="OQA1" s="637"/>
      <c r="OQB1" s="637"/>
      <c r="OQC1" s="637"/>
      <c r="OQD1" s="637"/>
      <c r="OQE1" s="637"/>
      <c r="OQF1" s="637"/>
      <c r="OQG1" s="637"/>
      <c r="OQH1" s="637"/>
      <c r="OQI1" s="637"/>
      <c r="OQJ1" s="637"/>
      <c r="OQK1" s="637"/>
      <c r="OQL1" s="637"/>
      <c r="OQM1" s="637"/>
      <c r="OQN1" s="637"/>
      <c r="OQO1" s="637"/>
      <c r="OQP1" s="637"/>
      <c r="OQQ1" s="637"/>
      <c r="OQR1" s="637"/>
      <c r="OQS1" s="637"/>
      <c r="OQT1" s="637"/>
      <c r="OQU1" s="637"/>
      <c r="OQV1" s="637"/>
      <c r="OQW1" s="637"/>
      <c r="OQX1" s="637"/>
      <c r="OQY1" s="637"/>
      <c r="OQZ1" s="637"/>
      <c r="ORA1" s="637"/>
      <c r="ORB1" s="637"/>
      <c r="ORC1" s="637"/>
      <c r="ORD1" s="637"/>
      <c r="ORE1" s="637"/>
      <c r="ORF1" s="637"/>
      <c r="ORG1" s="637"/>
      <c r="ORH1" s="637"/>
      <c r="ORI1" s="637"/>
      <c r="ORJ1" s="637"/>
      <c r="ORK1" s="637"/>
      <c r="ORL1" s="637"/>
      <c r="ORM1" s="637"/>
      <c r="ORN1" s="637"/>
      <c r="ORO1" s="637"/>
      <c r="ORP1" s="637"/>
      <c r="ORQ1" s="637"/>
      <c r="ORR1" s="637"/>
      <c r="ORS1" s="637"/>
      <c r="ORT1" s="637"/>
      <c r="ORU1" s="637"/>
      <c r="ORV1" s="637"/>
      <c r="ORW1" s="637"/>
      <c r="ORX1" s="637"/>
      <c r="ORY1" s="637"/>
      <c r="ORZ1" s="637"/>
      <c r="OSA1" s="637"/>
      <c r="OSB1" s="637"/>
      <c r="OSC1" s="637"/>
      <c r="OSD1" s="637"/>
      <c r="OSE1" s="637"/>
      <c r="OSF1" s="637"/>
      <c r="OSG1" s="637"/>
      <c r="OSH1" s="637"/>
      <c r="OSI1" s="637"/>
      <c r="OSJ1" s="637"/>
      <c r="OSK1" s="637"/>
      <c r="OSL1" s="637"/>
      <c r="OSM1" s="637"/>
      <c r="OSN1" s="637"/>
      <c r="OSO1" s="637"/>
      <c r="OSP1" s="637"/>
      <c r="OSQ1" s="637"/>
      <c r="OSR1" s="637"/>
      <c r="OSS1" s="637"/>
      <c r="OST1" s="637"/>
      <c r="OSU1" s="637"/>
      <c r="OSV1" s="637"/>
      <c r="OSW1" s="637"/>
      <c r="OSX1" s="637"/>
      <c r="OSY1" s="637"/>
      <c r="OSZ1" s="637"/>
      <c r="OTA1" s="637"/>
      <c r="OTB1" s="637"/>
      <c r="OTC1" s="637"/>
      <c r="OTD1" s="637"/>
      <c r="OTE1" s="637"/>
      <c r="OTF1" s="637"/>
      <c r="OTG1" s="637"/>
      <c r="OTH1" s="637"/>
      <c r="OTI1" s="637"/>
      <c r="OTJ1" s="637"/>
      <c r="OTK1" s="637"/>
      <c r="OTL1" s="637"/>
      <c r="OTM1" s="637"/>
      <c r="OTN1" s="637"/>
      <c r="OTO1" s="637"/>
      <c r="OTP1" s="637"/>
      <c r="OTQ1" s="637"/>
      <c r="OTR1" s="637"/>
      <c r="OTS1" s="637"/>
      <c r="OTT1" s="637"/>
      <c r="OTU1" s="637"/>
      <c r="OTV1" s="637"/>
      <c r="OTW1" s="637"/>
      <c r="OTX1" s="637"/>
      <c r="OTY1" s="637"/>
      <c r="OTZ1" s="637"/>
      <c r="OUA1" s="637"/>
      <c r="OUB1" s="637"/>
      <c r="OUC1" s="637"/>
      <c r="OUD1" s="637"/>
      <c r="OUE1" s="637"/>
      <c r="OUF1" s="637"/>
      <c r="OUG1" s="637"/>
      <c r="OUH1" s="637"/>
      <c r="OUI1" s="637"/>
      <c r="OUJ1" s="637"/>
      <c r="OUK1" s="637"/>
      <c r="OUL1" s="637"/>
      <c r="OUM1" s="637"/>
      <c r="OUN1" s="637"/>
      <c r="OUO1" s="637"/>
      <c r="OUP1" s="637"/>
      <c r="OUQ1" s="637"/>
      <c r="OUR1" s="637"/>
      <c r="OUS1" s="637"/>
      <c r="OUT1" s="637"/>
      <c r="OUU1" s="637"/>
      <c r="OUV1" s="637"/>
      <c r="OUW1" s="637"/>
      <c r="OUX1" s="637"/>
      <c r="OUY1" s="637"/>
      <c r="OUZ1" s="637"/>
      <c r="OVA1" s="637"/>
      <c r="OVB1" s="637"/>
      <c r="OVC1" s="637"/>
      <c r="OVD1" s="637"/>
      <c r="OVE1" s="637"/>
      <c r="OVF1" s="637"/>
      <c r="OVG1" s="637"/>
      <c r="OVH1" s="637"/>
      <c r="OVI1" s="637"/>
      <c r="OVJ1" s="637"/>
      <c r="OVK1" s="637"/>
      <c r="OVL1" s="637"/>
      <c r="OVM1" s="637"/>
      <c r="OVN1" s="637"/>
      <c r="OVO1" s="637"/>
      <c r="OVP1" s="637"/>
      <c r="OVQ1" s="637"/>
      <c r="OVR1" s="637"/>
      <c r="OVS1" s="637"/>
      <c r="OVT1" s="637"/>
      <c r="OVU1" s="637"/>
      <c r="OVV1" s="637"/>
      <c r="OVW1" s="637"/>
      <c r="OVX1" s="637"/>
      <c r="OVY1" s="637"/>
      <c r="OVZ1" s="637"/>
      <c r="OWA1" s="637"/>
      <c r="OWB1" s="637"/>
      <c r="OWC1" s="637"/>
      <c r="OWD1" s="637"/>
      <c r="OWE1" s="637"/>
      <c r="OWF1" s="637"/>
      <c r="OWG1" s="637"/>
      <c r="OWH1" s="637"/>
      <c r="OWI1" s="637"/>
      <c r="OWJ1" s="637"/>
      <c r="OWK1" s="637"/>
      <c r="OWL1" s="637"/>
      <c r="OWM1" s="637"/>
      <c r="OWN1" s="637"/>
      <c r="OWO1" s="637"/>
      <c r="OWP1" s="637"/>
      <c r="OWQ1" s="637"/>
      <c r="OWR1" s="637"/>
      <c r="OWS1" s="637"/>
      <c r="OWT1" s="637"/>
      <c r="OWU1" s="637"/>
      <c r="OWV1" s="637"/>
      <c r="OWW1" s="637"/>
      <c r="OWX1" s="637"/>
      <c r="OWY1" s="637"/>
      <c r="OWZ1" s="637"/>
      <c r="OXA1" s="637"/>
      <c r="OXB1" s="637"/>
      <c r="OXC1" s="637"/>
      <c r="OXD1" s="637"/>
      <c r="OXE1" s="637"/>
      <c r="OXF1" s="637"/>
      <c r="OXG1" s="637"/>
      <c r="OXH1" s="637"/>
      <c r="OXI1" s="637"/>
      <c r="OXJ1" s="637"/>
      <c r="OXK1" s="637"/>
      <c r="OXL1" s="637"/>
      <c r="OXM1" s="637"/>
      <c r="OXN1" s="637"/>
      <c r="OXO1" s="637"/>
      <c r="OXP1" s="637"/>
      <c r="OXQ1" s="637"/>
      <c r="OXR1" s="637"/>
      <c r="OXS1" s="637"/>
      <c r="OXT1" s="637"/>
      <c r="OXU1" s="637"/>
      <c r="OXV1" s="637"/>
      <c r="OXW1" s="637"/>
      <c r="OXX1" s="637"/>
      <c r="OXY1" s="637"/>
      <c r="OXZ1" s="637"/>
      <c r="OYA1" s="637"/>
      <c r="OYB1" s="637"/>
      <c r="OYC1" s="637"/>
      <c r="OYD1" s="637"/>
      <c r="OYE1" s="637"/>
      <c r="OYF1" s="637"/>
      <c r="OYG1" s="637"/>
      <c r="OYH1" s="637"/>
      <c r="OYI1" s="637"/>
      <c r="OYJ1" s="637"/>
      <c r="OYK1" s="637"/>
      <c r="OYL1" s="637"/>
      <c r="OYM1" s="637"/>
      <c r="OYN1" s="637"/>
      <c r="OYO1" s="637"/>
      <c r="OYP1" s="637"/>
      <c r="OYQ1" s="637"/>
      <c r="OYR1" s="637"/>
      <c r="OYS1" s="637"/>
      <c r="OYT1" s="637"/>
      <c r="OYU1" s="637"/>
      <c r="OYV1" s="637"/>
      <c r="OYW1" s="637"/>
      <c r="OYX1" s="637"/>
      <c r="OYY1" s="637"/>
      <c r="OYZ1" s="637"/>
      <c r="OZA1" s="637"/>
      <c r="OZB1" s="637"/>
      <c r="OZC1" s="637"/>
      <c r="OZD1" s="637"/>
      <c r="OZE1" s="637"/>
      <c r="OZF1" s="637"/>
      <c r="OZG1" s="637"/>
      <c r="OZH1" s="637"/>
      <c r="OZI1" s="637"/>
      <c r="OZJ1" s="637"/>
      <c r="OZK1" s="637"/>
      <c r="OZL1" s="637"/>
      <c r="OZM1" s="637"/>
      <c r="OZN1" s="637"/>
      <c r="OZO1" s="637"/>
      <c r="OZP1" s="637"/>
      <c r="OZQ1" s="637"/>
      <c r="OZR1" s="637"/>
      <c r="OZS1" s="637"/>
      <c r="OZT1" s="637"/>
      <c r="OZU1" s="637"/>
      <c r="OZV1" s="637"/>
      <c r="OZW1" s="637"/>
      <c r="OZX1" s="637"/>
      <c r="OZY1" s="637"/>
      <c r="OZZ1" s="637"/>
      <c r="PAA1" s="637"/>
      <c r="PAB1" s="637"/>
      <c r="PAC1" s="637"/>
      <c r="PAD1" s="637"/>
      <c r="PAE1" s="637"/>
      <c r="PAF1" s="637"/>
      <c r="PAG1" s="637"/>
      <c r="PAH1" s="637"/>
      <c r="PAI1" s="637"/>
      <c r="PAJ1" s="637"/>
      <c r="PAK1" s="637"/>
      <c r="PAL1" s="637"/>
      <c r="PAM1" s="637"/>
      <c r="PAN1" s="637"/>
      <c r="PAO1" s="637"/>
      <c r="PAP1" s="637"/>
      <c r="PAQ1" s="637"/>
      <c r="PAR1" s="637"/>
      <c r="PAS1" s="637"/>
      <c r="PAT1" s="637"/>
      <c r="PAU1" s="637"/>
      <c r="PAV1" s="637"/>
      <c r="PAW1" s="637"/>
      <c r="PAX1" s="637"/>
      <c r="PAY1" s="637"/>
      <c r="PAZ1" s="637"/>
      <c r="PBA1" s="637"/>
      <c r="PBB1" s="637"/>
      <c r="PBC1" s="637"/>
      <c r="PBD1" s="637"/>
      <c r="PBE1" s="637"/>
      <c r="PBF1" s="637"/>
      <c r="PBG1" s="637"/>
      <c r="PBH1" s="637"/>
      <c r="PBI1" s="637"/>
      <c r="PBJ1" s="637"/>
      <c r="PBK1" s="637"/>
      <c r="PBL1" s="637"/>
      <c r="PBM1" s="637"/>
      <c r="PBN1" s="637"/>
      <c r="PBO1" s="637"/>
      <c r="PBP1" s="637"/>
      <c r="PBQ1" s="637"/>
      <c r="PBR1" s="637"/>
      <c r="PBS1" s="637"/>
      <c r="PBT1" s="637"/>
      <c r="PBU1" s="637"/>
      <c r="PBV1" s="637"/>
      <c r="PBW1" s="637"/>
      <c r="PBX1" s="637"/>
      <c r="PBY1" s="637"/>
      <c r="PBZ1" s="637"/>
      <c r="PCA1" s="637"/>
      <c r="PCB1" s="637"/>
      <c r="PCC1" s="637"/>
      <c r="PCD1" s="637"/>
      <c r="PCE1" s="637"/>
      <c r="PCF1" s="637"/>
      <c r="PCG1" s="637"/>
      <c r="PCH1" s="637"/>
      <c r="PCI1" s="637"/>
      <c r="PCJ1" s="637"/>
      <c r="PCK1" s="637"/>
      <c r="PCL1" s="637"/>
      <c r="PCM1" s="637"/>
      <c r="PCN1" s="637"/>
      <c r="PCO1" s="637"/>
      <c r="PCP1" s="637"/>
      <c r="PCQ1" s="637"/>
      <c r="PCR1" s="637"/>
      <c r="PCS1" s="637"/>
      <c r="PCT1" s="637"/>
      <c r="PCU1" s="637"/>
      <c r="PCV1" s="637"/>
      <c r="PCW1" s="637"/>
      <c r="PCX1" s="637"/>
      <c r="PCY1" s="637"/>
      <c r="PCZ1" s="637"/>
      <c r="PDA1" s="637"/>
      <c r="PDB1" s="637"/>
      <c r="PDC1" s="637"/>
      <c r="PDD1" s="637"/>
      <c r="PDE1" s="637"/>
      <c r="PDF1" s="637"/>
      <c r="PDG1" s="637"/>
      <c r="PDH1" s="637"/>
      <c r="PDI1" s="637"/>
      <c r="PDJ1" s="637"/>
      <c r="PDK1" s="637"/>
      <c r="PDL1" s="637"/>
      <c r="PDM1" s="637"/>
      <c r="PDN1" s="637"/>
      <c r="PDO1" s="637"/>
      <c r="PDP1" s="637"/>
      <c r="PDQ1" s="637"/>
      <c r="PDR1" s="637"/>
      <c r="PDS1" s="637"/>
      <c r="PDT1" s="637"/>
      <c r="PDU1" s="637"/>
      <c r="PDV1" s="637"/>
      <c r="PDW1" s="637"/>
      <c r="PDX1" s="637"/>
      <c r="PDY1" s="637"/>
      <c r="PDZ1" s="637"/>
      <c r="PEA1" s="637"/>
      <c r="PEB1" s="637"/>
      <c r="PEC1" s="637"/>
      <c r="PED1" s="637"/>
      <c r="PEE1" s="637"/>
      <c r="PEF1" s="637"/>
      <c r="PEG1" s="637"/>
      <c r="PEH1" s="637"/>
      <c r="PEI1" s="637"/>
      <c r="PEJ1" s="637"/>
      <c r="PEK1" s="637"/>
      <c r="PEL1" s="637"/>
      <c r="PEM1" s="637"/>
      <c r="PEN1" s="637"/>
      <c r="PEO1" s="637"/>
      <c r="PEP1" s="637"/>
      <c r="PEQ1" s="637"/>
      <c r="PER1" s="637"/>
      <c r="PES1" s="637"/>
      <c r="PET1" s="637"/>
      <c r="PEU1" s="637"/>
      <c r="PEV1" s="637"/>
      <c r="PEW1" s="637"/>
      <c r="PEX1" s="637"/>
      <c r="PEY1" s="637"/>
      <c r="PEZ1" s="637"/>
      <c r="PFA1" s="637"/>
      <c r="PFB1" s="637"/>
      <c r="PFC1" s="637"/>
      <c r="PFD1" s="637"/>
      <c r="PFE1" s="637"/>
      <c r="PFF1" s="637"/>
      <c r="PFG1" s="637"/>
      <c r="PFH1" s="637"/>
      <c r="PFI1" s="637"/>
      <c r="PFJ1" s="637"/>
      <c r="PFK1" s="637"/>
      <c r="PFL1" s="637"/>
      <c r="PFM1" s="637"/>
      <c r="PFN1" s="637"/>
      <c r="PFO1" s="637"/>
      <c r="PFP1" s="637"/>
      <c r="PFQ1" s="637"/>
      <c r="PFR1" s="637"/>
      <c r="PFS1" s="637"/>
      <c r="PFT1" s="637"/>
      <c r="PFU1" s="637"/>
      <c r="PFV1" s="637"/>
      <c r="PFW1" s="637"/>
      <c r="PFX1" s="637"/>
      <c r="PFY1" s="637"/>
      <c r="PFZ1" s="637"/>
      <c r="PGA1" s="637"/>
      <c r="PGB1" s="637"/>
      <c r="PGC1" s="637"/>
      <c r="PGD1" s="637"/>
      <c r="PGE1" s="637"/>
      <c r="PGF1" s="637"/>
      <c r="PGG1" s="637"/>
      <c r="PGH1" s="637"/>
      <c r="PGI1" s="637"/>
      <c r="PGJ1" s="637"/>
      <c r="PGK1" s="637"/>
      <c r="PGL1" s="637"/>
      <c r="PGM1" s="637"/>
      <c r="PGN1" s="637"/>
      <c r="PGO1" s="637"/>
      <c r="PGP1" s="637"/>
      <c r="PGQ1" s="637"/>
      <c r="PGR1" s="637"/>
      <c r="PGS1" s="637"/>
      <c r="PGT1" s="637"/>
      <c r="PGU1" s="637"/>
      <c r="PGV1" s="637"/>
      <c r="PGW1" s="637"/>
      <c r="PGX1" s="637"/>
      <c r="PGY1" s="637"/>
      <c r="PGZ1" s="637"/>
      <c r="PHA1" s="637"/>
      <c r="PHB1" s="637"/>
      <c r="PHC1" s="637"/>
      <c r="PHD1" s="637"/>
      <c r="PHE1" s="637"/>
      <c r="PHF1" s="637"/>
      <c r="PHG1" s="637"/>
      <c r="PHH1" s="637"/>
      <c r="PHI1" s="637"/>
      <c r="PHJ1" s="637"/>
      <c r="PHK1" s="637"/>
      <c r="PHL1" s="637"/>
      <c r="PHM1" s="637"/>
      <c r="PHN1" s="637"/>
      <c r="PHO1" s="637"/>
      <c r="PHP1" s="637"/>
      <c r="PHQ1" s="637"/>
      <c r="PHR1" s="637"/>
      <c r="PHS1" s="637"/>
      <c r="PHT1" s="637"/>
      <c r="PHU1" s="637"/>
      <c r="PHV1" s="637"/>
      <c r="PHW1" s="637"/>
      <c r="PHX1" s="637"/>
      <c r="PHY1" s="637"/>
      <c r="PHZ1" s="637"/>
      <c r="PIA1" s="637"/>
      <c r="PIB1" s="637"/>
      <c r="PIC1" s="637"/>
      <c r="PID1" s="637"/>
      <c r="PIE1" s="637"/>
      <c r="PIF1" s="637"/>
      <c r="PIG1" s="637"/>
      <c r="PIH1" s="637"/>
      <c r="PII1" s="637"/>
      <c r="PIJ1" s="637"/>
      <c r="PIK1" s="637"/>
      <c r="PIL1" s="637"/>
      <c r="PIM1" s="637"/>
      <c r="PIN1" s="637"/>
      <c r="PIO1" s="637"/>
      <c r="PIP1" s="637"/>
      <c r="PIQ1" s="637"/>
      <c r="PIR1" s="637"/>
      <c r="PIS1" s="637"/>
      <c r="PIT1" s="637"/>
      <c r="PIU1" s="637"/>
      <c r="PIV1" s="637"/>
      <c r="PIW1" s="637"/>
      <c r="PIX1" s="637"/>
      <c r="PIY1" s="637"/>
      <c r="PIZ1" s="637"/>
      <c r="PJA1" s="637"/>
      <c r="PJB1" s="637"/>
      <c r="PJC1" s="637"/>
      <c r="PJD1" s="637"/>
      <c r="PJE1" s="637"/>
      <c r="PJF1" s="637"/>
      <c r="PJG1" s="637"/>
      <c r="PJH1" s="637"/>
      <c r="PJI1" s="637"/>
      <c r="PJJ1" s="637"/>
      <c r="PJK1" s="637"/>
      <c r="PJL1" s="637"/>
      <c r="PJM1" s="637"/>
      <c r="PJN1" s="637"/>
      <c r="PJO1" s="637"/>
      <c r="PJP1" s="637"/>
      <c r="PJQ1" s="637"/>
      <c r="PJR1" s="637"/>
      <c r="PJS1" s="637"/>
      <c r="PJT1" s="637"/>
      <c r="PJU1" s="637"/>
      <c r="PJV1" s="637"/>
      <c r="PJW1" s="637"/>
      <c r="PJX1" s="637"/>
      <c r="PJY1" s="637"/>
      <c r="PJZ1" s="637"/>
      <c r="PKA1" s="637"/>
      <c r="PKB1" s="637"/>
      <c r="PKC1" s="637"/>
      <c r="PKD1" s="637"/>
      <c r="PKE1" s="637"/>
      <c r="PKF1" s="637"/>
      <c r="PKG1" s="637"/>
      <c r="PKH1" s="637"/>
      <c r="PKI1" s="637"/>
      <c r="PKJ1" s="637"/>
      <c r="PKK1" s="637"/>
      <c r="PKL1" s="637"/>
      <c r="PKM1" s="637"/>
      <c r="PKN1" s="637"/>
      <c r="PKO1" s="637"/>
      <c r="PKP1" s="637"/>
      <c r="PKQ1" s="637"/>
      <c r="PKR1" s="637"/>
      <c r="PKS1" s="637"/>
      <c r="PKT1" s="637"/>
      <c r="PKU1" s="637"/>
      <c r="PKV1" s="637"/>
      <c r="PKW1" s="637"/>
      <c r="PKX1" s="637"/>
      <c r="PKY1" s="637"/>
      <c r="PKZ1" s="637"/>
      <c r="PLA1" s="637"/>
      <c r="PLB1" s="637"/>
      <c r="PLC1" s="637"/>
      <c r="PLD1" s="637"/>
      <c r="PLE1" s="637"/>
      <c r="PLF1" s="637"/>
      <c r="PLG1" s="637"/>
      <c r="PLH1" s="637"/>
      <c r="PLI1" s="637"/>
      <c r="PLJ1" s="637"/>
      <c r="PLK1" s="637"/>
      <c r="PLL1" s="637"/>
      <c r="PLM1" s="637"/>
      <c r="PLN1" s="637"/>
      <c r="PLO1" s="637"/>
      <c r="PLP1" s="637"/>
      <c r="PLQ1" s="637"/>
      <c r="PLR1" s="637"/>
      <c r="PLS1" s="637"/>
      <c r="PLT1" s="637"/>
      <c r="PLU1" s="637"/>
      <c r="PLV1" s="637"/>
      <c r="PLW1" s="637"/>
      <c r="PLX1" s="637"/>
      <c r="PLY1" s="637"/>
      <c r="PLZ1" s="637"/>
      <c r="PMA1" s="637"/>
      <c r="PMB1" s="637"/>
      <c r="PMC1" s="637"/>
      <c r="PMD1" s="637"/>
      <c r="PME1" s="637"/>
      <c r="PMF1" s="637"/>
      <c r="PMG1" s="637"/>
      <c r="PMH1" s="637"/>
      <c r="PMI1" s="637"/>
      <c r="PMJ1" s="637"/>
      <c r="PMK1" s="637"/>
      <c r="PML1" s="637"/>
      <c r="PMM1" s="637"/>
      <c r="PMN1" s="637"/>
      <c r="PMO1" s="637"/>
      <c r="PMP1" s="637"/>
      <c r="PMQ1" s="637"/>
      <c r="PMR1" s="637"/>
      <c r="PMS1" s="637"/>
      <c r="PMT1" s="637"/>
      <c r="PMU1" s="637"/>
      <c r="PMV1" s="637"/>
      <c r="PMW1" s="637"/>
      <c r="PMX1" s="637"/>
      <c r="PMY1" s="637"/>
      <c r="PMZ1" s="637"/>
      <c r="PNA1" s="637"/>
      <c r="PNB1" s="637"/>
      <c r="PNC1" s="637"/>
      <c r="PND1" s="637"/>
      <c r="PNE1" s="637"/>
      <c r="PNF1" s="637"/>
      <c r="PNG1" s="637"/>
      <c r="PNH1" s="637"/>
      <c r="PNI1" s="637"/>
      <c r="PNJ1" s="637"/>
      <c r="PNK1" s="637"/>
      <c r="PNL1" s="637"/>
      <c r="PNM1" s="637"/>
      <c r="PNN1" s="637"/>
      <c r="PNO1" s="637"/>
      <c r="PNP1" s="637"/>
      <c r="PNQ1" s="637"/>
      <c r="PNR1" s="637"/>
      <c r="PNS1" s="637"/>
      <c r="PNT1" s="637"/>
      <c r="PNU1" s="637"/>
      <c r="PNV1" s="637"/>
      <c r="PNW1" s="637"/>
      <c r="PNX1" s="637"/>
      <c r="PNY1" s="637"/>
      <c r="PNZ1" s="637"/>
      <c r="POA1" s="637"/>
      <c r="POB1" s="637"/>
      <c r="POC1" s="637"/>
      <c r="POD1" s="637"/>
      <c r="POE1" s="637"/>
      <c r="POF1" s="637"/>
      <c r="POG1" s="637"/>
      <c r="POH1" s="637"/>
      <c r="POI1" s="637"/>
      <c r="POJ1" s="637"/>
      <c r="POK1" s="637"/>
      <c r="POL1" s="637"/>
      <c r="POM1" s="637"/>
      <c r="PON1" s="637"/>
      <c r="POO1" s="637"/>
      <c r="POP1" s="637"/>
      <c r="POQ1" s="637"/>
      <c r="POR1" s="637"/>
      <c r="POS1" s="637"/>
      <c r="POT1" s="637"/>
      <c r="POU1" s="637"/>
      <c r="POV1" s="637"/>
      <c r="POW1" s="637"/>
      <c r="POX1" s="637"/>
      <c r="POY1" s="637"/>
      <c r="POZ1" s="637"/>
      <c r="PPA1" s="637"/>
      <c r="PPB1" s="637"/>
      <c r="PPC1" s="637"/>
      <c r="PPD1" s="637"/>
      <c r="PPE1" s="637"/>
      <c r="PPF1" s="637"/>
      <c r="PPG1" s="637"/>
      <c r="PPH1" s="637"/>
      <c r="PPI1" s="637"/>
      <c r="PPJ1" s="637"/>
      <c r="PPK1" s="637"/>
      <c r="PPL1" s="637"/>
      <c r="PPM1" s="637"/>
      <c r="PPN1" s="637"/>
      <c r="PPO1" s="637"/>
      <c r="PPP1" s="637"/>
      <c r="PPQ1" s="637"/>
      <c r="PPR1" s="637"/>
      <c r="PPS1" s="637"/>
      <c r="PPT1" s="637"/>
      <c r="PPU1" s="637"/>
      <c r="PPV1" s="637"/>
      <c r="PPW1" s="637"/>
      <c r="PPX1" s="637"/>
      <c r="PPY1" s="637"/>
      <c r="PPZ1" s="637"/>
      <c r="PQA1" s="637"/>
      <c r="PQB1" s="637"/>
      <c r="PQC1" s="637"/>
      <c r="PQD1" s="637"/>
      <c r="PQE1" s="637"/>
      <c r="PQF1" s="637"/>
      <c r="PQG1" s="637"/>
      <c r="PQH1" s="637"/>
      <c r="PQI1" s="637"/>
      <c r="PQJ1" s="637"/>
      <c r="PQK1" s="637"/>
      <c r="PQL1" s="637"/>
      <c r="PQM1" s="637"/>
      <c r="PQN1" s="637"/>
      <c r="PQO1" s="637"/>
      <c r="PQP1" s="637"/>
      <c r="PQQ1" s="637"/>
      <c r="PQR1" s="637"/>
      <c r="PQS1" s="637"/>
      <c r="PQT1" s="637"/>
      <c r="PQU1" s="637"/>
      <c r="PQV1" s="637"/>
      <c r="PQW1" s="637"/>
      <c r="PQX1" s="637"/>
      <c r="PQY1" s="637"/>
      <c r="PQZ1" s="637"/>
      <c r="PRA1" s="637"/>
      <c r="PRB1" s="637"/>
      <c r="PRC1" s="637"/>
      <c r="PRD1" s="637"/>
      <c r="PRE1" s="637"/>
      <c r="PRF1" s="637"/>
      <c r="PRG1" s="637"/>
      <c r="PRH1" s="637"/>
      <c r="PRI1" s="637"/>
      <c r="PRJ1" s="637"/>
      <c r="PRK1" s="637"/>
      <c r="PRL1" s="637"/>
      <c r="PRM1" s="637"/>
      <c r="PRN1" s="637"/>
      <c r="PRO1" s="637"/>
      <c r="PRP1" s="637"/>
      <c r="PRQ1" s="637"/>
      <c r="PRR1" s="637"/>
      <c r="PRS1" s="637"/>
      <c r="PRT1" s="637"/>
      <c r="PRU1" s="637"/>
      <c r="PRV1" s="637"/>
      <c r="PRW1" s="637"/>
      <c r="PRX1" s="637"/>
      <c r="PRY1" s="637"/>
      <c r="PRZ1" s="637"/>
      <c r="PSA1" s="637"/>
      <c r="PSB1" s="637"/>
      <c r="PSC1" s="637"/>
      <c r="PSD1" s="637"/>
      <c r="PSE1" s="637"/>
      <c r="PSF1" s="637"/>
      <c r="PSG1" s="637"/>
      <c r="PSH1" s="637"/>
      <c r="PSI1" s="637"/>
      <c r="PSJ1" s="637"/>
      <c r="PSK1" s="637"/>
      <c r="PSL1" s="637"/>
      <c r="PSM1" s="637"/>
      <c r="PSN1" s="637"/>
      <c r="PSO1" s="637"/>
      <c r="PSP1" s="637"/>
      <c r="PSQ1" s="637"/>
      <c r="PSR1" s="637"/>
      <c r="PSS1" s="637"/>
      <c r="PST1" s="637"/>
      <c r="PSU1" s="637"/>
      <c r="PSV1" s="637"/>
      <c r="PSW1" s="637"/>
      <c r="PSX1" s="637"/>
      <c r="PSY1" s="637"/>
      <c r="PSZ1" s="637"/>
      <c r="PTA1" s="637"/>
      <c r="PTB1" s="637"/>
      <c r="PTC1" s="637"/>
      <c r="PTD1" s="637"/>
      <c r="PTE1" s="637"/>
      <c r="PTF1" s="637"/>
      <c r="PTG1" s="637"/>
      <c r="PTH1" s="637"/>
      <c r="PTI1" s="637"/>
      <c r="PTJ1" s="637"/>
      <c r="PTK1" s="637"/>
      <c r="PTL1" s="637"/>
      <c r="PTM1" s="637"/>
      <c r="PTN1" s="637"/>
      <c r="PTO1" s="637"/>
      <c r="PTP1" s="637"/>
      <c r="PTQ1" s="637"/>
      <c r="PTR1" s="637"/>
      <c r="PTS1" s="637"/>
      <c r="PTT1" s="637"/>
      <c r="PTU1" s="637"/>
      <c r="PTV1" s="637"/>
      <c r="PTW1" s="637"/>
      <c r="PTX1" s="637"/>
      <c r="PTY1" s="637"/>
      <c r="PTZ1" s="637"/>
      <c r="PUA1" s="637"/>
      <c r="PUB1" s="637"/>
      <c r="PUC1" s="637"/>
      <c r="PUD1" s="637"/>
      <c r="PUE1" s="637"/>
      <c r="PUF1" s="637"/>
      <c r="PUG1" s="637"/>
      <c r="PUH1" s="637"/>
      <c r="PUI1" s="637"/>
      <c r="PUJ1" s="637"/>
      <c r="PUK1" s="637"/>
      <c r="PUL1" s="637"/>
      <c r="PUM1" s="637"/>
      <c r="PUN1" s="637"/>
      <c r="PUO1" s="637"/>
      <c r="PUP1" s="637"/>
      <c r="PUQ1" s="637"/>
      <c r="PUR1" s="637"/>
      <c r="PUS1" s="637"/>
      <c r="PUT1" s="637"/>
      <c r="PUU1" s="637"/>
      <c r="PUV1" s="637"/>
      <c r="PUW1" s="637"/>
      <c r="PUX1" s="637"/>
      <c r="PUY1" s="637"/>
      <c r="PUZ1" s="637"/>
      <c r="PVA1" s="637"/>
      <c r="PVB1" s="637"/>
      <c r="PVC1" s="637"/>
      <c r="PVD1" s="637"/>
      <c r="PVE1" s="637"/>
      <c r="PVF1" s="637"/>
      <c r="PVG1" s="637"/>
      <c r="PVH1" s="637"/>
      <c r="PVI1" s="637"/>
      <c r="PVJ1" s="637"/>
      <c r="PVK1" s="637"/>
      <c r="PVL1" s="637"/>
      <c r="PVM1" s="637"/>
      <c r="PVN1" s="637"/>
      <c r="PVO1" s="637"/>
      <c r="PVP1" s="637"/>
      <c r="PVQ1" s="637"/>
      <c r="PVR1" s="637"/>
      <c r="PVS1" s="637"/>
      <c r="PVT1" s="637"/>
      <c r="PVU1" s="637"/>
      <c r="PVV1" s="637"/>
      <c r="PVW1" s="637"/>
      <c r="PVX1" s="637"/>
      <c r="PVY1" s="637"/>
      <c r="PVZ1" s="637"/>
      <c r="PWA1" s="637"/>
      <c r="PWB1" s="637"/>
      <c r="PWC1" s="637"/>
      <c r="PWD1" s="637"/>
      <c r="PWE1" s="637"/>
      <c r="PWF1" s="637"/>
      <c r="PWG1" s="637"/>
      <c r="PWH1" s="637"/>
      <c r="PWI1" s="637"/>
      <c r="PWJ1" s="637"/>
      <c r="PWK1" s="637"/>
      <c r="PWL1" s="637"/>
      <c r="PWM1" s="637"/>
      <c r="PWN1" s="637"/>
      <c r="PWO1" s="637"/>
      <c r="PWP1" s="637"/>
      <c r="PWQ1" s="637"/>
      <c r="PWR1" s="637"/>
      <c r="PWS1" s="637"/>
      <c r="PWT1" s="637"/>
      <c r="PWU1" s="637"/>
      <c r="PWV1" s="637"/>
      <c r="PWW1" s="637"/>
      <c r="PWX1" s="637"/>
      <c r="PWY1" s="637"/>
      <c r="PWZ1" s="637"/>
      <c r="PXA1" s="637"/>
      <c r="PXB1" s="637"/>
      <c r="PXC1" s="637"/>
      <c r="PXD1" s="637"/>
      <c r="PXE1" s="637"/>
      <c r="PXF1" s="637"/>
      <c r="PXG1" s="637"/>
      <c r="PXH1" s="637"/>
      <c r="PXI1" s="637"/>
      <c r="PXJ1" s="637"/>
      <c r="PXK1" s="637"/>
      <c r="PXL1" s="637"/>
      <c r="PXM1" s="637"/>
      <c r="PXN1" s="637"/>
      <c r="PXO1" s="637"/>
      <c r="PXP1" s="637"/>
      <c r="PXQ1" s="637"/>
      <c r="PXR1" s="637"/>
      <c r="PXS1" s="637"/>
      <c r="PXT1" s="637"/>
      <c r="PXU1" s="637"/>
      <c r="PXV1" s="637"/>
      <c r="PXW1" s="637"/>
      <c r="PXX1" s="637"/>
      <c r="PXY1" s="637"/>
      <c r="PXZ1" s="637"/>
      <c r="PYA1" s="637"/>
      <c r="PYB1" s="637"/>
      <c r="PYC1" s="637"/>
      <c r="PYD1" s="637"/>
      <c r="PYE1" s="637"/>
      <c r="PYF1" s="637"/>
      <c r="PYG1" s="637"/>
      <c r="PYH1" s="637"/>
      <c r="PYI1" s="637"/>
      <c r="PYJ1" s="637"/>
      <c r="PYK1" s="637"/>
      <c r="PYL1" s="637"/>
      <c r="PYM1" s="637"/>
      <c r="PYN1" s="637"/>
      <c r="PYO1" s="637"/>
      <c r="PYP1" s="637"/>
      <c r="PYQ1" s="637"/>
      <c r="PYR1" s="637"/>
      <c r="PYS1" s="637"/>
      <c r="PYT1" s="637"/>
      <c r="PYU1" s="637"/>
      <c r="PYV1" s="637"/>
      <c r="PYW1" s="637"/>
      <c r="PYX1" s="637"/>
      <c r="PYY1" s="637"/>
      <c r="PYZ1" s="637"/>
      <c r="PZA1" s="637"/>
      <c r="PZB1" s="637"/>
      <c r="PZC1" s="637"/>
      <c r="PZD1" s="637"/>
      <c r="PZE1" s="637"/>
      <c r="PZF1" s="637"/>
      <c r="PZG1" s="637"/>
      <c r="PZH1" s="637"/>
      <c r="PZI1" s="637"/>
      <c r="PZJ1" s="637"/>
      <c r="PZK1" s="637"/>
      <c r="PZL1" s="637"/>
      <c r="PZM1" s="637"/>
      <c r="PZN1" s="637"/>
      <c r="PZO1" s="637"/>
      <c r="PZP1" s="637"/>
      <c r="PZQ1" s="637"/>
      <c r="PZR1" s="637"/>
      <c r="PZS1" s="637"/>
      <c r="PZT1" s="637"/>
      <c r="PZU1" s="637"/>
      <c r="PZV1" s="637"/>
      <c r="PZW1" s="637"/>
      <c r="PZX1" s="637"/>
      <c r="PZY1" s="637"/>
      <c r="PZZ1" s="637"/>
      <c r="QAA1" s="637"/>
      <c r="QAB1" s="637"/>
      <c r="QAC1" s="637"/>
      <c r="QAD1" s="637"/>
      <c r="QAE1" s="637"/>
      <c r="QAF1" s="637"/>
      <c r="QAG1" s="637"/>
      <c r="QAH1" s="637"/>
      <c r="QAI1" s="637"/>
      <c r="QAJ1" s="637"/>
      <c r="QAK1" s="637"/>
      <c r="QAL1" s="637"/>
      <c r="QAM1" s="637"/>
      <c r="QAN1" s="637"/>
      <c r="QAO1" s="637"/>
      <c r="QAP1" s="637"/>
      <c r="QAQ1" s="637"/>
      <c r="QAR1" s="637"/>
      <c r="QAS1" s="637"/>
      <c r="QAT1" s="637"/>
      <c r="QAU1" s="637"/>
      <c r="QAV1" s="637"/>
      <c r="QAW1" s="637"/>
      <c r="QAX1" s="637"/>
      <c r="QAY1" s="637"/>
      <c r="QAZ1" s="637"/>
      <c r="QBA1" s="637"/>
      <c r="QBB1" s="637"/>
      <c r="QBC1" s="637"/>
      <c r="QBD1" s="637"/>
      <c r="QBE1" s="637"/>
      <c r="QBF1" s="637"/>
      <c r="QBG1" s="637"/>
      <c r="QBH1" s="637"/>
      <c r="QBI1" s="637"/>
      <c r="QBJ1" s="637"/>
      <c r="QBK1" s="637"/>
      <c r="QBL1" s="637"/>
      <c r="QBM1" s="637"/>
      <c r="QBN1" s="637"/>
      <c r="QBO1" s="637"/>
      <c r="QBP1" s="637"/>
      <c r="QBQ1" s="637"/>
      <c r="QBR1" s="637"/>
      <c r="QBS1" s="637"/>
      <c r="QBT1" s="637"/>
      <c r="QBU1" s="637"/>
      <c r="QBV1" s="637"/>
      <c r="QBW1" s="637"/>
      <c r="QBX1" s="637"/>
      <c r="QBY1" s="637"/>
      <c r="QBZ1" s="637"/>
      <c r="QCA1" s="637"/>
      <c r="QCB1" s="637"/>
      <c r="QCC1" s="637"/>
      <c r="QCD1" s="637"/>
      <c r="QCE1" s="637"/>
      <c r="QCF1" s="637"/>
      <c r="QCG1" s="637"/>
      <c r="QCH1" s="637"/>
      <c r="QCI1" s="637"/>
      <c r="QCJ1" s="637"/>
      <c r="QCK1" s="637"/>
      <c r="QCL1" s="637"/>
      <c r="QCM1" s="637"/>
      <c r="QCN1" s="637"/>
      <c r="QCO1" s="637"/>
      <c r="QCP1" s="637"/>
      <c r="QCQ1" s="637"/>
      <c r="QCR1" s="637"/>
      <c r="QCS1" s="637"/>
      <c r="QCT1" s="637"/>
      <c r="QCU1" s="637"/>
      <c r="QCV1" s="637"/>
      <c r="QCW1" s="637"/>
      <c r="QCX1" s="637"/>
      <c r="QCY1" s="637"/>
      <c r="QCZ1" s="637"/>
      <c r="QDA1" s="637"/>
      <c r="QDB1" s="637"/>
      <c r="QDC1" s="637"/>
      <c r="QDD1" s="637"/>
      <c r="QDE1" s="637"/>
      <c r="QDF1" s="637"/>
      <c r="QDG1" s="637"/>
      <c r="QDH1" s="637"/>
      <c r="QDI1" s="637"/>
      <c r="QDJ1" s="637"/>
      <c r="QDK1" s="637"/>
      <c r="QDL1" s="637"/>
      <c r="QDM1" s="637"/>
      <c r="QDN1" s="637"/>
      <c r="QDO1" s="637"/>
      <c r="QDP1" s="637"/>
      <c r="QDQ1" s="637"/>
      <c r="QDR1" s="637"/>
      <c r="QDS1" s="637"/>
      <c r="QDT1" s="637"/>
      <c r="QDU1" s="637"/>
      <c r="QDV1" s="637"/>
      <c r="QDW1" s="637"/>
      <c r="QDX1" s="637"/>
      <c r="QDY1" s="637"/>
      <c r="QDZ1" s="637"/>
      <c r="QEA1" s="637"/>
      <c r="QEB1" s="637"/>
      <c r="QEC1" s="637"/>
      <c r="QED1" s="637"/>
      <c r="QEE1" s="637"/>
      <c r="QEF1" s="637"/>
      <c r="QEG1" s="637"/>
      <c r="QEH1" s="637"/>
      <c r="QEI1" s="637"/>
      <c r="QEJ1" s="637"/>
      <c r="QEK1" s="637"/>
      <c r="QEL1" s="637"/>
      <c r="QEM1" s="637"/>
      <c r="QEN1" s="637"/>
      <c r="QEO1" s="637"/>
      <c r="QEP1" s="637"/>
      <c r="QEQ1" s="637"/>
      <c r="QER1" s="637"/>
      <c r="QES1" s="637"/>
      <c r="QET1" s="637"/>
      <c r="QEU1" s="637"/>
      <c r="QEV1" s="637"/>
      <c r="QEW1" s="637"/>
      <c r="QEX1" s="637"/>
      <c r="QEY1" s="637"/>
      <c r="QEZ1" s="637"/>
      <c r="QFA1" s="637"/>
      <c r="QFB1" s="637"/>
      <c r="QFC1" s="637"/>
      <c r="QFD1" s="637"/>
      <c r="QFE1" s="637"/>
      <c r="QFF1" s="637"/>
      <c r="QFG1" s="637"/>
      <c r="QFH1" s="637"/>
      <c r="QFI1" s="637"/>
      <c r="QFJ1" s="637"/>
      <c r="QFK1" s="637"/>
      <c r="QFL1" s="637"/>
      <c r="QFM1" s="637"/>
      <c r="QFN1" s="637"/>
      <c r="QFO1" s="637"/>
      <c r="QFP1" s="637"/>
      <c r="QFQ1" s="637"/>
      <c r="QFR1" s="637"/>
      <c r="QFS1" s="637"/>
      <c r="QFT1" s="637"/>
      <c r="QFU1" s="637"/>
      <c r="QFV1" s="637"/>
      <c r="QFW1" s="637"/>
      <c r="QFX1" s="637"/>
      <c r="QFY1" s="637"/>
      <c r="QFZ1" s="637"/>
      <c r="QGA1" s="637"/>
      <c r="QGB1" s="637"/>
      <c r="QGC1" s="637"/>
      <c r="QGD1" s="637"/>
      <c r="QGE1" s="637"/>
      <c r="QGF1" s="637"/>
      <c r="QGG1" s="637"/>
      <c r="QGH1" s="637"/>
      <c r="QGI1" s="637"/>
      <c r="QGJ1" s="637"/>
      <c r="QGK1" s="637"/>
      <c r="QGL1" s="637"/>
      <c r="QGM1" s="637"/>
      <c r="QGN1" s="637"/>
      <c r="QGO1" s="637"/>
      <c r="QGP1" s="637"/>
      <c r="QGQ1" s="637"/>
      <c r="QGR1" s="637"/>
      <c r="QGS1" s="637"/>
      <c r="QGT1" s="637"/>
      <c r="QGU1" s="637"/>
      <c r="QGV1" s="637"/>
      <c r="QGW1" s="637"/>
      <c r="QGX1" s="637"/>
      <c r="QGY1" s="637"/>
      <c r="QGZ1" s="637"/>
      <c r="QHA1" s="637"/>
      <c r="QHB1" s="637"/>
      <c r="QHC1" s="637"/>
      <c r="QHD1" s="637"/>
      <c r="QHE1" s="637"/>
      <c r="QHF1" s="637"/>
      <c r="QHG1" s="637"/>
      <c r="QHH1" s="637"/>
      <c r="QHI1" s="637"/>
      <c r="QHJ1" s="637"/>
      <c r="QHK1" s="637"/>
      <c r="QHL1" s="637"/>
      <c r="QHM1" s="637"/>
      <c r="QHN1" s="637"/>
      <c r="QHO1" s="637"/>
      <c r="QHP1" s="637"/>
      <c r="QHQ1" s="637"/>
      <c r="QHR1" s="637"/>
      <c r="QHS1" s="637"/>
      <c r="QHT1" s="637"/>
      <c r="QHU1" s="637"/>
      <c r="QHV1" s="637"/>
      <c r="QHW1" s="637"/>
      <c r="QHX1" s="637"/>
      <c r="QHY1" s="637"/>
      <c r="QHZ1" s="637"/>
      <c r="QIA1" s="637"/>
      <c r="QIB1" s="637"/>
      <c r="QIC1" s="637"/>
      <c r="QID1" s="637"/>
      <c r="QIE1" s="637"/>
      <c r="QIF1" s="637"/>
      <c r="QIG1" s="637"/>
      <c r="QIH1" s="637"/>
      <c r="QII1" s="637"/>
      <c r="QIJ1" s="637"/>
      <c r="QIK1" s="637"/>
      <c r="QIL1" s="637"/>
      <c r="QIM1" s="637"/>
      <c r="QIN1" s="637"/>
      <c r="QIO1" s="637"/>
      <c r="QIP1" s="637"/>
      <c r="QIQ1" s="637"/>
      <c r="QIR1" s="637"/>
      <c r="QIS1" s="637"/>
      <c r="QIT1" s="637"/>
      <c r="QIU1" s="637"/>
      <c r="QIV1" s="637"/>
      <c r="QIW1" s="637"/>
      <c r="QIX1" s="637"/>
      <c r="QIY1" s="637"/>
      <c r="QIZ1" s="637"/>
      <c r="QJA1" s="637"/>
      <c r="QJB1" s="637"/>
      <c r="QJC1" s="637"/>
      <c r="QJD1" s="637"/>
      <c r="QJE1" s="637"/>
      <c r="QJF1" s="637"/>
      <c r="QJG1" s="637"/>
      <c r="QJH1" s="637"/>
      <c r="QJI1" s="637"/>
      <c r="QJJ1" s="637"/>
      <c r="QJK1" s="637"/>
      <c r="QJL1" s="637"/>
      <c r="QJM1" s="637"/>
      <c r="QJN1" s="637"/>
      <c r="QJO1" s="637"/>
      <c r="QJP1" s="637"/>
      <c r="QJQ1" s="637"/>
      <c r="QJR1" s="637"/>
      <c r="QJS1" s="637"/>
      <c r="QJT1" s="637"/>
      <c r="QJU1" s="637"/>
      <c r="QJV1" s="637"/>
      <c r="QJW1" s="637"/>
      <c r="QJX1" s="637"/>
      <c r="QJY1" s="637"/>
      <c r="QJZ1" s="637"/>
      <c r="QKA1" s="637"/>
      <c r="QKB1" s="637"/>
      <c r="QKC1" s="637"/>
      <c r="QKD1" s="637"/>
      <c r="QKE1" s="637"/>
      <c r="QKF1" s="637"/>
      <c r="QKG1" s="637"/>
      <c r="QKH1" s="637"/>
      <c r="QKI1" s="637"/>
      <c r="QKJ1" s="637"/>
      <c r="QKK1" s="637"/>
      <c r="QKL1" s="637"/>
      <c r="QKM1" s="637"/>
      <c r="QKN1" s="637"/>
      <c r="QKO1" s="637"/>
      <c r="QKP1" s="637"/>
      <c r="QKQ1" s="637"/>
      <c r="QKR1" s="637"/>
      <c r="QKS1" s="637"/>
      <c r="QKT1" s="637"/>
      <c r="QKU1" s="637"/>
      <c r="QKV1" s="637"/>
      <c r="QKW1" s="637"/>
      <c r="QKX1" s="637"/>
      <c r="QKY1" s="637"/>
      <c r="QKZ1" s="637"/>
      <c r="QLA1" s="637"/>
      <c r="QLB1" s="637"/>
      <c r="QLC1" s="637"/>
      <c r="QLD1" s="637"/>
      <c r="QLE1" s="637"/>
      <c r="QLF1" s="637"/>
      <c r="QLG1" s="637"/>
      <c r="QLH1" s="637"/>
      <c r="QLI1" s="637"/>
      <c r="QLJ1" s="637"/>
      <c r="QLK1" s="637"/>
      <c r="QLL1" s="637"/>
      <c r="QLM1" s="637"/>
      <c r="QLN1" s="637"/>
      <c r="QLO1" s="637"/>
      <c r="QLP1" s="637"/>
      <c r="QLQ1" s="637"/>
      <c r="QLR1" s="637"/>
      <c r="QLS1" s="637"/>
      <c r="QLT1" s="637"/>
      <c r="QLU1" s="637"/>
      <c r="QLV1" s="637"/>
      <c r="QLW1" s="637"/>
      <c r="QLX1" s="637"/>
      <c r="QLY1" s="637"/>
      <c r="QLZ1" s="637"/>
      <c r="QMA1" s="637"/>
      <c r="QMB1" s="637"/>
      <c r="QMC1" s="637"/>
      <c r="QMD1" s="637"/>
      <c r="QME1" s="637"/>
      <c r="QMF1" s="637"/>
      <c r="QMG1" s="637"/>
      <c r="QMH1" s="637"/>
      <c r="QMI1" s="637"/>
      <c r="QMJ1" s="637"/>
      <c r="QMK1" s="637"/>
      <c r="QML1" s="637"/>
      <c r="QMM1" s="637"/>
      <c r="QMN1" s="637"/>
      <c r="QMO1" s="637"/>
      <c r="QMP1" s="637"/>
      <c r="QMQ1" s="637"/>
      <c r="QMR1" s="637"/>
      <c r="QMS1" s="637"/>
      <c r="QMT1" s="637"/>
      <c r="QMU1" s="637"/>
      <c r="QMV1" s="637"/>
      <c r="QMW1" s="637"/>
      <c r="QMX1" s="637"/>
      <c r="QMY1" s="637"/>
      <c r="QMZ1" s="637"/>
      <c r="QNA1" s="637"/>
      <c r="QNB1" s="637"/>
      <c r="QNC1" s="637"/>
      <c r="QND1" s="637"/>
      <c r="QNE1" s="637"/>
      <c r="QNF1" s="637"/>
      <c r="QNG1" s="637"/>
      <c r="QNH1" s="637"/>
      <c r="QNI1" s="637"/>
      <c r="QNJ1" s="637"/>
      <c r="QNK1" s="637"/>
      <c r="QNL1" s="637"/>
      <c r="QNM1" s="637"/>
      <c r="QNN1" s="637"/>
      <c r="QNO1" s="637"/>
      <c r="QNP1" s="637"/>
      <c r="QNQ1" s="637"/>
      <c r="QNR1" s="637"/>
      <c r="QNS1" s="637"/>
      <c r="QNT1" s="637"/>
      <c r="QNU1" s="637"/>
      <c r="QNV1" s="637"/>
      <c r="QNW1" s="637"/>
      <c r="QNX1" s="637"/>
      <c r="QNY1" s="637"/>
      <c r="QNZ1" s="637"/>
      <c r="QOA1" s="637"/>
      <c r="QOB1" s="637"/>
      <c r="QOC1" s="637"/>
      <c r="QOD1" s="637"/>
      <c r="QOE1" s="637"/>
      <c r="QOF1" s="637"/>
      <c r="QOG1" s="637"/>
      <c r="QOH1" s="637"/>
      <c r="QOI1" s="637"/>
      <c r="QOJ1" s="637"/>
      <c r="QOK1" s="637"/>
      <c r="QOL1" s="637"/>
      <c r="QOM1" s="637"/>
      <c r="QON1" s="637"/>
      <c r="QOO1" s="637"/>
      <c r="QOP1" s="637"/>
      <c r="QOQ1" s="637"/>
      <c r="QOR1" s="637"/>
      <c r="QOS1" s="637"/>
      <c r="QOT1" s="637"/>
      <c r="QOU1" s="637"/>
      <c r="QOV1" s="637"/>
      <c r="QOW1" s="637"/>
      <c r="QOX1" s="637"/>
      <c r="QOY1" s="637"/>
      <c r="QOZ1" s="637"/>
      <c r="QPA1" s="637"/>
      <c r="QPB1" s="637"/>
      <c r="QPC1" s="637"/>
      <c r="QPD1" s="637"/>
      <c r="QPE1" s="637"/>
      <c r="QPF1" s="637"/>
      <c r="QPG1" s="637"/>
      <c r="QPH1" s="637"/>
      <c r="QPI1" s="637"/>
      <c r="QPJ1" s="637"/>
      <c r="QPK1" s="637"/>
      <c r="QPL1" s="637"/>
      <c r="QPM1" s="637"/>
      <c r="QPN1" s="637"/>
      <c r="QPO1" s="637"/>
      <c r="QPP1" s="637"/>
      <c r="QPQ1" s="637"/>
      <c r="QPR1" s="637"/>
      <c r="QPS1" s="637"/>
      <c r="QPT1" s="637"/>
      <c r="QPU1" s="637"/>
      <c r="QPV1" s="637"/>
      <c r="QPW1" s="637"/>
      <c r="QPX1" s="637"/>
      <c r="QPY1" s="637"/>
      <c r="QPZ1" s="637"/>
      <c r="QQA1" s="637"/>
      <c r="QQB1" s="637"/>
      <c r="QQC1" s="637"/>
      <c r="QQD1" s="637"/>
      <c r="QQE1" s="637"/>
      <c r="QQF1" s="637"/>
      <c r="QQG1" s="637"/>
      <c r="QQH1" s="637"/>
      <c r="QQI1" s="637"/>
      <c r="QQJ1" s="637"/>
      <c r="QQK1" s="637"/>
      <c r="QQL1" s="637"/>
      <c r="QQM1" s="637"/>
      <c r="QQN1" s="637"/>
      <c r="QQO1" s="637"/>
      <c r="QQP1" s="637"/>
      <c r="QQQ1" s="637"/>
      <c r="QQR1" s="637"/>
      <c r="QQS1" s="637"/>
      <c r="QQT1" s="637"/>
      <c r="QQU1" s="637"/>
      <c r="QQV1" s="637"/>
      <c r="QQW1" s="637"/>
      <c r="QQX1" s="637"/>
      <c r="QQY1" s="637"/>
      <c r="QQZ1" s="637"/>
      <c r="QRA1" s="637"/>
      <c r="QRB1" s="637"/>
      <c r="QRC1" s="637"/>
      <c r="QRD1" s="637"/>
      <c r="QRE1" s="637"/>
      <c r="QRF1" s="637"/>
      <c r="QRG1" s="637"/>
      <c r="QRH1" s="637"/>
      <c r="QRI1" s="637"/>
      <c r="QRJ1" s="637"/>
      <c r="QRK1" s="637"/>
      <c r="QRL1" s="637"/>
      <c r="QRM1" s="637"/>
      <c r="QRN1" s="637"/>
      <c r="QRO1" s="637"/>
      <c r="QRP1" s="637"/>
      <c r="QRQ1" s="637"/>
      <c r="QRR1" s="637"/>
      <c r="QRS1" s="637"/>
      <c r="QRT1" s="637"/>
      <c r="QRU1" s="637"/>
      <c r="QRV1" s="637"/>
      <c r="QRW1" s="637"/>
      <c r="QRX1" s="637"/>
      <c r="QRY1" s="637"/>
      <c r="QRZ1" s="637"/>
      <c r="QSA1" s="637"/>
      <c r="QSB1" s="637"/>
      <c r="QSC1" s="637"/>
      <c r="QSD1" s="637"/>
      <c r="QSE1" s="637"/>
      <c r="QSF1" s="637"/>
      <c r="QSG1" s="637"/>
      <c r="QSH1" s="637"/>
      <c r="QSI1" s="637"/>
      <c r="QSJ1" s="637"/>
      <c r="QSK1" s="637"/>
      <c r="QSL1" s="637"/>
      <c r="QSM1" s="637"/>
      <c r="QSN1" s="637"/>
      <c r="QSO1" s="637"/>
      <c r="QSP1" s="637"/>
      <c r="QSQ1" s="637"/>
      <c r="QSR1" s="637"/>
      <c r="QSS1" s="637"/>
      <c r="QST1" s="637"/>
      <c r="QSU1" s="637"/>
      <c r="QSV1" s="637"/>
      <c r="QSW1" s="637"/>
      <c r="QSX1" s="637"/>
      <c r="QSY1" s="637"/>
      <c r="QSZ1" s="637"/>
      <c r="QTA1" s="637"/>
      <c r="QTB1" s="637"/>
      <c r="QTC1" s="637"/>
      <c r="QTD1" s="637"/>
      <c r="QTE1" s="637"/>
      <c r="QTF1" s="637"/>
      <c r="QTG1" s="637"/>
      <c r="QTH1" s="637"/>
      <c r="QTI1" s="637"/>
      <c r="QTJ1" s="637"/>
      <c r="QTK1" s="637"/>
      <c r="QTL1" s="637"/>
      <c r="QTM1" s="637"/>
      <c r="QTN1" s="637"/>
      <c r="QTO1" s="637"/>
      <c r="QTP1" s="637"/>
      <c r="QTQ1" s="637"/>
      <c r="QTR1" s="637"/>
      <c r="QTS1" s="637"/>
      <c r="QTT1" s="637"/>
      <c r="QTU1" s="637"/>
      <c r="QTV1" s="637"/>
      <c r="QTW1" s="637"/>
      <c r="QTX1" s="637"/>
      <c r="QTY1" s="637"/>
      <c r="QTZ1" s="637"/>
      <c r="QUA1" s="637"/>
      <c r="QUB1" s="637"/>
      <c r="QUC1" s="637"/>
      <c r="QUD1" s="637"/>
      <c r="QUE1" s="637"/>
      <c r="QUF1" s="637"/>
      <c r="QUG1" s="637"/>
      <c r="QUH1" s="637"/>
      <c r="QUI1" s="637"/>
      <c r="QUJ1" s="637"/>
      <c r="QUK1" s="637"/>
      <c r="QUL1" s="637"/>
      <c r="QUM1" s="637"/>
      <c r="QUN1" s="637"/>
      <c r="QUO1" s="637"/>
      <c r="QUP1" s="637"/>
      <c r="QUQ1" s="637"/>
      <c r="QUR1" s="637"/>
      <c r="QUS1" s="637"/>
      <c r="QUT1" s="637"/>
      <c r="QUU1" s="637"/>
      <c r="QUV1" s="637"/>
      <c r="QUW1" s="637"/>
      <c r="QUX1" s="637"/>
      <c r="QUY1" s="637"/>
      <c r="QUZ1" s="637"/>
      <c r="QVA1" s="637"/>
      <c r="QVB1" s="637"/>
      <c r="QVC1" s="637"/>
      <c r="QVD1" s="637"/>
      <c r="QVE1" s="637"/>
      <c r="QVF1" s="637"/>
      <c r="QVG1" s="637"/>
      <c r="QVH1" s="637"/>
      <c r="QVI1" s="637"/>
      <c r="QVJ1" s="637"/>
      <c r="QVK1" s="637"/>
      <c r="QVL1" s="637"/>
      <c r="QVM1" s="637"/>
      <c r="QVN1" s="637"/>
      <c r="QVO1" s="637"/>
      <c r="QVP1" s="637"/>
      <c r="QVQ1" s="637"/>
      <c r="QVR1" s="637"/>
      <c r="QVS1" s="637"/>
      <c r="QVT1" s="637"/>
      <c r="QVU1" s="637"/>
      <c r="QVV1" s="637"/>
      <c r="QVW1" s="637"/>
      <c r="QVX1" s="637"/>
      <c r="QVY1" s="637"/>
      <c r="QVZ1" s="637"/>
      <c r="QWA1" s="637"/>
      <c r="QWB1" s="637"/>
      <c r="QWC1" s="637"/>
      <c r="QWD1" s="637"/>
      <c r="QWE1" s="637"/>
      <c r="QWF1" s="637"/>
      <c r="QWG1" s="637"/>
      <c r="QWH1" s="637"/>
      <c r="QWI1" s="637"/>
      <c r="QWJ1" s="637"/>
      <c r="QWK1" s="637"/>
      <c r="QWL1" s="637"/>
      <c r="QWM1" s="637"/>
      <c r="QWN1" s="637"/>
      <c r="QWO1" s="637"/>
      <c r="QWP1" s="637"/>
      <c r="QWQ1" s="637"/>
      <c r="QWR1" s="637"/>
      <c r="QWS1" s="637"/>
      <c r="QWT1" s="637"/>
      <c r="QWU1" s="637"/>
      <c r="QWV1" s="637"/>
      <c r="QWW1" s="637"/>
      <c r="QWX1" s="637"/>
      <c r="QWY1" s="637"/>
      <c r="QWZ1" s="637"/>
      <c r="QXA1" s="637"/>
      <c r="QXB1" s="637"/>
      <c r="QXC1" s="637"/>
      <c r="QXD1" s="637"/>
      <c r="QXE1" s="637"/>
      <c r="QXF1" s="637"/>
      <c r="QXG1" s="637"/>
      <c r="QXH1" s="637"/>
      <c r="QXI1" s="637"/>
      <c r="QXJ1" s="637"/>
      <c r="QXK1" s="637"/>
      <c r="QXL1" s="637"/>
      <c r="QXM1" s="637"/>
      <c r="QXN1" s="637"/>
      <c r="QXO1" s="637"/>
      <c r="QXP1" s="637"/>
      <c r="QXQ1" s="637"/>
      <c r="QXR1" s="637"/>
      <c r="QXS1" s="637"/>
      <c r="QXT1" s="637"/>
      <c r="QXU1" s="637"/>
      <c r="QXV1" s="637"/>
      <c r="QXW1" s="637"/>
      <c r="QXX1" s="637"/>
      <c r="QXY1" s="637"/>
      <c r="QXZ1" s="637"/>
      <c r="QYA1" s="637"/>
      <c r="QYB1" s="637"/>
      <c r="QYC1" s="637"/>
      <c r="QYD1" s="637"/>
      <c r="QYE1" s="637"/>
      <c r="QYF1" s="637"/>
      <c r="QYG1" s="637"/>
      <c r="QYH1" s="637"/>
      <c r="QYI1" s="637"/>
      <c r="QYJ1" s="637"/>
      <c r="QYK1" s="637"/>
      <c r="QYL1" s="637"/>
      <c r="QYM1" s="637"/>
      <c r="QYN1" s="637"/>
      <c r="QYO1" s="637"/>
      <c r="QYP1" s="637"/>
      <c r="QYQ1" s="637"/>
      <c r="QYR1" s="637"/>
      <c r="QYS1" s="637"/>
      <c r="QYT1" s="637"/>
      <c r="QYU1" s="637"/>
      <c r="QYV1" s="637"/>
      <c r="QYW1" s="637"/>
      <c r="QYX1" s="637"/>
      <c r="QYY1" s="637"/>
      <c r="QYZ1" s="637"/>
      <c r="QZA1" s="637"/>
      <c r="QZB1" s="637"/>
      <c r="QZC1" s="637"/>
      <c r="QZD1" s="637"/>
      <c r="QZE1" s="637"/>
      <c r="QZF1" s="637"/>
      <c r="QZG1" s="637"/>
      <c r="QZH1" s="637"/>
      <c r="QZI1" s="637"/>
      <c r="QZJ1" s="637"/>
      <c r="QZK1" s="637"/>
      <c r="QZL1" s="637"/>
      <c r="QZM1" s="637"/>
      <c r="QZN1" s="637"/>
      <c r="QZO1" s="637"/>
      <c r="QZP1" s="637"/>
      <c r="QZQ1" s="637"/>
      <c r="QZR1" s="637"/>
      <c r="QZS1" s="637"/>
      <c r="QZT1" s="637"/>
      <c r="QZU1" s="637"/>
      <c r="QZV1" s="637"/>
      <c r="QZW1" s="637"/>
      <c r="QZX1" s="637"/>
      <c r="QZY1" s="637"/>
      <c r="QZZ1" s="637"/>
      <c r="RAA1" s="637"/>
      <c r="RAB1" s="637"/>
      <c r="RAC1" s="637"/>
      <c r="RAD1" s="637"/>
      <c r="RAE1" s="637"/>
      <c r="RAF1" s="637"/>
      <c r="RAG1" s="637"/>
      <c r="RAH1" s="637"/>
      <c r="RAI1" s="637"/>
      <c r="RAJ1" s="637"/>
      <c r="RAK1" s="637"/>
      <c r="RAL1" s="637"/>
      <c r="RAM1" s="637"/>
      <c r="RAN1" s="637"/>
      <c r="RAO1" s="637"/>
      <c r="RAP1" s="637"/>
      <c r="RAQ1" s="637"/>
      <c r="RAR1" s="637"/>
      <c r="RAS1" s="637"/>
      <c r="RAT1" s="637"/>
      <c r="RAU1" s="637"/>
      <c r="RAV1" s="637"/>
      <c r="RAW1" s="637"/>
      <c r="RAX1" s="637"/>
      <c r="RAY1" s="637"/>
      <c r="RAZ1" s="637"/>
      <c r="RBA1" s="637"/>
      <c r="RBB1" s="637"/>
      <c r="RBC1" s="637"/>
      <c r="RBD1" s="637"/>
      <c r="RBE1" s="637"/>
      <c r="RBF1" s="637"/>
      <c r="RBG1" s="637"/>
      <c r="RBH1" s="637"/>
      <c r="RBI1" s="637"/>
      <c r="RBJ1" s="637"/>
      <c r="RBK1" s="637"/>
      <c r="RBL1" s="637"/>
      <c r="RBM1" s="637"/>
      <c r="RBN1" s="637"/>
      <c r="RBO1" s="637"/>
      <c r="RBP1" s="637"/>
      <c r="RBQ1" s="637"/>
      <c r="RBR1" s="637"/>
      <c r="RBS1" s="637"/>
      <c r="RBT1" s="637"/>
      <c r="RBU1" s="637"/>
      <c r="RBV1" s="637"/>
      <c r="RBW1" s="637"/>
      <c r="RBX1" s="637"/>
      <c r="RBY1" s="637"/>
      <c r="RBZ1" s="637"/>
      <c r="RCA1" s="637"/>
      <c r="RCB1" s="637"/>
      <c r="RCC1" s="637"/>
      <c r="RCD1" s="637"/>
      <c r="RCE1" s="637"/>
      <c r="RCF1" s="637"/>
      <c r="RCG1" s="637"/>
      <c r="RCH1" s="637"/>
      <c r="RCI1" s="637"/>
      <c r="RCJ1" s="637"/>
      <c r="RCK1" s="637"/>
      <c r="RCL1" s="637"/>
      <c r="RCM1" s="637"/>
      <c r="RCN1" s="637"/>
      <c r="RCO1" s="637"/>
      <c r="RCP1" s="637"/>
      <c r="RCQ1" s="637"/>
      <c r="RCR1" s="637"/>
      <c r="RCS1" s="637"/>
      <c r="RCT1" s="637"/>
      <c r="RCU1" s="637"/>
      <c r="RCV1" s="637"/>
      <c r="RCW1" s="637"/>
      <c r="RCX1" s="637"/>
      <c r="RCY1" s="637"/>
      <c r="RCZ1" s="637"/>
      <c r="RDA1" s="637"/>
      <c r="RDB1" s="637"/>
      <c r="RDC1" s="637"/>
      <c r="RDD1" s="637"/>
      <c r="RDE1" s="637"/>
      <c r="RDF1" s="637"/>
      <c r="RDG1" s="637"/>
      <c r="RDH1" s="637"/>
      <c r="RDI1" s="637"/>
      <c r="RDJ1" s="637"/>
      <c r="RDK1" s="637"/>
      <c r="RDL1" s="637"/>
      <c r="RDM1" s="637"/>
      <c r="RDN1" s="637"/>
      <c r="RDO1" s="637"/>
      <c r="RDP1" s="637"/>
      <c r="RDQ1" s="637"/>
      <c r="RDR1" s="637"/>
      <c r="RDS1" s="637"/>
      <c r="RDT1" s="637"/>
      <c r="RDU1" s="637"/>
      <c r="RDV1" s="637"/>
      <c r="RDW1" s="637"/>
      <c r="RDX1" s="637"/>
      <c r="RDY1" s="637"/>
      <c r="RDZ1" s="637"/>
      <c r="REA1" s="637"/>
      <c r="REB1" s="637"/>
      <c r="REC1" s="637"/>
      <c r="RED1" s="637"/>
      <c r="REE1" s="637"/>
      <c r="REF1" s="637"/>
      <c r="REG1" s="637"/>
      <c r="REH1" s="637"/>
      <c r="REI1" s="637"/>
      <c r="REJ1" s="637"/>
      <c r="REK1" s="637"/>
      <c r="REL1" s="637"/>
      <c r="REM1" s="637"/>
      <c r="REN1" s="637"/>
      <c r="REO1" s="637"/>
      <c r="REP1" s="637"/>
      <c r="REQ1" s="637"/>
      <c r="RER1" s="637"/>
      <c r="RES1" s="637"/>
      <c r="RET1" s="637"/>
      <c r="REU1" s="637"/>
      <c r="REV1" s="637"/>
      <c r="REW1" s="637"/>
      <c r="REX1" s="637"/>
      <c r="REY1" s="637"/>
      <c r="REZ1" s="637"/>
      <c r="RFA1" s="637"/>
      <c r="RFB1" s="637"/>
      <c r="RFC1" s="637"/>
      <c r="RFD1" s="637"/>
      <c r="RFE1" s="637"/>
      <c r="RFF1" s="637"/>
      <c r="RFG1" s="637"/>
      <c r="RFH1" s="637"/>
      <c r="RFI1" s="637"/>
      <c r="RFJ1" s="637"/>
      <c r="RFK1" s="637"/>
      <c r="RFL1" s="637"/>
      <c r="RFM1" s="637"/>
      <c r="RFN1" s="637"/>
      <c r="RFO1" s="637"/>
      <c r="RFP1" s="637"/>
      <c r="RFQ1" s="637"/>
      <c r="RFR1" s="637"/>
      <c r="RFS1" s="637"/>
      <c r="RFT1" s="637"/>
      <c r="RFU1" s="637"/>
      <c r="RFV1" s="637"/>
      <c r="RFW1" s="637"/>
      <c r="RFX1" s="637"/>
      <c r="RFY1" s="637"/>
      <c r="RFZ1" s="637"/>
      <c r="RGA1" s="637"/>
      <c r="RGB1" s="637"/>
      <c r="RGC1" s="637"/>
      <c r="RGD1" s="637"/>
      <c r="RGE1" s="637"/>
      <c r="RGF1" s="637"/>
      <c r="RGG1" s="637"/>
      <c r="RGH1" s="637"/>
      <c r="RGI1" s="637"/>
      <c r="RGJ1" s="637"/>
      <c r="RGK1" s="637"/>
      <c r="RGL1" s="637"/>
      <c r="RGM1" s="637"/>
      <c r="RGN1" s="637"/>
      <c r="RGO1" s="637"/>
      <c r="RGP1" s="637"/>
      <c r="RGQ1" s="637"/>
      <c r="RGR1" s="637"/>
      <c r="RGS1" s="637"/>
      <c r="RGT1" s="637"/>
      <c r="RGU1" s="637"/>
      <c r="RGV1" s="637"/>
      <c r="RGW1" s="637"/>
      <c r="RGX1" s="637"/>
      <c r="RGY1" s="637"/>
      <c r="RGZ1" s="637"/>
      <c r="RHA1" s="637"/>
      <c r="RHB1" s="637"/>
      <c r="RHC1" s="637"/>
      <c r="RHD1" s="637"/>
      <c r="RHE1" s="637"/>
      <c r="RHF1" s="637"/>
      <c r="RHG1" s="637"/>
      <c r="RHH1" s="637"/>
      <c r="RHI1" s="637"/>
      <c r="RHJ1" s="637"/>
      <c r="RHK1" s="637"/>
      <c r="RHL1" s="637"/>
      <c r="RHM1" s="637"/>
      <c r="RHN1" s="637"/>
      <c r="RHO1" s="637"/>
      <c r="RHP1" s="637"/>
      <c r="RHQ1" s="637"/>
      <c r="RHR1" s="637"/>
      <c r="RHS1" s="637"/>
      <c r="RHT1" s="637"/>
      <c r="RHU1" s="637"/>
      <c r="RHV1" s="637"/>
      <c r="RHW1" s="637"/>
      <c r="RHX1" s="637"/>
      <c r="RHY1" s="637"/>
      <c r="RHZ1" s="637"/>
      <c r="RIA1" s="637"/>
      <c r="RIB1" s="637"/>
      <c r="RIC1" s="637"/>
      <c r="RID1" s="637"/>
      <c r="RIE1" s="637"/>
      <c r="RIF1" s="637"/>
      <c r="RIG1" s="637"/>
      <c r="RIH1" s="637"/>
      <c r="RII1" s="637"/>
      <c r="RIJ1" s="637"/>
      <c r="RIK1" s="637"/>
      <c r="RIL1" s="637"/>
      <c r="RIM1" s="637"/>
      <c r="RIN1" s="637"/>
      <c r="RIO1" s="637"/>
      <c r="RIP1" s="637"/>
      <c r="RIQ1" s="637"/>
      <c r="RIR1" s="637"/>
      <c r="RIS1" s="637"/>
      <c r="RIT1" s="637"/>
      <c r="RIU1" s="637"/>
      <c r="RIV1" s="637"/>
      <c r="RIW1" s="637"/>
      <c r="RIX1" s="637"/>
      <c r="RIY1" s="637"/>
      <c r="RIZ1" s="637"/>
      <c r="RJA1" s="637"/>
      <c r="RJB1" s="637"/>
      <c r="RJC1" s="637"/>
      <c r="RJD1" s="637"/>
      <c r="RJE1" s="637"/>
      <c r="RJF1" s="637"/>
      <c r="RJG1" s="637"/>
      <c r="RJH1" s="637"/>
      <c r="RJI1" s="637"/>
      <c r="RJJ1" s="637"/>
      <c r="RJK1" s="637"/>
      <c r="RJL1" s="637"/>
      <c r="RJM1" s="637"/>
      <c r="RJN1" s="637"/>
      <c r="RJO1" s="637"/>
      <c r="RJP1" s="637"/>
      <c r="RJQ1" s="637"/>
      <c r="RJR1" s="637"/>
      <c r="RJS1" s="637"/>
      <c r="RJT1" s="637"/>
      <c r="RJU1" s="637"/>
      <c r="RJV1" s="637"/>
      <c r="RJW1" s="637"/>
      <c r="RJX1" s="637"/>
      <c r="RJY1" s="637"/>
      <c r="RJZ1" s="637"/>
      <c r="RKA1" s="637"/>
      <c r="RKB1" s="637"/>
      <c r="RKC1" s="637"/>
      <c r="RKD1" s="637"/>
      <c r="RKE1" s="637"/>
      <c r="RKF1" s="637"/>
      <c r="RKG1" s="637"/>
      <c r="RKH1" s="637"/>
      <c r="RKI1" s="637"/>
      <c r="RKJ1" s="637"/>
      <c r="RKK1" s="637"/>
      <c r="RKL1" s="637"/>
      <c r="RKM1" s="637"/>
      <c r="RKN1" s="637"/>
      <c r="RKO1" s="637"/>
      <c r="RKP1" s="637"/>
      <c r="RKQ1" s="637"/>
      <c r="RKR1" s="637"/>
      <c r="RKS1" s="637"/>
      <c r="RKT1" s="637"/>
      <c r="RKU1" s="637"/>
      <c r="RKV1" s="637"/>
      <c r="RKW1" s="637"/>
      <c r="RKX1" s="637"/>
      <c r="RKY1" s="637"/>
      <c r="RKZ1" s="637"/>
      <c r="RLA1" s="637"/>
      <c r="RLB1" s="637"/>
      <c r="RLC1" s="637"/>
      <c r="RLD1" s="637"/>
      <c r="RLE1" s="637"/>
      <c r="RLF1" s="637"/>
      <c r="RLG1" s="637"/>
      <c r="RLH1" s="637"/>
      <c r="RLI1" s="637"/>
      <c r="RLJ1" s="637"/>
      <c r="RLK1" s="637"/>
      <c r="RLL1" s="637"/>
      <c r="RLM1" s="637"/>
      <c r="RLN1" s="637"/>
      <c r="RLO1" s="637"/>
      <c r="RLP1" s="637"/>
      <c r="RLQ1" s="637"/>
      <c r="RLR1" s="637"/>
      <c r="RLS1" s="637"/>
      <c r="RLT1" s="637"/>
      <c r="RLU1" s="637"/>
      <c r="RLV1" s="637"/>
      <c r="RLW1" s="637"/>
      <c r="RLX1" s="637"/>
      <c r="RLY1" s="637"/>
      <c r="RLZ1" s="637"/>
      <c r="RMA1" s="637"/>
      <c r="RMB1" s="637"/>
      <c r="RMC1" s="637"/>
      <c r="RMD1" s="637"/>
      <c r="RME1" s="637"/>
      <c r="RMF1" s="637"/>
      <c r="RMG1" s="637"/>
      <c r="RMH1" s="637"/>
      <c r="RMI1" s="637"/>
      <c r="RMJ1" s="637"/>
      <c r="RMK1" s="637"/>
      <c r="RML1" s="637"/>
      <c r="RMM1" s="637"/>
      <c r="RMN1" s="637"/>
      <c r="RMO1" s="637"/>
      <c r="RMP1" s="637"/>
      <c r="RMQ1" s="637"/>
      <c r="RMR1" s="637"/>
      <c r="RMS1" s="637"/>
      <c r="RMT1" s="637"/>
      <c r="RMU1" s="637"/>
      <c r="RMV1" s="637"/>
      <c r="RMW1" s="637"/>
      <c r="RMX1" s="637"/>
      <c r="RMY1" s="637"/>
      <c r="RMZ1" s="637"/>
      <c r="RNA1" s="637"/>
      <c r="RNB1" s="637"/>
      <c r="RNC1" s="637"/>
      <c r="RND1" s="637"/>
      <c r="RNE1" s="637"/>
      <c r="RNF1" s="637"/>
      <c r="RNG1" s="637"/>
      <c r="RNH1" s="637"/>
      <c r="RNI1" s="637"/>
      <c r="RNJ1" s="637"/>
      <c r="RNK1" s="637"/>
      <c r="RNL1" s="637"/>
      <c r="RNM1" s="637"/>
      <c r="RNN1" s="637"/>
      <c r="RNO1" s="637"/>
      <c r="RNP1" s="637"/>
      <c r="RNQ1" s="637"/>
      <c r="RNR1" s="637"/>
      <c r="RNS1" s="637"/>
      <c r="RNT1" s="637"/>
      <c r="RNU1" s="637"/>
      <c r="RNV1" s="637"/>
      <c r="RNW1" s="637"/>
      <c r="RNX1" s="637"/>
      <c r="RNY1" s="637"/>
      <c r="RNZ1" s="637"/>
      <c r="ROA1" s="637"/>
      <c r="ROB1" s="637"/>
      <c r="ROC1" s="637"/>
      <c r="ROD1" s="637"/>
      <c r="ROE1" s="637"/>
      <c r="ROF1" s="637"/>
      <c r="ROG1" s="637"/>
      <c r="ROH1" s="637"/>
      <c r="ROI1" s="637"/>
      <c r="ROJ1" s="637"/>
      <c r="ROK1" s="637"/>
      <c r="ROL1" s="637"/>
      <c r="ROM1" s="637"/>
      <c r="RON1" s="637"/>
      <c r="ROO1" s="637"/>
      <c r="ROP1" s="637"/>
      <c r="ROQ1" s="637"/>
      <c r="ROR1" s="637"/>
      <c r="ROS1" s="637"/>
      <c r="ROT1" s="637"/>
      <c r="ROU1" s="637"/>
      <c r="ROV1" s="637"/>
      <c r="ROW1" s="637"/>
      <c r="ROX1" s="637"/>
      <c r="ROY1" s="637"/>
      <c r="ROZ1" s="637"/>
      <c r="RPA1" s="637"/>
      <c r="RPB1" s="637"/>
      <c r="RPC1" s="637"/>
      <c r="RPD1" s="637"/>
      <c r="RPE1" s="637"/>
      <c r="RPF1" s="637"/>
      <c r="RPG1" s="637"/>
      <c r="RPH1" s="637"/>
      <c r="RPI1" s="637"/>
      <c r="RPJ1" s="637"/>
      <c r="RPK1" s="637"/>
      <c r="RPL1" s="637"/>
      <c r="RPM1" s="637"/>
      <c r="RPN1" s="637"/>
      <c r="RPO1" s="637"/>
      <c r="RPP1" s="637"/>
      <c r="RPQ1" s="637"/>
      <c r="RPR1" s="637"/>
      <c r="RPS1" s="637"/>
      <c r="RPT1" s="637"/>
      <c r="RPU1" s="637"/>
      <c r="RPV1" s="637"/>
      <c r="RPW1" s="637"/>
      <c r="RPX1" s="637"/>
      <c r="RPY1" s="637"/>
      <c r="RPZ1" s="637"/>
      <c r="RQA1" s="637"/>
      <c r="RQB1" s="637"/>
      <c r="RQC1" s="637"/>
      <c r="RQD1" s="637"/>
      <c r="RQE1" s="637"/>
      <c r="RQF1" s="637"/>
      <c r="RQG1" s="637"/>
      <c r="RQH1" s="637"/>
      <c r="RQI1" s="637"/>
      <c r="RQJ1" s="637"/>
      <c r="RQK1" s="637"/>
      <c r="RQL1" s="637"/>
      <c r="RQM1" s="637"/>
      <c r="RQN1" s="637"/>
      <c r="RQO1" s="637"/>
      <c r="RQP1" s="637"/>
      <c r="RQQ1" s="637"/>
      <c r="RQR1" s="637"/>
      <c r="RQS1" s="637"/>
      <c r="RQT1" s="637"/>
      <c r="RQU1" s="637"/>
      <c r="RQV1" s="637"/>
      <c r="RQW1" s="637"/>
      <c r="RQX1" s="637"/>
      <c r="RQY1" s="637"/>
      <c r="RQZ1" s="637"/>
      <c r="RRA1" s="637"/>
      <c r="RRB1" s="637"/>
      <c r="RRC1" s="637"/>
      <c r="RRD1" s="637"/>
      <c r="RRE1" s="637"/>
      <c r="RRF1" s="637"/>
      <c r="RRG1" s="637"/>
      <c r="RRH1" s="637"/>
      <c r="RRI1" s="637"/>
      <c r="RRJ1" s="637"/>
      <c r="RRK1" s="637"/>
      <c r="RRL1" s="637"/>
      <c r="RRM1" s="637"/>
      <c r="RRN1" s="637"/>
      <c r="RRO1" s="637"/>
      <c r="RRP1" s="637"/>
      <c r="RRQ1" s="637"/>
      <c r="RRR1" s="637"/>
      <c r="RRS1" s="637"/>
      <c r="RRT1" s="637"/>
      <c r="RRU1" s="637"/>
      <c r="RRV1" s="637"/>
      <c r="RRW1" s="637"/>
      <c r="RRX1" s="637"/>
      <c r="RRY1" s="637"/>
      <c r="RRZ1" s="637"/>
      <c r="RSA1" s="637"/>
      <c r="RSB1" s="637"/>
      <c r="RSC1" s="637"/>
      <c r="RSD1" s="637"/>
      <c r="RSE1" s="637"/>
      <c r="RSF1" s="637"/>
      <c r="RSG1" s="637"/>
      <c r="RSH1" s="637"/>
      <c r="RSI1" s="637"/>
      <c r="RSJ1" s="637"/>
      <c r="RSK1" s="637"/>
      <c r="RSL1" s="637"/>
      <c r="RSM1" s="637"/>
      <c r="RSN1" s="637"/>
      <c r="RSO1" s="637"/>
      <c r="RSP1" s="637"/>
      <c r="RSQ1" s="637"/>
      <c r="RSR1" s="637"/>
      <c r="RSS1" s="637"/>
      <c r="RST1" s="637"/>
      <c r="RSU1" s="637"/>
      <c r="RSV1" s="637"/>
      <c r="RSW1" s="637"/>
      <c r="RSX1" s="637"/>
      <c r="RSY1" s="637"/>
      <c r="RSZ1" s="637"/>
      <c r="RTA1" s="637"/>
      <c r="RTB1" s="637"/>
      <c r="RTC1" s="637"/>
      <c r="RTD1" s="637"/>
      <c r="RTE1" s="637"/>
      <c r="RTF1" s="637"/>
      <c r="RTG1" s="637"/>
      <c r="RTH1" s="637"/>
      <c r="RTI1" s="637"/>
      <c r="RTJ1" s="637"/>
      <c r="RTK1" s="637"/>
      <c r="RTL1" s="637"/>
      <c r="RTM1" s="637"/>
      <c r="RTN1" s="637"/>
      <c r="RTO1" s="637"/>
      <c r="RTP1" s="637"/>
      <c r="RTQ1" s="637"/>
      <c r="RTR1" s="637"/>
      <c r="RTS1" s="637"/>
      <c r="RTT1" s="637"/>
      <c r="RTU1" s="637"/>
      <c r="RTV1" s="637"/>
      <c r="RTW1" s="637"/>
      <c r="RTX1" s="637"/>
      <c r="RTY1" s="637"/>
      <c r="RTZ1" s="637"/>
      <c r="RUA1" s="637"/>
      <c r="RUB1" s="637"/>
      <c r="RUC1" s="637"/>
      <c r="RUD1" s="637"/>
      <c r="RUE1" s="637"/>
      <c r="RUF1" s="637"/>
      <c r="RUG1" s="637"/>
      <c r="RUH1" s="637"/>
      <c r="RUI1" s="637"/>
      <c r="RUJ1" s="637"/>
      <c r="RUK1" s="637"/>
      <c r="RUL1" s="637"/>
      <c r="RUM1" s="637"/>
      <c r="RUN1" s="637"/>
      <c r="RUO1" s="637"/>
      <c r="RUP1" s="637"/>
      <c r="RUQ1" s="637"/>
      <c r="RUR1" s="637"/>
      <c r="RUS1" s="637"/>
      <c r="RUT1" s="637"/>
      <c r="RUU1" s="637"/>
      <c r="RUV1" s="637"/>
      <c r="RUW1" s="637"/>
      <c r="RUX1" s="637"/>
      <c r="RUY1" s="637"/>
      <c r="RUZ1" s="637"/>
      <c r="RVA1" s="637"/>
      <c r="RVB1" s="637"/>
      <c r="RVC1" s="637"/>
      <c r="RVD1" s="637"/>
      <c r="RVE1" s="637"/>
      <c r="RVF1" s="637"/>
      <c r="RVG1" s="637"/>
      <c r="RVH1" s="637"/>
      <c r="RVI1" s="637"/>
      <c r="RVJ1" s="637"/>
      <c r="RVK1" s="637"/>
      <c r="RVL1" s="637"/>
      <c r="RVM1" s="637"/>
      <c r="RVN1" s="637"/>
      <c r="RVO1" s="637"/>
      <c r="RVP1" s="637"/>
      <c r="RVQ1" s="637"/>
      <c r="RVR1" s="637"/>
      <c r="RVS1" s="637"/>
      <c r="RVT1" s="637"/>
      <c r="RVU1" s="637"/>
      <c r="RVV1" s="637"/>
      <c r="RVW1" s="637"/>
      <c r="RVX1" s="637"/>
      <c r="RVY1" s="637"/>
      <c r="RVZ1" s="637"/>
      <c r="RWA1" s="637"/>
      <c r="RWB1" s="637"/>
      <c r="RWC1" s="637"/>
      <c r="RWD1" s="637"/>
      <c r="RWE1" s="637"/>
      <c r="RWF1" s="637"/>
      <c r="RWG1" s="637"/>
      <c r="RWH1" s="637"/>
      <c r="RWI1" s="637"/>
      <c r="RWJ1" s="637"/>
      <c r="RWK1" s="637"/>
      <c r="RWL1" s="637"/>
      <c r="RWM1" s="637"/>
      <c r="RWN1" s="637"/>
      <c r="RWO1" s="637"/>
      <c r="RWP1" s="637"/>
      <c r="RWQ1" s="637"/>
      <c r="RWR1" s="637"/>
      <c r="RWS1" s="637"/>
      <c r="RWT1" s="637"/>
      <c r="RWU1" s="637"/>
      <c r="RWV1" s="637"/>
      <c r="RWW1" s="637"/>
      <c r="RWX1" s="637"/>
      <c r="RWY1" s="637"/>
      <c r="RWZ1" s="637"/>
      <c r="RXA1" s="637"/>
      <c r="RXB1" s="637"/>
      <c r="RXC1" s="637"/>
      <c r="RXD1" s="637"/>
      <c r="RXE1" s="637"/>
      <c r="RXF1" s="637"/>
      <c r="RXG1" s="637"/>
      <c r="RXH1" s="637"/>
      <c r="RXI1" s="637"/>
      <c r="RXJ1" s="637"/>
      <c r="RXK1" s="637"/>
      <c r="RXL1" s="637"/>
      <c r="RXM1" s="637"/>
      <c r="RXN1" s="637"/>
      <c r="RXO1" s="637"/>
      <c r="RXP1" s="637"/>
      <c r="RXQ1" s="637"/>
      <c r="RXR1" s="637"/>
      <c r="RXS1" s="637"/>
      <c r="RXT1" s="637"/>
      <c r="RXU1" s="637"/>
      <c r="RXV1" s="637"/>
      <c r="RXW1" s="637"/>
      <c r="RXX1" s="637"/>
      <c r="RXY1" s="637"/>
      <c r="RXZ1" s="637"/>
      <c r="RYA1" s="637"/>
      <c r="RYB1" s="637"/>
      <c r="RYC1" s="637"/>
      <c r="RYD1" s="637"/>
      <c r="RYE1" s="637"/>
      <c r="RYF1" s="637"/>
      <c r="RYG1" s="637"/>
      <c r="RYH1" s="637"/>
      <c r="RYI1" s="637"/>
      <c r="RYJ1" s="637"/>
      <c r="RYK1" s="637"/>
      <c r="RYL1" s="637"/>
      <c r="RYM1" s="637"/>
      <c r="RYN1" s="637"/>
      <c r="RYO1" s="637"/>
      <c r="RYP1" s="637"/>
      <c r="RYQ1" s="637"/>
      <c r="RYR1" s="637"/>
      <c r="RYS1" s="637"/>
      <c r="RYT1" s="637"/>
      <c r="RYU1" s="637"/>
      <c r="RYV1" s="637"/>
      <c r="RYW1" s="637"/>
      <c r="RYX1" s="637"/>
      <c r="RYY1" s="637"/>
      <c r="RYZ1" s="637"/>
      <c r="RZA1" s="637"/>
      <c r="RZB1" s="637"/>
      <c r="RZC1" s="637"/>
      <c r="RZD1" s="637"/>
      <c r="RZE1" s="637"/>
      <c r="RZF1" s="637"/>
      <c r="RZG1" s="637"/>
      <c r="RZH1" s="637"/>
      <c r="RZI1" s="637"/>
      <c r="RZJ1" s="637"/>
      <c r="RZK1" s="637"/>
      <c r="RZL1" s="637"/>
      <c r="RZM1" s="637"/>
      <c r="RZN1" s="637"/>
      <c r="RZO1" s="637"/>
      <c r="RZP1" s="637"/>
      <c r="RZQ1" s="637"/>
      <c r="RZR1" s="637"/>
      <c r="RZS1" s="637"/>
      <c r="RZT1" s="637"/>
      <c r="RZU1" s="637"/>
      <c r="RZV1" s="637"/>
      <c r="RZW1" s="637"/>
      <c r="RZX1" s="637"/>
      <c r="RZY1" s="637"/>
      <c r="RZZ1" s="637"/>
      <c r="SAA1" s="637"/>
      <c r="SAB1" s="637"/>
      <c r="SAC1" s="637"/>
      <c r="SAD1" s="637"/>
      <c r="SAE1" s="637"/>
      <c r="SAF1" s="637"/>
      <c r="SAG1" s="637"/>
      <c r="SAH1" s="637"/>
      <c r="SAI1" s="637"/>
      <c r="SAJ1" s="637"/>
      <c r="SAK1" s="637"/>
      <c r="SAL1" s="637"/>
      <c r="SAM1" s="637"/>
      <c r="SAN1" s="637"/>
      <c r="SAO1" s="637"/>
      <c r="SAP1" s="637"/>
      <c r="SAQ1" s="637"/>
      <c r="SAR1" s="637"/>
      <c r="SAS1" s="637"/>
      <c r="SAT1" s="637"/>
      <c r="SAU1" s="637"/>
      <c r="SAV1" s="637"/>
      <c r="SAW1" s="637"/>
      <c r="SAX1" s="637"/>
      <c r="SAY1" s="637"/>
      <c r="SAZ1" s="637"/>
      <c r="SBA1" s="637"/>
      <c r="SBB1" s="637"/>
      <c r="SBC1" s="637"/>
      <c r="SBD1" s="637"/>
      <c r="SBE1" s="637"/>
      <c r="SBF1" s="637"/>
      <c r="SBG1" s="637"/>
      <c r="SBH1" s="637"/>
      <c r="SBI1" s="637"/>
      <c r="SBJ1" s="637"/>
      <c r="SBK1" s="637"/>
      <c r="SBL1" s="637"/>
      <c r="SBM1" s="637"/>
      <c r="SBN1" s="637"/>
      <c r="SBO1" s="637"/>
      <c r="SBP1" s="637"/>
      <c r="SBQ1" s="637"/>
      <c r="SBR1" s="637"/>
      <c r="SBS1" s="637"/>
      <c r="SBT1" s="637"/>
      <c r="SBU1" s="637"/>
      <c r="SBV1" s="637"/>
      <c r="SBW1" s="637"/>
      <c r="SBX1" s="637"/>
      <c r="SBY1" s="637"/>
      <c r="SBZ1" s="637"/>
      <c r="SCA1" s="637"/>
      <c r="SCB1" s="637"/>
      <c r="SCC1" s="637"/>
      <c r="SCD1" s="637"/>
      <c r="SCE1" s="637"/>
      <c r="SCF1" s="637"/>
      <c r="SCG1" s="637"/>
      <c r="SCH1" s="637"/>
      <c r="SCI1" s="637"/>
      <c r="SCJ1" s="637"/>
      <c r="SCK1" s="637"/>
      <c r="SCL1" s="637"/>
      <c r="SCM1" s="637"/>
      <c r="SCN1" s="637"/>
      <c r="SCO1" s="637"/>
      <c r="SCP1" s="637"/>
      <c r="SCQ1" s="637"/>
      <c r="SCR1" s="637"/>
      <c r="SCS1" s="637"/>
      <c r="SCT1" s="637"/>
      <c r="SCU1" s="637"/>
      <c r="SCV1" s="637"/>
      <c r="SCW1" s="637"/>
      <c r="SCX1" s="637"/>
      <c r="SCY1" s="637"/>
      <c r="SCZ1" s="637"/>
      <c r="SDA1" s="637"/>
      <c r="SDB1" s="637"/>
      <c r="SDC1" s="637"/>
      <c r="SDD1" s="637"/>
      <c r="SDE1" s="637"/>
      <c r="SDF1" s="637"/>
      <c r="SDG1" s="637"/>
      <c r="SDH1" s="637"/>
      <c r="SDI1" s="637"/>
      <c r="SDJ1" s="637"/>
      <c r="SDK1" s="637"/>
      <c r="SDL1" s="637"/>
      <c r="SDM1" s="637"/>
      <c r="SDN1" s="637"/>
      <c r="SDO1" s="637"/>
      <c r="SDP1" s="637"/>
      <c r="SDQ1" s="637"/>
      <c r="SDR1" s="637"/>
      <c r="SDS1" s="637"/>
      <c r="SDT1" s="637"/>
      <c r="SDU1" s="637"/>
      <c r="SDV1" s="637"/>
      <c r="SDW1" s="637"/>
      <c r="SDX1" s="637"/>
      <c r="SDY1" s="637"/>
      <c r="SDZ1" s="637"/>
      <c r="SEA1" s="637"/>
      <c r="SEB1" s="637"/>
      <c r="SEC1" s="637"/>
      <c r="SED1" s="637"/>
      <c r="SEE1" s="637"/>
      <c r="SEF1" s="637"/>
      <c r="SEG1" s="637"/>
      <c r="SEH1" s="637"/>
      <c r="SEI1" s="637"/>
      <c r="SEJ1" s="637"/>
      <c r="SEK1" s="637"/>
      <c r="SEL1" s="637"/>
      <c r="SEM1" s="637"/>
      <c r="SEN1" s="637"/>
      <c r="SEO1" s="637"/>
      <c r="SEP1" s="637"/>
      <c r="SEQ1" s="637"/>
      <c r="SER1" s="637"/>
      <c r="SES1" s="637"/>
      <c r="SET1" s="637"/>
      <c r="SEU1" s="637"/>
      <c r="SEV1" s="637"/>
      <c r="SEW1" s="637"/>
      <c r="SEX1" s="637"/>
      <c r="SEY1" s="637"/>
      <c r="SEZ1" s="637"/>
      <c r="SFA1" s="637"/>
      <c r="SFB1" s="637"/>
      <c r="SFC1" s="637"/>
      <c r="SFD1" s="637"/>
      <c r="SFE1" s="637"/>
      <c r="SFF1" s="637"/>
      <c r="SFG1" s="637"/>
      <c r="SFH1" s="637"/>
      <c r="SFI1" s="637"/>
      <c r="SFJ1" s="637"/>
      <c r="SFK1" s="637"/>
      <c r="SFL1" s="637"/>
      <c r="SFM1" s="637"/>
      <c r="SFN1" s="637"/>
      <c r="SFO1" s="637"/>
      <c r="SFP1" s="637"/>
      <c r="SFQ1" s="637"/>
      <c r="SFR1" s="637"/>
      <c r="SFS1" s="637"/>
      <c r="SFT1" s="637"/>
      <c r="SFU1" s="637"/>
      <c r="SFV1" s="637"/>
      <c r="SFW1" s="637"/>
      <c r="SFX1" s="637"/>
      <c r="SFY1" s="637"/>
      <c r="SFZ1" s="637"/>
      <c r="SGA1" s="637"/>
      <c r="SGB1" s="637"/>
      <c r="SGC1" s="637"/>
      <c r="SGD1" s="637"/>
      <c r="SGE1" s="637"/>
      <c r="SGF1" s="637"/>
      <c r="SGG1" s="637"/>
      <c r="SGH1" s="637"/>
      <c r="SGI1" s="637"/>
      <c r="SGJ1" s="637"/>
      <c r="SGK1" s="637"/>
      <c r="SGL1" s="637"/>
      <c r="SGM1" s="637"/>
      <c r="SGN1" s="637"/>
      <c r="SGO1" s="637"/>
      <c r="SGP1" s="637"/>
      <c r="SGQ1" s="637"/>
      <c r="SGR1" s="637"/>
      <c r="SGS1" s="637"/>
      <c r="SGT1" s="637"/>
      <c r="SGU1" s="637"/>
      <c r="SGV1" s="637"/>
      <c r="SGW1" s="637"/>
      <c r="SGX1" s="637"/>
      <c r="SGY1" s="637"/>
      <c r="SGZ1" s="637"/>
      <c r="SHA1" s="637"/>
      <c r="SHB1" s="637"/>
      <c r="SHC1" s="637"/>
      <c r="SHD1" s="637"/>
      <c r="SHE1" s="637"/>
      <c r="SHF1" s="637"/>
      <c r="SHG1" s="637"/>
      <c r="SHH1" s="637"/>
      <c r="SHI1" s="637"/>
      <c r="SHJ1" s="637"/>
      <c r="SHK1" s="637"/>
      <c r="SHL1" s="637"/>
      <c r="SHM1" s="637"/>
      <c r="SHN1" s="637"/>
      <c r="SHO1" s="637"/>
      <c r="SHP1" s="637"/>
      <c r="SHQ1" s="637"/>
      <c r="SHR1" s="637"/>
      <c r="SHS1" s="637"/>
      <c r="SHT1" s="637"/>
      <c r="SHU1" s="637"/>
      <c r="SHV1" s="637"/>
      <c r="SHW1" s="637"/>
      <c r="SHX1" s="637"/>
      <c r="SHY1" s="637"/>
      <c r="SHZ1" s="637"/>
      <c r="SIA1" s="637"/>
      <c r="SIB1" s="637"/>
      <c r="SIC1" s="637"/>
      <c r="SID1" s="637"/>
      <c r="SIE1" s="637"/>
      <c r="SIF1" s="637"/>
      <c r="SIG1" s="637"/>
      <c r="SIH1" s="637"/>
      <c r="SII1" s="637"/>
      <c r="SIJ1" s="637"/>
      <c r="SIK1" s="637"/>
      <c r="SIL1" s="637"/>
      <c r="SIM1" s="637"/>
      <c r="SIN1" s="637"/>
      <c r="SIO1" s="637"/>
      <c r="SIP1" s="637"/>
      <c r="SIQ1" s="637"/>
      <c r="SIR1" s="637"/>
      <c r="SIS1" s="637"/>
      <c r="SIT1" s="637"/>
      <c r="SIU1" s="637"/>
      <c r="SIV1" s="637"/>
      <c r="SIW1" s="637"/>
      <c r="SIX1" s="637"/>
      <c r="SIY1" s="637"/>
      <c r="SIZ1" s="637"/>
      <c r="SJA1" s="637"/>
      <c r="SJB1" s="637"/>
      <c r="SJC1" s="637"/>
      <c r="SJD1" s="637"/>
      <c r="SJE1" s="637"/>
      <c r="SJF1" s="637"/>
      <c r="SJG1" s="637"/>
      <c r="SJH1" s="637"/>
      <c r="SJI1" s="637"/>
      <c r="SJJ1" s="637"/>
      <c r="SJK1" s="637"/>
      <c r="SJL1" s="637"/>
      <c r="SJM1" s="637"/>
      <c r="SJN1" s="637"/>
      <c r="SJO1" s="637"/>
      <c r="SJP1" s="637"/>
      <c r="SJQ1" s="637"/>
      <c r="SJR1" s="637"/>
      <c r="SJS1" s="637"/>
      <c r="SJT1" s="637"/>
      <c r="SJU1" s="637"/>
      <c r="SJV1" s="637"/>
      <c r="SJW1" s="637"/>
      <c r="SJX1" s="637"/>
      <c r="SJY1" s="637"/>
      <c r="SJZ1" s="637"/>
      <c r="SKA1" s="637"/>
      <c r="SKB1" s="637"/>
      <c r="SKC1" s="637"/>
      <c r="SKD1" s="637"/>
      <c r="SKE1" s="637"/>
      <c r="SKF1" s="637"/>
      <c r="SKG1" s="637"/>
      <c r="SKH1" s="637"/>
      <c r="SKI1" s="637"/>
      <c r="SKJ1" s="637"/>
      <c r="SKK1" s="637"/>
      <c r="SKL1" s="637"/>
      <c r="SKM1" s="637"/>
      <c r="SKN1" s="637"/>
      <c r="SKO1" s="637"/>
      <c r="SKP1" s="637"/>
      <c r="SKQ1" s="637"/>
      <c r="SKR1" s="637"/>
      <c r="SKS1" s="637"/>
      <c r="SKT1" s="637"/>
      <c r="SKU1" s="637"/>
      <c r="SKV1" s="637"/>
      <c r="SKW1" s="637"/>
      <c r="SKX1" s="637"/>
      <c r="SKY1" s="637"/>
      <c r="SKZ1" s="637"/>
      <c r="SLA1" s="637"/>
      <c r="SLB1" s="637"/>
      <c r="SLC1" s="637"/>
      <c r="SLD1" s="637"/>
      <c r="SLE1" s="637"/>
      <c r="SLF1" s="637"/>
      <c r="SLG1" s="637"/>
      <c r="SLH1" s="637"/>
      <c r="SLI1" s="637"/>
      <c r="SLJ1" s="637"/>
      <c r="SLK1" s="637"/>
      <c r="SLL1" s="637"/>
      <c r="SLM1" s="637"/>
      <c r="SLN1" s="637"/>
      <c r="SLO1" s="637"/>
      <c r="SLP1" s="637"/>
      <c r="SLQ1" s="637"/>
      <c r="SLR1" s="637"/>
      <c r="SLS1" s="637"/>
      <c r="SLT1" s="637"/>
      <c r="SLU1" s="637"/>
      <c r="SLV1" s="637"/>
      <c r="SLW1" s="637"/>
      <c r="SLX1" s="637"/>
      <c r="SLY1" s="637"/>
      <c r="SLZ1" s="637"/>
      <c r="SMA1" s="637"/>
      <c r="SMB1" s="637"/>
      <c r="SMC1" s="637"/>
      <c r="SMD1" s="637"/>
      <c r="SME1" s="637"/>
      <c r="SMF1" s="637"/>
      <c r="SMG1" s="637"/>
      <c r="SMH1" s="637"/>
      <c r="SMI1" s="637"/>
      <c r="SMJ1" s="637"/>
      <c r="SMK1" s="637"/>
      <c r="SML1" s="637"/>
      <c r="SMM1" s="637"/>
      <c r="SMN1" s="637"/>
      <c r="SMO1" s="637"/>
      <c r="SMP1" s="637"/>
      <c r="SMQ1" s="637"/>
      <c r="SMR1" s="637"/>
      <c r="SMS1" s="637"/>
      <c r="SMT1" s="637"/>
      <c r="SMU1" s="637"/>
      <c r="SMV1" s="637"/>
      <c r="SMW1" s="637"/>
      <c r="SMX1" s="637"/>
      <c r="SMY1" s="637"/>
      <c r="SMZ1" s="637"/>
      <c r="SNA1" s="637"/>
      <c r="SNB1" s="637"/>
      <c r="SNC1" s="637"/>
      <c r="SND1" s="637"/>
      <c r="SNE1" s="637"/>
      <c r="SNF1" s="637"/>
      <c r="SNG1" s="637"/>
      <c r="SNH1" s="637"/>
      <c r="SNI1" s="637"/>
      <c r="SNJ1" s="637"/>
      <c r="SNK1" s="637"/>
      <c r="SNL1" s="637"/>
      <c r="SNM1" s="637"/>
      <c r="SNN1" s="637"/>
      <c r="SNO1" s="637"/>
      <c r="SNP1" s="637"/>
      <c r="SNQ1" s="637"/>
      <c r="SNR1" s="637"/>
      <c r="SNS1" s="637"/>
      <c r="SNT1" s="637"/>
      <c r="SNU1" s="637"/>
      <c r="SNV1" s="637"/>
      <c r="SNW1" s="637"/>
      <c r="SNX1" s="637"/>
      <c r="SNY1" s="637"/>
      <c r="SNZ1" s="637"/>
      <c r="SOA1" s="637"/>
      <c r="SOB1" s="637"/>
      <c r="SOC1" s="637"/>
      <c r="SOD1" s="637"/>
      <c r="SOE1" s="637"/>
      <c r="SOF1" s="637"/>
      <c r="SOG1" s="637"/>
      <c r="SOH1" s="637"/>
      <c r="SOI1" s="637"/>
      <c r="SOJ1" s="637"/>
      <c r="SOK1" s="637"/>
      <c r="SOL1" s="637"/>
      <c r="SOM1" s="637"/>
      <c r="SON1" s="637"/>
      <c r="SOO1" s="637"/>
      <c r="SOP1" s="637"/>
      <c r="SOQ1" s="637"/>
      <c r="SOR1" s="637"/>
      <c r="SOS1" s="637"/>
      <c r="SOT1" s="637"/>
      <c r="SOU1" s="637"/>
      <c r="SOV1" s="637"/>
      <c r="SOW1" s="637"/>
      <c r="SOX1" s="637"/>
      <c r="SOY1" s="637"/>
      <c r="SOZ1" s="637"/>
      <c r="SPA1" s="637"/>
      <c r="SPB1" s="637"/>
      <c r="SPC1" s="637"/>
      <c r="SPD1" s="637"/>
      <c r="SPE1" s="637"/>
      <c r="SPF1" s="637"/>
      <c r="SPG1" s="637"/>
      <c r="SPH1" s="637"/>
      <c r="SPI1" s="637"/>
      <c r="SPJ1" s="637"/>
      <c r="SPK1" s="637"/>
      <c r="SPL1" s="637"/>
      <c r="SPM1" s="637"/>
      <c r="SPN1" s="637"/>
      <c r="SPO1" s="637"/>
      <c r="SPP1" s="637"/>
      <c r="SPQ1" s="637"/>
      <c r="SPR1" s="637"/>
      <c r="SPS1" s="637"/>
      <c r="SPT1" s="637"/>
      <c r="SPU1" s="637"/>
      <c r="SPV1" s="637"/>
      <c r="SPW1" s="637"/>
      <c r="SPX1" s="637"/>
      <c r="SPY1" s="637"/>
      <c r="SPZ1" s="637"/>
      <c r="SQA1" s="637"/>
      <c r="SQB1" s="637"/>
      <c r="SQC1" s="637"/>
      <c r="SQD1" s="637"/>
      <c r="SQE1" s="637"/>
      <c r="SQF1" s="637"/>
      <c r="SQG1" s="637"/>
      <c r="SQH1" s="637"/>
      <c r="SQI1" s="637"/>
      <c r="SQJ1" s="637"/>
      <c r="SQK1" s="637"/>
      <c r="SQL1" s="637"/>
      <c r="SQM1" s="637"/>
      <c r="SQN1" s="637"/>
      <c r="SQO1" s="637"/>
      <c r="SQP1" s="637"/>
      <c r="SQQ1" s="637"/>
      <c r="SQR1" s="637"/>
      <c r="SQS1" s="637"/>
      <c r="SQT1" s="637"/>
      <c r="SQU1" s="637"/>
      <c r="SQV1" s="637"/>
      <c r="SQW1" s="637"/>
      <c r="SQX1" s="637"/>
      <c r="SQY1" s="637"/>
      <c r="SQZ1" s="637"/>
      <c r="SRA1" s="637"/>
      <c r="SRB1" s="637"/>
      <c r="SRC1" s="637"/>
      <c r="SRD1" s="637"/>
      <c r="SRE1" s="637"/>
      <c r="SRF1" s="637"/>
      <c r="SRG1" s="637"/>
      <c r="SRH1" s="637"/>
      <c r="SRI1" s="637"/>
      <c r="SRJ1" s="637"/>
      <c r="SRK1" s="637"/>
      <c r="SRL1" s="637"/>
      <c r="SRM1" s="637"/>
      <c r="SRN1" s="637"/>
      <c r="SRO1" s="637"/>
      <c r="SRP1" s="637"/>
      <c r="SRQ1" s="637"/>
      <c r="SRR1" s="637"/>
      <c r="SRS1" s="637"/>
      <c r="SRT1" s="637"/>
      <c r="SRU1" s="637"/>
      <c r="SRV1" s="637"/>
      <c r="SRW1" s="637"/>
      <c r="SRX1" s="637"/>
      <c r="SRY1" s="637"/>
      <c r="SRZ1" s="637"/>
      <c r="SSA1" s="637"/>
      <c r="SSB1" s="637"/>
      <c r="SSC1" s="637"/>
      <c r="SSD1" s="637"/>
      <c r="SSE1" s="637"/>
      <c r="SSF1" s="637"/>
      <c r="SSG1" s="637"/>
      <c r="SSH1" s="637"/>
      <c r="SSI1" s="637"/>
      <c r="SSJ1" s="637"/>
      <c r="SSK1" s="637"/>
      <c r="SSL1" s="637"/>
      <c r="SSM1" s="637"/>
      <c r="SSN1" s="637"/>
      <c r="SSO1" s="637"/>
      <c r="SSP1" s="637"/>
      <c r="SSQ1" s="637"/>
      <c r="SSR1" s="637"/>
      <c r="SSS1" s="637"/>
      <c r="SST1" s="637"/>
      <c r="SSU1" s="637"/>
      <c r="SSV1" s="637"/>
      <c r="SSW1" s="637"/>
      <c r="SSX1" s="637"/>
      <c r="SSY1" s="637"/>
      <c r="SSZ1" s="637"/>
      <c r="STA1" s="637"/>
      <c r="STB1" s="637"/>
      <c r="STC1" s="637"/>
      <c r="STD1" s="637"/>
      <c r="STE1" s="637"/>
      <c r="STF1" s="637"/>
      <c r="STG1" s="637"/>
      <c r="STH1" s="637"/>
      <c r="STI1" s="637"/>
      <c r="STJ1" s="637"/>
      <c r="STK1" s="637"/>
      <c r="STL1" s="637"/>
      <c r="STM1" s="637"/>
      <c r="STN1" s="637"/>
      <c r="STO1" s="637"/>
      <c r="STP1" s="637"/>
      <c r="STQ1" s="637"/>
      <c r="STR1" s="637"/>
      <c r="STS1" s="637"/>
      <c r="STT1" s="637"/>
      <c r="STU1" s="637"/>
      <c r="STV1" s="637"/>
      <c r="STW1" s="637"/>
      <c r="STX1" s="637"/>
      <c r="STY1" s="637"/>
      <c r="STZ1" s="637"/>
      <c r="SUA1" s="637"/>
      <c r="SUB1" s="637"/>
      <c r="SUC1" s="637"/>
      <c r="SUD1" s="637"/>
      <c r="SUE1" s="637"/>
      <c r="SUF1" s="637"/>
      <c r="SUG1" s="637"/>
      <c r="SUH1" s="637"/>
      <c r="SUI1" s="637"/>
      <c r="SUJ1" s="637"/>
      <c r="SUK1" s="637"/>
      <c r="SUL1" s="637"/>
      <c r="SUM1" s="637"/>
      <c r="SUN1" s="637"/>
      <c r="SUO1" s="637"/>
      <c r="SUP1" s="637"/>
      <c r="SUQ1" s="637"/>
      <c r="SUR1" s="637"/>
      <c r="SUS1" s="637"/>
      <c r="SUT1" s="637"/>
      <c r="SUU1" s="637"/>
      <c r="SUV1" s="637"/>
      <c r="SUW1" s="637"/>
      <c r="SUX1" s="637"/>
      <c r="SUY1" s="637"/>
      <c r="SUZ1" s="637"/>
      <c r="SVA1" s="637"/>
      <c r="SVB1" s="637"/>
      <c r="SVC1" s="637"/>
      <c r="SVD1" s="637"/>
      <c r="SVE1" s="637"/>
      <c r="SVF1" s="637"/>
      <c r="SVG1" s="637"/>
      <c r="SVH1" s="637"/>
      <c r="SVI1" s="637"/>
      <c r="SVJ1" s="637"/>
      <c r="SVK1" s="637"/>
      <c r="SVL1" s="637"/>
      <c r="SVM1" s="637"/>
      <c r="SVN1" s="637"/>
      <c r="SVO1" s="637"/>
      <c r="SVP1" s="637"/>
      <c r="SVQ1" s="637"/>
      <c r="SVR1" s="637"/>
      <c r="SVS1" s="637"/>
      <c r="SVT1" s="637"/>
      <c r="SVU1" s="637"/>
      <c r="SVV1" s="637"/>
      <c r="SVW1" s="637"/>
      <c r="SVX1" s="637"/>
      <c r="SVY1" s="637"/>
      <c r="SVZ1" s="637"/>
      <c r="SWA1" s="637"/>
      <c r="SWB1" s="637"/>
      <c r="SWC1" s="637"/>
      <c r="SWD1" s="637"/>
      <c r="SWE1" s="637"/>
      <c r="SWF1" s="637"/>
      <c r="SWG1" s="637"/>
      <c r="SWH1" s="637"/>
      <c r="SWI1" s="637"/>
      <c r="SWJ1" s="637"/>
      <c r="SWK1" s="637"/>
      <c r="SWL1" s="637"/>
      <c r="SWM1" s="637"/>
      <c r="SWN1" s="637"/>
      <c r="SWO1" s="637"/>
      <c r="SWP1" s="637"/>
      <c r="SWQ1" s="637"/>
      <c r="SWR1" s="637"/>
      <c r="SWS1" s="637"/>
      <c r="SWT1" s="637"/>
      <c r="SWU1" s="637"/>
      <c r="SWV1" s="637"/>
      <c r="SWW1" s="637"/>
      <c r="SWX1" s="637"/>
      <c r="SWY1" s="637"/>
      <c r="SWZ1" s="637"/>
      <c r="SXA1" s="637"/>
      <c r="SXB1" s="637"/>
      <c r="SXC1" s="637"/>
      <c r="SXD1" s="637"/>
      <c r="SXE1" s="637"/>
      <c r="SXF1" s="637"/>
      <c r="SXG1" s="637"/>
      <c r="SXH1" s="637"/>
      <c r="SXI1" s="637"/>
      <c r="SXJ1" s="637"/>
      <c r="SXK1" s="637"/>
      <c r="SXL1" s="637"/>
      <c r="SXM1" s="637"/>
      <c r="SXN1" s="637"/>
      <c r="SXO1" s="637"/>
      <c r="SXP1" s="637"/>
      <c r="SXQ1" s="637"/>
      <c r="SXR1" s="637"/>
      <c r="SXS1" s="637"/>
      <c r="SXT1" s="637"/>
      <c r="SXU1" s="637"/>
      <c r="SXV1" s="637"/>
      <c r="SXW1" s="637"/>
      <c r="SXX1" s="637"/>
      <c r="SXY1" s="637"/>
      <c r="SXZ1" s="637"/>
      <c r="SYA1" s="637"/>
      <c r="SYB1" s="637"/>
      <c r="SYC1" s="637"/>
      <c r="SYD1" s="637"/>
      <c r="SYE1" s="637"/>
      <c r="SYF1" s="637"/>
      <c r="SYG1" s="637"/>
      <c r="SYH1" s="637"/>
      <c r="SYI1" s="637"/>
      <c r="SYJ1" s="637"/>
      <c r="SYK1" s="637"/>
      <c r="SYL1" s="637"/>
      <c r="SYM1" s="637"/>
      <c r="SYN1" s="637"/>
      <c r="SYO1" s="637"/>
      <c r="SYP1" s="637"/>
      <c r="SYQ1" s="637"/>
      <c r="SYR1" s="637"/>
      <c r="SYS1" s="637"/>
      <c r="SYT1" s="637"/>
      <c r="SYU1" s="637"/>
      <c r="SYV1" s="637"/>
      <c r="SYW1" s="637"/>
      <c r="SYX1" s="637"/>
      <c r="SYY1" s="637"/>
      <c r="SYZ1" s="637"/>
      <c r="SZA1" s="637"/>
      <c r="SZB1" s="637"/>
      <c r="SZC1" s="637"/>
      <c r="SZD1" s="637"/>
      <c r="SZE1" s="637"/>
      <c r="SZF1" s="637"/>
      <c r="SZG1" s="637"/>
      <c r="SZH1" s="637"/>
      <c r="SZI1" s="637"/>
      <c r="SZJ1" s="637"/>
      <c r="SZK1" s="637"/>
      <c r="SZL1" s="637"/>
      <c r="SZM1" s="637"/>
      <c r="SZN1" s="637"/>
      <c r="SZO1" s="637"/>
      <c r="SZP1" s="637"/>
      <c r="SZQ1" s="637"/>
      <c r="SZR1" s="637"/>
      <c r="SZS1" s="637"/>
      <c r="SZT1" s="637"/>
      <c r="SZU1" s="637"/>
      <c r="SZV1" s="637"/>
      <c r="SZW1" s="637"/>
      <c r="SZX1" s="637"/>
      <c r="SZY1" s="637"/>
      <c r="SZZ1" s="637"/>
      <c r="TAA1" s="637"/>
      <c r="TAB1" s="637"/>
      <c r="TAC1" s="637"/>
      <c r="TAD1" s="637"/>
      <c r="TAE1" s="637"/>
      <c r="TAF1" s="637"/>
      <c r="TAG1" s="637"/>
      <c r="TAH1" s="637"/>
      <c r="TAI1" s="637"/>
      <c r="TAJ1" s="637"/>
      <c r="TAK1" s="637"/>
      <c r="TAL1" s="637"/>
      <c r="TAM1" s="637"/>
      <c r="TAN1" s="637"/>
      <c r="TAO1" s="637"/>
      <c r="TAP1" s="637"/>
      <c r="TAQ1" s="637"/>
      <c r="TAR1" s="637"/>
      <c r="TAS1" s="637"/>
      <c r="TAT1" s="637"/>
      <c r="TAU1" s="637"/>
      <c r="TAV1" s="637"/>
      <c r="TAW1" s="637"/>
      <c r="TAX1" s="637"/>
      <c r="TAY1" s="637"/>
      <c r="TAZ1" s="637"/>
      <c r="TBA1" s="637"/>
      <c r="TBB1" s="637"/>
      <c r="TBC1" s="637"/>
      <c r="TBD1" s="637"/>
      <c r="TBE1" s="637"/>
      <c r="TBF1" s="637"/>
      <c r="TBG1" s="637"/>
      <c r="TBH1" s="637"/>
      <c r="TBI1" s="637"/>
      <c r="TBJ1" s="637"/>
      <c r="TBK1" s="637"/>
      <c r="TBL1" s="637"/>
      <c r="TBM1" s="637"/>
      <c r="TBN1" s="637"/>
      <c r="TBO1" s="637"/>
      <c r="TBP1" s="637"/>
      <c r="TBQ1" s="637"/>
      <c r="TBR1" s="637"/>
      <c r="TBS1" s="637"/>
      <c r="TBT1" s="637"/>
      <c r="TBU1" s="637"/>
      <c r="TBV1" s="637"/>
      <c r="TBW1" s="637"/>
      <c r="TBX1" s="637"/>
      <c r="TBY1" s="637"/>
      <c r="TBZ1" s="637"/>
      <c r="TCA1" s="637"/>
      <c r="TCB1" s="637"/>
      <c r="TCC1" s="637"/>
      <c r="TCD1" s="637"/>
      <c r="TCE1" s="637"/>
      <c r="TCF1" s="637"/>
      <c r="TCG1" s="637"/>
      <c r="TCH1" s="637"/>
      <c r="TCI1" s="637"/>
      <c r="TCJ1" s="637"/>
      <c r="TCK1" s="637"/>
      <c r="TCL1" s="637"/>
      <c r="TCM1" s="637"/>
      <c r="TCN1" s="637"/>
      <c r="TCO1" s="637"/>
      <c r="TCP1" s="637"/>
      <c r="TCQ1" s="637"/>
      <c r="TCR1" s="637"/>
      <c r="TCS1" s="637"/>
      <c r="TCT1" s="637"/>
      <c r="TCU1" s="637"/>
      <c r="TCV1" s="637"/>
      <c r="TCW1" s="637"/>
      <c r="TCX1" s="637"/>
      <c r="TCY1" s="637"/>
      <c r="TCZ1" s="637"/>
      <c r="TDA1" s="637"/>
      <c r="TDB1" s="637"/>
      <c r="TDC1" s="637"/>
      <c r="TDD1" s="637"/>
      <c r="TDE1" s="637"/>
      <c r="TDF1" s="637"/>
      <c r="TDG1" s="637"/>
      <c r="TDH1" s="637"/>
      <c r="TDI1" s="637"/>
      <c r="TDJ1" s="637"/>
      <c r="TDK1" s="637"/>
      <c r="TDL1" s="637"/>
      <c r="TDM1" s="637"/>
      <c r="TDN1" s="637"/>
      <c r="TDO1" s="637"/>
      <c r="TDP1" s="637"/>
      <c r="TDQ1" s="637"/>
      <c r="TDR1" s="637"/>
      <c r="TDS1" s="637"/>
      <c r="TDT1" s="637"/>
      <c r="TDU1" s="637"/>
      <c r="TDV1" s="637"/>
      <c r="TDW1" s="637"/>
      <c r="TDX1" s="637"/>
      <c r="TDY1" s="637"/>
      <c r="TDZ1" s="637"/>
      <c r="TEA1" s="637"/>
      <c r="TEB1" s="637"/>
      <c r="TEC1" s="637"/>
      <c r="TED1" s="637"/>
      <c r="TEE1" s="637"/>
      <c r="TEF1" s="637"/>
      <c r="TEG1" s="637"/>
      <c r="TEH1" s="637"/>
      <c r="TEI1" s="637"/>
      <c r="TEJ1" s="637"/>
      <c r="TEK1" s="637"/>
      <c r="TEL1" s="637"/>
      <c r="TEM1" s="637"/>
      <c r="TEN1" s="637"/>
      <c r="TEO1" s="637"/>
      <c r="TEP1" s="637"/>
      <c r="TEQ1" s="637"/>
      <c r="TER1" s="637"/>
      <c r="TES1" s="637"/>
      <c r="TET1" s="637"/>
      <c r="TEU1" s="637"/>
      <c r="TEV1" s="637"/>
      <c r="TEW1" s="637"/>
      <c r="TEX1" s="637"/>
      <c r="TEY1" s="637"/>
      <c r="TEZ1" s="637"/>
      <c r="TFA1" s="637"/>
      <c r="TFB1" s="637"/>
      <c r="TFC1" s="637"/>
      <c r="TFD1" s="637"/>
      <c r="TFE1" s="637"/>
      <c r="TFF1" s="637"/>
      <c r="TFG1" s="637"/>
      <c r="TFH1" s="637"/>
      <c r="TFI1" s="637"/>
      <c r="TFJ1" s="637"/>
      <c r="TFK1" s="637"/>
      <c r="TFL1" s="637"/>
      <c r="TFM1" s="637"/>
      <c r="TFN1" s="637"/>
      <c r="TFO1" s="637"/>
      <c r="TFP1" s="637"/>
      <c r="TFQ1" s="637"/>
      <c r="TFR1" s="637"/>
      <c r="TFS1" s="637"/>
      <c r="TFT1" s="637"/>
      <c r="TFU1" s="637"/>
      <c r="TFV1" s="637"/>
      <c r="TFW1" s="637"/>
      <c r="TFX1" s="637"/>
      <c r="TFY1" s="637"/>
      <c r="TFZ1" s="637"/>
      <c r="TGA1" s="637"/>
      <c r="TGB1" s="637"/>
      <c r="TGC1" s="637"/>
      <c r="TGD1" s="637"/>
      <c r="TGE1" s="637"/>
      <c r="TGF1" s="637"/>
      <c r="TGG1" s="637"/>
      <c r="TGH1" s="637"/>
      <c r="TGI1" s="637"/>
      <c r="TGJ1" s="637"/>
      <c r="TGK1" s="637"/>
      <c r="TGL1" s="637"/>
      <c r="TGM1" s="637"/>
      <c r="TGN1" s="637"/>
      <c r="TGO1" s="637"/>
      <c r="TGP1" s="637"/>
      <c r="TGQ1" s="637"/>
      <c r="TGR1" s="637"/>
      <c r="TGS1" s="637"/>
      <c r="TGT1" s="637"/>
      <c r="TGU1" s="637"/>
      <c r="TGV1" s="637"/>
      <c r="TGW1" s="637"/>
      <c r="TGX1" s="637"/>
      <c r="TGY1" s="637"/>
      <c r="TGZ1" s="637"/>
      <c r="THA1" s="637"/>
      <c r="THB1" s="637"/>
      <c r="THC1" s="637"/>
      <c r="THD1" s="637"/>
      <c r="THE1" s="637"/>
      <c r="THF1" s="637"/>
      <c r="THG1" s="637"/>
      <c r="THH1" s="637"/>
      <c r="THI1" s="637"/>
      <c r="THJ1" s="637"/>
      <c r="THK1" s="637"/>
      <c r="THL1" s="637"/>
      <c r="THM1" s="637"/>
      <c r="THN1" s="637"/>
      <c r="THO1" s="637"/>
      <c r="THP1" s="637"/>
      <c r="THQ1" s="637"/>
      <c r="THR1" s="637"/>
      <c r="THS1" s="637"/>
      <c r="THT1" s="637"/>
      <c r="THU1" s="637"/>
      <c r="THV1" s="637"/>
      <c r="THW1" s="637"/>
      <c r="THX1" s="637"/>
      <c r="THY1" s="637"/>
      <c r="THZ1" s="637"/>
      <c r="TIA1" s="637"/>
      <c r="TIB1" s="637"/>
      <c r="TIC1" s="637"/>
      <c r="TID1" s="637"/>
      <c r="TIE1" s="637"/>
      <c r="TIF1" s="637"/>
      <c r="TIG1" s="637"/>
      <c r="TIH1" s="637"/>
      <c r="TII1" s="637"/>
      <c r="TIJ1" s="637"/>
      <c r="TIK1" s="637"/>
      <c r="TIL1" s="637"/>
      <c r="TIM1" s="637"/>
      <c r="TIN1" s="637"/>
      <c r="TIO1" s="637"/>
      <c r="TIP1" s="637"/>
      <c r="TIQ1" s="637"/>
      <c r="TIR1" s="637"/>
      <c r="TIS1" s="637"/>
      <c r="TIT1" s="637"/>
      <c r="TIU1" s="637"/>
      <c r="TIV1" s="637"/>
      <c r="TIW1" s="637"/>
      <c r="TIX1" s="637"/>
      <c r="TIY1" s="637"/>
      <c r="TIZ1" s="637"/>
      <c r="TJA1" s="637"/>
      <c r="TJB1" s="637"/>
      <c r="TJC1" s="637"/>
      <c r="TJD1" s="637"/>
      <c r="TJE1" s="637"/>
      <c r="TJF1" s="637"/>
      <c r="TJG1" s="637"/>
      <c r="TJH1" s="637"/>
      <c r="TJI1" s="637"/>
      <c r="TJJ1" s="637"/>
      <c r="TJK1" s="637"/>
      <c r="TJL1" s="637"/>
      <c r="TJM1" s="637"/>
      <c r="TJN1" s="637"/>
      <c r="TJO1" s="637"/>
      <c r="TJP1" s="637"/>
      <c r="TJQ1" s="637"/>
      <c r="TJR1" s="637"/>
      <c r="TJS1" s="637"/>
      <c r="TJT1" s="637"/>
      <c r="TJU1" s="637"/>
      <c r="TJV1" s="637"/>
      <c r="TJW1" s="637"/>
      <c r="TJX1" s="637"/>
      <c r="TJY1" s="637"/>
      <c r="TJZ1" s="637"/>
      <c r="TKA1" s="637"/>
      <c r="TKB1" s="637"/>
      <c r="TKC1" s="637"/>
      <c r="TKD1" s="637"/>
      <c r="TKE1" s="637"/>
      <c r="TKF1" s="637"/>
      <c r="TKG1" s="637"/>
      <c r="TKH1" s="637"/>
      <c r="TKI1" s="637"/>
      <c r="TKJ1" s="637"/>
      <c r="TKK1" s="637"/>
      <c r="TKL1" s="637"/>
      <c r="TKM1" s="637"/>
      <c r="TKN1" s="637"/>
      <c r="TKO1" s="637"/>
      <c r="TKP1" s="637"/>
      <c r="TKQ1" s="637"/>
      <c r="TKR1" s="637"/>
      <c r="TKS1" s="637"/>
      <c r="TKT1" s="637"/>
      <c r="TKU1" s="637"/>
      <c r="TKV1" s="637"/>
      <c r="TKW1" s="637"/>
      <c r="TKX1" s="637"/>
      <c r="TKY1" s="637"/>
      <c r="TKZ1" s="637"/>
      <c r="TLA1" s="637"/>
      <c r="TLB1" s="637"/>
      <c r="TLC1" s="637"/>
      <c r="TLD1" s="637"/>
      <c r="TLE1" s="637"/>
      <c r="TLF1" s="637"/>
      <c r="TLG1" s="637"/>
      <c r="TLH1" s="637"/>
      <c r="TLI1" s="637"/>
      <c r="TLJ1" s="637"/>
      <c r="TLK1" s="637"/>
      <c r="TLL1" s="637"/>
      <c r="TLM1" s="637"/>
      <c r="TLN1" s="637"/>
      <c r="TLO1" s="637"/>
      <c r="TLP1" s="637"/>
      <c r="TLQ1" s="637"/>
      <c r="TLR1" s="637"/>
      <c r="TLS1" s="637"/>
      <c r="TLT1" s="637"/>
      <c r="TLU1" s="637"/>
      <c r="TLV1" s="637"/>
      <c r="TLW1" s="637"/>
      <c r="TLX1" s="637"/>
      <c r="TLY1" s="637"/>
      <c r="TLZ1" s="637"/>
      <c r="TMA1" s="637"/>
      <c r="TMB1" s="637"/>
      <c r="TMC1" s="637"/>
      <c r="TMD1" s="637"/>
      <c r="TME1" s="637"/>
      <c r="TMF1" s="637"/>
      <c r="TMG1" s="637"/>
      <c r="TMH1" s="637"/>
      <c r="TMI1" s="637"/>
      <c r="TMJ1" s="637"/>
      <c r="TMK1" s="637"/>
      <c r="TML1" s="637"/>
      <c r="TMM1" s="637"/>
      <c r="TMN1" s="637"/>
      <c r="TMO1" s="637"/>
      <c r="TMP1" s="637"/>
      <c r="TMQ1" s="637"/>
      <c r="TMR1" s="637"/>
      <c r="TMS1" s="637"/>
      <c r="TMT1" s="637"/>
      <c r="TMU1" s="637"/>
      <c r="TMV1" s="637"/>
      <c r="TMW1" s="637"/>
      <c r="TMX1" s="637"/>
      <c r="TMY1" s="637"/>
      <c r="TMZ1" s="637"/>
      <c r="TNA1" s="637"/>
      <c r="TNB1" s="637"/>
      <c r="TNC1" s="637"/>
      <c r="TND1" s="637"/>
      <c r="TNE1" s="637"/>
      <c r="TNF1" s="637"/>
      <c r="TNG1" s="637"/>
      <c r="TNH1" s="637"/>
      <c r="TNI1" s="637"/>
      <c r="TNJ1" s="637"/>
      <c r="TNK1" s="637"/>
      <c r="TNL1" s="637"/>
      <c r="TNM1" s="637"/>
      <c r="TNN1" s="637"/>
      <c r="TNO1" s="637"/>
      <c r="TNP1" s="637"/>
      <c r="TNQ1" s="637"/>
      <c r="TNR1" s="637"/>
      <c r="TNS1" s="637"/>
      <c r="TNT1" s="637"/>
      <c r="TNU1" s="637"/>
      <c r="TNV1" s="637"/>
      <c r="TNW1" s="637"/>
      <c r="TNX1" s="637"/>
      <c r="TNY1" s="637"/>
      <c r="TNZ1" s="637"/>
      <c r="TOA1" s="637"/>
      <c r="TOB1" s="637"/>
      <c r="TOC1" s="637"/>
      <c r="TOD1" s="637"/>
      <c r="TOE1" s="637"/>
      <c r="TOF1" s="637"/>
      <c r="TOG1" s="637"/>
      <c r="TOH1" s="637"/>
      <c r="TOI1" s="637"/>
      <c r="TOJ1" s="637"/>
      <c r="TOK1" s="637"/>
      <c r="TOL1" s="637"/>
      <c r="TOM1" s="637"/>
      <c r="TON1" s="637"/>
      <c r="TOO1" s="637"/>
      <c r="TOP1" s="637"/>
      <c r="TOQ1" s="637"/>
      <c r="TOR1" s="637"/>
      <c r="TOS1" s="637"/>
      <c r="TOT1" s="637"/>
      <c r="TOU1" s="637"/>
      <c r="TOV1" s="637"/>
      <c r="TOW1" s="637"/>
      <c r="TOX1" s="637"/>
      <c r="TOY1" s="637"/>
      <c r="TOZ1" s="637"/>
      <c r="TPA1" s="637"/>
      <c r="TPB1" s="637"/>
      <c r="TPC1" s="637"/>
      <c r="TPD1" s="637"/>
      <c r="TPE1" s="637"/>
      <c r="TPF1" s="637"/>
      <c r="TPG1" s="637"/>
      <c r="TPH1" s="637"/>
      <c r="TPI1" s="637"/>
      <c r="TPJ1" s="637"/>
      <c r="TPK1" s="637"/>
      <c r="TPL1" s="637"/>
      <c r="TPM1" s="637"/>
      <c r="TPN1" s="637"/>
      <c r="TPO1" s="637"/>
      <c r="TPP1" s="637"/>
      <c r="TPQ1" s="637"/>
      <c r="TPR1" s="637"/>
      <c r="TPS1" s="637"/>
      <c r="TPT1" s="637"/>
      <c r="TPU1" s="637"/>
      <c r="TPV1" s="637"/>
      <c r="TPW1" s="637"/>
      <c r="TPX1" s="637"/>
      <c r="TPY1" s="637"/>
      <c r="TPZ1" s="637"/>
      <c r="TQA1" s="637"/>
      <c r="TQB1" s="637"/>
      <c r="TQC1" s="637"/>
      <c r="TQD1" s="637"/>
      <c r="TQE1" s="637"/>
      <c r="TQF1" s="637"/>
      <c r="TQG1" s="637"/>
      <c r="TQH1" s="637"/>
      <c r="TQI1" s="637"/>
      <c r="TQJ1" s="637"/>
      <c r="TQK1" s="637"/>
      <c r="TQL1" s="637"/>
      <c r="TQM1" s="637"/>
      <c r="TQN1" s="637"/>
      <c r="TQO1" s="637"/>
      <c r="TQP1" s="637"/>
      <c r="TQQ1" s="637"/>
      <c r="TQR1" s="637"/>
      <c r="TQS1" s="637"/>
      <c r="TQT1" s="637"/>
      <c r="TQU1" s="637"/>
      <c r="TQV1" s="637"/>
      <c r="TQW1" s="637"/>
      <c r="TQX1" s="637"/>
      <c r="TQY1" s="637"/>
      <c r="TQZ1" s="637"/>
      <c r="TRA1" s="637"/>
      <c r="TRB1" s="637"/>
      <c r="TRC1" s="637"/>
      <c r="TRD1" s="637"/>
      <c r="TRE1" s="637"/>
      <c r="TRF1" s="637"/>
      <c r="TRG1" s="637"/>
      <c r="TRH1" s="637"/>
      <c r="TRI1" s="637"/>
      <c r="TRJ1" s="637"/>
      <c r="TRK1" s="637"/>
      <c r="TRL1" s="637"/>
      <c r="TRM1" s="637"/>
      <c r="TRN1" s="637"/>
      <c r="TRO1" s="637"/>
      <c r="TRP1" s="637"/>
      <c r="TRQ1" s="637"/>
      <c r="TRR1" s="637"/>
      <c r="TRS1" s="637"/>
      <c r="TRT1" s="637"/>
      <c r="TRU1" s="637"/>
      <c r="TRV1" s="637"/>
      <c r="TRW1" s="637"/>
      <c r="TRX1" s="637"/>
      <c r="TRY1" s="637"/>
      <c r="TRZ1" s="637"/>
      <c r="TSA1" s="637"/>
      <c r="TSB1" s="637"/>
      <c r="TSC1" s="637"/>
      <c r="TSD1" s="637"/>
      <c r="TSE1" s="637"/>
      <c r="TSF1" s="637"/>
      <c r="TSG1" s="637"/>
      <c r="TSH1" s="637"/>
      <c r="TSI1" s="637"/>
      <c r="TSJ1" s="637"/>
      <c r="TSK1" s="637"/>
      <c r="TSL1" s="637"/>
      <c r="TSM1" s="637"/>
      <c r="TSN1" s="637"/>
      <c r="TSO1" s="637"/>
      <c r="TSP1" s="637"/>
      <c r="TSQ1" s="637"/>
      <c r="TSR1" s="637"/>
      <c r="TSS1" s="637"/>
      <c r="TST1" s="637"/>
      <c r="TSU1" s="637"/>
      <c r="TSV1" s="637"/>
      <c r="TSW1" s="637"/>
      <c r="TSX1" s="637"/>
      <c r="TSY1" s="637"/>
      <c r="TSZ1" s="637"/>
      <c r="TTA1" s="637"/>
      <c r="TTB1" s="637"/>
      <c r="TTC1" s="637"/>
      <c r="TTD1" s="637"/>
      <c r="TTE1" s="637"/>
      <c r="TTF1" s="637"/>
      <c r="TTG1" s="637"/>
      <c r="TTH1" s="637"/>
      <c r="TTI1" s="637"/>
      <c r="TTJ1" s="637"/>
      <c r="TTK1" s="637"/>
      <c r="TTL1" s="637"/>
      <c r="TTM1" s="637"/>
      <c r="TTN1" s="637"/>
      <c r="TTO1" s="637"/>
      <c r="TTP1" s="637"/>
      <c r="TTQ1" s="637"/>
      <c r="TTR1" s="637"/>
      <c r="TTS1" s="637"/>
      <c r="TTT1" s="637"/>
      <c r="TTU1" s="637"/>
      <c r="TTV1" s="637"/>
      <c r="TTW1" s="637"/>
      <c r="TTX1" s="637"/>
      <c r="TTY1" s="637"/>
      <c r="TTZ1" s="637"/>
      <c r="TUA1" s="637"/>
      <c r="TUB1" s="637"/>
      <c r="TUC1" s="637"/>
      <c r="TUD1" s="637"/>
      <c r="TUE1" s="637"/>
      <c r="TUF1" s="637"/>
      <c r="TUG1" s="637"/>
      <c r="TUH1" s="637"/>
      <c r="TUI1" s="637"/>
      <c r="TUJ1" s="637"/>
      <c r="TUK1" s="637"/>
      <c r="TUL1" s="637"/>
      <c r="TUM1" s="637"/>
      <c r="TUN1" s="637"/>
      <c r="TUO1" s="637"/>
      <c r="TUP1" s="637"/>
      <c r="TUQ1" s="637"/>
      <c r="TUR1" s="637"/>
      <c r="TUS1" s="637"/>
      <c r="TUT1" s="637"/>
      <c r="TUU1" s="637"/>
      <c r="TUV1" s="637"/>
      <c r="TUW1" s="637"/>
      <c r="TUX1" s="637"/>
      <c r="TUY1" s="637"/>
      <c r="TUZ1" s="637"/>
      <c r="TVA1" s="637"/>
      <c r="TVB1" s="637"/>
      <c r="TVC1" s="637"/>
      <c r="TVD1" s="637"/>
      <c r="TVE1" s="637"/>
      <c r="TVF1" s="637"/>
      <c r="TVG1" s="637"/>
      <c r="TVH1" s="637"/>
      <c r="TVI1" s="637"/>
      <c r="TVJ1" s="637"/>
      <c r="TVK1" s="637"/>
      <c r="TVL1" s="637"/>
      <c r="TVM1" s="637"/>
      <c r="TVN1" s="637"/>
      <c r="TVO1" s="637"/>
      <c r="TVP1" s="637"/>
      <c r="TVQ1" s="637"/>
      <c r="TVR1" s="637"/>
      <c r="TVS1" s="637"/>
      <c r="TVT1" s="637"/>
      <c r="TVU1" s="637"/>
      <c r="TVV1" s="637"/>
      <c r="TVW1" s="637"/>
      <c r="TVX1" s="637"/>
      <c r="TVY1" s="637"/>
      <c r="TVZ1" s="637"/>
      <c r="TWA1" s="637"/>
      <c r="TWB1" s="637"/>
      <c r="TWC1" s="637"/>
      <c r="TWD1" s="637"/>
      <c r="TWE1" s="637"/>
      <c r="TWF1" s="637"/>
      <c r="TWG1" s="637"/>
      <c r="TWH1" s="637"/>
      <c r="TWI1" s="637"/>
      <c r="TWJ1" s="637"/>
      <c r="TWK1" s="637"/>
      <c r="TWL1" s="637"/>
      <c r="TWM1" s="637"/>
      <c r="TWN1" s="637"/>
      <c r="TWO1" s="637"/>
      <c r="TWP1" s="637"/>
      <c r="TWQ1" s="637"/>
      <c r="TWR1" s="637"/>
      <c r="TWS1" s="637"/>
      <c r="TWT1" s="637"/>
      <c r="TWU1" s="637"/>
      <c r="TWV1" s="637"/>
      <c r="TWW1" s="637"/>
      <c r="TWX1" s="637"/>
      <c r="TWY1" s="637"/>
      <c r="TWZ1" s="637"/>
      <c r="TXA1" s="637"/>
      <c r="TXB1" s="637"/>
      <c r="TXC1" s="637"/>
      <c r="TXD1" s="637"/>
      <c r="TXE1" s="637"/>
      <c r="TXF1" s="637"/>
      <c r="TXG1" s="637"/>
      <c r="TXH1" s="637"/>
      <c r="TXI1" s="637"/>
      <c r="TXJ1" s="637"/>
      <c r="TXK1" s="637"/>
      <c r="TXL1" s="637"/>
      <c r="TXM1" s="637"/>
      <c r="TXN1" s="637"/>
      <c r="TXO1" s="637"/>
      <c r="TXP1" s="637"/>
      <c r="TXQ1" s="637"/>
      <c r="TXR1" s="637"/>
      <c r="TXS1" s="637"/>
      <c r="TXT1" s="637"/>
      <c r="TXU1" s="637"/>
      <c r="TXV1" s="637"/>
      <c r="TXW1" s="637"/>
      <c r="TXX1" s="637"/>
      <c r="TXY1" s="637"/>
      <c r="TXZ1" s="637"/>
      <c r="TYA1" s="637"/>
      <c r="TYB1" s="637"/>
      <c r="TYC1" s="637"/>
      <c r="TYD1" s="637"/>
      <c r="TYE1" s="637"/>
      <c r="TYF1" s="637"/>
      <c r="TYG1" s="637"/>
      <c r="TYH1" s="637"/>
      <c r="TYI1" s="637"/>
      <c r="TYJ1" s="637"/>
      <c r="TYK1" s="637"/>
      <c r="TYL1" s="637"/>
      <c r="TYM1" s="637"/>
      <c r="TYN1" s="637"/>
      <c r="TYO1" s="637"/>
      <c r="TYP1" s="637"/>
      <c r="TYQ1" s="637"/>
      <c r="TYR1" s="637"/>
      <c r="TYS1" s="637"/>
      <c r="TYT1" s="637"/>
      <c r="TYU1" s="637"/>
      <c r="TYV1" s="637"/>
      <c r="TYW1" s="637"/>
      <c r="TYX1" s="637"/>
      <c r="TYY1" s="637"/>
      <c r="TYZ1" s="637"/>
      <c r="TZA1" s="637"/>
      <c r="TZB1" s="637"/>
      <c r="TZC1" s="637"/>
      <c r="TZD1" s="637"/>
      <c r="TZE1" s="637"/>
      <c r="TZF1" s="637"/>
      <c r="TZG1" s="637"/>
      <c r="TZH1" s="637"/>
      <c r="TZI1" s="637"/>
      <c r="TZJ1" s="637"/>
      <c r="TZK1" s="637"/>
      <c r="TZL1" s="637"/>
      <c r="TZM1" s="637"/>
      <c r="TZN1" s="637"/>
      <c r="TZO1" s="637"/>
      <c r="TZP1" s="637"/>
      <c r="TZQ1" s="637"/>
      <c r="TZR1" s="637"/>
      <c r="TZS1" s="637"/>
      <c r="TZT1" s="637"/>
      <c r="TZU1" s="637"/>
      <c r="TZV1" s="637"/>
      <c r="TZW1" s="637"/>
      <c r="TZX1" s="637"/>
      <c r="TZY1" s="637"/>
      <c r="TZZ1" s="637"/>
      <c r="UAA1" s="637"/>
      <c r="UAB1" s="637"/>
      <c r="UAC1" s="637"/>
      <c r="UAD1" s="637"/>
      <c r="UAE1" s="637"/>
      <c r="UAF1" s="637"/>
      <c r="UAG1" s="637"/>
      <c r="UAH1" s="637"/>
      <c r="UAI1" s="637"/>
      <c r="UAJ1" s="637"/>
      <c r="UAK1" s="637"/>
      <c r="UAL1" s="637"/>
      <c r="UAM1" s="637"/>
      <c r="UAN1" s="637"/>
      <c r="UAO1" s="637"/>
      <c r="UAP1" s="637"/>
      <c r="UAQ1" s="637"/>
      <c r="UAR1" s="637"/>
      <c r="UAS1" s="637"/>
      <c r="UAT1" s="637"/>
      <c r="UAU1" s="637"/>
      <c r="UAV1" s="637"/>
      <c r="UAW1" s="637"/>
      <c r="UAX1" s="637"/>
      <c r="UAY1" s="637"/>
      <c r="UAZ1" s="637"/>
      <c r="UBA1" s="637"/>
      <c r="UBB1" s="637"/>
      <c r="UBC1" s="637"/>
      <c r="UBD1" s="637"/>
      <c r="UBE1" s="637"/>
      <c r="UBF1" s="637"/>
      <c r="UBG1" s="637"/>
      <c r="UBH1" s="637"/>
      <c r="UBI1" s="637"/>
      <c r="UBJ1" s="637"/>
      <c r="UBK1" s="637"/>
      <c r="UBL1" s="637"/>
      <c r="UBM1" s="637"/>
      <c r="UBN1" s="637"/>
      <c r="UBO1" s="637"/>
      <c r="UBP1" s="637"/>
      <c r="UBQ1" s="637"/>
      <c r="UBR1" s="637"/>
      <c r="UBS1" s="637"/>
      <c r="UBT1" s="637"/>
      <c r="UBU1" s="637"/>
      <c r="UBV1" s="637"/>
      <c r="UBW1" s="637"/>
      <c r="UBX1" s="637"/>
      <c r="UBY1" s="637"/>
      <c r="UBZ1" s="637"/>
      <c r="UCA1" s="637"/>
      <c r="UCB1" s="637"/>
      <c r="UCC1" s="637"/>
      <c r="UCD1" s="637"/>
      <c r="UCE1" s="637"/>
      <c r="UCF1" s="637"/>
      <c r="UCG1" s="637"/>
      <c r="UCH1" s="637"/>
      <c r="UCI1" s="637"/>
      <c r="UCJ1" s="637"/>
      <c r="UCK1" s="637"/>
      <c r="UCL1" s="637"/>
      <c r="UCM1" s="637"/>
      <c r="UCN1" s="637"/>
      <c r="UCO1" s="637"/>
      <c r="UCP1" s="637"/>
      <c r="UCQ1" s="637"/>
      <c r="UCR1" s="637"/>
      <c r="UCS1" s="637"/>
      <c r="UCT1" s="637"/>
      <c r="UCU1" s="637"/>
      <c r="UCV1" s="637"/>
      <c r="UCW1" s="637"/>
      <c r="UCX1" s="637"/>
      <c r="UCY1" s="637"/>
      <c r="UCZ1" s="637"/>
      <c r="UDA1" s="637"/>
      <c r="UDB1" s="637"/>
      <c r="UDC1" s="637"/>
      <c r="UDD1" s="637"/>
      <c r="UDE1" s="637"/>
      <c r="UDF1" s="637"/>
      <c r="UDG1" s="637"/>
      <c r="UDH1" s="637"/>
      <c r="UDI1" s="637"/>
      <c r="UDJ1" s="637"/>
      <c r="UDK1" s="637"/>
      <c r="UDL1" s="637"/>
      <c r="UDM1" s="637"/>
      <c r="UDN1" s="637"/>
      <c r="UDO1" s="637"/>
      <c r="UDP1" s="637"/>
      <c r="UDQ1" s="637"/>
      <c r="UDR1" s="637"/>
      <c r="UDS1" s="637"/>
      <c r="UDT1" s="637"/>
      <c r="UDU1" s="637"/>
      <c r="UDV1" s="637"/>
      <c r="UDW1" s="637"/>
      <c r="UDX1" s="637"/>
      <c r="UDY1" s="637"/>
      <c r="UDZ1" s="637"/>
      <c r="UEA1" s="637"/>
      <c r="UEB1" s="637"/>
      <c r="UEC1" s="637"/>
      <c r="UED1" s="637"/>
      <c r="UEE1" s="637"/>
      <c r="UEF1" s="637"/>
      <c r="UEG1" s="637"/>
      <c r="UEH1" s="637"/>
      <c r="UEI1" s="637"/>
      <c r="UEJ1" s="637"/>
      <c r="UEK1" s="637"/>
      <c r="UEL1" s="637"/>
      <c r="UEM1" s="637"/>
      <c r="UEN1" s="637"/>
      <c r="UEO1" s="637"/>
      <c r="UEP1" s="637"/>
      <c r="UEQ1" s="637"/>
      <c r="UER1" s="637"/>
      <c r="UES1" s="637"/>
      <c r="UET1" s="637"/>
      <c r="UEU1" s="637"/>
      <c r="UEV1" s="637"/>
      <c r="UEW1" s="637"/>
      <c r="UEX1" s="637"/>
      <c r="UEY1" s="637"/>
      <c r="UEZ1" s="637"/>
      <c r="UFA1" s="637"/>
      <c r="UFB1" s="637"/>
      <c r="UFC1" s="637"/>
      <c r="UFD1" s="637"/>
      <c r="UFE1" s="637"/>
      <c r="UFF1" s="637"/>
      <c r="UFG1" s="637"/>
      <c r="UFH1" s="637"/>
      <c r="UFI1" s="637"/>
      <c r="UFJ1" s="637"/>
      <c r="UFK1" s="637"/>
      <c r="UFL1" s="637"/>
      <c r="UFM1" s="637"/>
      <c r="UFN1" s="637"/>
      <c r="UFO1" s="637"/>
      <c r="UFP1" s="637"/>
      <c r="UFQ1" s="637"/>
      <c r="UFR1" s="637"/>
      <c r="UFS1" s="637"/>
      <c r="UFT1" s="637"/>
      <c r="UFU1" s="637"/>
      <c r="UFV1" s="637"/>
      <c r="UFW1" s="637"/>
      <c r="UFX1" s="637"/>
      <c r="UFY1" s="637"/>
      <c r="UFZ1" s="637"/>
      <c r="UGA1" s="637"/>
      <c r="UGB1" s="637"/>
      <c r="UGC1" s="637"/>
      <c r="UGD1" s="637"/>
      <c r="UGE1" s="637"/>
      <c r="UGF1" s="637"/>
      <c r="UGG1" s="637"/>
      <c r="UGH1" s="637"/>
      <c r="UGI1" s="637"/>
      <c r="UGJ1" s="637"/>
      <c r="UGK1" s="637"/>
      <c r="UGL1" s="637"/>
      <c r="UGM1" s="637"/>
      <c r="UGN1" s="637"/>
      <c r="UGO1" s="637"/>
      <c r="UGP1" s="637"/>
      <c r="UGQ1" s="637"/>
      <c r="UGR1" s="637"/>
      <c r="UGS1" s="637"/>
      <c r="UGT1" s="637"/>
      <c r="UGU1" s="637"/>
      <c r="UGV1" s="637"/>
      <c r="UGW1" s="637"/>
      <c r="UGX1" s="637"/>
      <c r="UGY1" s="637"/>
      <c r="UGZ1" s="637"/>
      <c r="UHA1" s="637"/>
      <c r="UHB1" s="637"/>
      <c r="UHC1" s="637"/>
      <c r="UHD1" s="637"/>
      <c r="UHE1" s="637"/>
      <c r="UHF1" s="637"/>
      <c r="UHG1" s="637"/>
      <c r="UHH1" s="637"/>
      <c r="UHI1" s="637"/>
      <c r="UHJ1" s="637"/>
      <c r="UHK1" s="637"/>
      <c r="UHL1" s="637"/>
      <c r="UHM1" s="637"/>
      <c r="UHN1" s="637"/>
      <c r="UHO1" s="637"/>
      <c r="UHP1" s="637"/>
      <c r="UHQ1" s="637"/>
      <c r="UHR1" s="637"/>
      <c r="UHS1" s="637"/>
      <c r="UHT1" s="637"/>
      <c r="UHU1" s="637"/>
      <c r="UHV1" s="637"/>
      <c r="UHW1" s="637"/>
      <c r="UHX1" s="637"/>
      <c r="UHY1" s="637"/>
      <c r="UHZ1" s="637"/>
      <c r="UIA1" s="637"/>
      <c r="UIB1" s="637"/>
      <c r="UIC1" s="637"/>
      <c r="UID1" s="637"/>
      <c r="UIE1" s="637"/>
      <c r="UIF1" s="637"/>
      <c r="UIG1" s="637"/>
      <c r="UIH1" s="637"/>
      <c r="UII1" s="637"/>
      <c r="UIJ1" s="637"/>
      <c r="UIK1" s="637"/>
      <c r="UIL1" s="637"/>
      <c r="UIM1" s="637"/>
      <c r="UIN1" s="637"/>
      <c r="UIO1" s="637"/>
      <c r="UIP1" s="637"/>
      <c r="UIQ1" s="637"/>
      <c r="UIR1" s="637"/>
      <c r="UIS1" s="637"/>
      <c r="UIT1" s="637"/>
      <c r="UIU1" s="637"/>
      <c r="UIV1" s="637"/>
      <c r="UIW1" s="637"/>
      <c r="UIX1" s="637"/>
      <c r="UIY1" s="637"/>
      <c r="UIZ1" s="637"/>
      <c r="UJA1" s="637"/>
      <c r="UJB1" s="637"/>
      <c r="UJC1" s="637"/>
      <c r="UJD1" s="637"/>
      <c r="UJE1" s="637"/>
      <c r="UJF1" s="637"/>
      <c r="UJG1" s="637"/>
      <c r="UJH1" s="637"/>
      <c r="UJI1" s="637"/>
      <c r="UJJ1" s="637"/>
      <c r="UJK1" s="637"/>
      <c r="UJL1" s="637"/>
      <c r="UJM1" s="637"/>
      <c r="UJN1" s="637"/>
      <c r="UJO1" s="637"/>
      <c r="UJP1" s="637"/>
      <c r="UJQ1" s="637"/>
      <c r="UJR1" s="637"/>
      <c r="UJS1" s="637"/>
      <c r="UJT1" s="637"/>
      <c r="UJU1" s="637"/>
      <c r="UJV1" s="637"/>
      <c r="UJW1" s="637"/>
      <c r="UJX1" s="637"/>
      <c r="UJY1" s="637"/>
      <c r="UJZ1" s="637"/>
      <c r="UKA1" s="637"/>
      <c r="UKB1" s="637"/>
      <c r="UKC1" s="637"/>
      <c r="UKD1" s="637"/>
      <c r="UKE1" s="637"/>
      <c r="UKF1" s="637"/>
      <c r="UKG1" s="637"/>
      <c r="UKH1" s="637"/>
      <c r="UKI1" s="637"/>
      <c r="UKJ1" s="637"/>
      <c r="UKK1" s="637"/>
      <c r="UKL1" s="637"/>
      <c r="UKM1" s="637"/>
      <c r="UKN1" s="637"/>
      <c r="UKO1" s="637"/>
      <c r="UKP1" s="637"/>
      <c r="UKQ1" s="637"/>
      <c r="UKR1" s="637"/>
      <c r="UKS1" s="637"/>
      <c r="UKT1" s="637"/>
      <c r="UKU1" s="637"/>
      <c r="UKV1" s="637"/>
      <c r="UKW1" s="637"/>
      <c r="UKX1" s="637"/>
      <c r="UKY1" s="637"/>
      <c r="UKZ1" s="637"/>
      <c r="ULA1" s="637"/>
      <c r="ULB1" s="637"/>
      <c r="ULC1" s="637"/>
      <c r="ULD1" s="637"/>
      <c r="ULE1" s="637"/>
      <c r="ULF1" s="637"/>
      <c r="ULG1" s="637"/>
      <c r="ULH1" s="637"/>
      <c r="ULI1" s="637"/>
      <c r="ULJ1" s="637"/>
      <c r="ULK1" s="637"/>
      <c r="ULL1" s="637"/>
      <c r="ULM1" s="637"/>
      <c r="ULN1" s="637"/>
      <c r="ULO1" s="637"/>
      <c r="ULP1" s="637"/>
      <c r="ULQ1" s="637"/>
      <c r="ULR1" s="637"/>
      <c r="ULS1" s="637"/>
      <c r="ULT1" s="637"/>
      <c r="ULU1" s="637"/>
      <c r="ULV1" s="637"/>
      <c r="ULW1" s="637"/>
      <c r="ULX1" s="637"/>
      <c r="ULY1" s="637"/>
      <c r="ULZ1" s="637"/>
      <c r="UMA1" s="637"/>
      <c r="UMB1" s="637"/>
      <c r="UMC1" s="637"/>
      <c r="UMD1" s="637"/>
      <c r="UME1" s="637"/>
      <c r="UMF1" s="637"/>
      <c r="UMG1" s="637"/>
      <c r="UMH1" s="637"/>
      <c r="UMI1" s="637"/>
      <c r="UMJ1" s="637"/>
      <c r="UMK1" s="637"/>
      <c r="UML1" s="637"/>
      <c r="UMM1" s="637"/>
      <c r="UMN1" s="637"/>
      <c r="UMO1" s="637"/>
      <c r="UMP1" s="637"/>
      <c r="UMQ1" s="637"/>
      <c r="UMR1" s="637"/>
      <c r="UMS1" s="637"/>
      <c r="UMT1" s="637"/>
      <c r="UMU1" s="637"/>
      <c r="UMV1" s="637"/>
      <c r="UMW1" s="637"/>
      <c r="UMX1" s="637"/>
      <c r="UMY1" s="637"/>
      <c r="UMZ1" s="637"/>
      <c r="UNA1" s="637"/>
      <c r="UNB1" s="637"/>
      <c r="UNC1" s="637"/>
      <c r="UND1" s="637"/>
      <c r="UNE1" s="637"/>
      <c r="UNF1" s="637"/>
      <c r="UNG1" s="637"/>
      <c r="UNH1" s="637"/>
      <c r="UNI1" s="637"/>
      <c r="UNJ1" s="637"/>
      <c r="UNK1" s="637"/>
      <c r="UNL1" s="637"/>
      <c r="UNM1" s="637"/>
      <c r="UNN1" s="637"/>
      <c r="UNO1" s="637"/>
      <c r="UNP1" s="637"/>
      <c r="UNQ1" s="637"/>
      <c r="UNR1" s="637"/>
      <c r="UNS1" s="637"/>
      <c r="UNT1" s="637"/>
      <c r="UNU1" s="637"/>
      <c r="UNV1" s="637"/>
      <c r="UNW1" s="637"/>
      <c r="UNX1" s="637"/>
      <c r="UNY1" s="637"/>
      <c r="UNZ1" s="637"/>
      <c r="UOA1" s="637"/>
      <c r="UOB1" s="637"/>
      <c r="UOC1" s="637"/>
      <c r="UOD1" s="637"/>
      <c r="UOE1" s="637"/>
      <c r="UOF1" s="637"/>
      <c r="UOG1" s="637"/>
      <c r="UOH1" s="637"/>
      <c r="UOI1" s="637"/>
      <c r="UOJ1" s="637"/>
      <c r="UOK1" s="637"/>
      <c r="UOL1" s="637"/>
      <c r="UOM1" s="637"/>
      <c r="UON1" s="637"/>
      <c r="UOO1" s="637"/>
      <c r="UOP1" s="637"/>
      <c r="UOQ1" s="637"/>
      <c r="UOR1" s="637"/>
      <c r="UOS1" s="637"/>
      <c r="UOT1" s="637"/>
      <c r="UOU1" s="637"/>
      <c r="UOV1" s="637"/>
      <c r="UOW1" s="637"/>
      <c r="UOX1" s="637"/>
      <c r="UOY1" s="637"/>
      <c r="UOZ1" s="637"/>
      <c r="UPA1" s="637"/>
      <c r="UPB1" s="637"/>
      <c r="UPC1" s="637"/>
      <c r="UPD1" s="637"/>
      <c r="UPE1" s="637"/>
      <c r="UPF1" s="637"/>
      <c r="UPG1" s="637"/>
      <c r="UPH1" s="637"/>
      <c r="UPI1" s="637"/>
      <c r="UPJ1" s="637"/>
      <c r="UPK1" s="637"/>
      <c r="UPL1" s="637"/>
      <c r="UPM1" s="637"/>
      <c r="UPN1" s="637"/>
      <c r="UPO1" s="637"/>
      <c r="UPP1" s="637"/>
      <c r="UPQ1" s="637"/>
      <c r="UPR1" s="637"/>
      <c r="UPS1" s="637"/>
      <c r="UPT1" s="637"/>
      <c r="UPU1" s="637"/>
      <c r="UPV1" s="637"/>
      <c r="UPW1" s="637"/>
      <c r="UPX1" s="637"/>
      <c r="UPY1" s="637"/>
      <c r="UPZ1" s="637"/>
      <c r="UQA1" s="637"/>
      <c r="UQB1" s="637"/>
      <c r="UQC1" s="637"/>
      <c r="UQD1" s="637"/>
      <c r="UQE1" s="637"/>
      <c r="UQF1" s="637"/>
      <c r="UQG1" s="637"/>
      <c r="UQH1" s="637"/>
      <c r="UQI1" s="637"/>
      <c r="UQJ1" s="637"/>
      <c r="UQK1" s="637"/>
      <c r="UQL1" s="637"/>
      <c r="UQM1" s="637"/>
      <c r="UQN1" s="637"/>
      <c r="UQO1" s="637"/>
      <c r="UQP1" s="637"/>
      <c r="UQQ1" s="637"/>
      <c r="UQR1" s="637"/>
      <c r="UQS1" s="637"/>
      <c r="UQT1" s="637"/>
      <c r="UQU1" s="637"/>
      <c r="UQV1" s="637"/>
      <c r="UQW1" s="637"/>
      <c r="UQX1" s="637"/>
      <c r="UQY1" s="637"/>
      <c r="UQZ1" s="637"/>
      <c r="URA1" s="637"/>
      <c r="URB1" s="637"/>
      <c r="URC1" s="637"/>
      <c r="URD1" s="637"/>
      <c r="URE1" s="637"/>
      <c r="URF1" s="637"/>
      <c r="URG1" s="637"/>
      <c r="URH1" s="637"/>
      <c r="URI1" s="637"/>
      <c r="URJ1" s="637"/>
      <c r="URK1" s="637"/>
      <c r="URL1" s="637"/>
      <c r="URM1" s="637"/>
      <c r="URN1" s="637"/>
      <c r="URO1" s="637"/>
      <c r="URP1" s="637"/>
      <c r="URQ1" s="637"/>
      <c r="URR1" s="637"/>
      <c r="URS1" s="637"/>
      <c r="URT1" s="637"/>
      <c r="URU1" s="637"/>
      <c r="URV1" s="637"/>
      <c r="URW1" s="637"/>
      <c r="URX1" s="637"/>
      <c r="URY1" s="637"/>
      <c r="URZ1" s="637"/>
      <c r="USA1" s="637"/>
      <c r="USB1" s="637"/>
      <c r="USC1" s="637"/>
      <c r="USD1" s="637"/>
      <c r="USE1" s="637"/>
      <c r="USF1" s="637"/>
      <c r="USG1" s="637"/>
      <c r="USH1" s="637"/>
      <c r="USI1" s="637"/>
      <c r="USJ1" s="637"/>
      <c r="USK1" s="637"/>
      <c r="USL1" s="637"/>
      <c r="USM1" s="637"/>
      <c r="USN1" s="637"/>
      <c r="USO1" s="637"/>
      <c r="USP1" s="637"/>
      <c r="USQ1" s="637"/>
      <c r="USR1" s="637"/>
      <c r="USS1" s="637"/>
      <c r="UST1" s="637"/>
      <c r="USU1" s="637"/>
      <c r="USV1" s="637"/>
      <c r="USW1" s="637"/>
      <c r="USX1" s="637"/>
      <c r="USY1" s="637"/>
      <c r="USZ1" s="637"/>
      <c r="UTA1" s="637"/>
      <c r="UTB1" s="637"/>
      <c r="UTC1" s="637"/>
      <c r="UTD1" s="637"/>
      <c r="UTE1" s="637"/>
      <c r="UTF1" s="637"/>
      <c r="UTG1" s="637"/>
      <c r="UTH1" s="637"/>
      <c r="UTI1" s="637"/>
      <c r="UTJ1" s="637"/>
      <c r="UTK1" s="637"/>
      <c r="UTL1" s="637"/>
      <c r="UTM1" s="637"/>
      <c r="UTN1" s="637"/>
      <c r="UTO1" s="637"/>
      <c r="UTP1" s="637"/>
      <c r="UTQ1" s="637"/>
      <c r="UTR1" s="637"/>
      <c r="UTS1" s="637"/>
      <c r="UTT1" s="637"/>
      <c r="UTU1" s="637"/>
      <c r="UTV1" s="637"/>
      <c r="UTW1" s="637"/>
      <c r="UTX1" s="637"/>
      <c r="UTY1" s="637"/>
      <c r="UTZ1" s="637"/>
      <c r="UUA1" s="637"/>
      <c r="UUB1" s="637"/>
      <c r="UUC1" s="637"/>
      <c r="UUD1" s="637"/>
      <c r="UUE1" s="637"/>
      <c r="UUF1" s="637"/>
      <c r="UUG1" s="637"/>
      <c r="UUH1" s="637"/>
      <c r="UUI1" s="637"/>
      <c r="UUJ1" s="637"/>
      <c r="UUK1" s="637"/>
      <c r="UUL1" s="637"/>
      <c r="UUM1" s="637"/>
      <c r="UUN1" s="637"/>
      <c r="UUO1" s="637"/>
      <c r="UUP1" s="637"/>
      <c r="UUQ1" s="637"/>
      <c r="UUR1" s="637"/>
      <c r="UUS1" s="637"/>
      <c r="UUT1" s="637"/>
      <c r="UUU1" s="637"/>
      <c r="UUV1" s="637"/>
      <c r="UUW1" s="637"/>
      <c r="UUX1" s="637"/>
      <c r="UUY1" s="637"/>
      <c r="UUZ1" s="637"/>
      <c r="UVA1" s="637"/>
      <c r="UVB1" s="637"/>
      <c r="UVC1" s="637"/>
      <c r="UVD1" s="637"/>
      <c r="UVE1" s="637"/>
      <c r="UVF1" s="637"/>
      <c r="UVG1" s="637"/>
      <c r="UVH1" s="637"/>
      <c r="UVI1" s="637"/>
      <c r="UVJ1" s="637"/>
      <c r="UVK1" s="637"/>
      <c r="UVL1" s="637"/>
      <c r="UVM1" s="637"/>
      <c r="UVN1" s="637"/>
      <c r="UVO1" s="637"/>
      <c r="UVP1" s="637"/>
      <c r="UVQ1" s="637"/>
      <c r="UVR1" s="637"/>
      <c r="UVS1" s="637"/>
      <c r="UVT1" s="637"/>
      <c r="UVU1" s="637"/>
      <c r="UVV1" s="637"/>
      <c r="UVW1" s="637"/>
      <c r="UVX1" s="637"/>
      <c r="UVY1" s="637"/>
      <c r="UVZ1" s="637"/>
      <c r="UWA1" s="637"/>
      <c r="UWB1" s="637"/>
      <c r="UWC1" s="637"/>
      <c r="UWD1" s="637"/>
      <c r="UWE1" s="637"/>
      <c r="UWF1" s="637"/>
      <c r="UWG1" s="637"/>
      <c r="UWH1" s="637"/>
      <c r="UWI1" s="637"/>
      <c r="UWJ1" s="637"/>
      <c r="UWK1" s="637"/>
      <c r="UWL1" s="637"/>
      <c r="UWM1" s="637"/>
      <c r="UWN1" s="637"/>
      <c r="UWO1" s="637"/>
      <c r="UWP1" s="637"/>
      <c r="UWQ1" s="637"/>
      <c r="UWR1" s="637"/>
      <c r="UWS1" s="637"/>
      <c r="UWT1" s="637"/>
      <c r="UWU1" s="637"/>
      <c r="UWV1" s="637"/>
      <c r="UWW1" s="637"/>
      <c r="UWX1" s="637"/>
      <c r="UWY1" s="637"/>
      <c r="UWZ1" s="637"/>
      <c r="UXA1" s="637"/>
      <c r="UXB1" s="637"/>
      <c r="UXC1" s="637"/>
      <c r="UXD1" s="637"/>
      <c r="UXE1" s="637"/>
      <c r="UXF1" s="637"/>
      <c r="UXG1" s="637"/>
      <c r="UXH1" s="637"/>
      <c r="UXI1" s="637"/>
      <c r="UXJ1" s="637"/>
      <c r="UXK1" s="637"/>
      <c r="UXL1" s="637"/>
      <c r="UXM1" s="637"/>
      <c r="UXN1" s="637"/>
      <c r="UXO1" s="637"/>
      <c r="UXP1" s="637"/>
      <c r="UXQ1" s="637"/>
      <c r="UXR1" s="637"/>
      <c r="UXS1" s="637"/>
      <c r="UXT1" s="637"/>
      <c r="UXU1" s="637"/>
      <c r="UXV1" s="637"/>
      <c r="UXW1" s="637"/>
      <c r="UXX1" s="637"/>
      <c r="UXY1" s="637"/>
      <c r="UXZ1" s="637"/>
      <c r="UYA1" s="637"/>
      <c r="UYB1" s="637"/>
      <c r="UYC1" s="637"/>
      <c r="UYD1" s="637"/>
      <c r="UYE1" s="637"/>
      <c r="UYF1" s="637"/>
      <c r="UYG1" s="637"/>
      <c r="UYH1" s="637"/>
      <c r="UYI1" s="637"/>
      <c r="UYJ1" s="637"/>
      <c r="UYK1" s="637"/>
      <c r="UYL1" s="637"/>
      <c r="UYM1" s="637"/>
      <c r="UYN1" s="637"/>
      <c r="UYO1" s="637"/>
      <c r="UYP1" s="637"/>
      <c r="UYQ1" s="637"/>
      <c r="UYR1" s="637"/>
      <c r="UYS1" s="637"/>
      <c r="UYT1" s="637"/>
      <c r="UYU1" s="637"/>
      <c r="UYV1" s="637"/>
      <c r="UYW1" s="637"/>
      <c r="UYX1" s="637"/>
      <c r="UYY1" s="637"/>
      <c r="UYZ1" s="637"/>
      <c r="UZA1" s="637"/>
      <c r="UZB1" s="637"/>
      <c r="UZC1" s="637"/>
      <c r="UZD1" s="637"/>
      <c r="UZE1" s="637"/>
      <c r="UZF1" s="637"/>
      <c r="UZG1" s="637"/>
      <c r="UZH1" s="637"/>
      <c r="UZI1" s="637"/>
      <c r="UZJ1" s="637"/>
      <c r="UZK1" s="637"/>
      <c r="UZL1" s="637"/>
      <c r="UZM1" s="637"/>
      <c r="UZN1" s="637"/>
      <c r="UZO1" s="637"/>
      <c r="UZP1" s="637"/>
      <c r="UZQ1" s="637"/>
      <c r="UZR1" s="637"/>
      <c r="UZS1" s="637"/>
      <c r="UZT1" s="637"/>
      <c r="UZU1" s="637"/>
      <c r="UZV1" s="637"/>
      <c r="UZW1" s="637"/>
      <c r="UZX1" s="637"/>
      <c r="UZY1" s="637"/>
      <c r="UZZ1" s="637"/>
      <c r="VAA1" s="637"/>
      <c r="VAB1" s="637"/>
      <c r="VAC1" s="637"/>
      <c r="VAD1" s="637"/>
      <c r="VAE1" s="637"/>
      <c r="VAF1" s="637"/>
      <c r="VAG1" s="637"/>
      <c r="VAH1" s="637"/>
      <c r="VAI1" s="637"/>
      <c r="VAJ1" s="637"/>
      <c r="VAK1" s="637"/>
      <c r="VAL1" s="637"/>
      <c r="VAM1" s="637"/>
      <c r="VAN1" s="637"/>
      <c r="VAO1" s="637"/>
      <c r="VAP1" s="637"/>
      <c r="VAQ1" s="637"/>
      <c r="VAR1" s="637"/>
      <c r="VAS1" s="637"/>
      <c r="VAT1" s="637"/>
      <c r="VAU1" s="637"/>
      <c r="VAV1" s="637"/>
      <c r="VAW1" s="637"/>
      <c r="VAX1" s="637"/>
      <c r="VAY1" s="637"/>
      <c r="VAZ1" s="637"/>
      <c r="VBA1" s="637"/>
      <c r="VBB1" s="637"/>
      <c r="VBC1" s="637"/>
      <c r="VBD1" s="637"/>
      <c r="VBE1" s="637"/>
      <c r="VBF1" s="637"/>
      <c r="VBG1" s="637"/>
      <c r="VBH1" s="637"/>
      <c r="VBI1" s="637"/>
      <c r="VBJ1" s="637"/>
      <c r="VBK1" s="637"/>
      <c r="VBL1" s="637"/>
      <c r="VBM1" s="637"/>
      <c r="VBN1" s="637"/>
      <c r="VBO1" s="637"/>
      <c r="VBP1" s="637"/>
      <c r="VBQ1" s="637"/>
      <c r="VBR1" s="637"/>
      <c r="VBS1" s="637"/>
      <c r="VBT1" s="637"/>
      <c r="VBU1" s="637"/>
      <c r="VBV1" s="637"/>
      <c r="VBW1" s="637"/>
      <c r="VBX1" s="637"/>
      <c r="VBY1" s="637"/>
      <c r="VBZ1" s="637"/>
      <c r="VCA1" s="637"/>
      <c r="VCB1" s="637"/>
      <c r="VCC1" s="637"/>
      <c r="VCD1" s="637"/>
      <c r="VCE1" s="637"/>
      <c r="VCF1" s="637"/>
      <c r="VCG1" s="637"/>
      <c r="VCH1" s="637"/>
      <c r="VCI1" s="637"/>
      <c r="VCJ1" s="637"/>
      <c r="VCK1" s="637"/>
      <c r="VCL1" s="637"/>
      <c r="VCM1" s="637"/>
      <c r="VCN1" s="637"/>
      <c r="VCO1" s="637"/>
      <c r="VCP1" s="637"/>
      <c r="VCQ1" s="637"/>
      <c r="VCR1" s="637"/>
      <c r="VCS1" s="637"/>
      <c r="VCT1" s="637"/>
      <c r="VCU1" s="637"/>
      <c r="VCV1" s="637"/>
      <c r="VCW1" s="637"/>
      <c r="VCX1" s="637"/>
      <c r="VCY1" s="637"/>
      <c r="VCZ1" s="637"/>
      <c r="VDA1" s="637"/>
      <c r="VDB1" s="637"/>
      <c r="VDC1" s="637"/>
      <c r="VDD1" s="637"/>
      <c r="VDE1" s="637"/>
      <c r="VDF1" s="637"/>
      <c r="VDG1" s="637"/>
      <c r="VDH1" s="637"/>
      <c r="VDI1" s="637"/>
      <c r="VDJ1" s="637"/>
      <c r="VDK1" s="637"/>
      <c r="VDL1" s="637"/>
      <c r="VDM1" s="637"/>
      <c r="VDN1" s="637"/>
      <c r="VDO1" s="637"/>
      <c r="VDP1" s="637"/>
      <c r="VDQ1" s="637"/>
      <c r="VDR1" s="637"/>
      <c r="VDS1" s="637"/>
      <c r="VDT1" s="637"/>
      <c r="VDU1" s="637"/>
      <c r="VDV1" s="637"/>
      <c r="VDW1" s="637"/>
      <c r="VDX1" s="637"/>
      <c r="VDY1" s="637"/>
      <c r="VDZ1" s="637"/>
      <c r="VEA1" s="637"/>
      <c r="VEB1" s="637"/>
      <c r="VEC1" s="637"/>
      <c r="VED1" s="637"/>
      <c r="VEE1" s="637"/>
      <c r="VEF1" s="637"/>
      <c r="VEG1" s="637"/>
      <c r="VEH1" s="637"/>
      <c r="VEI1" s="637"/>
      <c r="VEJ1" s="637"/>
      <c r="VEK1" s="637"/>
      <c r="VEL1" s="637"/>
      <c r="VEM1" s="637"/>
      <c r="VEN1" s="637"/>
      <c r="VEO1" s="637"/>
      <c r="VEP1" s="637"/>
      <c r="VEQ1" s="637"/>
      <c r="VER1" s="637"/>
      <c r="VES1" s="637"/>
      <c r="VET1" s="637"/>
      <c r="VEU1" s="637"/>
      <c r="VEV1" s="637"/>
      <c r="VEW1" s="637"/>
      <c r="VEX1" s="637"/>
      <c r="VEY1" s="637"/>
      <c r="VEZ1" s="637"/>
      <c r="VFA1" s="637"/>
      <c r="VFB1" s="637"/>
      <c r="VFC1" s="637"/>
      <c r="VFD1" s="637"/>
      <c r="VFE1" s="637"/>
      <c r="VFF1" s="637"/>
      <c r="VFG1" s="637"/>
      <c r="VFH1" s="637"/>
      <c r="VFI1" s="637"/>
      <c r="VFJ1" s="637"/>
      <c r="VFK1" s="637"/>
      <c r="VFL1" s="637"/>
      <c r="VFM1" s="637"/>
      <c r="VFN1" s="637"/>
      <c r="VFO1" s="637"/>
      <c r="VFP1" s="637"/>
      <c r="VFQ1" s="637"/>
      <c r="VFR1" s="637"/>
      <c r="VFS1" s="637"/>
      <c r="VFT1" s="637"/>
      <c r="VFU1" s="637"/>
      <c r="VFV1" s="637"/>
      <c r="VFW1" s="637"/>
      <c r="VFX1" s="637"/>
      <c r="VFY1" s="637"/>
      <c r="VFZ1" s="637"/>
      <c r="VGA1" s="637"/>
      <c r="VGB1" s="637"/>
      <c r="VGC1" s="637"/>
      <c r="VGD1" s="637"/>
      <c r="VGE1" s="637"/>
      <c r="VGF1" s="637"/>
      <c r="VGG1" s="637"/>
      <c r="VGH1" s="637"/>
      <c r="VGI1" s="637"/>
      <c r="VGJ1" s="637"/>
      <c r="VGK1" s="637"/>
      <c r="VGL1" s="637"/>
      <c r="VGM1" s="637"/>
      <c r="VGN1" s="637"/>
      <c r="VGO1" s="637"/>
      <c r="VGP1" s="637"/>
      <c r="VGQ1" s="637"/>
      <c r="VGR1" s="637"/>
      <c r="VGS1" s="637"/>
      <c r="VGT1" s="637"/>
      <c r="VGU1" s="637"/>
      <c r="VGV1" s="637"/>
      <c r="VGW1" s="637"/>
      <c r="VGX1" s="637"/>
      <c r="VGY1" s="637"/>
      <c r="VGZ1" s="637"/>
      <c r="VHA1" s="637"/>
      <c r="VHB1" s="637"/>
      <c r="VHC1" s="637"/>
      <c r="VHD1" s="637"/>
      <c r="VHE1" s="637"/>
      <c r="VHF1" s="637"/>
      <c r="VHG1" s="637"/>
      <c r="VHH1" s="637"/>
      <c r="VHI1" s="637"/>
      <c r="VHJ1" s="637"/>
      <c r="VHK1" s="637"/>
      <c r="VHL1" s="637"/>
      <c r="VHM1" s="637"/>
      <c r="VHN1" s="637"/>
      <c r="VHO1" s="637"/>
      <c r="VHP1" s="637"/>
      <c r="VHQ1" s="637"/>
      <c r="VHR1" s="637"/>
      <c r="VHS1" s="637"/>
      <c r="VHT1" s="637"/>
      <c r="VHU1" s="637"/>
      <c r="VHV1" s="637"/>
      <c r="VHW1" s="637"/>
      <c r="VHX1" s="637"/>
      <c r="VHY1" s="637"/>
      <c r="VHZ1" s="637"/>
      <c r="VIA1" s="637"/>
      <c r="VIB1" s="637"/>
      <c r="VIC1" s="637"/>
      <c r="VID1" s="637"/>
      <c r="VIE1" s="637"/>
      <c r="VIF1" s="637"/>
      <c r="VIG1" s="637"/>
      <c r="VIH1" s="637"/>
      <c r="VII1" s="637"/>
      <c r="VIJ1" s="637"/>
      <c r="VIK1" s="637"/>
      <c r="VIL1" s="637"/>
      <c r="VIM1" s="637"/>
      <c r="VIN1" s="637"/>
      <c r="VIO1" s="637"/>
      <c r="VIP1" s="637"/>
      <c r="VIQ1" s="637"/>
      <c r="VIR1" s="637"/>
      <c r="VIS1" s="637"/>
      <c r="VIT1" s="637"/>
      <c r="VIU1" s="637"/>
      <c r="VIV1" s="637"/>
      <c r="VIW1" s="637"/>
      <c r="VIX1" s="637"/>
      <c r="VIY1" s="637"/>
      <c r="VIZ1" s="637"/>
      <c r="VJA1" s="637"/>
      <c r="VJB1" s="637"/>
      <c r="VJC1" s="637"/>
      <c r="VJD1" s="637"/>
      <c r="VJE1" s="637"/>
      <c r="VJF1" s="637"/>
      <c r="VJG1" s="637"/>
      <c r="VJH1" s="637"/>
      <c r="VJI1" s="637"/>
      <c r="VJJ1" s="637"/>
      <c r="VJK1" s="637"/>
      <c r="VJL1" s="637"/>
      <c r="VJM1" s="637"/>
      <c r="VJN1" s="637"/>
      <c r="VJO1" s="637"/>
      <c r="VJP1" s="637"/>
      <c r="VJQ1" s="637"/>
      <c r="VJR1" s="637"/>
      <c r="VJS1" s="637"/>
      <c r="VJT1" s="637"/>
      <c r="VJU1" s="637"/>
      <c r="VJV1" s="637"/>
      <c r="VJW1" s="637"/>
      <c r="VJX1" s="637"/>
      <c r="VJY1" s="637"/>
      <c r="VJZ1" s="637"/>
      <c r="VKA1" s="637"/>
      <c r="VKB1" s="637"/>
      <c r="VKC1" s="637"/>
      <c r="VKD1" s="637"/>
      <c r="VKE1" s="637"/>
      <c r="VKF1" s="637"/>
      <c r="VKG1" s="637"/>
      <c r="VKH1" s="637"/>
      <c r="VKI1" s="637"/>
      <c r="VKJ1" s="637"/>
      <c r="VKK1" s="637"/>
      <c r="VKL1" s="637"/>
      <c r="VKM1" s="637"/>
      <c r="VKN1" s="637"/>
      <c r="VKO1" s="637"/>
      <c r="VKP1" s="637"/>
      <c r="VKQ1" s="637"/>
      <c r="VKR1" s="637"/>
      <c r="VKS1" s="637"/>
      <c r="VKT1" s="637"/>
      <c r="VKU1" s="637"/>
      <c r="VKV1" s="637"/>
      <c r="VKW1" s="637"/>
      <c r="VKX1" s="637"/>
      <c r="VKY1" s="637"/>
      <c r="VKZ1" s="637"/>
      <c r="VLA1" s="637"/>
      <c r="VLB1" s="637"/>
      <c r="VLC1" s="637"/>
      <c r="VLD1" s="637"/>
      <c r="VLE1" s="637"/>
      <c r="VLF1" s="637"/>
      <c r="VLG1" s="637"/>
      <c r="VLH1" s="637"/>
      <c r="VLI1" s="637"/>
      <c r="VLJ1" s="637"/>
      <c r="VLK1" s="637"/>
      <c r="VLL1" s="637"/>
      <c r="VLM1" s="637"/>
      <c r="VLN1" s="637"/>
      <c r="VLO1" s="637"/>
      <c r="VLP1" s="637"/>
      <c r="VLQ1" s="637"/>
      <c r="VLR1" s="637"/>
      <c r="VLS1" s="637"/>
      <c r="VLT1" s="637"/>
      <c r="VLU1" s="637"/>
      <c r="VLV1" s="637"/>
      <c r="VLW1" s="637"/>
      <c r="VLX1" s="637"/>
      <c r="VLY1" s="637"/>
      <c r="VLZ1" s="637"/>
      <c r="VMA1" s="637"/>
      <c r="VMB1" s="637"/>
      <c r="VMC1" s="637"/>
      <c r="VMD1" s="637"/>
      <c r="VME1" s="637"/>
      <c r="VMF1" s="637"/>
      <c r="VMG1" s="637"/>
      <c r="VMH1" s="637"/>
      <c r="VMI1" s="637"/>
      <c r="VMJ1" s="637"/>
      <c r="VMK1" s="637"/>
      <c r="VML1" s="637"/>
      <c r="VMM1" s="637"/>
      <c r="VMN1" s="637"/>
      <c r="VMO1" s="637"/>
      <c r="VMP1" s="637"/>
      <c r="VMQ1" s="637"/>
      <c r="VMR1" s="637"/>
      <c r="VMS1" s="637"/>
      <c r="VMT1" s="637"/>
      <c r="VMU1" s="637"/>
      <c r="VMV1" s="637"/>
      <c r="VMW1" s="637"/>
      <c r="VMX1" s="637"/>
      <c r="VMY1" s="637"/>
      <c r="VMZ1" s="637"/>
      <c r="VNA1" s="637"/>
      <c r="VNB1" s="637"/>
      <c r="VNC1" s="637"/>
      <c r="VND1" s="637"/>
      <c r="VNE1" s="637"/>
      <c r="VNF1" s="637"/>
      <c r="VNG1" s="637"/>
      <c r="VNH1" s="637"/>
      <c r="VNI1" s="637"/>
      <c r="VNJ1" s="637"/>
      <c r="VNK1" s="637"/>
      <c r="VNL1" s="637"/>
      <c r="VNM1" s="637"/>
      <c r="VNN1" s="637"/>
      <c r="VNO1" s="637"/>
      <c r="VNP1" s="637"/>
      <c r="VNQ1" s="637"/>
      <c r="VNR1" s="637"/>
      <c r="VNS1" s="637"/>
      <c r="VNT1" s="637"/>
      <c r="VNU1" s="637"/>
      <c r="VNV1" s="637"/>
      <c r="VNW1" s="637"/>
      <c r="VNX1" s="637"/>
      <c r="VNY1" s="637"/>
      <c r="VNZ1" s="637"/>
      <c r="VOA1" s="637"/>
      <c r="VOB1" s="637"/>
      <c r="VOC1" s="637"/>
      <c r="VOD1" s="637"/>
      <c r="VOE1" s="637"/>
      <c r="VOF1" s="637"/>
      <c r="VOG1" s="637"/>
      <c r="VOH1" s="637"/>
      <c r="VOI1" s="637"/>
      <c r="VOJ1" s="637"/>
      <c r="VOK1" s="637"/>
      <c r="VOL1" s="637"/>
      <c r="VOM1" s="637"/>
      <c r="VON1" s="637"/>
      <c r="VOO1" s="637"/>
      <c r="VOP1" s="637"/>
      <c r="VOQ1" s="637"/>
      <c r="VOR1" s="637"/>
      <c r="VOS1" s="637"/>
      <c r="VOT1" s="637"/>
      <c r="VOU1" s="637"/>
      <c r="VOV1" s="637"/>
      <c r="VOW1" s="637"/>
      <c r="VOX1" s="637"/>
      <c r="VOY1" s="637"/>
      <c r="VOZ1" s="637"/>
      <c r="VPA1" s="637"/>
      <c r="VPB1" s="637"/>
      <c r="VPC1" s="637"/>
      <c r="VPD1" s="637"/>
      <c r="VPE1" s="637"/>
      <c r="VPF1" s="637"/>
      <c r="VPG1" s="637"/>
      <c r="VPH1" s="637"/>
      <c r="VPI1" s="637"/>
      <c r="VPJ1" s="637"/>
      <c r="VPK1" s="637"/>
      <c r="VPL1" s="637"/>
      <c r="VPM1" s="637"/>
      <c r="VPN1" s="637"/>
      <c r="VPO1" s="637"/>
      <c r="VPP1" s="637"/>
      <c r="VPQ1" s="637"/>
      <c r="VPR1" s="637"/>
      <c r="VPS1" s="637"/>
      <c r="VPT1" s="637"/>
      <c r="VPU1" s="637"/>
      <c r="VPV1" s="637"/>
      <c r="VPW1" s="637"/>
      <c r="VPX1" s="637"/>
      <c r="VPY1" s="637"/>
      <c r="VPZ1" s="637"/>
      <c r="VQA1" s="637"/>
      <c r="VQB1" s="637"/>
      <c r="VQC1" s="637"/>
      <c r="VQD1" s="637"/>
      <c r="VQE1" s="637"/>
      <c r="VQF1" s="637"/>
      <c r="VQG1" s="637"/>
      <c r="VQH1" s="637"/>
      <c r="VQI1" s="637"/>
      <c r="VQJ1" s="637"/>
      <c r="VQK1" s="637"/>
      <c r="VQL1" s="637"/>
      <c r="VQM1" s="637"/>
      <c r="VQN1" s="637"/>
      <c r="VQO1" s="637"/>
      <c r="VQP1" s="637"/>
      <c r="VQQ1" s="637"/>
      <c r="VQR1" s="637"/>
      <c r="VQS1" s="637"/>
      <c r="VQT1" s="637"/>
      <c r="VQU1" s="637"/>
      <c r="VQV1" s="637"/>
      <c r="VQW1" s="637"/>
      <c r="VQX1" s="637"/>
      <c r="VQY1" s="637"/>
      <c r="VQZ1" s="637"/>
      <c r="VRA1" s="637"/>
      <c r="VRB1" s="637"/>
      <c r="VRC1" s="637"/>
      <c r="VRD1" s="637"/>
      <c r="VRE1" s="637"/>
      <c r="VRF1" s="637"/>
      <c r="VRG1" s="637"/>
      <c r="VRH1" s="637"/>
      <c r="VRI1" s="637"/>
      <c r="VRJ1" s="637"/>
      <c r="VRK1" s="637"/>
      <c r="VRL1" s="637"/>
      <c r="VRM1" s="637"/>
      <c r="VRN1" s="637"/>
      <c r="VRO1" s="637"/>
      <c r="VRP1" s="637"/>
      <c r="VRQ1" s="637"/>
      <c r="VRR1" s="637"/>
      <c r="VRS1" s="637"/>
      <c r="VRT1" s="637"/>
      <c r="VRU1" s="637"/>
      <c r="VRV1" s="637"/>
      <c r="VRW1" s="637"/>
      <c r="VRX1" s="637"/>
      <c r="VRY1" s="637"/>
      <c r="VRZ1" s="637"/>
      <c r="VSA1" s="637"/>
      <c r="VSB1" s="637"/>
      <c r="VSC1" s="637"/>
      <c r="VSD1" s="637"/>
      <c r="VSE1" s="637"/>
      <c r="VSF1" s="637"/>
      <c r="VSG1" s="637"/>
      <c r="VSH1" s="637"/>
      <c r="VSI1" s="637"/>
      <c r="VSJ1" s="637"/>
      <c r="VSK1" s="637"/>
      <c r="VSL1" s="637"/>
      <c r="VSM1" s="637"/>
      <c r="VSN1" s="637"/>
      <c r="VSO1" s="637"/>
      <c r="VSP1" s="637"/>
      <c r="VSQ1" s="637"/>
      <c r="VSR1" s="637"/>
      <c r="VSS1" s="637"/>
      <c r="VST1" s="637"/>
      <c r="VSU1" s="637"/>
      <c r="VSV1" s="637"/>
      <c r="VSW1" s="637"/>
      <c r="VSX1" s="637"/>
      <c r="VSY1" s="637"/>
      <c r="VSZ1" s="637"/>
      <c r="VTA1" s="637"/>
      <c r="VTB1" s="637"/>
      <c r="VTC1" s="637"/>
      <c r="VTD1" s="637"/>
      <c r="VTE1" s="637"/>
      <c r="VTF1" s="637"/>
      <c r="VTG1" s="637"/>
      <c r="VTH1" s="637"/>
      <c r="VTI1" s="637"/>
      <c r="VTJ1" s="637"/>
      <c r="VTK1" s="637"/>
      <c r="VTL1" s="637"/>
      <c r="VTM1" s="637"/>
      <c r="VTN1" s="637"/>
      <c r="VTO1" s="637"/>
      <c r="VTP1" s="637"/>
      <c r="VTQ1" s="637"/>
      <c r="VTR1" s="637"/>
      <c r="VTS1" s="637"/>
      <c r="VTT1" s="637"/>
      <c r="VTU1" s="637"/>
      <c r="VTV1" s="637"/>
      <c r="VTW1" s="637"/>
      <c r="VTX1" s="637"/>
      <c r="VTY1" s="637"/>
      <c r="VTZ1" s="637"/>
      <c r="VUA1" s="637"/>
      <c r="VUB1" s="637"/>
      <c r="VUC1" s="637"/>
      <c r="VUD1" s="637"/>
      <c r="VUE1" s="637"/>
      <c r="VUF1" s="637"/>
      <c r="VUG1" s="637"/>
      <c r="VUH1" s="637"/>
      <c r="VUI1" s="637"/>
      <c r="VUJ1" s="637"/>
      <c r="VUK1" s="637"/>
      <c r="VUL1" s="637"/>
      <c r="VUM1" s="637"/>
      <c r="VUN1" s="637"/>
      <c r="VUO1" s="637"/>
      <c r="VUP1" s="637"/>
      <c r="VUQ1" s="637"/>
      <c r="VUR1" s="637"/>
      <c r="VUS1" s="637"/>
      <c r="VUT1" s="637"/>
      <c r="VUU1" s="637"/>
      <c r="VUV1" s="637"/>
      <c r="VUW1" s="637"/>
      <c r="VUX1" s="637"/>
      <c r="VUY1" s="637"/>
      <c r="VUZ1" s="637"/>
      <c r="VVA1" s="637"/>
      <c r="VVB1" s="637"/>
      <c r="VVC1" s="637"/>
      <c r="VVD1" s="637"/>
      <c r="VVE1" s="637"/>
      <c r="VVF1" s="637"/>
      <c r="VVG1" s="637"/>
      <c r="VVH1" s="637"/>
      <c r="VVI1" s="637"/>
      <c r="VVJ1" s="637"/>
      <c r="VVK1" s="637"/>
      <c r="VVL1" s="637"/>
      <c r="VVM1" s="637"/>
      <c r="VVN1" s="637"/>
      <c r="VVO1" s="637"/>
      <c r="VVP1" s="637"/>
      <c r="VVQ1" s="637"/>
      <c r="VVR1" s="637"/>
      <c r="VVS1" s="637"/>
      <c r="VVT1" s="637"/>
      <c r="VVU1" s="637"/>
      <c r="VVV1" s="637"/>
      <c r="VVW1" s="637"/>
      <c r="VVX1" s="637"/>
      <c r="VVY1" s="637"/>
      <c r="VVZ1" s="637"/>
      <c r="VWA1" s="637"/>
      <c r="VWB1" s="637"/>
      <c r="VWC1" s="637"/>
      <c r="VWD1" s="637"/>
      <c r="VWE1" s="637"/>
      <c r="VWF1" s="637"/>
      <c r="VWG1" s="637"/>
      <c r="VWH1" s="637"/>
      <c r="VWI1" s="637"/>
      <c r="VWJ1" s="637"/>
      <c r="VWK1" s="637"/>
      <c r="VWL1" s="637"/>
      <c r="VWM1" s="637"/>
      <c r="VWN1" s="637"/>
      <c r="VWO1" s="637"/>
      <c r="VWP1" s="637"/>
      <c r="VWQ1" s="637"/>
      <c r="VWR1" s="637"/>
      <c r="VWS1" s="637"/>
      <c r="VWT1" s="637"/>
      <c r="VWU1" s="637"/>
      <c r="VWV1" s="637"/>
      <c r="VWW1" s="637"/>
      <c r="VWX1" s="637"/>
      <c r="VWY1" s="637"/>
      <c r="VWZ1" s="637"/>
      <c r="VXA1" s="637"/>
      <c r="VXB1" s="637"/>
      <c r="VXC1" s="637"/>
      <c r="VXD1" s="637"/>
      <c r="VXE1" s="637"/>
      <c r="VXF1" s="637"/>
      <c r="VXG1" s="637"/>
      <c r="VXH1" s="637"/>
      <c r="VXI1" s="637"/>
      <c r="VXJ1" s="637"/>
      <c r="VXK1" s="637"/>
      <c r="VXL1" s="637"/>
      <c r="VXM1" s="637"/>
      <c r="VXN1" s="637"/>
      <c r="VXO1" s="637"/>
      <c r="VXP1" s="637"/>
      <c r="VXQ1" s="637"/>
      <c r="VXR1" s="637"/>
      <c r="VXS1" s="637"/>
      <c r="VXT1" s="637"/>
      <c r="VXU1" s="637"/>
      <c r="VXV1" s="637"/>
      <c r="VXW1" s="637"/>
      <c r="VXX1" s="637"/>
      <c r="VXY1" s="637"/>
      <c r="VXZ1" s="637"/>
      <c r="VYA1" s="637"/>
      <c r="VYB1" s="637"/>
      <c r="VYC1" s="637"/>
      <c r="VYD1" s="637"/>
      <c r="VYE1" s="637"/>
      <c r="VYF1" s="637"/>
      <c r="VYG1" s="637"/>
      <c r="VYH1" s="637"/>
      <c r="VYI1" s="637"/>
      <c r="VYJ1" s="637"/>
      <c r="VYK1" s="637"/>
      <c r="VYL1" s="637"/>
      <c r="VYM1" s="637"/>
      <c r="VYN1" s="637"/>
      <c r="VYO1" s="637"/>
      <c r="VYP1" s="637"/>
      <c r="VYQ1" s="637"/>
      <c r="VYR1" s="637"/>
      <c r="VYS1" s="637"/>
      <c r="VYT1" s="637"/>
      <c r="VYU1" s="637"/>
      <c r="VYV1" s="637"/>
      <c r="VYW1" s="637"/>
      <c r="VYX1" s="637"/>
      <c r="VYY1" s="637"/>
      <c r="VYZ1" s="637"/>
      <c r="VZA1" s="637"/>
      <c r="VZB1" s="637"/>
      <c r="VZC1" s="637"/>
      <c r="VZD1" s="637"/>
      <c r="VZE1" s="637"/>
      <c r="VZF1" s="637"/>
      <c r="VZG1" s="637"/>
      <c r="VZH1" s="637"/>
      <c r="VZI1" s="637"/>
      <c r="VZJ1" s="637"/>
      <c r="VZK1" s="637"/>
      <c r="VZL1" s="637"/>
      <c r="VZM1" s="637"/>
      <c r="VZN1" s="637"/>
      <c r="VZO1" s="637"/>
      <c r="VZP1" s="637"/>
      <c r="VZQ1" s="637"/>
      <c r="VZR1" s="637"/>
      <c r="VZS1" s="637"/>
      <c r="VZT1" s="637"/>
      <c r="VZU1" s="637"/>
      <c r="VZV1" s="637"/>
      <c r="VZW1" s="637"/>
      <c r="VZX1" s="637"/>
      <c r="VZY1" s="637"/>
      <c r="VZZ1" s="637"/>
      <c r="WAA1" s="637"/>
      <c r="WAB1" s="637"/>
      <c r="WAC1" s="637"/>
      <c r="WAD1" s="637"/>
      <c r="WAE1" s="637"/>
      <c r="WAF1" s="637"/>
      <c r="WAG1" s="637"/>
      <c r="WAH1" s="637"/>
      <c r="WAI1" s="637"/>
      <c r="WAJ1" s="637"/>
      <c r="WAK1" s="637"/>
      <c r="WAL1" s="637"/>
      <c r="WAM1" s="637"/>
      <c r="WAN1" s="637"/>
      <c r="WAO1" s="637"/>
      <c r="WAP1" s="637"/>
      <c r="WAQ1" s="637"/>
      <c r="WAR1" s="637"/>
      <c r="WAS1" s="637"/>
      <c r="WAT1" s="637"/>
      <c r="WAU1" s="637"/>
      <c r="WAV1" s="637"/>
      <c r="WAW1" s="637"/>
      <c r="WAX1" s="637"/>
      <c r="WAY1" s="637"/>
      <c r="WAZ1" s="637"/>
      <c r="WBA1" s="637"/>
      <c r="WBB1" s="637"/>
      <c r="WBC1" s="637"/>
      <c r="WBD1" s="637"/>
      <c r="WBE1" s="637"/>
      <c r="WBF1" s="637"/>
      <c r="WBG1" s="637"/>
      <c r="WBH1" s="637"/>
      <c r="WBI1" s="637"/>
      <c r="WBJ1" s="637"/>
      <c r="WBK1" s="637"/>
      <c r="WBL1" s="637"/>
      <c r="WBM1" s="637"/>
      <c r="WBN1" s="637"/>
      <c r="WBO1" s="637"/>
      <c r="WBP1" s="637"/>
      <c r="WBQ1" s="637"/>
      <c r="WBR1" s="637"/>
      <c r="WBS1" s="637"/>
      <c r="WBT1" s="637"/>
      <c r="WBU1" s="637"/>
      <c r="WBV1" s="637"/>
      <c r="WBW1" s="637"/>
      <c r="WBX1" s="637"/>
      <c r="WBY1" s="637"/>
      <c r="WBZ1" s="637"/>
      <c r="WCA1" s="637"/>
      <c r="WCB1" s="637"/>
      <c r="WCC1" s="637"/>
      <c r="WCD1" s="637"/>
      <c r="WCE1" s="637"/>
      <c r="WCF1" s="637"/>
      <c r="WCG1" s="637"/>
      <c r="WCH1" s="637"/>
      <c r="WCI1" s="637"/>
      <c r="WCJ1" s="637"/>
      <c r="WCK1" s="637"/>
      <c r="WCL1" s="637"/>
      <c r="WCM1" s="637"/>
      <c r="WCN1" s="637"/>
      <c r="WCO1" s="637"/>
      <c r="WCP1" s="637"/>
      <c r="WCQ1" s="637"/>
      <c r="WCR1" s="637"/>
      <c r="WCS1" s="637"/>
      <c r="WCT1" s="637"/>
      <c r="WCU1" s="637"/>
      <c r="WCV1" s="637"/>
      <c r="WCW1" s="637"/>
      <c r="WCX1" s="637"/>
      <c r="WCY1" s="637"/>
      <c r="WCZ1" s="637"/>
      <c r="WDA1" s="637"/>
      <c r="WDB1" s="637"/>
      <c r="WDC1" s="637"/>
      <c r="WDD1" s="637"/>
      <c r="WDE1" s="637"/>
      <c r="WDF1" s="637"/>
      <c r="WDG1" s="637"/>
      <c r="WDH1" s="637"/>
      <c r="WDI1" s="637"/>
      <c r="WDJ1" s="637"/>
      <c r="WDK1" s="637"/>
      <c r="WDL1" s="637"/>
      <c r="WDM1" s="637"/>
      <c r="WDN1" s="637"/>
      <c r="WDO1" s="637"/>
      <c r="WDP1" s="637"/>
      <c r="WDQ1" s="637"/>
      <c r="WDR1" s="637"/>
      <c r="WDS1" s="637"/>
      <c r="WDT1" s="637"/>
      <c r="WDU1" s="637"/>
      <c r="WDV1" s="637"/>
      <c r="WDW1" s="637"/>
      <c r="WDX1" s="637"/>
      <c r="WDY1" s="637"/>
      <c r="WDZ1" s="637"/>
      <c r="WEA1" s="637"/>
      <c r="WEB1" s="637"/>
      <c r="WEC1" s="637"/>
      <c r="WED1" s="637"/>
      <c r="WEE1" s="637"/>
      <c r="WEF1" s="637"/>
      <c r="WEG1" s="637"/>
      <c r="WEH1" s="637"/>
      <c r="WEI1" s="637"/>
      <c r="WEJ1" s="637"/>
      <c r="WEK1" s="637"/>
      <c r="WEL1" s="637"/>
      <c r="WEM1" s="637"/>
      <c r="WEN1" s="637"/>
      <c r="WEO1" s="637"/>
      <c r="WEP1" s="637"/>
      <c r="WEQ1" s="637"/>
      <c r="WER1" s="637"/>
      <c r="WES1" s="637"/>
      <c r="WET1" s="637"/>
      <c r="WEU1" s="637"/>
      <c r="WEV1" s="637"/>
      <c r="WEW1" s="637"/>
      <c r="WEX1" s="637"/>
      <c r="WEY1" s="637"/>
      <c r="WEZ1" s="637"/>
      <c r="WFA1" s="637"/>
      <c r="WFB1" s="637"/>
      <c r="WFC1" s="637"/>
      <c r="WFD1" s="637"/>
      <c r="WFE1" s="637"/>
      <c r="WFF1" s="637"/>
      <c r="WFG1" s="637"/>
      <c r="WFH1" s="637"/>
      <c r="WFI1" s="637"/>
      <c r="WFJ1" s="637"/>
      <c r="WFK1" s="637"/>
      <c r="WFL1" s="637"/>
      <c r="WFM1" s="637"/>
      <c r="WFN1" s="637"/>
      <c r="WFO1" s="637"/>
      <c r="WFP1" s="637"/>
      <c r="WFQ1" s="637"/>
      <c r="WFR1" s="637"/>
      <c r="WFS1" s="637"/>
      <c r="WFT1" s="637"/>
      <c r="WFU1" s="637"/>
      <c r="WFV1" s="637"/>
      <c r="WFW1" s="637"/>
      <c r="WFX1" s="637"/>
      <c r="WFY1" s="637"/>
      <c r="WFZ1" s="637"/>
      <c r="WGA1" s="637"/>
      <c r="WGB1" s="637"/>
      <c r="WGC1" s="637"/>
      <c r="WGD1" s="637"/>
      <c r="WGE1" s="637"/>
      <c r="WGF1" s="637"/>
      <c r="WGG1" s="637"/>
      <c r="WGH1" s="637"/>
      <c r="WGI1" s="637"/>
      <c r="WGJ1" s="637"/>
      <c r="WGK1" s="637"/>
      <c r="WGL1" s="637"/>
      <c r="WGM1" s="637"/>
      <c r="WGN1" s="637"/>
      <c r="WGO1" s="637"/>
      <c r="WGP1" s="637"/>
      <c r="WGQ1" s="637"/>
      <c r="WGR1" s="637"/>
      <c r="WGS1" s="637"/>
      <c r="WGT1" s="637"/>
      <c r="WGU1" s="637"/>
      <c r="WGV1" s="637"/>
      <c r="WGW1" s="637"/>
      <c r="WGX1" s="637"/>
      <c r="WGY1" s="637"/>
      <c r="WGZ1" s="637"/>
      <c r="WHA1" s="637"/>
      <c r="WHB1" s="637"/>
      <c r="WHC1" s="637"/>
      <c r="WHD1" s="637"/>
      <c r="WHE1" s="637"/>
      <c r="WHF1" s="637"/>
      <c r="WHG1" s="637"/>
      <c r="WHH1" s="637"/>
      <c r="WHI1" s="637"/>
      <c r="WHJ1" s="637"/>
      <c r="WHK1" s="637"/>
      <c r="WHL1" s="637"/>
      <c r="WHM1" s="637"/>
      <c r="WHN1" s="637"/>
      <c r="WHO1" s="637"/>
      <c r="WHP1" s="637"/>
      <c r="WHQ1" s="637"/>
      <c r="WHR1" s="637"/>
      <c r="WHS1" s="637"/>
      <c r="WHT1" s="637"/>
      <c r="WHU1" s="637"/>
      <c r="WHV1" s="637"/>
      <c r="WHW1" s="637"/>
      <c r="WHX1" s="637"/>
      <c r="WHY1" s="637"/>
      <c r="WHZ1" s="637"/>
      <c r="WIA1" s="637"/>
      <c r="WIB1" s="637"/>
      <c r="WIC1" s="637"/>
      <c r="WID1" s="637"/>
      <c r="WIE1" s="637"/>
      <c r="WIF1" s="637"/>
      <c r="WIG1" s="637"/>
      <c r="WIH1" s="637"/>
      <c r="WII1" s="637"/>
      <c r="WIJ1" s="637"/>
      <c r="WIK1" s="637"/>
      <c r="WIL1" s="637"/>
      <c r="WIM1" s="637"/>
      <c r="WIN1" s="637"/>
      <c r="WIO1" s="637"/>
      <c r="WIP1" s="637"/>
      <c r="WIQ1" s="637"/>
      <c r="WIR1" s="637"/>
      <c r="WIS1" s="637"/>
      <c r="WIT1" s="637"/>
      <c r="WIU1" s="637"/>
      <c r="WIV1" s="637"/>
      <c r="WIW1" s="637"/>
      <c r="WIX1" s="637"/>
      <c r="WIY1" s="637"/>
      <c r="WIZ1" s="637"/>
      <c r="WJA1" s="637"/>
      <c r="WJB1" s="637"/>
      <c r="WJC1" s="637"/>
      <c r="WJD1" s="637"/>
      <c r="WJE1" s="637"/>
      <c r="WJF1" s="637"/>
      <c r="WJG1" s="637"/>
      <c r="WJH1" s="637"/>
      <c r="WJI1" s="637"/>
      <c r="WJJ1" s="637"/>
      <c r="WJK1" s="637"/>
      <c r="WJL1" s="637"/>
      <c r="WJM1" s="637"/>
      <c r="WJN1" s="637"/>
      <c r="WJO1" s="637"/>
      <c r="WJP1" s="637"/>
      <c r="WJQ1" s="637"/>
      <c r="WJR1" s="637"/>
      <c r="WJS1" s="637"/>
      <c r="WJT1" s="637"/>
      <c r="WJU1" s="637"/>
      <c r="WJV1" s="637"/>
      <c r="WJW1" s="637"/>
      <c r="WJX1" s="637"/>
      <c r="WJY1" s="637"/>
      <c r="WJZ1" s="637"/>
      <c r="WKA1" s="637"/>
      <c r="WKB1" s="637"/>
      <c r="WKC1" s="637"/>
      <c r="WKD1" s="637"/>
      <c r="WKE1" s="637"/>
      <c r="WKF1" s="637"/>
      <c r="WKG1" s="637"/>
      <c r="WKH1" s="637"/>
      <c r="WKI1" s="637"/>
      <c r="WKJ1" s="637"/>
      <c r="WKK1" s="637"/>
      <c r="WKL1" s="637"/>
      <c r="WKM1" s="637"/>
      <c r="WKN1" s="637"/>
      <c r="WKO1" s="637"/>
      <c r="WKP1" s="637"/>
      <c r="WKQ1" s="637"/>
      <c r="WKR1" s="637"/>
      <c r="WKS1" s="637"/>
      <c r="WKT1" s="637"/>
      <c r="WKU1" s="637"/>
      <c r="WKV1" s="637"/>
      <c r="WKW1" s="637"/>
      <c r="WKX1" s="637"/>
      <c r="WKY1" s="637"/>
      <c r="WKZ1" s="637"/>
      <c r="WLA1" s="637"/>
      <c r="WLB1" s="637"/>
      <c r="WLC1" s="637"/>
      <c r="WLD1" s="637"/>
      <c r="WLE1" s="637"/>
      <c r="WLF1" s="637"/>
      <c r="WLG1" s="637"/>
      <c r="WLH1" s="637"/>
      <c r="WLI1" s="637"/>
      <c r="WLJ1" s="637"/>
      <c r="WLK1" s="637"/>
      <c r="WLL1" s="637"/>
      <c r="WLM1" s="637"/>
      <c r="WLN1" s="637"/>
      <c r="WLO1" s="637"/>
      <c r="WLP1" s="637"/>
      <c r="WLQ1" s="637"/>
      <c r="WLR1" s="637"/>
      <c r="WLS1" s="637"/>
      <c r="WLT1" s="637"/>
      <c r="WLU1" s="637"/>
      <c r="WLV1" s="637"/>
      <c r="WLW1" s="637"/>
      <c r="WLX1" s="637"/>
      <c r="WLY1" s="637"/>
      <c r="WLZ1" s="637"/>
      <c r="WMA1" s="637"/>
      <c r="WMB1" s="637"/>
      <c r="WMC1" s="637"/>
      <c r="WMD1" s="637"/>
      <c r="WME1" s="637"/>
      <c r="WMF1" s="637"/>
      <c r="WMG1" s="637"/>
      <c r="WMH1" s="637"/>
      <c r="WMI1" s="637"/>
      <c r="WMJ1" s="637"/>
      <c r="WMK1" s="637"/>
      <c r="WML1" s="637"/>
      <c r="WMM1" s="637"/>
      <c r="WMN1" s="637"/>
      <c r="WMO1" s="637"/>
      <c r="WMP1" s="637"/>
      <c r="WMQ1" s="637"/>
      <c r="WMR1" s="637"/>
      <c r="WMS1" s="637"/>
      <c r="WMT1" s="637"/>
      <c r="WMU1" s="637"/>
      <c r="WMV1" s="637"/>
      <c r="WMW1" s="637"/>
      <c r="WMX1" s="637"/>
      <c r="WMY1" s="637"/>
      <c r="WMZ1" s="637"/>
      <c r="WNA1" s="637"/>
      <c r="WNB1" s="637"/>
      <c r="WNC1" s="637"/>
      <c r="WND1" s="637"/>
      <c r="WNE1" s="637"/>
      <c r="WNF1" s="637"/>
      <c r="WNG1" s="637"/>
      <c r="WNH1" s="637"/>
      <c r="WNI1" s="637"/>
      <c r="WNJ1" s="637"/>
      <c r="WNK1" s="637"/>
      <c r="WNL1" s="637"/>
      <c r="WNM1" s="637"/>
      <c r="WNN1" s="637"/>
      <c r="WNO1" s="637"/>
      <c r="WNP1" s="637"/>
      <c r="WNQ1" s="637"/>
      <c r="WNR1" s="637"/>
      <c r="WNS1" s="637"/>
      <c r="WNT1" s="637"/>
      <c r="WNU1" s="637"/>
      <c r="WNV1" s="637"/>
      <c r="WNW1" s="637"/>
      <c r="WNX1" s="637"/>
      <c r="WNY1" s="637"/>
      <c r="WNZ1" s="637"/>
      <c r="WOA1" s="637"/>
      <c r="WOB1" s="637"/>
      <c r="WOC1" s="637"/>
      <c r="WOD1" s="637"/>
      <c r="WOE1" s="637"/>
      <c r="WOF1" s="637"/>
      <c r="WOG1" s="637"/>
      <c r="WOH1" s="637"/>
      <c r="WOI1" s="637"/>
      <c r="WOJ1" s="637"/>
      <c r="WOK1" s="637"/>
      <c r="WOL1" s="637"/>
      <c r="WOM1" s="637"/>
      <c r="WON1" s="637"/>
      <c r="WOO1" s="637"/>
      <c r="WOP1" s="637"/>
      <c r="WOQ1" s="637"/>
      <c r="WOR1" s="637"/>
      <c r="WOS1" s="637"/>
      <c r="WOT1" s="637"/>
      <c r="WOU1" s="637"/>
      <c r="WOV1" s="637"/>
      <c r="WOW1" s="637"/>
      <c r="WOX1" s="637"/>
      <c r="WOY1" s="637"/>
      <c r="WOZ1" s="637"/>
      <c r="WPA1" s="637"/>
      <c r="WPB1" s="637"/>
      <c r="WPC1" s="637"/>
      <c r="WPD1" s="637"/>
      <c r="WPE1" s="637"/>
      <c r="WPF1" s="637"/>
      <c r="WPG1" s="637"/>
      <c r="WPH1" s="637"/>
      <c r="WPI1" s="637"/>
      <c r="WPJ1" s="637"/>
      <c r="WPK1" s="637"/>
      <c r="WPL1" s="637"/>
      <c r="WPM1" s="637"/>
      <c r="WPN1" s="637"/>
      <c r="WPO1" s="637"/>
      <c r="WPP1" s="637"/>
      <c r="WPQ1" s="637"/>
      <c r="WPR1" s="637"/>
      <c r="WPS1" s="637"/>
      <c r="WPT1" s="637"/>
      <c r="WPU1" s="637"/>
      <c r="WPV1" s="637"/>
      <c r="WPW1" s="637"/>
      <c r="WPX1" s="637"/>
      <c r="WPY1" s="637"/>
      <c r="WPZ1" s="637"/>
      <c r="WQA1" s="637"/>
      <c r="WQB1" s="637"/>
      <c r="WQC1" s="637"/>
      <c r="WQD1" s="637"/>
      <c r="WQE1" s="637"/>
      <c r="WQF1" s="637"/>
      <c r="WQG1" s="637"/>
      <c r="WQH1" s="637"/>
      <c r="WQI1" s="637"/>
      <c r="WQJ1" s="637"/>
      <c r="WQK1" s="637"/>
      <c r="WQL1" s="637"/>
      <c r="WQM1" s="637"/>
      <c r="WQN1" s="637"/>
      <c r="WQO1" s="637"/>
      <c r="WQP1" s="637"/>
      <c r="WQQ1" s="637"/>
      <c r="WQR1" s="637"/>
      <c r="WQS1" s="637"/>
      <c r="WQT1" s="637"/>
      <c r="WQU1" s="637"/>
      <c r="WQV1" s="637"/>
      <c r="WQW1" s="637"/>
      <c r="WQX1" s="637"/>
      <c r="WQY1" s="637"/>
      <c r="WQZ1" s="637"/>
      <c r="WRA1" s="637"/>
      <c r="WRB1" s="637"/>
      <c r="WRC1" s="637"/>
      <c r="WRD1" s="637"/>
      <c r="WRE1" s="637"/>
      <c r="WRF1" s="637"/>
      <c r="WRG1" s="637"/>
      <c r="WRH1" s="637"/>
      <c r="WRI1" s="637"/>
      <c r="WRJ1" s="637"/>
      <c r="WRK1" s="637"/>
      <c r="WRL1" s="637"/>
      <c r="WRM1" s="637"/>
      <c r="WRN1" s="637"/>
      <c r="WRO1" s="637"/>
      <c r="WRP1" s="637"/>
      <c r="WRQ1" s="637"/>
      <c r="WRR1" s="637"/>
      <c r="WRS1" s="637"/>
      <c r="WRT1" s="637"/>
      <c r="WRU1" s="637"/>
      <c r="WRV1" s="637"/>
      <c r="WRW1" s="637"/>
      <c r="WRX1" s="637"/>
      <c r="WRY1" s="637"/>
      <c r="WRZ1" s="637"/>
      <c r="WSA1" s="637"/>
      <c r="WSB1" s="637"/>
      <c r="WSC1" s="637"/>
      <c r="WSD1" s="637"/>
      <c r="WSE1" s="637"/>
      <c r="WSF1" s="637"/>
      <c r="WSG1" s="637"/>
      <c r="WSH1" s="637"/>
      <c r="WSI1" s="637"/>
      <c r="WSJ1" s="637"/>
      <c r="WSK1" s="637"/>
      <c r="WSL1" s="637"/>
      <c r="WSM1" s="637"/>
      <c r="WSN1" s="637"/>
      <c r="WSO1" s="637"/>
      <c r="WSP1" s="637"/>
      <c r="WSQ1" s="637"/>
      <c r="WSR1" s="637"/>
      <c r="WSS1" s="637"/>
      <c r="WST1" s="637"/>
      <c r="WSU1" s="637"/>
      <c r="WSV1" s="637"/>
      <c r="WSW1" s="637"/>
      <c r="WSX1" s="637"/>
      <c r="WSY1" s="637"/>
      <c r="WSZ1" s="637"/>
      <c r="WTA1" s="637"/>
      <c r="WTB1" s="637"/>
      <c r="WTC1" s="637"/>
      <c r="WTD1" s="637"/>
      <c r="WTE1" s="637"/>
      <c r="WTF1" s="637"/>
      <c r="WTG1" s="637"/>
      <c r="WTH1" s="637"/>
      <c r="WTI1" s="637"/>
      <c r="WTJ1" s="637"/>
      <c r="WTK1" s="637"/>
      <c r="WTL1" s="637"/>
      <c r="WTM1" s="637"/>
      <c r="WTN1" s="637"/>
      <c r="WTO1" s="637"/>
      <c r="WTP1" s="637"/>
      <c r="WTQ1" s="637"/>
      <c r="WTR1" s="637"/>
      <c r="WTS1" s="637"/>
      <c r="WTT1" s="637"/>
      <c r="WTU1" s="637"/>
      <c r="WTV1" s="637"/>
      <c r="WTW1" s="637"/>
      <c r="WTX1" s="637"/>
      <c r="WTY1" s="637"/>
      <c r="WTZ1" s="637"/>
      <c r="WUA1" s="637"/>
      <c r="WUB1" s="637"/>
      <c r="WUC1" s="637"/>
      <c r="WUD1" s="637"/>
      <c r="WUE1" s="637"/>
      <c r="WUF1" s="637"/>
      <c r="WUG1" s="637"/>
      <c r="WUH1" s="637"/>
      <c r="WUI1" s="637"/>
      <c r="WUJ1" s="637"/>
      <c r="WUK1" s="637"/>
      <c r="WUL1" s="637"/>
      <c r="WUM1" s="637"/>
      <c r="WUN1" s="637"/>
      <c r="WUO1" s="637"/>
      <c r="WUP1" s="637"/>
      <c r="WUQ1" s="637"/>
      <c r="WUR1" s="637"/>
      <c r="WUS1" s="637"/>
      <c r="WUT1" s="637"/>
      <c r="WUU1" s="637"/>
      <c r="WUV1" s="637"/>
      <c r="WUW1" s="637"/>
      <c r="WUX1" s="637"/>
      <c r="WUY1" s="637"/>
      <c r="WUZ1" s="637"/>
      <c r="WVA1" s="637"/>
      <c r="WVB1" s="637"/>
      <c r="WVC1" s="637"/>
      <c r="WVD1" s="637"/>
      <c r="WVE1" s="637"/>
      <c r="WVF1" s="637"/>
      <c r="WVG1" s="637"/>
      <c r="WVH1" s="637"/>
      <c r="WVI1" s="637"/>
      <c r="WVJ1" s="637"/>
      <c r="WVK1" s="637"/>
      <c r="WVL1" s="637"/>
      <c r="WVM1" s="637"/>
      <c r="WVN1" s="637"/>
      <c r="WVO1" s="637"/>
      <c r="WVP1" s="637"/>
      <c r="WVQ1" s="637"/>
      <c r="WVR1" s="637"/>
      <c r="WVS1" s="637"/>
      <c r="WVT1" s="637"/>
      <c r="WVU1" s="637"/>
      <c r="WVV1" s="637"/>
      <c r="WVW1" s="637"/>
      <c r="WVX1" s="637"/>
      <c r="WVY1" s="637"/>
      <c r="WVZ1" s="637"/>
      <c r="WWA1" s="637"/>
      <c r="WWB1" s="637"/>
      <c r="WWC1" s="637"/>
      <c r="WWD1" s="637"/>
      <c r="WWE1" s="637"/>
      <c r="WWF1" s="637"/>
      <c r="WWG1" s="637"/>
      <c r="WWH1" s="637"/>
      <c r="WWI1" s="637"/>
      <c r="WWJ1" s="637"/>
      <c r="WWK1" s="637"/>
      <c r="WWL1" s="637"/>
      <c r="WWM1" s="637"/>
      <c r="WWN1" s="637"/>
      <c r="WWO1" s="637"/>
      <c r="WWP1" s="637"/>
      <c r="WWQ1" s="637"/>
      <c r="WWR1" s="637"/>
      <c r="WWS1" s="637"/>
      <c r="WWT1" s="637"/>
      <c r="WWU1" s="637"/>
      <c r="WWV1" s="637"/>
      <c r="WWW1" s="637"/>
      <c r="WWX1" s="637"/>
      <c r="WWY1" s="637"/>
      <c r="WWZ1" s="637"/>
      <c r="WXA1" s="637"/>
      <c r="WXB1" s="637"/>
      <c r="WXC1" s="637"/>
      <c r="WXD1" s="637"/>
      <c r="WXE1" s="637"/>
      <c r="WXF1" s="637"/>
      <c r="WXG1" s="637"/>
      <c r="WXH1" s="637"/>
      <c r="WXI1" s="637"/>
      <c r="WXJ1" s="637"/>
      <c r="WXK1" s="637"/>
      <c r="WXL1" s="637"/>
      <c r="WXM1" s="637"/>
      <c r="WXN1" s="637"/>
      <c r="WXO1" s="637"/>
      <c r="WXP1" s="637"/>
      <c r="WXQ1" s="637"/>
      <c r="WXR1" s="637"/>
      <c r="WXS1" s="637"/>
      <c r="WXT1" s="637"/>
      <c r="WXU1" s="637"/>
      <c r="WXV1" s="637"/>
      <c r="WXW1" s="637"/>
      <c r="WXX1" s="637"/>
      <c r="WXY1" s="637"/>
      <c r="WXZ1" s="637"/>
      <c r="WYA1" s="637"/>
      <c r="WYB1" s="637"/>
      <c r="WYC1" s="637"/>
      <c r="WYD1" s="637"/>
      <c r="WYE1" s="637"/>
      <c r="WYF1" s="637"/>
      <c r="WYG1" s="637"/>
      <c r="WYH1" s="637"/>
      <c r="WYI1" s="637"/>
      <c r="WYJ1" s="637"/>
      <c r="WYK1" s="637"/>
      <c r="WYL1" s="637"/>
      <c r="WYM1" s="637"/>
      <c r="WYN1" s="637"/>
      <c r="WYO1" s="637"/>
      <c r="WYP1" s="637"/>
      <c r="WYQ1" s="637"/>
      <c r="WYR1" s="637"/>
      <c r="WYS1" s="637"/>
      <c r="WYT1" s="637"/>
      <c r="WYU1" s="637"/>
      <c r="WYV1" s="637"/>
      <c r="WYW1" s="637"/>
      <c r="WYX1" s="637"/>
      <c r="WYY1" s="637"/>
      <c r="WYZ1" s="637"/>
      <c r="WZA1" s="637"/>
      <c r="WZB1" s="637"/>
      <c r="WZC1" s="637"/>
      <c r="WZD1" s="637"/>
      <c r="WZE1" s="637"/>
      <c r="WZF1" s="637"/>
      <c r="WZG1" s="637"/>
      <c r="WZH1" s="637"/>
      <c r="WZI1" s="637"/>
      <c r="WZJ1" s="637"/>
      <c r="WZK1" s="637"/>
      <c r="WZL1" s="637"/>
      <c r="WZM1" s="637"/>
      <c r="WZN1" s="637"/>
      <c r="WZO1" s="637"/>
      <c r="WZP1" s="637"/>
      <c r="WZQ1" s="637"/>
      <c r="WZR1" s="637"/>
      <c r="WZS1" s="637"/>
      <c r="WZT1" s="637"/>
      <c r="WZU1" s="637"/>
      <c r="WZV1" s="637"/>
      <c r="WZW1" s="637"/>
      <c r="WZX1" s="637"/>
      <c r="WZY1" s="637"/>
      <c r="WZZ1" s="637"/>
      <c r="XAA1" s="637"/>
      <c r="XAB1" s="637"/>
      <c r="XAC1" s="637"/>
      <c r="XAD1" s="637"/>
      <c r="XAE1" s="637"/>
      <c r="XAF1" s="637"/>
      <c r="XAG1" s="637"/>
      <c r="XAH1" s="637"/>
      <c r="XAI1" s="637"/>
      <c r="XAJ1" s="637"/>
      <c r="XAK1" s="637"/>
      <c r="XAL1" s="637"/>
      <c r="XAM1" s="637"/>
      <c r="XAN1" s="637"/>
      <c r="XAO1" s="637"/>
      <c r="XAP1" s="637"/>
      <c r="XAQ1" s="637"/>
      <c r="XAR1" s="637"/>
      <c r="XAS1" s="637"/>
      <c r="XAT1" s="637"/>
      <c r="XAU1" s="637"/>
      <c r="XAV1" s="637"/>
      <c r="XAW1" s="637"/>
      <c r="XAX1" s="637"/>
      <c r="XAY1" s="637"/>
      <c r="XAZ1" s="637"/>
      <c r="XBA1" s="637"/>
      <c r="XBB1" s="637"/>
      <c r="XBC1" s="637"/>
      <c r="XBD1" s="637"/>
      <c r="XBE1" s="637"/>
      <c r="XBF1" s="637"/>
      <c r="XBG1" s="637"/>
      <c r="XBH1" s="637"/>
      <c r="XBI1" s="637"/>
      <c r="XBJ1" s="637"/>
      <c r="XBK1" s="637"/>
      <c r="XBL1" s="637"/>
      <c r="XBM1" s="637"/>
      <c r="XBN1" s="637"/>
      <c r="XBO1" s="637"/>
      <c r="XBP1" s="637"/>
      <c r="XBQ1" s="637"/>
      <c r="XBR1" s="637"/>
      <c r="XBS1" s="637"/>
      <c r="XBT1" s="637"/>
      <c r="XBU1" s="637"/>
      <c r="XBV1" s="637"/>
      <c r="XBW1" s="637"/>
      <c r="XBX1" s="637"/>
      <c r="XBY1" s="637"/>
      <c r="XBZ1" s="637"/>
      <c r="XCA1" s="637"/>
      <c r="XCB1" s="637"/>
      <c r="XCC1" s="637"/>
      <c r="XCD1" s="637"/>
      <c r="XCE1" s="637"/>
      <c r="XCF1" s="637"/>
      <c r="XCG1" s="637"/>
      <c r="XCH1" s="637"/>
      <c r="XCI1" s="637"/>
      <c r="XCJ1" s="637"/>
      <c r="XCK1" s="637"/>
      <c r="XCL1" s="637"/>
      <c r="XCM1" s="637"/>
      <c r="XCN1" s="637"/>
      <c r="XCO1" s="637"/>
      <c r="XCP1" s="637"/>
      <c r="XCQ1" s="637"/>
      <c r="XCR1" s="637"/>
      <c r="XCS1" s="637"/>
      <c r="XCT1" s="637"/>
      <c r="XCU1" s="637"/>
      <c r="XCV1" s="637"/>
      <c r="XCW1" s="637"/>
      <c r="XCX1" s="637"/>
      <c r="XCY1" s="637"/>
      <c r="XCZ1" s="637"/>
      <c r="XDA1" s="637"/>
      <c r="XDB1" s="637"/>
      <c r="XDC1" s="637"/>
      <c r="XDD1" s="637"/>
      <c r="XDE1" s="637"/>
      <c r="XDF1" s="637"/>
      <c r="XDG1" s="637"/>
      <c r="XDH1" s="637"/>
      <c r="XDI1" s="637"/>
      <c r="XDJ1" s="637"/>
      <c r="XDK1" s="637"/>
      <c r="XDL1" s="637"/>
      <c r="XDM1" s="637"/>
      <c r="XDN1" s="637"/>
      <c r="XDO1" s="637"/>
      <c r="XDP1" s="637"/>
      <c r="XDQ1" s="637"/>
      <c r="XDR1" s="637"/>
      <c r="XDS1" s="637"/>
      <c r="XDT1" s="637"/>
      <c r="XDU1" s="637"/>
      <c r="XDV1" s="637"/>
      <c r="XDW1" s="637"/>
      <c r="XDX1" s="637"/>
      <c r="XDY1" s="637"/>
      <c r="XDZ1" s="637"/>
      <c r="XEA1" s="637"/>
      <c r="XEB1" s="637"/>
      <c r="XEC1" s="637"/>
      <c r="XED1" s="637"/>
      <c r="XEE1" s="637"/>
      <c r="XEF1" s="637"/>
      <c r="XEG1" s="637"/>
      <c r="XEH1" s="637"/>
      <c r="XEI1" s="637"/>
      <c r="XEJ1" s="637"/>
      <c r="XEK1" s="637"/>
      <c r="XEL1" s="637"/>
      <c r="XEM1" s="637"/>
      <c r="XEN1" s="637"/>
      <c r="XEO1" s="637"/>
      <c r="XEP1" s="637"/>
      <c r="XEQ1" s="637"/>
      <c r="XER1" s="637"/>
      <c r="XES1" s="637"/>
      <c r="XET1" s="637"/>
      <c r="XEU1" s="637"/>
      <c r="XEV1" s="637"/>
      <c r="XEW1" s="637"/>
      <c r="XEX1" s="637"/>
      <c r="XEY1" s="637"/>
      <c r="XEZ1" s="637"/>
      <c r="XFA1" s="637"/>
      <c r="XFB1" s="637"/>
      <c r="XFC1" s="637"/>
      <c r="XFD1" s="637"/>
    </row>
    <row r="2" spans="1:16384">
      <c r="A2" s="636" t="s">
        <v>977</v>
      </c>
      <c r="B2" s="636"/>
      <c r="C2" s="636"/>
      <c r="D2" s="636"/>
      <c r="E2" s="636"/>
      <c r="F2" s="636"/>
      <c r="G2" s="636"/>
      <c r="H2" s="636"/>
      <c r="I2" s="636"/>
      <c r="J2" s="636"/>
      <c r="K2" s="636"/>
    </row>
    <row r="3" spans="1:16384">
      <c r="A3" s="637"/>
      <c r="B3" s="637"/>
      <c r="C3" s="637"/>
      <c r="D3" s="637"/>
      <c r="E3" s="637"/>
      <c r="F3" s="637"/>
      <c r="G3" s="637"/>
      <c r="H3" s="637"/>
      <c r="I3" s="637"/>
      <c r="J3" s="637"/>
      <c r="K3" s="637"/>
    </row>
    <row r="4" spans="1:16384">
      <c r="A4" s="564"/>
      <c r="B4" s="564"/>
      <c r="C4" s="564"/>
      <c r="D4" s="564"/>
      <c r="E4" s="564"/>
      <c r="F4" s="564"/>
      <c r="G4" s="564"/>
      <c r="H4" s="564"/>
      <c r="I4" s="564"/>
      <c r="K4" s="564"/>
    </row>
    <row r="5" spans="1:16384">
      <c r="A5" s="564"/>
      <c r="B5" s="564"/>
      <c r="C5" s="564"/>
      <c r="D5" s="564"/>
      <c r="E5" s="564"/>
      <c r="F5" s="564"/>
      <c r="G5" s="564"/>
      <c r="H5" s="564"/>
      <c r="I5" s="564"/>
      <c r="K5" s="564"/>
    </row>
    <row r="8" spans="1:16384">
      <c r="A8" s="1" t="s">
        <v>55</v>
      </c>
      <c r="B8" s="1"/>
    </row>
    <row r="9" spans="1:16384">
      <c r="A9" s="113" t="s">
        <v>56</v>
      </c>
      <c r="B9" s="105" t="s">
        <v>57</v>
      </c>
      <c r="C9" s="16">
        <f>'Rate Calculation'!E47</f>
        <v>141879873.00341979</v>
      </c>
      <c r="D9" s="53" t="s">
        <v>58</v>
      </c>
      <c r="E9" s="3">
        <f>ABS('Rate Calculation'!E49)</f>
        <v>20565135.094634119</v>
      </c>
      <c r="F9" s="24" t="s">
        <v>59</v>
      </c>
      <c r="G9" s="40" t="s">
        <v>60</v>
      </c>
      <c r="H9" s="58">
        <f>'Rate Calculation'!E53* 1000</f>
        <v>5177083.333333334</v>
      </c>
      <c r="I9" s="40" t="s">
        <v>113</v>
      </c>
      <c r="J9" s="59">
        <f>'Rate Calculation'!E55</f>
        <v>23.43</v>
      </c>
      <c r="K9" s="198" t="s">
        <v>61</v>
      </c>
    </row>
    <row r="10" spans="1:16384">
      <c r="A10" s="113" t="s">
        <v>62</v>
      </c>
      <c r="B10" s="113"/>
      <c r="C10" s="60">
        <f>'Rate Calculation'!E56</f>
        <v>1.9524999999999999</v>
      </c>
      <c r="D10" s="198" t="s">
        <v>63</v>
      </c>
    </row>
    <row r="11" spans="1:16384">
      <c r="A11" s="113" t="s">
        <v>64</v>
      </c>
      <c r="B11" s="113"/>
      <c r="C11" s="60">
        <f>'Rate Calculation'!E57</f>
        <v>0.4506</v>
      </c>
      <c r="D11" s="198" t="s">
        <v>65</v>
      </c>
    </row>
    <row r="12" spans="1:16384">
      <c r="A12" s="113" t="s">
        <v>66</v>
      </c>
      <c r="B12" s="113"/>
      <c r="C12" s="60">
        <f>'Rate Calculation'!E58</f>
        <v>7.51E-2</v>
      </c>
      <c r="D12" s="198" t="s">
        <v>67</v>
      </c>
    </row>
    <row r="13" spans="1:16384">
      <c r="A13" s="113" t="s">
        <v>68</v>
      </c>
      <c r="B13" s="113"/>
      <c r="C13" s="60">
        <f>'Rate Calculation'!E59</f>
        <v>6.4399999999999999E-2</v>
      </c>
      <c r="D13" s="198" t="s">
        <v>67</v>
      </c>
    </row>
    <row r="15" spans="1:16384">
      <c r="A15" s="1" t="s">
        <v>69</v>
      </c>
      <c r="B15" s="1"/>
    </row>
    <row r="16" spans="1:16384">
      <c r="A16" s="113" t="s">
        <v>70</v>
      </c>
      <c r="B16" s="113"/>
      <c r="C16" s="60">
        <f>C10</f>
        <v>1.9524999999999999</v>
      </c>
      <c r="D16" s="198" t="s">
        <v>63</v>
      </c>
    </row>
    <row r="17" spans="1:10">
      <c r="A17" s="113" t="s">
        <v>71</v>
      </c>
      <c r="B17" s="113"/>
      <c r="C17" s="60">
        <f>C11</f>
        <v>0.4506</v>
      </c>
      <c r="D17" s="198" t="s">
        <v>65</v>
      </c>
    </row>
    <row r="18" spans="1:10">
      <c r="A18" s="113" t="s">
        <v>72</v>
      </c>
      <c r="B18" s="113"/>
      <c r="C18" s="60">
        <f>C12</f>
        <v>7.51E-2</v>
      </c>
      <c r="D18" s="198" t="s">
        <v>67</v>
      </c>
    </row>
    <row r="19" spans="1:10">
      <c r="A19" s="113" t="s">
        <v>68</v>
      </c>
      <c r="B19" s="113"/>
      <c r="C19" s="60">
        <f>C13</f>
        <v>6.4399999999999999E-2</v>
      </c>
      <c r="D19" s="198" t="s">
        <v>67</v>
      </c>
    </row>
    <row r="20" spans="1:10" ht="25.5">
      <c r="A20" s="114" t="s">
        <v>73</v>
      </c>
      <c r="B20" s="114"/>
      <c r="C20" s="61">
        <f>'Rate Calculation'!E60</f>
        <v>4.79</v>
      </c>
      <c r="D20" s="198" t="s">
        <v>74</v>
      </c>
    </row>
    <row r="21" spans="1:10">
      <c r="A21" s="113" t="s">
        <v>75</v>
      </c>
      <c r="C21" s="61">
        <f>'Rate Calculation'!E61</f>
        <v>2.67</v>
      </c>
      <c r="D21" s="198" t="s">
        <v>74</v>
      </c>
    </row>
    <row r="22" spans="1:10">
      <c r="A22" s="113"/>
    </row>
    <row r="23" spans="1:10">
      <c r="A23" s="62" t="s">
        <v>76</v>
      </c>
      <c r="B23" s="62"/>
    </row>
    <row r="24" spans="1:10">
      <c r="A24" s="113" t="s">
        <v>77</v>
      </c>
      <c r="B24" s="113"/>
      <c r="C24" s="3">
        <f>'Rate Calculation'!E47</f>
        <v>141879873.00341979</v>
      </c>
      <c r="D24" s="63" t="s">
        <v>58</v>
      </c>
      <c r="E24" s="3">
        <f>ABS('Rate Calculation'!E49)</f>
        <v>20565135.094634119</v>
      </c>
      <c r="F24" s="24" t="s">
        <v>354</v>
      </c>
      <c r="H24" s="16">
        <f>'Calc of NT Rev Req'!I16</f>
        <v>10474443.870192308</v>
      </c>
      <c r="I24" s="40" t="s">
        <v>113</v>
      </c>
      <c r="J24" s="64">
        <f>'Calc of NT Rev Req'!I18</f>
        <v>131789181.77897798</v>
      </c>
    </row>
    <row r="25" spans="1:10">
      <c r="A25" s="113" t="s">
        <v>339</v>
      </c>
      <c r="B25" s="113"/>
      <c r="C25" s="16">
        <f>J24/12</f>
        <v>10982431.814914832</v>
      </c>
    </row>
    <row r="28" spans="1:10">
      <c r="A28" s="40"/>
      <c r="B28" s="40"/>
    </row>
  </sheetData>
  <mergeCells count="1492">
    <mergeCell ref="CK1:CU1"/>
    <mergeCell ref="CV1:DF1"/>
    <mergeCell ref="DG1:DQ1"/>
    <mergeCell ref="DR1:EB1"/>
    <mergeCell ref="EC1:EM1"/>
    <mergeCell ref="AH1:AR1"/>
    <mergeCell ref="AS1:BC1"/>
    <mergeCell ref="BD1:BN1"/>
    <mergeCell ref="BO1:BY1"/>
    <mergeCell ref="BZ1:CJ1"/>
    <mergeCell ref="A2:K2"/>
    <mergeCell ref="A3:K3"/>
    <mergeCell ref="A1:K1"/>
    <mergeCell ref="L1:V1"/>
    <mergeCell ref="W1:AG1"/>
    <mergeCell ref="KW1:LG1"/>
    <mergeCell ref="LH1:LR1"/>
    <mergeCell ref="LS1:MC1"/>
    <mergeCell ref="MD1:MN1"/>
    <mergeCell ref="MO1:MY1"/>
    <mergeCell ref="IT1:JD1"/>
    <mergeCell ref="JE1:JO1"/>
    <mergeCell ref="JP1:JZ1"/>
    <mergeCell ref="KA1:KK1"/>
    <mergeCell ref="KL1:KV1"/>
    <mergeCell ref="GQ1:HA1"/>
    <mergeCell ref="HB1:HL1"/>
    <mergeCell ref="HM1:HW1"/>
    <mergeCell ref="HX1:IH1"/>
    <mergeCell ref="II1:IS1"/>
    <mergeCell ref="EN1:EX1"/>
    <mergeCell ref="EY1:FI1"/>
    <mergeCell ref="FJ1:FT1"/>
    <mergeCell ref="FU1:GE1"/>
    <mergeCell ref="GF1:GP1"/>
    <mergeCell ref="TI1:TS1"/>
    <mergeCell ref="TT1:UD1"/>
    <mergeCell ref="UE1:UO1"/>
    <mergeCell ref="UP1:UZ1"/>
    <mergeCell ref="VA1:VK1"/>
    <mergeCell ref="RF1:RP1"/>
    <mergeCell ref="RQ1:SA1"/>
    <mergeCell ref="SB1:SL1"/>
    <mergeCell ref="SM1:SW1"/>
    <mergeCell ref="SX1:TH1"/>
    <mergeCell ref="PC1:PM1"/>
    <mergeCell ref="PN1:PX1"/>
    <mergeCell ref="PY1:QI1"/>
    <mergeCell ref="QJ1:QT1"/>
    <mergeCell ref="QU1:RE1"/>
    <mergeCell ref="MZ1:NJ1"/>
    <mergeCell ref="NK1:NU1"/>
    <mergeCell ref="NV1:OF1"/>
    <mergeCell ref="OG1:OQ1"/>
    <mergeCell ref="OR1:PB1"/>
    <mergeCell ref="ABU1:ACE1"/>
    <mergeCell ref="ACF1:ACP1"/>
    <mergeCell ref="ACQ1:ADA1"/>
    <mergeCell ref="ADB1:ADL1"/>
    <mergeCell ref="ADM1:ADW1"/>
    <mergeCell ref="ZR1:AAB1"/>
    <mergeCell ref="AAC1:AAM1"/>
    <mergeCell ref="AAN1:AAX1"/>
    <mergeCell ref="AAY1:ABI1"/>
    <mergeCell ref="ABJ1:ABT1"/>
    <mergeCell ref="XO1:XY1"/>
    <mergeCell ref="XZ1:YJ1"/>
    <mergeCell ref="YK1:YU1"/>
    <mergeCell ref="YV1:ZF1"/>
    <mergeCell ref="ZG1:ZQ1"/>
    <mergeCell ref="VL1:VV1"/>
    <mergeCell ref="VW1:WG1"/>
    <mergeCell ref="WH1:WR1"/>
    <mergeCell ref="WS1:XC1"/>
    <mergeCell ref="XD1:XN1"/>
    <mergeCell ref="AKG1:AKQ1"/>
    <mergeCell ref="AKR1:ALB1"/>
    <mergeCell ref="ALC1:ALM1"/>
    <mergeCell ref="ALN1:ALX1"/>
    <mergeCell ref="ALY1:AMI1"/>
    <mergeCell ref="AID1:AIN1"/>
    <mergeCell ref="AIO1:AIY1"/>
    <mergeCell ref="AIZ1:AJJ1"/>
    <mergeCell ref="AJK1:AJU1"/>
    <mergeCell ref="AJV1:AKF1"/>
    <mergeCell ref="AGA1:AGK1"/>
    <mergeCell ref="AGL1:AGV1"/>
    <mergeCell ref="AGW1:AHG1"/>
    <mergeCell ref="AHH1:AHR1"/>
    <mergeCell ref="AHS1:AIC1"/>
    <mergeCell ref="ADX1:AEH1"/>
    <mergeCell ref="AEI1:AES1"/>
    <mergeCell ref="AET1:AFD1"/>
    <mergeCell ref="AFE1:AFO1"/>
    <mergeCell ref="AFP1:AFZ1"/>
    <mergeCell ref="ASS1:ATC1"/>
    <mergeCell ref="ATD1:ATN1"/>
    <mergeCell ref="ATO1:ATY1"/>
    <mergeCell ref="ATZ1:AUJ1"/>
    <mergeCell ref="AUK1:AUU1"/>
    <mergeCell ref="AQP1:AQZ1"/>
    <mergeCell ref="ARA1:ARK1"/>
    <mergeCell ref="ARL1:ARV1"/>
    <mergeCell ref="ARW1:ASG1"/>
    <mergeCell ref="ASH1:ASR1"/>
    <mergeCell ref="AOM1:AOW1"/>
    <mergeCell ref="AOX1:APH1"/>
    <mergeCell ref="API1:APS1"/>
    <mergeCell ref="APT1:AQD1"/>
    <mergeCell ref="AQE1:AQO1"/>
    <mergeCell ref="AMJ1:AMT1"/>
    <mergeCell ref="AMU1:ANE1"/>
    <mergeCell ref="ANF1:ANP1"/>
    <mergeCell ref="ANQ1:AOA1"/>
    <mergeCell ref="AOB1:AOL1"/>
    <mergeCell ref="BBE1:BBO1"/>
    <mergeCell ref="BBP1:BBZ1"/>
    <mergeCell ref="BCA1:BCK1"/>
    <mergeCell ref="BCL1:BCV1"/>
    <mergeCell ref="BCW1:BDG1"/>
    <mergeCell ref="AZB1:AZL1"/>
    <mergeCell ref="AZM1:AZW1"/>
    <mergeCell ref="AZX1:BAH1"/>
    <mergeCell ref="BAI1:BAS1"/>
    <mergeCell ref="BAT1:BBD1"/>
    <mergeCell ref="AWY1:AXI1"/>
    <mergeCell ref="AXJ1:AXT1"/>
    <mergeCell ref="AXU1:AYE1"/>
    <mergeCell ref="AYF1:AYP1"/>
    <mergeCell ref="AYQ1:AZA1"/>
    <mergeCell ref="AUV1:AVF1"/>
    <mergeCell ref="AVG1:AVQ1"/>
    <mergeCell ref="AVR1:AWB1"/>
    <mergeCell ref="AWC1:AWM1"/>
    <mergeCell ref="AWN1:AWX1"/>
    <mergeCell ref="BJQ1:BKA1"/>
    <mergeCell ref="BKB1:BKL1"/>
    <mergeCell ref="BKM1:BKW1"/>
    <mergeCell ref="BKX1:BLH1"/>
    <mergeCell ref="BLI1:BLS1"/>
    <mergeCell ref="BHN1:BHX1"/>
    <mergeCell ref="BHY1:BII1"/>
    <mergeCell ref="BIJ1:BIT1"/>
    <mergeCell ref="BIU1:BJE1"/>
    <mergeCell ref="BJF1:BJP1"/>
    <mergeCell ref="BFK1:BFU1"/>
    <mergeCell ref="BFV1:BGF1"/>
    <mergeCell ref="BGG1:BGQ1"/>
    <mergeCell ref="BGR1:BHB1"/>
    <mergeCell ref="BHC1:BHM1"/>
    <mergeCell ref="BDH1:BDR1"/>
    <mergeCell ref="BDS1:BEC1"/>
    <mergeCell ref="BED1:BEN1"/>
    <mergeCell ref="BEO1:BEY1"/>
    <mergeCell ref="BEZ1:BFJ1"/>
    <mergeCell ref="BSC1:BSM1"/>
    <mergeCell ref="BSN1:BSX1"/>
    <mergeCell ref="BSY1:BTI1"/>
    <mergeCell ref="BTJ1:BTT1"/>
    <mergeCell ref="BTU1:BUE1"/>
    <mergeCell ref="BPZ1:BQJ1"/>
    <mergeCell ref="BQK1:BQU1"/>
    <mergeCell ref="BQV1:BRF1"/>
    <mergeCell ref="BRG1:BRQ1"/>
    <mergeCell ref="BRR1:BSB1"/>
    <mergeCell ref="BNW1:BOG1"/>
    <mergeCell ref="BOH1:BOR1"/>
    <mergeCell ref="BOS1:BPC1"/>
    <mergeCell ref="BPD1:BPN1"/>
    <mergeCell ref="BPO1:BPY1"/>
    <mergeCell ref="BLT1:BMD1"/>
    <mergeCell ref="BME1:BMO1"/>
    <mergeCell ref="BMP1:BMZ1"/>
    <mergeCell ref="BNA1:BNK1"/>
    <mergeCell ref="BNL1:BNV1"/>
    <mergeCell ref="CAO1:CAY1"/>
    <mergeCell ref="CAZ1:CBJ1"/>
    <mergeCell ref="CBK1:CBU1"/>
    <mergeCell ref="CBV1:CCF1"/>
    <mergeCell ref="CCG1:CCQ1"/>
    <mergeCell ref="BYL1:BYV1"/>
    <mergeCell ref="BYW1:BZG1"/>
    <mergeCell ref="BZH1:BZR1"/>
    <mergeCell ref="BZS1:CAC1"/>
    <mergeCell ref="CAD1:CAN1"/>
    <mergeCell ref="BWI1:BWS1"/>
    <mergeCell ref="BWT1:BXD1"/>
    <mergeCell ref="BXE1:BXO1"/>
    <mergeCell ref="BXP1:BXZ1"/>
    <mergeCell ref="BYA1:BYK1"/>
    <mergeCell ref="BUF1:BUP1"/>
    <mergeCell ref="BUQ1:BVA1"/>
    <mergeCell ref="BVB1:BVL1"/>
    <mergeCell ref="BVM1:BVW1"/>
    <mergeCell ref="BVX1:BWH1"/>
    <mergeCell ref="CJA1:CJK1"/>
    <mergeCell ref="CJL1:CJV1"/>
    <mergeCell ref="CJW1:CKG1"/>
    <mergeCell ref="CKH1:CKR1"/>
    <mergeCell ref="CKS1:CLC1"/>
    <mergeCell ref="CGX1:CHH1"/>
    <mergeCell ref="CHI1:CHS1"/>
    <mergeCell ref="CHT1:CID1"/>
    <mergeCell ref="CIE1:CIO1"/>
    <mergeCell ref="CIP1:CIZ1"/>
    <mergeCell ref="CEU1:CFE1"/>
    <mergeCell ref="CFF1:CFP1"/>
    <mergeCell ref="CFQ1:CGA1"/>
    <mergeCell ref="CGB1:CGL1"/>
    <mergeCell ref="CGM1:CGW1"/>
    <mergeCell ref="CCR1:CDB1"/>
    <mergeCell ref="CDC1:CDM1"/>
    <mergeCell ref="CDN1:CDX1"/>
    <mergeCell ref="CDY1:CEI1"/>
    <mergeCell ref="CEJ1:CET1"/>
    <mergeCell ref="CRM1:CRW1"/>
    <mergeCell ref="CRX1:CSH1"/>
    <mergeCell ref="CSI1:CSS1"/>
    <mergeCell ref="CST1:CTD1"/>
    <mergeCell ref="CTE1:CTO1"/>
    <mergeCell ref="CPJ1:CPT1"/>
    <mergeCell ref="CPU1:CQE1"/>
    <mergeCell ref="CQF1:CQP1"/>
    <mergeCell ref="CQQ1:CRA1"/>
    <mergeCell ref="CRB1:CRL1"/>
    <mergeCell ref="CNG1:CNQ1"/>
    <mergeCell ref="CNR1:COB1"/>
    <mergeCell ref="COC1:COM1"/>
    <mergeCell ref="CON1:COX1"/>
    <mergeCell ref="COY1:CPI1"/>
    <mergeCell ref="CLD1:CLN1"/>
    <mergeCell ref="CLO1:CLY1"/>
    <mergeCell ref="CLZ1:CMJ1"/>
    <mergeCell ref="CMK1:CMU1"/>
    <mergeCell ref="CMV1:CNF1"/>
    <mergeCell ref="CZY1:DAI1"/>
    <mergeCell ref="DAJ1:DAT1"/>
    <mergeCell ref="DAU1:DBE1"/>
    <mergeCell ref="DBF1:DBP1"/>
    <mergeCell ref="DBQ1:DCA1"/>
    <mergeCell ref="CXV1:CYF1"/>
    <mergeCell ref="CYG1:CYQ1"/>
    <mergeCell ref="CYR1:CZB1"/>
    <mergeCell ref="CZC1:CZM1"/>
    <mergeCell ref="CZN1:CZX1"/>
    <mergeCell ref="CVS1:CWC1"/>
    <mergeCell ref="CWD1:CWN1"/>
    <mergeCell ref="CWO1:CWY1"/>
    <mergeCell ref="CWZ1:CXJ1"/>
    <mergeCell ref="CXK1:CXU1"/>
    <mergeCell ref="CTP1:CTZ1"/>
    <mergeCell ref="CUA1:CUK1"/>
    <mergeCell ref="CUL1:CUV1"/>
    <mergeCell ref="CUW1:CVG1"/>
    <mergeCell ref="CVH1:CVR1"/>
    <mergeCell ref="DIK1:DIU1"/>
    <mergeCell ref="DIV1:DJF1"/>
    <mergeCell ref="DJG1:DJQ1"/>
    <mergeCell ref="DJR1:DKB1"/>
    <mergeCell ref="DKC1:DKM1"/>
    <mergeCell ref="DGH1:DGR1"/>
    <mergeCell ref="DGS1:DHC1"/>
    <mergeCell ref="DHD1:DHN1"/>
    <mergeCell ref="DHO1:DHY1"/>
    <mergeCell ref="DHZ1:DIJ1"/>
    <mergeCell ref="DEE1:DEO1"/>
    <mergeCell ref="DEP1:DEZ1"/>
    <mergeCell ref="DFA1:DFK1"/>
    <mergeCell ref="DFL1:DFV1"/>
    <mergeCell ref="DFW1:DGG1"/>
    <mergeCell ref="DCB1:DCL1"/>
    <mergeCell ref="DCM1:DCW1"/>
    <mergeCell ref="DCX1:DDH1"/>
    <mergeCell ref="DDI1:DDS1"/>
    <mergeCell ref="DDT1:DED1"/>
    <mergeCell ref="DQW1:DRG1"/>
    <mergeCell ref="DRH1:DRR1"/>
    <mergeCell ref="DRS1:DSC1"/>
    <mergeCell ref="DSD1:DSN1"/>
    <mergeCell ref="DSO1:DSY1"/>
    <mergeCell ref="DOT1:DPD1"/>
    <mergeCell ref="DPE1:DPO1"/>
    <mergeCell ref="DPP1:DPZ1"/>
    <mergeCell ref="DQA1:DQK1"/>
    <mergeCell ref="DQL1:DQV1"/>
    <mergeCell ref="DMQ1:DNA1"/>
    <mergeCell ref="DNB1:DNL1"/>
    <mergeCell ref="DNM1:DNW1"/>
    <mergeCell ref="DNX1:DOH1"/>
    <mergeCell ref="DOI1:DOS1"/>
    <mergeCell ref="DKN1:DKX1"/>
    <mergeCell ref="DKY1:DLI1"/>
    <mergeCell ref="DLJ1:DLT1"/>
    <mergeCell ref="DLU1:DME1"/>
    <mergeCell ref="DMF1:DMP1"/>
    <mergeCell ref="DZI1:DZS1"/>
    <mergeCell ref="DZT1:EAD1"/>
    <mergeCell ref="EAE1:EAO1"/>
    <mergeCell ref="EAP1:EAZ1"/>
    <mergeCell ref="EBA1:EBK1"/>
    <mergeCell ref="DXF1:DXP1"/>
    <mergeCell ref="DXQ1:DYA1"/>
    <mergeCell ref="DYB1:DYL1"/>
    <mergeCell ref="DYM1:DYW1"/>
    <mergeCell ref="DYX1:DZH1"/>
    <mergeCell ref="DVC1:DVM1"/>
    <mergeCell ref="DVN1:DVX1"/>
    <mergeCell ref="DVY1:DWI1"/>
    <mergeCell ref="DWJ1:DWT1"/>
    <mergeCell ref="DWU1:DXE1"/>
    <mergeCell ref="DSZ1:DTJ1"/>
    <mergeCell ref="DTK1:DTU1"/>
    <mergeCell ref="DTV1:DUF1"/>
    <mergeCell ref="DUG1:DUQ1"/>
    <mergeCell ref="DUR1:DVB1"/>
    <mergeCell ref="EHU1:EIE1"/>
    <mergeCell ref="EIF1:EIP1"/>
    <mergeCell ref="EIQ1:EJA1"/>
    <mergeCell ref="EJB1:EJL1"/>
    <mergeCell ref="EJM1:EJW1"/>
    <mergeCell ref="EFR1:EGB1"/>
    <mergeCell ref="EGC1:EGM1"/>
    <mergeCell ref="EGN1:EGX1"/>
    <mergeCell ref="EGY1:EHI1"/>
    <mergeCell ref="EHJ1:EHT1"/>
    <mergeCell ref="EDO1:EDY1"/>
    <mergeCell ref="EDZ1:EEJ1"/>
    <mergeCell ref="EEK1:EEU1"/>
    <mergeCell ref="EEV1:EFF1"/>
    <mergeCell ref="EFG1:EFQ1"/>
    <mergeCell ref="EBL1:EBV1"/>
    <mergeCell ref="EBW1:ECG1"/>
    <mergeCell ref="ECH1:ECR1"/>
    <mergeCell ref="ECS1:EDC1"/>
    <mergeCell ref="EDD1:EDN1"/>
    <mergeCell ref="EQG1:EQQ1"/>
    <mergeCell ref="EQR1:ERB1"/>
    <mergeCell ref="ERC1:ERM1"/>
    <mergeCell ref="ERN1:ERX1"/>
    <mergeCell ref="ERY1:ESI1"/>
    <mergeCell ref="EOD1:EON1"/>
    <mergeCell ref="EOO1:EOY1"/>
    <mergeCell ref="EOZ1:EPJ1"/>
    <mergeCell ref="EPK1:EPU1"/>
    <mergeCell ref="EPV1:EQF1"/>
    <mergeCell ref="EMA1:EMK1"/>
    <mergeCell ref="EML1:EMV1"/>
    <mergeCell ref="EMW1:ENG1"/>
    <mergeCell ref="ENH1:ENR1"/>
    <mergeCell ref="ENS1:EOC1"/>
    <mergeCell ref="EJX1:EKH1"/>
    <mergeCell ref="EKI1:EKS1"/>
    <mergeCell ref="EKT1:ELD1"/>
    <mergeCell ref="ELE1:ELO1"/>
    <mergeCell ref="ELP1:ELZ1"/>
    <mergeCell ref="EYS1:EZC1"/>
    <mergeCell ref="EZD1:EZN1"/>
    <mergeCell ref="EZO1:EZY1"/>
    <mergeCell ref="EZZ1:FAJ1"/>
    <mergeCell ref="FAK1:FAU1"/>
    <mergeCell ref="EWP1:EWZ1"/>
    <mergeCell ref="EXA1:EXK1"/>
    <mergeCell ref="EXL1:EXV1"/>
    <mergeCell ref="EXW1:EYG1"/>
    <mergeCell ref="EYH1:EYR1"/>
    <mergeCell ref="EUM1:EUW1"/>
    <mergeCell ref="EUX1:EVH1"/>
    <mergeCell ref="EVI1:EVS1"/>
    <mergeCell ref="EVT1:EWD1"/>
    <mergeCell ref="EWE1:EWO1"/>
    <mergeCell ref="ESJ1:EST1"/>
    <mergeCell ref="ESU1:ETE1"/>
    <mergeCell ref="ETF1:ETP1"/>
    <mergeCell ref="ETQ1:EUA1"/>
    <mergeCell ref="EUB1:EUL1"/>
    <mergeCell ref="FHE1:FHO1"/>
    <mergeCell ref="FHP1:FHZ1"/>
    <mergeCell ref="FIA1:FIK1"/>
    <mergeCell ref="FIL1:FIV1"/>
    <mergeCell ref="FIW1:FJG1"/>
    <mergeCell ref="FFB1:FFL1"/>
    <mergeCell ref="FFM1:FFW1"/>
    <mergeCell ref="FFX1:FGH1"/>
    <mergeCell ref="FGI1:FGS1"/>
    <mergeCell ref="FGT1:FHD1"/>
    <mergeCell ref="FCY1:FDI1"/>
    <mergeCell ref="FDJ1:FDT1"/>
    <mergeCell ref="FDU1:FEE1"/>
    <mergeCell ref="FEF1:FEP1"/>
    <mergeCell ref="FEQ1:FFA1"/>
    <mergeCell ref="FAV1:FBF1"/>
    <mergeCell ref="FBG1:FBQ1"/>
    <mergeCell ref="FBR1:FCB1"/>
    <mergeCell ref="FCC1:FCM1"/>
    <mergeCell ref="FCN1:FCX1"/>
    <mergeCell ref="FPQ1:FQA1"/>
    <mergeCell ref="FQB1:FQL1"/>
    <mergeCell ref="FQM1:FQW1"/>
    <mergeCell ref="FQX1:FRH1"/>
    <mergeCell ref="FRI1:FRS1"/>
    <mergeCell ref="FNN1:FNX1"/>
    <mergeCell ref="FNY1:FOI1"/>
    <mergeCell ref="FOJ1:FOT1"/>
    <mergeCell ref="FOU1:FPE1"/>
    <mergeCell ref="FPF1:FPP1"/>
    <mergeCell ref="FLK1:FLU1"/>
    <mergeCell ref="FLV1:FMF1"/>
    <mergeCell ref="FMG1:FMQ1"/>
    <mergeCell ref="FMR1:FNB1"/>
    <mergeCell ref="FNC1:FNM1"/>
    <mergeCell ref="FJH1:FJR1"/>
    <mergeCell ref="FJS1:FKC1"/>
    <mergeCell ref="FKD1:FKN1"/>
    <mergeCell ref="FKO1:FKY1"/>
    <mergeCell ref="FKZ1:FLJ1"/>
    <mergeCell ref="FYC1:FYM1"/>
    <mergeCell ref="FYN1:FYX1"/>
    <mergeCell ref="FYY1:FZI1"/>
    <mergeCell ref="FZJ1:FZT1"/>
    <mergeCell ref="FZU1:GAE1"/>
    <mergeCell ref="FVZ1:FWJ1"/>
    <mergeCell ref="FWK1:FWU1"/>
    <mergeCell ref="FWV1:FXF1"/>
    <mergeCell ref="FXG1:FXQ1"/>
    <mergeCell ref="FXR1:FYB1"/>
    <mergeCell ref="FTW1:FUG1"/>
    <mergeCell ref="FUH1:FUR1"/>
    <mergeCell ref="FUS1:FVC1"/>
    <mergeCell ref="FVD1:FVN1"/>
    <mergeCell ref="FVO1:FVY1"/>
    <mergeCell ref="FRT1:FSD1"/>
    <mergeCell ref="FSE1:FSO1"/>
    <mergeCell ref="FSP1:FSZ1"/>
    <mergeCell ref="FTA1:FTK1"/>
    <mergeCell ref="FTL1:FTV1"/>
    <mergeCell ref="GGO1:GGY1"/>
    <mergeCell ref="GGZ1:GHJ1"/>
    <mergeCell ref="GHK1:GHU1"/>
    <mergeCell ref="GHV1:GIF1"/>
    <mergeCell ref="GIG1:GIQ1"/>
    <mergeCell ref="GEL1:GEV1"/>
    <mergeCell ref="GEW1:GFG1"/>
    <mergeCell ref="GFH1:GFR1"/>
    <mergeCell ref="GFS1:GGC1"/>
    <mergeCell ref="GGD1:GGN1"/>
    <mergeCell ref="GCI1:GCS1"/>
    <mergeCell ref="GCT1:GDD1"/>
    <mergeCell ref="GDE1:GDO1"/>
    <mergeCell ref="GDP1:GDZ1"/>
    <mergeCell ref="GEA1:GEK1"/>
    <mergeCell ref="GAF1:GAP1"/>
    <mergeCell ref="GAQ1:GBA1"/>
    <mergeCell ref="GBB1:GBL1"/>
    <mergeCell ref="GBM1:GBW1"/>
    <mergeCell ref="GBX1:GCH1"/>
    <mergeCell ref="GPA1:GPK1"/>
    <mergeCell ref="GPL1:GPV1"/>
    <mergeCell ref="GPW1:GQG1"/>
    <mergeCell ref="GQH1:GQR1"/>
    <mergeCell ref="GQS1:GRC1"/>
    <mergeCell ref="GMX1:GNH1"/>
    <mergeCell ref="GNI1:GNS1"/>
    <mergeCell ref="GNT1:GOD1"/>
    <mergeCell ref="GOE1:GOO1"/>
    <mergeCell ref="GOP1:GOZ1"/>
    <mergeCell ref="GKU1:GLE1"/>
    <mergeCell ref="GLF1:GLP1"/>
    <mergeCell ref="GLQ1:GMA1"/>
    <mergeCell ref="GMB1:GML1"/>
    <mergeCell ref="GMM1:GMW1"/>
    <mergeCell ref="GIR1:GJB1"/>
    <mergeCell ref="GJC1:GJM1"/>
    <mergeCell ref="GJN1:GJX1"/>
    <mergeCell ref="GJY1:GKI1"/>
    <mergeCell ref="GKJ1:GKT1"/>
    <mergeCell ref="GXM1:GXW1"/>
    <mergeCell ref="GXX1:GYH1"/>
    <mergeCell ref="GYI1:GYS1"/>
    <mergeCell ref="GYT1:GZD1"/>
    <mergeCell ref="GZE1:GZO1"/>
    <mergeCell ref="GVJ1:GVT1"/>
    <mergeCell ref="GVU1:GWE1"/>
    <mergeCell ref="GWF1:GWP1"/>
    <mergeCell ref="GWQ1:GXA1"/>
    <mergeCell ref="GXB1:GXL1"/>
    <mergeCell ref="GTG1:GTQ1"/>
    <mergeCell ref="GTR1:GUB1"/>
    <mergeCell ref="GUC1:GUM1"/>
    <mergeCell ref="GUN1:GUX1"/>
    <mergeCell ref="GUY1:GVI1"/>
    <mergeCell ref="GRD1:GRN1"/>
    <mergeCell ref="GRO1:GRY1"/>
    <mergeCell ref="GRZ1:GSJ1"/>
    <mergeCell ref="GSK1:GSU1"/>
    <mergeCell ref="GSV1:GTF1"/>
    <mergeCell ref="HFY1:HGI1"/>
    <mergeCell ref="HGJ1:HGT1"/>
    <mergeCell ref="HGU1:HHE1"/>
    <mergeCell ref="HHF1:HHP1"/>
    <mergeCell ref="HHQ1:HIA1"/>
    <mergeCell ref="HDV1:HEF1"/>
    <mergeCell ref="HEG1:HEQ1"/>
    <mergeCell ref="HER1:HFB1"/>
    <mergeCell ref="HFC1:HFM1"/>
    <mergeCell ref="HFN1:HFX1"/>
    <mergeCell ref="HBS1:HCC1"/>
    <mergeCell ref="HCD1:HCN1"/>
    <mergeCell ref="HCO1:HCY1"/>
    <mergeCell ref="HCZ1:HDJ1"/>
    <mergeCell ref="HDK1:HDU1"/>
    <mergeCell ref="GZP1:GZZ1"/>
    <mergeCell ref="HAA1:HAK1"/>
    <mergeCell ref="HAL1:HAV1"/>
    <mergeCell ref="HAW1:HBG1"/>
    <mergeCell ref="HBH1:HBR1"/>
    <mergeCell ref="HOK1:HOU1"/>
    <mergeCell ref="HOV1:HPF1"/>
    <mergeCell ref="HPG1:HPQ1"/>
    <mergeCell ref="HPR1:HQB1"/>
    <mergeCell ref="HQC1:HQM1"/>
    <mergeCell ref="HMH1:HMR1"/>
    <mergeCell ref="HMS1:HNC1"/>
    <mergeCell ref="HND1:HNN1"/>
    <mergeCell ref="HNO1:HNY1"/>
    <mergeCell ref="HNZ1:HOJ1"/>
    <mergeCell ref="HKE1:HKO1"/>
    <mergeCell ref="HKP1:HKZ1"/>
    <mergeCell ref="HLA1:HLK1"/>
    <mergeCell ref="HLL1:HLV1"/>
    <mergeCell ref="HLW1:HMG1"/>
    <mergeCell ref="HIB1:HIL1"/>
    <mergeCell ref="HIM1:HIW1"/>
    <mergeCell ref="HIX1:HJH1"/>
    <mergeCell ref="HJI1:HJS1"/>
    <mergeCell ref="HJT1:HKD1"/>
    <mergeCell ref="HWW1:HXG1"/>
    <mergeCell ref="HXH1:HXR1"/>
    <mergeCell ref="HXS1:HYC1"/>
    <mergeCell ref="HYD1:HYN1"/>
    <mergeCell ref="HYO1:HYY1"/>
    <mergeCell ref="HUT1:HVD1"/>
    <mergeCell ref="HVE1:HVO1"/>
    <mergeCell ref="HVP1:HVZ1"/>
    <mergeCell ref="HWA1:HWK1"/>
    <mergeCell ref="HWL1:HWV1"/>
    <mergeCell ref="HSQ1:HTA1"/>
    <mergeCell ref="HTB1:HTL1"/>
    <mergeCell ref="HTM1:HTW1"/>
    <mergeCell ref="HTX1:HUH1"/>
    <mergeCell ref="HUI1:HUS1"/>
    <mergeCell ref="HQN1:HQX1"/>
    <mergeCell ref="HQY1:HRI1"/>
    <mergeCell ref="HRJ1:HRT1"/>
    <mergeCell ref="HRU1:HSE1"/>
    <mergeCell ref="HSF1:HSP1"/>
    <mergeCell ref="IFI1:IFS1"/>
    <mergeCell ref="IFT1:IGD1"/>
    <mergeCell ref="IGE1:IGO1"/>
    <mergeCell ref="IGP1:IGZ1"/>
    <mergeCell ref="IHA1:IHK1"/>
    <mergeCell ref="IDF1:IDP1"/>
    <mergeCell ref="IDQ1:IEA1"/>
    <mergeCell ref="IEB1:IEL1"/>
    <mergeCell ref="IEM1:IEW1"/>
    <mergeCell ref="IEX1:IFH1"/>
    <mergeCell ref="IBC1:IBM1"/>
    <mergeCell ref="IBN1:IBX1"/>
    <mergeCell ref="IBY1:ICI1"/>
    <mergeCell ref="ICJ1:ICT1"/>
    <mergeCell ref="ICU1:IDE1"/>
    <mergeCell ref="HYZ1:HZJ1"/>
    <mergeCell ref="HZK1:HZU1"/>
    <mergeCell ref="HZV1:IAF1"/>
    <mergeCell ref="IAG1:IAQ1"/>
    <mergeCell ref="IAR1:IBB1"/>
    <mergeCell ref="INU1:IOE1"/>
    <mergeCell ref="IOF1:IOP1"/>
    <mergeCell ref="IOQ1:IPA1"/>
    <mergeCell ref="IPB1:IPL1"/>
    <mergeCell ref="IPM1:IPW1"/>
    <mergeCell ref="ILR1:IMB1"/>
    <mergeCell ref="IMC1:IMM1"/>
    <mergeCell ref="IMN1:IMX1"/>
    <mergeCell ref="IMY1:INI1"/>
    <mergeCell ref="INJ1:INT1"/>
    <mergeCell ref="IJO1:IJY1"/>
    <mergeCell ref="IJZ1:IKJ1"/>
    <mergeCell ref="IKK1:IKU1"/>
    <mergeCell ref="IKV1:ILF1"/>
    <mergeCell ref="ILG1:ILQ1"/>
    <mergeCell ref="IHL1:IHV1"/>
    <mergeCell ref="IHW1:IIG1"/>
    <mergeCell ref="IIH1:IIR1"/>
    <mergeCell ref="IIS1:IJC1"/>
    <mergeCell ref="IJD1:IJN1"/>
    <mergeCell ref="IWG1:IWQ1"/>
    <mergeCell ref="IWR1:IXB1"/>
    <mergeCell ref="IXC1:IXM1"/>
    <mergeCell ref="IXN1:IXX1"/>
    <mergeCell ref="IXY1:IYI1"/>
    <mergeCell ref="IUD1:IUN1"/>
    <mergeCell ref="IUO1:IUY1"/>
    <mergeCell ref="IUZ1:IVJ1"/>
    <mergeCell ref="IVK1:IVU1"/>
    <mergeCell ref="IVV1:IWF1"/>
    <mergeCell ref="ISA1:ISK1"/>
    <mergeCell ref="ISL1:ISV1"/>
    <mergeCell ref="ISW1:ITG1"/>
    <mergeCell ref="ITH1:ITR1"/>
    <mergeCell ref="ITS1:IUC1"/>
    <mergeCell ref="IPX1:IQH1"/>
    <mergeCell ref="IQI1:IQS1"/>
    <mergeCell ref="IQT1:IRD1"/>
    <mergeCell ref="IRE1:IRO1"/>
    <mergeCell ref="IRP1:IRZ1"/>
    <mergeCell ref="JES1:JFC1"/>
    <mergeCell ref="JFD1:JFN1"/>
    <mergeCell ref="JFO1:JFY1"/>
    <mergeCell ref="JFZ1:JGJ1"/>
    <mergeCell ref="JGK1:JGU1"/>
    <mergeCell ref="JCP1:JCZ1"/>
    <mergeCell ref="JDA1:JDK1"/>
    <mergeCell ref="JDL1:JDV1"/>
    <mergeCell ref="JDW1:JEG1"/>
    <mergeCell ref="JEH1:JER1"/>
    <mergeCell ref="JAM1:JAW1"/>
    <mergeCell ref="JAX1:JBH1"/>
    <mergeCell ref="JBI1:JBS1"/>
    <mergeCell ref="JBT1:JCD1"/>
    <mergeCell ref="JCE1:JCO1"/>
    <mergeCell ref="IYJ1:IYT1"/>
    <mergeCell ref="IYU1:IZE1"/>
    <mergeCell ref="IZF1:IZP1"/>
    <mergeCell ref="IZQ1:JAA1"/>
    <mergeCell ref="JAB1:JAL1"/>
    <mergeCell ref="JNE1:JNO1"/>
    <mergeCell ref="JNP1:JNZ1"/>
    <mergeCell ref="JOA1:JOK1"/>
    <mergeCell ref="JOL1:JOV1"/>
    <mergeCell ref="JOW1:JPG1"/>
    <mergeCell ref="JLB1:JLL1"/>
    <mergeCell ref="JLM1:JLW1"/>
    <mergeCell ref="JLX1:JMH1"/>
    <mergeCell ref="JMI1:JMS1"/>
    <mergeCell ref="JMT1:JND1"/>
    <mergeCell ref="JIY1:JJI1"/>
    <mergeCell ref="JJJ1:JJT1"/>
    <mergeCell ref="JJU1:JKE1"/>
    <mergeCell ref="JKF1:JKP1"/>
    <mergeCell ref="JKQ1:JLA1"/>
    <mergeCell ref="JGV1:JHF1"/>
    <mergeCell ref="JHG1:JHQ1"/>
    <mergeCell ref="JHR1:JIB1"/>
    <mergeCell ref="JIC1:JIM1"/>
    <mergeCell ref="JIN1:JIX1"/>
    <mergeCell ref="JVQ1:JWA1"/>
    <mergeCell ref="JWB1:JWL1"/>
    <mergeCell ref="JWM1:JWW1"/>
    <mergeCell ref="JWX1:JXH1"/>
    <mergeCell ref="JXI1:JXS1"/>
    <mergeCell ref="JTN1:JTX1"/>
    <mergeCell ref="JTY1:JUI1"/>
    <mergeCell ref="JUJ1:JUT1"/>
    <mergeCell ref="JUU1:JVE1"/>
    <mergeCell ref="JVF1:JVP1"/>
    <mergeCell ref="JRK1:JRU1"/>
    <mergeCell ref="JRV1:JSF1"/>
    <mergeCell ref="JSG1:JSQ1"/>
    <mergeCell ref="JSR1:JTB1"/>
    <mergeCell ref="JTC1:JTM1"/>
    <mergeCell ref="JPH1:JPR1"/>
    <mergeCell ref="JPS1:JQC1"/>
    <mergeCell ref="JQD1:JQN1"/>
    <mergeCell ref="JQO1:JQY1"/>
    <mergeCell ref="JQZ1:JRJ1"/>
    <mergeCell ref="KEC1:KEM1"/>
    <mergeCell ref="KEN1:KEX1"/>
    <mergeCell ref="KEY1:KFI1"/>
    <mergeCell ref="KFJ1:KFT1"/>
    <mergeCell ref="KFU1:KGE1"/>
    <mergeCell ref="KBZ1:KCJ1"/>
    <mergeCell ref="KCK1:KCU1"/>
    <mergeCell ref="KCV1:KDF1"/>
    <mergeCell ref="KDG1:KDQ1"/>
    <mergeCell ref="KDR1:KEB1"/>
    <mergeCell ref="JZW1:KAG1"/>
    <mergeCell ref="KAH1:KAR1"/>
    <mergeCell ref="KAS1:KBC1"/>
    <mergeCell ref="KBD1:KBN1"/>
    <mergeCell ref="KBO1:KBY1"/>
    <mergeCell ref="JXT1:JYD1"/>
    <mergeCell ref="JYE1:JYO1"/>
    <mergeCell ref="JYP1:JYZ1"/>
    <mergeCell ref="JZA1:JZK1"/>
    <mergeCell ref="JZL1:JZV1"/>
    <mergeCell ref="KMO1:KMY1"/>
    <mergeCell ref="KMZ1:KNJ1"/>
    <mergeCell ref="KNK1:KNU1"/>
    <mergeCell ref="KNV1:KOF1"/>
    <mergeCell ref="KOG1:KOQ1"/>
    <mergeCell ref="KKL1:KKV1"/>
    <mergeCell ref="KKW1:KLG1"/>
    <mergeCell ref="KLH1:KLR1"/>
    <mergeCell ref="KLS1:KMC1"/>
    <mergeCell ref="KMD1:KMN1"/>
    <mergeCell ref="KII1:KIS1"/>
    <mergeCell ref="KIT1:KJD1"/>
    <mergeCell ref="KJE1:KJO1"/>
    <mergeCell ref="KJP1:KJZ1"/>
    <mergeCell ref="KKA1:KKK1"/>
    <mergeCell ref="KGF1:KGP1"/>
    <mergeCell ref="KGQ1:KHA1"/>
    <mergeCell ref="KHB1:KHL1"/>
    <mergeCell ref="KHM1:KHW1"/>
    <mergeCell ref="KHX1:KIH1"/>
    <mergeCell ref="KVA1:KVK1"/>
    <mergeCell ref="KVL1:KVV1"/>
    <mergeCell ref="KVW1:KWG1"/>
    <mergeCell ref="KWH1:KWR1"/>
    <mergeCell ref="KWS1:KXC1"/>
    <mergeCell ref="KSX1:KTH1"/>
    <mergeCell ref="KTI1:KTS1"/>
    <mergeCell ref="KTT1:KUD1"/>
    <mergeCell ref="KUE1:KUO1"/>
    <mergeCell ref="KUP1:KUZ1"/>
    <mergeCell ref="KQU1:KRE1"/>
    <mergeCell ref="KRF1:KRP1"/>
    <mergeCell ref="KRQ1:KSA1"/>
    <mergeCell ref="KSB1:KSL1"/>
    <mergeCell ref="KSM1:KSW1"/>
    <mergeCell ref="KOR1:KPB1"/>
    <mergeCell ref="KPC1:KPM1"/>
    <mergeCell ref="KPN1:KPX1"/>
    <mergeCell ref="KPY1:KQI1"/>
    <mergeCell ref="KQJ1:KQT1"/>
    <mergeCell ref="LDM1:LDW1"/>
    <mergeCell ref="LDX1:LEH1"/>
    <mergeCell ref="LEI1:LES1"/>
    <mergeCell ref="LET1:LFD1"/>
    <mergeCell ref="LFE1:LFO1"/>
    <mergeCell ref="LBJ1:LBT1"/>
    <mergeCell ref="LBU1:LCE1"/>
    <mergeCell ref="LCF1:LCP1"/>
    <mergeCell ref="LCQ1:LDA1"/>
    <mergeCell ref="LDB1:LDL1"/>
    <mergeCell ref="KZG1:KZQ1"/>
    <mergeCell ref="KZR1:LAB1"/>
    <mergeCell ref="LAC1:LAM1"/>
    <mergeCell ref="LAN1:LAX1"/>
    <mergeCell ref="LAY1:LBI1"/>
    <mergeCell ref="KXD1:KXN1"/>
    <mergeCell ref="KXO1:KXY1"/>
    <mergeCell ref="KXZ1:KYJ1"/>
    <mergeCell ref="KYK1:KYU1"/>
    <mergeCell ref="KYV1:KZF1"/>
    <mergeCell ref="LLY1:LMI1"/>
    <mergeCell ref="LMJ1:LMT1"/>
    <mergeCell ref="LMU1:LNE1"/>
    <mergeCell ref="LNF1:LNP1"/>
    <mergeCell ref="LNQ1:LOA1"/>
    <mergeCell ref="LJV1:LKF1"/>
    <mergeCell ref="LKG1:LKQ1"/>
    <mergeCell ref="LKR1:LLB1"/>
    <mergeCell ref="LLC1:LLM1"/>
    <mergeCell ref="LLN1:LLX1"/>
    <mergeCell ref="LHS1:LIC1"/>
    <mergeCell ref="LID1:LIN1"/>
    <mergeCell ref="LIO1:LIY1"/>
    <mergeCell ref="LIZ1:LJJ1"/>
    <mergeCell ref="LJK1:LJU1"/>
    <mergeCell ref="LFP1:LFZ1"/>
    <mergeCell ref="LGA1:LGK1"/>
    <mergeCell ref="LGL1:LGV1"/>
    <mergeCell ref="LGW1:LHG1"/>
    <mergeCell ref="LHH1:LHR1"/>
    <mergeCell ref="LUK1:LUU1"/>
    <mergeCell ref="LUV1:LVF1"/>
    <mergeCell ref="LVG1:LVQ1"/>
    <mergeCell ref="LVR1:LWB1"/>
    <mergeCell ref="LWC1:LWM1"/>
    <mergeCell ref="LSH1:LSR1"/>
    <mergeCell ref="LSS1:LTC1"/>
    <mergeCell ref="LTD1:LTN1"/>
    <mergeCell ref="LTO1:LTY1"/>
    <mergeCell ref="LTZ1:LUJ1"/>
    <mergeCell ref="LQE1:LQO1"/>
    <mergeCell ref="LQP1:LQZ1"/>
    <mergeCell ref="LRA1:LRK1"/>
    <mergeCell ref="LRL1:LRV1"/>
    <mergeCell ref="LRW1:LSG1"/>
    <mergeCell ref="LOB1:LOL1"/>
    <mergeCell ref="LOM1:LOW1"/>
    <mergeCell ref="LOX1:LPH1"/>
    <mergeCell ref="LPI1:LPS1"/>
    <mergeCell ref="LPT1:LQD1"/>
    <mergeCell ref="MCW1:MDG1"/>
    <mergeCell ref="MDH1:MDR1"/>
    <mergeCell ref="MDS1:MEC1"/>
    <mergeCell ref="MED1:MEN1"/>
    <mergeCell ref="MEO1:MEY1"/>
    <mergeCell ref="MAT1:MBD1"/>
    <mergeCell ref="MBE1:MBO1"/>
    <mergeCell ref="MBP1:MBZ1"/>
    <mergeCell ref="MCA1:MCK1"/>
    <mergeCell ref="MCL1:MCV1"/>
    <mergeCell ref="LYQ1:LZA1"/>
    <mergeCell ref="LZB1:LZL1"/>
    <mergeCell ref="LZM1:LZW1"/>
    <mergeCell ref="LZX1:MAH1"/>
    <mergeCell ref="MAI1:MAS1"/>
    <mergeCell ref="LWN1:LWX1"/>
    <mergeCell ref="LWY1:LXI1"/>
    <mergeCell ref="LXJ1:LXT1"/>
    <mergeCell ref="LXU1:LYE1"/>
    <mergeCell ref="LYF1:LYP1"/>
    <mergeCell ref="MLI1:MLS1"/>
    <mergeCell ref="MLT1:MMD1"/>
    <mergeCell ref="MME1:MMO1"/>
    <mergeCell ref="MMP1:MMZ1"/>
    <mergeCell ref="MNA1:MNK1"/>
    <mergeCell ref="MJF1:MJP1"/>
    <mergeCell ref="MJQ1:MKA1"/>
    <mergeCell ref="MKB1:MKL1"/>
    <mergeCell ref="MKM1:MKW1"/>
    <mergeCell ref="MKX1:MLH1"/>
    <mergeCell ref="MHC1:MHM1"/>
    <mergeCell ref="MHN1:MHX1"/>
    <mergeCell ref="MHY1:MII1"/>
    <mergeCell ref="MIJ1:MIT1"/>
    <mergeCell ref="MIU1:MJE1"/>
    <mergeCell ref="MEZ1:MFJ1"/>
    <mergeCell ref="MFK1:MFU1"/>
    <mergeCell ref="MFV1:MGF1"/>
    <mergeCell ref="MGG1:MGQ1"/>
    <mergeCell ref="MGR1:MHB1"/>
    <mergeCell ref="MTU1:MUE1"/>
    <mergeCell ref="MUF1:MUP1"/>
    <mergeCell ref="MUQ1:MVA1"/>
    <mergeCell ref="MVB1:MVL1"/>
    <mergeCell ref="MVM1:MVW1"/>
    <mergeCell ref="MRR1:MSB1"/>
    <mergeCell ref="MSC1:MSM1"/>
    <mergeCell ref="MSN1:MSX1"/>
    <mergeCell ref="MSY1:MTI1"/>
    <mergeCell ref="MTJ1:MTT1"/>
    <mergeCell ref="MPO1:MPY1"/>
    <mergeCell ref="MPZ1:MQJ1"/>
    <mergeCell ref="MQK1:MQU1"/>
    <mergeCell ref="MQV1:MRF1"/>
    <mergeCell ref="MRG1:MRQ1"/>
    <mergeCell ref="MNL1:MNV1"/>
    <mergeCell ref="MNW1:MOG1"/>
    <mergeCell ref="MOH1:MOR1"/>
    <mergeCell ref="MOS1:MPC1"/>
    <mergeCell ref="MPD1:MPN1"/>
    <mergeCell ref="NCG1:NCQ1"/>
    <mergeCell ref="NCR1:NDB1"/>
    <mergeCell ref="NDC1:NDM1"/>
    <mergeCell ref="NDN1:NDX1"/>
    <mergeCell ref="NDY1:NEI1"/>
    <mergeCell ref="NAD1:NAN1"/>
    <mergeCell ref="NAO1:NAY1"/>
    <mergeCell ref="NAZ1:NBJ1"/>
    <mergeCell ref="NBK1:NBU1"/>
    <mergeCell ref="NBV1:NCF1"/>
    <mergeCell ref="MYA1:MYK1"/>
    <mergeCell ref="MYL1:MYV1"/>
    <mergeCell ref="MYW1:MZG1"/>
    <mergeCell ref="MZH1:MZR1"/>
    <mergeCell ref="MZS1:NAC1"/>
    <mergeCell ref="MVX1:MWH1"/>
    <mergeCell ref="MWI1:MWS1"/>
    <mergeCell ref="MWT1:MXD1"/>
    <mergeCell ref="MXE1:MXO1"/>
    <mergeCell ref="MXP1:MXZ1"/>
    <mergeCell ref="NKS1:NLC1"/>
    <mergeCell ref="NLD1:NLN1"/>
    <mergeCell ref="NLO1:NLY1"/>
    <mergeCell ref="NLZ1:NMJ1"/>
    <mergeCell ref="NMK1:NMU1"/>
    <mergeCell ref="NIP1:NIZ1"/>
    <mergeCell ref="NJA1:NJK1"/>
    <mergeCell ref="NJL1:NJV1"/>
    <mergeCell ref="NJW1:NKG1"/>
    <mergeCell ref="NKH1:NKR1"/>
    <mergeCell ref="NGM1:NGW1"/>
    <mergeCell ref="NGX1:NHH1"/>
    <mergeCell ref="NHI1:NHS1"/>
    <mergeCell ref="NHT1:NID1"/>
    <mergeCell ref="NIE1:NIO1"/>
    <mergeCell ref="NEJ1:NET1"/>
    <mergeCell ref="NEU1:NFE1"/>
    <mergeCell ref="NFF1:NFP1"/>
    <mergeCell ref="NFQ1:NGA1"/>
    <mergeCell ref="NGB1:NGL1"/>
    <mergeCell ref="NTE1:NTO1"/>
    <mergeCell ref="NTP1:NTZ1"/>
    <mergeCell ref="NUA1:NUK1"/>
    <mergeCell ref="NUL1:NUV1"/>
    <mergeCell ref="NUW1:NVG1"/>
    <mergeCell ref="NRB1:NRL1"/>
    <mergeCell ref="NRM1:NRW1"/>
    <mergeCell ref="NRX1:NSH1"/>
    <mergeCell ref="NSI1:NSS1"/>
    <mergeCell ref="NST1:NTD1"/>
    <mergeCell ref="NOY1:NPI1"/>
    <mergeCell ref="NPJ1:NPT1"/>
    <mergeCell ref="NPU1:NQE1"/>
    <mergeCell ref="NQF1:NQP1"/>
    <mergeCell ref="NQQ1:NRA1"/>
    <mergeCell ref="NMV1:NNF1"/>
    <mergeCell ref="NNG1:NNQ1"/>
    <mergeCell ref="NNR1:NOB1"/>
    <mergeCell ref="NOC1:NOM1"/>
    <mergeCell ref="NON1:NOX1"/>
    <mergeCell ref="OBQ1:OCA1"/>
    <mergeCell ref="OCB1:OCL1"/>
    <mergeCell ref="OCM1:OCW1"/>
    <mergeCell ref="OCX1:ODH1"/>
    <mergeCell ref="ODI1:ODS1"/>
    <mergeCell ref="NZN1:NZX1"/>
    <mergeCell ref="NZY1:OAI1"/>
    <mergeCell ref="OAJ1:OAT1"/>
    <mergeCell ref="OAU1:OBE1"/>
    <mergeCell ref="OBF1:OBP1"/>
    <mergeCell ref="NXK1:NXU1"/>
    <mergeCell ref="NXV1:NYF1"/>
    <mergeCell ref="NYG1:NYQ1"/>
    <mergeCell ref="NYR1:NZB1"/>
    <mergeCell ref="NZC1:NZM1"/>
    <mergeCell ref="NVH1:NVR1"/>
    <mergeCell ref="NVS1:NWC1"/>
    <mergeCell ref="NWD1:NWN1"/>
    <mergeCell ref="NWO1:NWY1"/>
    <mergeCell ref="NWZ1:NXJ1"/>
    <mergeCell ref="OKC1:OKM1"/>
    <mergeCell ref="OKN1:OKX1"/>
    <mergeCell ref="OKY1:OLI1"/>
    <mergeCell ref="OLJ1:OLT1"/>
    <mergeCell ref="OLU1:OME1"/>
    <mergeCell ref="OHZ1:OIJ1"/>
    <mergeCell ref="OIK1:OIU1"/>
    <mergeCell ref="OIV1:OJF1"/>
    <mergeCell ref="OJG1:OJQ1"/>
    <mergeCell ref="OJR1:OKB1"/>
    <mergeCell ref="OFW1:OGG1"/>
    <mergeCell ref="OGH1:OGR1"/>
    <mergeCell ref="OGS1:OHC1"/>
    <mergeCell ref="OHD1:OHN1"/>
    <mergeCell ref="OHO1:OHY1"/>
    <mergeCell ref="ODT1:OED1"/>
    <mergeCell ref="OEE1:OEO1"/>
    <mergeCell ref="OEP1:OEZ1"/>
    <mergeCell ref="OFA1:OFK1"/>
    <mergeCell ref="OFL1:OFV1"/>
    <mergeCell ref="OSO1:OSY1"/>
    <mergeCell ref="OSZ1:OTJ1"/>
    <mergeCell ref="OTK1:OTU1"/>
    <mergeCell ref="OTV1:OUF1"/>
    <mergeCell ref="OUG1:OUQ1"/>
    <mergeCell ref="OQL1:OQV1"/>
    <mergeCell ref="OQW1:ORG1"/>
    <mergeCell ref="ORH1:ORR1"/>
    <mergeCell ref="ORS1:OSC1"/>
    <mergeCell ref="OSD1:OSN1"/>
    <mergeCell ref="OOI1:OOS1"/>
    <mergeCell ref="OOT1:OPD1"/>
    <mergeCell ref="OPE1:OPO1"/>
    <mergeCell ref="OPP1:OPZ1"/>
    <mergeCell ref="OQA1:OQK1"/>
    <mergeCell ref="OMF1:OMP1"/>
    <mergeCell ref="OMQ1:ONA1"/>
    <mergeCell ref="ONB1:ONL1"/>
    <mergeCell ref="ONM1:ONW1"/>
    <mergeCell ref="ONX1:OOH1"/>
    <mergeCell ref="PBA1:PBK1"/>
    <mergeCell ref="PBL1:PBV1"/>
    <mergeCell ref="PBW1:PCG1"/>
    <mergeCell ref="PCH1:PCR1"/>
    <mergeCell ref="PCS1:PDC1"/>
    <mergeCell ref="OYX1:OZH1"/>
    <mergeCell ref="OZI1:OZS1"/>
    <mergeCell ref="OZT1:PAD1"/>
    <mergeCell ref="PAE1:PAO1"/>
    <mergeCell ref="PAP1:PAZ1"/>
    <mergeCell ref="OWU1:OXE1"/>
    <mergeCell ref="OXF1:OXP1"/>
    <mergeCell ref="OXQ1:OYA1"/>
    <mergeCell ref="OYB1:OYL1"/>
    <mergeCell ref="OYM1:OYW1"/>
    <mergeCell ref="OUR1:OVB1"/>
    <mergeCell ref="OVC1:OVM1"/>
    <mergeCell ref="OVN1:OVX1"/>
    <mergeCell ref="OVY1:OWI1"/>
    <mergeCell ref="OWJ1:OWT1"/>
    <mergeCell ref="PJM1:PJW1"/>
    <mergeCell ref="PJX1:PKH1"/>
    <mergeCell ref="PKI1:PKS1"/>
    <mergeCell ref="PKT1:PLD1"/>
    <mergeCell ref="PLE1:PLO1"/>
    <mergeCell ref="PHJ1:PHT1"/>
    <mergeCell ref="PHU1:PIE1"/>
    <mergeCell ref="PIF1:PIP1"/>
    <mergeCell ref="PIQ1:PJA1"/>
    <mergeCell ref="PJB1:PJL1"/>
    <mergeCell ref="PFG1:PFQ1"/>
    <mergeCell ref="PFR1:PGB1"/>
    <mergeCell ref="PGC1:PGM1"/>
    <mergeCell ref="PGN1:PGX1"/>
    <mergeCell ref="PGY1:PHI1"/>
    <mergeCell ref="PDD1:PDN1"/>
    <mergeCell ref="PDO1:PDY1"/>
    <mergeCell ref="PDZ1:PEJ1"/>
    <mergeCell ref="PEK1:PEU1"/>
    <mergeCell ref="PEV1:PFF1"/>
    <mergeCell ref="PRY1:PSI1"/>
    <mergeCell ref="PSJ1:PST1"/>
    <mergeCell ref="PSU1:PTE1"/>
    <mergeCell ref="PTF1:PTP1"/>
    <mergeCell ref="PTQ1:PUA1"/>
    <mergeCell ref="PPV1:PQF1"/>
    <mergeCell ref="PQG1:PQQ1"/>
    <mergeCell ref="PQR1:PRB1"/>
    <mergeCell ref="PRC1:PRM1"/>
    <mergeCell ref="PRN1:PRX1"/>
    <mergeCell ref="PNS1:POC1"/>
    <mergeCell ref="POD1:PON1"/>
    <mergeCell ref="POO1:POY1"/>
    <mergeCell ref="POZ1:PPJ1"/>
    <mergeCell ref="PPK1:PPU1"/>
    <mergeCell ref="PLP1:PLZ1"/>
    <mergeCell ref="PMA1:PMK1"/>
    <mergeCell ref="PML1:PMV1"/>
    <mergeCell ref="PMW1:PNG1"/>
    <mergeCell ref="PNH1:PNR1"/>
    <mergeCell ref="QAK1:QAU1"/>
    <mergeCell ref="QAV1:QBF1"/>
    <mergeCell ref="QBG1:QBQ1"/>
    <mergeCell ref="QBR1:QCB1"/>
    <mergeCell ref="QCC1:QCM1"/>
    <mergeCell ref="PYH1:PYR1"/>
    <mergeCell ref="PYS1:PZC1"/>
    <mergeCell ref="PZD1:PZN1"/>
    <mergeCell ref="PZO1:PZY1"/>
    <mergeCell ref="PZZ1:QAJ1"/>
    <mergeCell ref="PWE1:PWO1"/>
    <mergeCell ref="PWP1:PWZ1"/>
    <mergeCell ref="PXA1:PXK1"/>
    <mergeCell ref="PXL1:PXV1"/>
    <mergeCell ref="PXW1:PYG1"/>
    <mergeCell ref="PUB1:PUL1"/>
    <mergeCell ref="PUM1:PUW1"/>
    <mergeCell ref="PUX1:PVH1"/>
    <mergeCell ref="PVI1:PVS1"/>
    <mergeCell ref="PVT1:PWD1"/>
    <mergeCell ref="QIW1:QJG1"/>
    <mergeCell ref="QJH1:QJR1"/>
    <mergeCell ref="QJS1:QKC1"/>
    <mergeCell ref="QKD1:QKN1"/>
    <mergeCell ref="QKO1:QKY1"/>
    <mergeCell ref="QGT1:QHD1"/>
    <mergeCell ref="QHE1:QHO1"/>
    <mergeCell ref="QHP1:QHZ1"/>
    <mergeCell ref="QIA1:QIK1"/>
    <mergeCell ref="QIL1:QIV1"/>
    <mergeCell ref="QEQ1:QFA1"/>
    <mergeCell ref="QFB1:QFL1"/>
    <mergeCell ref="QFM1:QFW1"/>
    <mergeCell ref="QFX1:QGH1"/>
    <mergeCell ref="QGI1:QGS1"/>
    <mergeCell ref="QCN1:QCX1"/>
    <mergeCell ref="QCY1:QDI1"/>
    <mergeCell ref="QDJ1:QDT1"/>
    <mergeCell ref="QDU1:QEE1"/>
    <mergeCell ref="QEF1:QEP1"/>
    <mergeCell ref="QRI1:QRS1"/>
    <mergeCell ref="QRT1:QSD1"/>
    <mergeCell ref="QSE1:QSO1"/>
    <mergeCell ref="QSP1:QSZ1"/>
    <mergeCell ref="QTA1:QTK1"/>
    <mergeCell ref="QPF1:QPP1"/>
    <mergeCell ref="QPQ1:QQA1"/>
    <mergeCell ref="QQB1:QQL1"/>
    <mergeCell ref="QQM1:QQW1"/>
    <mergeCell ref="QQX1:QRH1"/>
    <mergeCell ref="QNC1:QNM1"/>
    <mergeCell ref="QNN1:QNX1"/>
    <mergeCell ref="QNY1:QOI1"/>
    <mergeCell ref="QOJ1:QOT1"/>
    <mergeCell ref="QOU1:QPE1"/>
    <mergeCell ref="QKZ1:QLJ1"/>
    <mergeCell ref="QLK1:QLU1"/>
    <mergeCell ref="QLV1:QMF1"/>
    <mergeCell ref="QMG1:QMQ1"/>
    <mergeCell ref="QMR1:QNB1"/>
    <mergeCell ref="QZU1:RAE1"/>
    <mergeCell ref="RAF1:RAP1"/>
    <mergeCell ref="RAQ1:RBA1"/>
    <mergeCell ref="RBB1:RBL1"/>
    <mergeCell ref="RBM1:RBW1"/>
    <mergeCell ref="QXR1:QYB1"/>
    <mergeCell ref="QYC1:QYM1"/>
    <mergeCell ref="QYN1:QYX1"/>
    <mergeCell ref="QYY1:QZI1"/>
    <mergeCell ref="QZJ1:QZT1"/>
    <mergeCell ref="QVO1:QVY1"/>
    <mergeCell ref="QVZ1:QWJ1"/>
    <mergeCell ref="QWK1:QWU1"/>
    <mergeCell ref="QWV1:QXF1"/>
    <mergeCell ref="QXG1:QXQ1"/>
    <mergeCell ref="QTL1:QTV1"/>
    <mergeCell ref="QTW1:QUG1"/>
    <mergeCell ref="QUH1:QUR1"/>
    <mergeCell ref="QUS1:QVC1"/>
    <mergeCell ref="QVD1:QVN1"/>
    <mergeCell ref="RIG1:RIQ1"/>
    <mergeCell ref="RIR1:RJB1"/>
    <mergeCell ref="RJC1:RJM1"/>
    <mergeCell ref="RJN1:RJX1"/>
    <mergeCell ref="RJY1:RKI1"/>
    <mergeCell ref="RGD1:RGN1"/>
    <mergeCell ref="RGO1:RGY1"/>
    <mergeCell ref="RGZ1:RHJ1"/>
    <mergeCell ref="RHK1:RHU1"/>
    <mergeCell ref="RHV1:RIF1"/>
    <mergeCell ref="REA1:REK1"/>
    <mergeCell ref="REL1:REV1"/>
    <mergeCell ref="REW1:RFG1"/>
    <mergeCell ref="RFH1:RFR1"/>
    <mergeCell ref="RFS1:RGC1"/>
    <mergeCell ref="RBX1:RCH1"/>
    <mergeCell ref="RCI1:RCS1"/>
    <mergeCell ref="RCT1:RDD1"/>
    <mergeCell ref="RDE1:RDO1"/>
    <mergeCell ref="RDP1:RDZ1"/>
    <mergeCell ref="RQS1:RRC1"/>
    <mergeCell ref="RRD1:RRN1"/>
    <mergeCell ref="RRO1:RRY1"/>
    <mergeCell ref="RRZ1:RSJ1"/>
    <mergeCell ref="RSK1:RSU1"/>
    <mergeCell ref="ROP1:ROZ1"/>
    <mergeCell ref="RPA1:RPK1"/>
    <mergeCell ref="RPL1:RPV1"/>
    <mergeCell ref="RPW1:RQG1"/>
    <mergeCell ref="RQH1:RQR1"/>
    <mergeCell ref="RMM1:RMW1"/>
    <mergeCell ref="RMX1:RNH1"/>
    <mergeCell ref="RNI1:RNS1"/>
    <mergeCell ref="RNT1:ROD1"/>
    <mergeCell ref="ROE1:ROO1"/>
    <mergeCell ref="RKJ1:RKT1"/>
    <mergeCell ref="RKU1:RLE1"/>
    <mergeCell ref="RLF1:RLP1"/>
    <mergeCell ref="RLQ1:RMA1"/>
    <mergeCell ref="RMB1:RML1"/>
    <mergeCell ref="RZE1:RZO1"/>
    <mergeCell ref="RZP1:RZZ1"/>
    <mergeCell ref="SAA1:SAK1"/>
    <mergeCell ref="SAL1:SAV1"/>
    <mergeCell ref="SAW1:SBG1"/>
    <mergeCell ref="RXB1:RXL1"/>
    <mergeCell ref="RXM1:RXW1"/>
    <mergeCell ref="RXX1:RYH1"/>
    <mergeCell ref="RYI1:RYS1"/>
    <mergeCell ref="RYT1:RZD1"/>
    <mergeCell ref="RUY1:RVI1"/>
    <mergeCell ref="RVJ1:RVT1"/>
    <mergeCell ref="RVU1:RWE1"/>
    <mergeCell ref="RWF1:RWP1"/>
    <mergeCell ref="RWQ1:RXA1"/>
    <mergeCell ref="RSV1:RTF1"/>
    <mergeCell ref="RTG1:RTQ1"/>
    <mergeCell ref="RTR1:RUB1"/>
    <mergeCell ref="RUC1:RUM1"/>
    <mergeCell ref="RUN1:RUX1"/>
    <mergeCell ref="SHQ1:SIA1"/>
    <mergeCell ref="SIB1:SIL1"/>
    <mergeCell ref="SIM1:SIW1"/>
    <mergeCell ref="SIX1:SJH1"/>
    <mergeCell ref="SJI1:SJS1"/>
    <mergeCell ref="SFN1:SFX1"/>
    <mergeCell ref="SFY1:SGI1"/>
    <mergeCell ref="SGJ1:SGT1"/>
    <mergeCell ref="SGU1:SHE1"/>
    <mergeCell ref="SHF1:SHP1"/>
    <mergeCell ref="SDK1:SDU1"/>
    <mergeCell ref="SDV1:SEF1"/>
    <mergeCell ref="SEG1:SEQ1"/>
    <mergeCell ref="SER1:SFB1"/>
    <mergeCell ref="SFC1:SFM1"/>
    <mergeCell ref="SBH1:SBR1"/>
    <mergeCell ref="SBS1:SCC1"/>
    <mergeCell ref="SCD1:SCN1"/>
    <mergeCell ref="SCO1:SCY1"/>
    <mergeCell ref="SCZ1:SDJ1"/>
    <mergeCell ref="SQC1:SQM1"/>
    <mergeCell ref="SQN1:SQX1"/>
    <mergeCell ref="SQY1:SRI1"/>
    <mergeCell ref="SRJ1:SRT1"/>
    <mergeCell ref="SRU1:SSE1"/>
    <mergeCell ref="SNZ1:SOJ1"/>
    <mergeCell ref="SOK1:SOU1"/>
    <mergeCell ref="SOV1:SPF1"/>
    <mergeCell ref="SPG1:SPQ1"/>
    <mergeCell ref="SPR1:SQB1"/>
    <mergeCell ref="SLW1:SMG1"/>
    <mergeCell ref="SMH1:SMR1"/>
    <mergeCell ref="SMS1:SNC1"/>
    <mergeCell ref="SND1:SNN1"/>
    <mergeCell ref="SNO1:SNY1"/>
    <mergeCell ref="SJT1:SKD1"/>
    <mergeCell ref="SKE1:SKO1"/>
    <mergeCell ref="SKP1:SKZ1"/>
    <mergeCell ref="SLA1:SLK1"/>
    <mergeCell ref="SLL1:SLV1"/>
    <mergeCell ref="SYO1:SYY1"/>
    <mergeCell ref="SYZ1:SZJ1"/>
    <mergeCell ref="SZK1:SZU1"/>
    <mergeCell ref="SZV1:TAF1"/>
    <mergeCell ref="TAG1:TAQ1"/>
    <mergeCell ref="SWL1:SWV1"/>
    <mergeCell ref="SWW1:SXG1"/>
    <mergeCell ref="SXH1:SXR1"/>
    <mergeCell ref="SXS1:SYC1"/>
    <mergeCell ref="SYD1:SYN1"/>
    <mergeCell ref="SUI1:SUS1"/>
    <mergeCell ref="SUT1:SVD1"/>
    <mergeCell ref="SVE1:SVO1"/>
    <mergeCell ref="SVP1:SVZ1"/>
    <mergeCell ref="SWA1:SWK1"/>
    <mergeCell ref="SSF1:SSP1"/>
    <mergeCell ref="SSQ1:STA1"/>
    <mergeCell ref="STB1:STL1"/>
    <mergeCell ref="STM1:STW1"/>
    <mergeCell ref="STX1:SUH1"/>
    <mergeCell ref="THA1:THK1"/>
    <mergeCell ref="THL1:THV1"/>
    <mergeCell ref="THW1:TIG1"/>
    <mergeCell ref="TIH1:TIR1"/>
    <mergeCell ref="TIS1:TJC1"/>
    <mergeCell ref="TEX1:TFH1"/>
    <mergeCell ref="TFI1:TFS1"/>
    <mergeCell ref="TFT1:TGD1"/>
    <mergeCell ref="TGE1:TGO1"/>
    <mergeCell ref="TGP1:TGZ1"/>
    <mergeCell ref="TCU1:TDE1"/>
    <mergeCell ref="TDF1:TDP1"/>
    <mergeCell ref="TDQ1:TEA1"/>
    <mergeCell ref="TEB1:TEL1"/>
    <mergeCell ref="TEM1:TEW1"/>
    <mergeCell ref="TAR1:TBB1"/>
    <mergeCell ref="TBC1:TBM1"/>
    <mergeCell ref="TBN1:TBX1"/>
    <mergeCell ref="TBY1:TCI1"/>
    <mergeCell ref="TCJ1:TCT1"/>
    <mergeCell ref="TPM1:TPW1"/>
    <mergeCell ref="TPX1:TQH1"/>
    <mergeCell ref="TQI1:TQS1"/>
    <mergeCell ref="TQT1:TRD1"/>
    <mergeCell ref="TRE1:TRO1"/>
    <mergeCell ref="TNJ1:TNT1"/>
    <mergeCell ref="TNU1:TOE1"/>
    <mergeCell ref="TOF1:TOP1"/>
    <mergeCell ref="TOQ1:TPA1"/>
    <mergeCell ref="TPB1:TPL1"/>
    <mergeCell ref="TLG1:TLQ1"/>
    <mergeCell ref="TLR1:TMB1"/>
    <mergeCell ref="TMC1:TMM1"/>
    <mergeCell ref="TMN1:TMX1"/>
    <mergeCell ref="TMY1:TNI1"/>
    <mergeCell ref="TJD1:TJN1"/>
    <mergeCell ref="TJO1:TJY1"/>
    <mergeCell ref="TJZ1:TKJ1"/>
    <mergeCell ref="TKK1:TKU1"/>
    <mergeCell ref="TKV1:TLF1"/>
    <mergeCell ref="TXY1:TYI1"/>
    <mergeCell ref="TYJ1:TYT1"/>
    <mergeCell ref="TYU1:TZE1"/>
    <mergeCell ref="TZF1:TZP1"/>
    <mergeCell ref="TZQ1:UAA1"/>
    <mergeCell ref="TVV1:TWF1"/>
    <mergeCell ref="TWG1:TWQ1"/>
    <mergeCell ref="TWR1:TXB1"/>
    <mergeCell ref="TXC1:TXM1"/>
    <mergeCell ref="TXN1:TXX1"/>
    <mergeCell ref="TTS1:TUC1"/>
    <mergeCell ref="TUD1:TUN1"/>
    <mergeCell ref="TUO1:TUY1"/>
    <mergeCell ref="TUZ1:TVJ1"/>
    <mergeCell ref="TVK1:TVU1"/>
    <mergeCell ref="TRP1:TRZ1"/>
    <mergeCell ref="TSA1:TSK1"/>
    <mergeCell ref="TSL1:TSV1"/>
    <mergeCell ref="TSW1:TTG1"/>
    <mergeCell ref="TTH1:TTR1"/>
    <mergeCell ref="UGK1:UGU1"/>
    <mergeCell ref="UGV1:UHF1"/>
    <mergeCell ref="UHG1:UHQ1"/>
    <mergeCell ref="UHR1:UIB1"/>
    <mergeCell ref="UIC1:UIM1"/>
    <mergeCell ref="UEH1:UER1"/>
    <mergeCell ref="UES1:UFC1"/>
    <mergeCell ref="UFD1:UFN1"/>
    <mergeCell ref="UFO1:UFY1"/>
    <mergeCell ref="UFZ1:UGJ1"/>
    <mergeCell ref="UCE1:UCO1"/>
    <mergeCell ref="UCP1:UCZ1"/>
    <mergeCell ref="UDA1:UDK1"/>
    <mergeCell ref="UDL1:UDV1"/>
    <mergeCell ref="UDW1:UEG1"/>
    <mergeCell ref="UAB1:UAL1"/>
    <mergeCell ref="UAM1:UAW1"/>
    <mergeCell ref="UAX1:UBH1"/>
    <mergeCell ref="UBI1:UBS1"/>
    <mergeCell ref="UBT1:UCD1"/>
    <mergeCell ref="UOW1:UPG1"/>
    <mergeCell ref="UPH1:UPR1"/>
    <mergeCell ref="UPS1:UQC1"/>
    <mergeCell ref="UQD1:UQN1"/>
    <mergeCell ref="UQO1:UQY1"/>
    <mergeCell ref="UMT1:UND1"/>
    <mergeCell ref="UNE1:UNO1"/>
    <mergeCell ref="UNP1:UNZ1"/>
    <mergeCell ref="UOA1:UOK1"/>
    <mergeCell ref="UOL1:UOV1"/>
    <mergeCell ref="UKQ1:ULA1"/>
    <mergeCell ref="ULB1:ULL1"/>
    <mergeCell ref="ULM1:ULW1"/>
    <mergeCell ref="ULX1:UMH1"/>
    <mergeCell ref="UMI1:UMS1"/>
    <mergeCell ref="UIN1:UIX1"/>
    <mergeCell ref="UIY1:UJI1"/>
    <mergeCell ref="UJJ1:UJT1"/>
    <mergeCell ref="UJU1:UKE1"/>
    <mergeCell ref="UKF1:UKP1"/>
    <mergeCell ref="UXI1:UXS1"/>
    <mergeCell ref="UXT1:UYD1"/>
    <mergeCell ref="UYE1:UYO1"/>
    <mergeCell ref="UYP1:UYZ1"/>
    <mergeCell ref="UZA1:UZK1"/>
    <mergeCell ref="UVF1:UVP1"/>
    <mergeCell ref="UVQ1:UWA1"/>
    <mergeCell ref="UWB1:UWL1"/>
    <mergeCell ref="UWM1:UWW1"/>
    <mergeCell ref="UWX1:UXH1"/>
    <mergeCell ref="UTC1:UTM1"/>
    <mergeCell ref="UTN1:UTX1"/>
    <mergeCell ref="UTY1:UUI1"/>
    <mergeCell ref="UUJ1:UUT1"/>
    <mergeCell ref="UUU1:UVE1"/>
    <mergeCell ref="UQZ1:URJ1"/>
    <mergeCell ref="URK1:URU1"/>
    <mergeCell ref="URV1:USF1"/>
    <mergeCell ref="USG1:USQ1"/>
    <mergeCell ref="USR1:UTB1"/>
    <mergeCell ref="VFU1:VGE1"/>
    <mergeCell ref="VGF1:VGP1"/>
    <mergeCell ref="VGQ1:VHA1"/>
    <mergeCell ref="VHB1:VHL1"/>
    <mergeCell ref="VHM1:VHW1"/>
    <mergeCell ref="VDR1:VEB1"/>
    <mergeCell ref="VEC1:VEM1"/>
    <mergeCell ref="VEN1:VEX1"/>
    <mergeCell ref="VEY1:VFI1"/>
    <mergeCell ref="VFJ1:VFT1"/>
    <mergeCell ref="VBO1:VBY1"/>
    <mergeCell ref="VBZ1:VCJ1"/>
    <mergeCell ref="VCK1:VCU1"/>
    <mergeCell ref="VCV1:VDF1"/>
    <mergeCell ref="VDG1:VDQ1"/>
    <mergeCell ref="UZL1:UZV1"/>
    <mergeCell ref="UZW1:VAG1"/>
    <mergeCell ref="VAH1:VAR1"/>
    <mergeCell ref="VAS1:VBC1"/>
    <mergeCell ref="VBD1:VBN1"/>
    <mergeCell ref="VOG1:VOQ1"/>
    <mergeCell ref="VOR1:VPB1"/>
    <mergeCell ref="VPC1:VPM1"/>
    <mergeCell ref="VPN1:VPX1"/>
    <mergeCell ref="VPY1:VQI1"/>
    <mergeCell ref="VMD1:VMN1"/>
    <mergeCell ref="VMO1:VMY1"/>
    <mergeCell ref="VMZ1:VNJ1"/>
    <mergeCell ref="VNK1:VNU1"/>
    <mergeCell ref="VNV1:VOF1"/>
    <mergeCell ref="VKA1:VKK1"/>
    <mergeCell ref="VKL1:VKV1"/>
    <mergeCell ref="VKW1:VLG1"/>
    <mergeCell ref="VLH1:VLR1"/>
    <mergeCell ref="VLS1:VMC1"/>
    <mergeCell ref="VHX1:VIH1"/>
    <mergeCell ref="VII1:VIS1"/>
    <mergeCell ref="VIT1:VJD1"/>
    <mergeCell ref="VJE1:VJO1"/>
    <mergeCell ref="VJP1:VJZ1"/>
    <mergeCell ref="VWS1:VXC1"/>
    <mergeCell ref="VXD1:VXN1"/>
    <mergeCell ref="VXO1:VXY1"/>
    <mergeCell ref="VXZ1:VYJ1"/>
    <mergeCell ref="VYK1:VYU1"/>
    <mergeCell ref="VUP1:VUZ1"/>
    <mergeCell ref="VVA1:VVK1"/>
    <mergeCell ref="VVL1:VVV1"/>
    <mergeCell ref="VVW1:VWG1"/>
    <mergeCell ref="VWH1:VWR1"/>
    <mergeCell ref="VSM1:VSW1"/>
    <mergeCell ref="VSX1:VTH1"/>
    <mergeCell ref="VTI1:VTS1"/>
    <mergeCell ref="VTT1:VUD1"/>
    <mergeCell ref="VUE1:VUO1"/>
    <mergeCell ref="VQJ1:VQT1"/>
    <mergeCell ref="VQU1:VRE1"/>
    <mergeCell ref="VRF1:VRP1"/>
    <mergeCell ref="VRQ1:VSA1"/>
    <mergeCell ref="VSB1:VSL1"/>
    <mergeCell ref="WFE1:WFO1"/>
    <mergeCell ref="WFP1:WFZ1"/>
    <mergeCell ref="WGA1:WGK1"/>
    <mergeCell ref="WGL1:WGV1"/>
    <mergeCell ref="WGW1:WHG1"/>
    <mergeCell ref="WDB1:WDL1"/>
    <mergeCell ref="WDM1:WDW1"/>
    <mergeCell ref="WDX1:WEH1"/>
    <mergeCell ref="WEI1:WES1"/>
    <mergeCell ref="WET1:WFD1"/>
    <mergeCell ref="WAY1:WBI1"/>
    <mergeCell ref="WBJ1:WBT1"/>
    <mergeCell ref="WBU1:WCE1"/>
    <mergeCell ref="WCF1:WCP1"/>
    <mergeCell ref="WCQ1:WDA1"/>
    <mergeCell ref="VYV1:VZF1"/>
    <mergeCell ref="VZG1:VZQ1"/>
    <mergeCell ref="VZR1:WAB1"/>
    <mergeCell ref="WAC1:WAM1"/>
    <mergeCell ref="WAN1:WAX1"/>
    <mergeCell ref="WNQ1:WOA1"/>
    <mergeCell ref="WOB1:WOL1"/>
    <mergeCell ref="WOM1:WOW1"/>
    <mergeCell ref="WOX1:WPH1"/>
    <mergeCell ref="WPI1:WPS1"/>
    <mergeCell ref="WLN1:WLX1"/>
    <mergeCell ref="WLY1:WMI1"/>
    <mergeCell ref="WMJ1:WMT1"/>
    <mergeCell ref="WMU1:WNE1"/>
    <mergeCell ref="WNF1:WNP1"/>
    <mergeCell ref="WJK1:WJU1"/>
    <mergeCell ref="WJV1:WKF1"/>
    <mergeCell ref="WKG1:WKQ1"/>
    <mergeCell ref="WKR1:WLB1"/>
    <mergeCell ref="WLC1:WLM1"/>
    <mergeCell ref="WHH1:WHR1"/>
    <mergeCell ref="WHS1:WIC1"/>
    <mergeCell ref="WID1:WIN1"/>
    <mergeCell ref="WIO1:WIY1"/>
    <mergeCell ref="WIZ1:WJJ1"/>
    <mergeCell ref="WWC1:WWM1"/>
    <mergeCell ref="WWN1:WWX1"/>
    <mergeCell ref="WWY1:WXI1"/>
    <mergeCell ref="WXJ1:WXT1"/>
    <mergeCell ref="WXU1:WYE1"/>
    <mergeCell ref="WTZ1:WUJ1"/>
    <mergeCell ref="WUK1:WUU1"/>
    <mergeCell ref="WUV1:WVF1"/>
    <mergeCell ref="WVG1:WVQ1"/>
    <mergeCell ref="WVR1:WWB1"/>
    <mergeCell ref="WRW1:WSG1"/>
    <mergeCell ref="WSH1:WSR1"/>
    <mergeCell ref="WSS1:WTC1"/>
    <mergeCell ref="WTD1:WTN1"/>
    <mergeCell ref="WTO1:WTY1"/>
    <mergeCell ref="WPT1:WQD1"/>
    <mergeCell ref="WQE1:WQO1"/>
    <mergeCell ref="WQP1:WQZ1"/>
    <mergeCell ref="WRA1:WRK1"/>
    <mergeCell ref="WRL1:WRV1"/>
    <mergeCell ref="XEO1:XEY1"/>
    <mergeCell ref="XEZ1:XFD1"/>
    <mergeCell ref="XCL1:XCV1"/>
    <mergeCell ref="XCW1:XDG1"/>
    <mergeCell ref="XDH1:XDR1"/>
    <mergeCell ref="XDS1:XEC1"/>
    <mergeCell ref="XED1:XEN1"/>
    <mergeCell ref="XAI1:XAS1"/>
    <mergeCell ref="XAT1:XBD1"/>
    <mergeCell ref="XBE1:XBO1"/>
    <mergeCell ref="XBP1:XBZ1"/>
    <mergeCell ref="XCA1:XCK1"/>
    <mergeCell ref="WYF1:WYP1"/>
    <mergeCell ref="WYQ1:WZA1"/>
    <mergeCell ref="WZB1:WZL1"/>
    <mergeCell ref="WZM1:WZW1"/>
    <mergeCell ref="WZX1:XAH1"/>
  </mergeCells>
  <phoneticPr fontId="16" type="noConversion"/>
  <printOptions horizontalCentered="1"/>
  <pageMargins left="0.75" right="0.75" top="1" bottom="1" header="0.5" footer="0.5"/>
  <pageSetup scale="62" orientation="portrait" r:id="rId1"/>
  <headerFooter alignWithMargins="0">
    <oddHeader>&amp;CIDAHO POWER COMPANY
Transmission Cost of Service Rate Development
12 Months Ended 12/31/2014</oddHeader>
  </headerFooter>
</worksheet>
</file>

<file path=xl/worksheets/sheet30.xml><?xml version="1.0" encoding="utf-8"?>
<worksheet xmlns="http://schemas.openxmlformats.org/spreadsheetml/2006/main" xmlns:r="http://schemas.openxmlformats.org/officeDocument/2006/relationships">
  <sheetPr codeName="Sheet31"/>
  <dimension ref="A1:E22"/>
  <sheetViews>
    <sheetView zoomScaleNormal="100" zoomScaleSheetLayoutView="100" workbookViewId="0">
      <selection sqref="A1:E1"/>
    </sheetView>
  </sheetViews>
  <sheetFormatPr defaultRowHeight="12.75"/>
  <cols>
    <col min="1" max="1" width="26.28515625" style="153" customWidth="1"/>
    <col min="2" max="2" width="14.42578125" style="153" bestFit="1" customWidth="1"/>
    <col min="3" max="3" width="12.28515625" style="153" bestFit="1" customWidth="1"/>
    <col min="4" max="4" width="12" style="153" bestFit="1" customWidth="1"/>
    <col min="5" max="5" width="13.28515625" style="153" bestFit="1" customWidth="1"/>
    <col min="6" max="16384" width="9.140625" style="153"/>
  </cols>
  <sheetData>
    <row r="1" spans="1:5" ht="17.25" customHeight="1">
      <c r="A1" s="645" t="s">
        <v>594</v>
      </c>
      <c r="B1" s="645"/>
      <c r="C1" s="645"/>
      <c r="D1" s="645"/>
      <c r="E1" s="645"/>
    </row>
    <row r="2" spans="1:5">
      <c r="A2" s="645" t="s">
        <v>979</v>
      </c>
      <c r="B2" s="645"/>
      <c r="C2" s="645"/>
      <c r="D2" s="645"/>
      <c r="E2" s="645"/>
    </row>
    <row r="3" spans="1:5">
      <c r="A3" s="645" t="str">
        <f>'Schedule 1 Workpaper'!A3:F3</f>
        <v>12 Months Ended 12/31/2014</v>
      </c>
      <c r="B3" s="645"/>
      <c r="C3" s="645"/>
      <c r="D3" s="645"/>
      <c r="E3" s="645"/>
    </row>
    <row r="4" spans="1:5">
      <c r="A4" s="574"/>
      <c r="B4" s="661"/>
      <c r="C4" s="661"/>
      <c r="D4" s="661"/>
      <c r="E4" s="661"/>
    </row>
    <row r="5" spans="1:5">
      <c r="A5" s="574"/>
      <c r="B5" s="221" t="s">
        <v>395</v>
      </c>
      <c r="C5" s="221" t="s">
        <v>534</v>
      </c>
      <c r="D5" s="221" t="s">
        <v>595</v>
      </c>
      <c r="E5" s="476" t="s">
        <v>552</v>
      </c>
    </row>
    <row r="6" spans="1:5" ht="12.75" customHeight="1">
      <c r="A6" s="574" t="s">
        <v>455</v>
      </c>
      <c r="B6" s="594">
        <v>61477.17</v>
      </c>
      <c r="C6" s="594">
        <v>21181.360000000001</v>
      </c>
      <c r="D6" s="594">
        <v>1192.26</v>
      </c>
      <c r="E6" s="543">
        <f>SUM(B6:D6)</f>
        <v>83850.789999999994</v>
      </c>
    </row>
    <row r="7" spans="1:5">
      <c r="A7" s="574" t="s">
        <v>456</v>
      </c>
      <c r="B7" s="594">
        <v>61608.73</v>
      </c>
      <c r="C7" s="594">
        <v>21264.080000000002</v>
      </c>
      <c r="D7" s="594">
        <v>1192.26</v>
      </c>
      <c r="E7" s="543">
        <f t="shared" ref="E7:E17" si="0">SUM(B7:D7)</f>
        <v>84065.069999999992</v>
      </c>
    </row>
    <row r="8" spans="1:5">
      <c r="A8" s="574" t="s">
        <v>457</v>
      </c>
      <c r="B8" s="594">
        <v>61661.17</v>
      </c>
      <c r="C8" s="594">
        <v>21359.48</v>
      </c>
      <c r="D8" s="594">
        <v>1192.26</v>
      </c>
      <c r="E8" s="543">
        <f t="shared" si="0"/>
        <v>84212.909999999989</v>
      </c>
    </row>
    <row r="9" spans="1:5">
      <c r="A9" s="574" t="s">
        <v>458</v>
      </c>
      <c r="B9" s="594">
        <v>61703.21</v>
      </c>
      <c r="C9" s="594">
        <v>21359.48</v>
      </c>
      <c r="D9" s="594">
        <v>1192.26</v>
      </c>
      <c r="E9" s="543">
        <f t="shared" si="0"/>
        <v>84254.95</v>
      </c>
    </row>
    <row r="10" spans="1:5">
      <c r="A10" s="574" t="s">
        <v>459</v>
      </c>
      <c r="B10" s="594">
        <v>61838.239999999998</v>
      </c>
      <c r="C10" s="594">
        <v>21421.75</v>
      </c>
      <c r="D10" s="594">
        <v>1192.26</v>
      </c>
      <c r="E10" s="543">
        <f t="shared" si="0"/>
        <v>84452.249999999985</v>
      </c>
    </row>
    <row r="11" spans="1:5">
      <c r="A11" s="574" t="s">
        <v>460</v>
      </c>
      <c r="B11" s="594">
        <v>61935.02</v>
      </c>
      <c r="C11" s="594">
        <v>21460.38</v>
      </c>
      <c r="D11" s="594">
        <v>1192.26</v>
      </c>
      <c r="E11" s="543">
        <f t="shared" si="0"/>
        <v>84587.659999999989</v>
      </c>
    </row>
    <row r="12" spans="1:5">
      <c r="A12" s="574" t="s">
        <v>461</v>
      </c>
      <c r="B12" s="594">
        <v>62028.54</v>
      </c>
      <c r="C12" s="594">
        <v>21503.85</v>
      </c>
      <c r="D12" s="594">
        <v>1192.26</v>
      </c>
      <c r="E12" s="543">
        <f t="shared" si="0"/>
        <v>84724.65</v>
      </c>
    </row>
    <row r="13" spans="1:5">
      <c r="A13" s="574" t="s">
        <v>462</v>
      </c>
      <c r="B13" s="594">
        <v>62178.51</v>
      </c>
      <c r="C13" s="594">
        <v>21642.62</v>
      </c>
      <c r="D13" s="594">
        <v>1192.26</v>
      </c>
      <c r="E13" s="543">
        <f t="shared" si="0"/>
        <v>85013.39</v>
      </c>
    </row>
    <row r="14" spans="1:5">
      <c r="A14" s="574" t="s">
        <v>463</v>
      </c>
      <c r="B14" s="594">
        <v>67433.48</v>
      </c>
      <c r="C14" s="594">
        <v>21662.37</v>
      </c>
      <c r="D14" s="594">
        <v>1192.26</v>
      </c>
      <c r="E14" s="543">
        <f t="shared" si="0"/>
        <v>90288.109999999986</v>
      </c>
    </row>
    <row r="15" spans="1:5">
      <c r="A15" s="574" t="s">
        <v>464</v>
      </c>
      <c r="B15" s="594">
        <v>63343.48</v>
      </c>
      <c r="C15" s="594">
        <v>21738.42</v>
      </c>
      <c r="D15" s="594">
        <v>1192.26</v>
      </c>
      <c r="E15" s="543">
        <f t="shared" si="0"/>
        <v>86274.159999999989</v>
      </c>
    </row>
    <row r="16" spans="1:5">
      <c r="A16" s="574" t="s">
        <v>465</v>
      </c>
      <c r="B16" s="594">
        <v>63354.54</v>
      </c>
      <c r="C16" s="594">
        <v>21827.94</v>
      </c>
      <c r="D16" s="594">
        <v>1192.26</v>
      </c>
      <c r="E16" s="543">
        <f t="shared" si="0"/>
        <v>86374.739999999991</v>
      </c>
    </row>
    <row r="17" spans="1:5">
      <c r="A17" s="574" t="s">
        <v>466</v>
      </c>
      <c r="B17" s="595">
        <v>63800.78</v>
      </c>
      <c r="C17" s="595">
        <v>21907.55</v>
      </c>
      <c r="D17" s="595">
        <v>1192.26</v>
      </c>
      <c r="E17" s="542">
        <f t="shared" si="0"/>
        <v>86900.59</v>
      </c>
    </row>
    <row r="18" spans="1:5">
      <c r="A18" s="574" t="s">
        <v>1076</v>
      </c>
      <c r="B18" s="477">
        <f>SUM(B6:B17)</f>
        <v>752362.87000000011</v>
      </c>
      <c r="C18" s="477">
        <f>SUM(C6:C17)</f>
        <v>258329.27999999997</v>
      </c>
      <c r="D18" s="477">
        <f>SUM(D6:D17)</f>
        <v>14307.12</v>
      </c>
      <c r="E18" s="477">
        <f>SUM(E6:E17)</f>
        <v>1024999.2699999999</v>
      </c>
    </row>
    <row r="19" spans="1:5" ht="25.5" customHeight="1">
      <c r="A19" s="470"/>
      <c r="B19" s="175"/>
      <c r="C19" s="175"/>
      <c r="D19" s="175"/>
      <c r="E19" s="175"/>
    </row>
    <row r="20" spans="1:5">
      <c r="A20" s="574"/>
      <c r="B20" s="478"/>
      <c r="C20" s="478"/>
      <c r="D20" s="478"/>
      <c r="E20" s="478"/>
    </row>
    <row r="21" spans="1:5">
      <c r="A21" s="178"/>
      <c r="B21" s="178"/>
      <c r="C21" s="178"/>
      <c r="D21" s="178"/>
      <c r="E21" s="178"/>
    </row>
    <row r="22" spans="1:5">
      <c r="A22" s="178"/>
      <c r="B22" s="178"/>
      <c r="C22" s="178"/>
      <c r="D22" s="178"/>
      <c r="E22" s="178"/>
    </row>
  </sheetData>
  <sheetProtection formatCells="0"/>
  <mergeCells count="4">
    <mergeCell ref="A1:E1"/>
    <mergeCell ref="A2:E2"/>
    <mergeCell ref="B4:E4"/>
    <mergeCell ref="A3:E3"/>
  </mergeCells>
  <phoneticPr fontId="16" type="noConversion"/>
  <printOptions horizontalCentered="1"/>
  <pageMargins left="0.75" right="0.75" top="1" bottom="1" header="0.5" footer="0.5"/>
  <pageSetup scale="71" orientation="portrait" r:id="rId1"/>
  <headerFooter alignWithMargins="0">
    <oddHeader>&amp;CIDAHO POWER COMPANY
Transmission Cost of Service Rate Development
12 Months Ended 12/31/2014</oddHeader>
  </headerFooter>
</worksheet>
</file>

<file path=xl/worksheets/sheet31.xml><?xml version="1.0" encoding="utf-8"?>
<worksheet xmlns="http://schemas.openxmlformats.org/spreadsheetml/2006/main" xmlns:r="http://schemas.openxmlformats.org/officeDocument/2006/relationships">
  <sheetPr codeName="Sheet32"/>
  <dimension ref="A1:I19"/>
  <sheetViews>
    <sheetView zoomScaleNormal="100" zoomScaleSheetLayoutView="100" workbookViewId="0"/>
  </sheetViews>
  <sheetFormatPr defaultRowHeight="12.75"/>
  <cols>
    <col min="1" max="1" width="3.5703125" style="198" customWidth="1"/>
    <col min="2" max="2" width="1.85546875" style="198" customWidth="1"/>
    <col min="3" max="3" width="3.42578125" style="564" customWidth="1"/>
    <col min="4" max="4" width="37.5703125" style="198" customWidth="1"/>
    <col min="5" max="5" width="10" style="198" customWidth="1"/>
    <col min="6" max="6" width="1.85546875" style="198" customWidth="1"/>
    <col min="7" max="7" width="16.28515625" style="198" customWidth="1"/>
    <col min="8" max="8" width="1.7109375" style="198" customWidth="1"/>
    <col min="9" max="9" width="49.140625" style="198" customWidth="1"/>
    <col min="10" max="16384" width="9.140625" style="198"/>
  </cols>
  <sheetData>
    <row r="1" spans="1:9">
      <c r="C1" s="637" t="s">
        <v>765</v>
      </c>
      <c r="D1" s="637"/>
      <c r="E1" s="637"/>
      <c r="F1" s="637"/>
      <c r="G1" s="637"/>
      <c r="H1" s="637"/>
      <c r="I1" s="637"/>
    </row>
    <row r="2" spans="1:9">
      <c r="C2" s="637" t="s">
        <v>1029</v>
      </c>
      <c r="D2" s="637"/>
      <c r="E2" s="637"/>
      <c r="F2" s="637"/>
      <c r="G2" s="637"/>
      <c r="H2" s="637"/>
      <c r="I2" s="637"/>
    </row>
    <row r="3" spans="1:9">
      <c r="A3" s="565"/>
      <c r="B3" s="565"/>
      <c r="C3" s="565"/>
      <c r="D3" s="637" t="s">
        <v>1172</v>
      </c>
      <c r="E3" s="637"/>
      <c r="F3" s="637"/>
      <c r="G3" s="637"/>
      <c r="H3" s="637"/>
      <c r="I3" s="637"/>
    </row>
    <row r="4" spans="1:9">
      <c r="C4" s="565"/>
      <c r="D4" s="565"/>
      <c r="E4" s="565"/>
      <c r="F4" s="565"/>
      <c r="G4" s="565"/>
      <c r="H4" s="565"/>
      <c r="I4" s="565"/>
    </row>
    <row r="5" spans="1:9">
      <c r="C5" s="565"/>
      <c r="D5" s="565"/>
      <c r="E5" s="565"/>
      <c r="F5" s="565"/>
      <c r="G5" s="565"/>
      <c r="H5" s="565"/>
      <c r="I5" s="565"/>
    </row>
    <row r="6" spans="1:9">
      <c r="D6" s="29"/>
      <c r="E6" s="565" t="s">
        <v>552</v>
      </c>
      <c r="F6" s="565"/>
      <c r="G6" s="565" t="s">
        <v>649</v>
      </c>
      <c r="H6" s="565"/>
      <c r="I6" s="565"/>
    </row>
    <row r="7" spans="1:9">
      <c r="C7" s="637" t="s">
        <v>650</v>
      </c>
      <c r="D7" s="637"/>
      <c r="E7" s="565" t="s">
        <v>233</v>
      </c>
      <c r="F7" s="565"/>
      <c r="G7" s="565" t="s">
        <v>651</v>
      </c>
      <c r="H7" s="565"/>
      <c r="I7" s="565" t="s">
        <v>652</v>
      </c>
    </row>
    <row r="8" spans="1:9">
      <c r="D8" s="565" t="s">
        <v>470</v>
      </c>
      <c r="E8" s="565" t="s">
        <v>471</v>
      </c>
      <c r="F8" s="565"/>
      <c r="G8" s="565" t="s">
        <v>653</v>
      </c>
      <c r="H8" s="565"/>
      <c r="I8" s="565" t="s">
        <v>654</v>
      </c>
    </row>
    <row r="9" spans="1:9">
      <c r="A9" s="135">
        <v>1</v>
      </c>
      <c r="B9" s="564"/>
      <c r="C9" s="30" t="s">
        <v>1030</v>
      </c>
      <c r="D9" s="86"/>
      <c r="E9" s="17"/>
      <c r="F9" s="17"/>
      <c r="G9" s="17"/>
      <c r="H9" s="17"/>
      <c r="I9" s="31"/>
    </row>
    <row r="10" spans="1:9" ht="12.75" customHeight="1">
      <c r="A10" s="32">
        <f>A9+1</f>
        <v>2</v>
      </c>
      <c r="B10" s="134"/>
      <c r="C10" s="33"/>
      <c r="D10" s="18" t="s">
        <v>766</v>
      </c>
      <c r="E10" s="145">
        <f>'Schedule 4 Workpaper page 3'!E78</f>
        <v>53810.999999999993</v>
      </c>
      <c r="F10" s="144"/>
      <c r="G10" s="145">
        <f>'Schedule 4 Workpaper page 3'!F71</f>
        <v>2453.88</v>
      </c>
      <c r="H10" s="19"/>
      <c r="I10" s="20" t="s">
        <v>982</v>
      </c>
    </row>
    <row r="11" spans="1:9">
      <c r="A11" s="32">
        <f>A10+1</f>
        <v>3</v>
      </c>
      <c r="B11" s="134"/>
      <c r="C11" s="35"/>
      <c r="D11" s="18" t="s">
        <v>596</v>
      </c>
      <c r="E11" s="146">
        <f>'Schedule 4 Workpaper page 3'!E77</f>
        <v>0</v>
      </c>
      <c r="F11" s="146"/>
      <c r="G11" s="146">
        <f>E11*1</f>
        <v>0</v>
      </c>
      <c r="H11" s="19"/>
      <c r="I11" s="20" t="s">
        <v>159</v>
      </c>
    </row>
    <row r="12" spans="1:9" ht="15.75" customHeight="1">
      <c r="A12" s="32">
        <f>A11+1</f>
        <v>4</v>
      </c>
      <c r="B12" s="134"/>
      <c r="C12" s="36" t="s">
        <v>672</v>
      </c>
      <c r="D12" s="37"/>
      <c r="E12" s="145">
        <f>SUM(E10:E11)</f>
        <v>53810.999999999993</v>
      </c>
      <c r="F12" s="145"/>
      <c r="G12" s="145">
        <f>SUM(G10:G11)</f>
        <v>2453.88</v>
      </c>
      <c r="H12" s="19"/>
      <c r="I12" s="19" t="s">
        <v>33</v>
      </c>
    </row>
    <row r="13" spans="1:9">
      <c r="D13" s="141"/>
      <c r="E13" s="16"/>
      <c r="F13" s="16"/>
      <c r="G13" s="16"/>
      <c r="H13" s="16"/>
      <c r="I13" s="16"/>
    </row>
    <row r="14" spans="1:9">
      <c r="C14" s="199"/>
      <c r="D14" s="199" t="s">
        <v>1031</v>
      </c>
      <c r="E14" s="16"/>
      <c r="F14" s="16"/>
      <c r="G14" s="16"/>
      <c r="H14" s="16"/>
      <c r="I14" s="16"/>
    </row>
    <row r="15" spans="1:9">
      <c r="D15" s="34"/>
      <c r="E15" s="16"/>
      <c r="F15" s="16"/>
      <c r="G15" s="16"/>
      <c r="H15" s="16"/>
      <c r="I15" s="16"/>
    </row>
    <row r="17" spans="4:5">
      <c r="D17" s="34"/>
      <c r="E17" s="16"/>
    </row>
    <row r="19" spans="4:5">
      <c r="D19" s="38"/>
      <c r="E19" s="16"/>
    </row>
  </sheetData>
  <sheetProtection formatCells="0"/>
  <mergeCells count="4">
    <mergeCell ref="C1:I1"/>
    <mergeCell ref="C2:I2"/>
    <mergeCell ref="C7:D7"/>
    <mergeCell ref="D3:I3"/>
  </mergeCells>
  <phoneticPr fontId="16" type="noConversion"/>
  <printOptions horizontalCentered="1"/>
  <pageMargins left="0.75" right="0.75" top="1" bottom="1" header="0.5" footer="0.5"/>
  <pageSetup scale="71" orientation="portrait" r:id="rId1"/>
  <headerFooter alignWithMargins="0">
    <oddHeader>&amp;CIDAHO POWER COMPANY
Transmission Cost of Service Rate Development
12 Months Ended 12/31/2014</oddHeader>
  </headerFooter>
</worksheet>
</file>

<file path=xl/worksheets/sheet32.xml><?xml version="1.0" encoding="utf-8"?>
<worksheet xmlns="http://schemas.openxmlformats.org/spreadsheetml/2006/main" xmlns:r="http://schemas.openxmlformats.org/officeDocument/2006/relationships">
  <sheetPr codeName="Sheet33"/>
  <dimension ref="A1:K53"/>
  <sheetViews>
    <sheetView zoomScaleNormal="100" zoomScaleSheetLayoutView="100" workbookViewId="0">
      <selection sqref="A1:K1"/>
    </sheetView>
  </sheetViews>
  <sheetFormatPr defaultRowHeight="12.75"/>
  <cols>
    <col min="1" max="1" width="4.7109375" style="153" customWidth="1"/>
    <col min="2" max="2" width="57.85546875" style="153" customWidth="1"/>
    <col min="3" max="3" width="0.42578125" style="153" customWidth="1"/>
    <col min="4" max="4" width="1.5703125" style="153" customWidth="1"/>
    <col min="5" max="5" width="12.7109375" style="153" bestFit="1" customWidth="1"/>
    <col min="6" max="6" width="1.5703125" style="153" customWidth="1"/>
    <col min="7" max="7" width="12.7109375" style="153" bestFit="1" customWidth="1"/>
    <col min="8" max="8" width="1.5703125" style="153" customWidth="1"/>
    <col min="9" max="9" width="11.85546875" style="153" bestFit="1" customWidth="1"/>
    <col min="10" max="10" width="1.42578125" style="153" customWidth="1"/>
    <col min="11" max="11" width="15.7109375" style="153" customWidth="1"/>
    <col min="12" max="16384" width="9.140625" style="153"/>
  </cols>
  <sheetData>
    <row r="1" spans="1:11">
      <c r="A1" s="645" t="s">
        <v>383</v>
      </c>
      <c r="B1" s="645"/>
      <c r="C1" s="645"/>
      <c r="D1" s="645"/>
      <c r="E1" s="645"/>
      <c r="F1" s="645"/>
      <c r="G1" s="645"/>
      <c r="H1" s="645"/>
      <c r="I1" s="645"/>
      <c r="J1" s="645"/>
      <c r="K1" s="645"/>
    </row>
    <row r="2" spans="1:11" ht="12.75" customHeight="1">
      <c r="A2" s="645" t="s">
        <v>384</v>
      </c>
      <c r="B2" s="645"/>
      <c r="C2" s="645"/>
      <c r="D2" s="645"/>
      <c r="E2" s="645"/>
      <c r="F2" s="645"/>
      <c r="G2" s="645"/>
      <c r="H2" s="645"/>
      <c r="I2" s="645"/>
      <c r="J2" s="645"/>
      <c r="K2" s="645"/>
    </row>
    <row r="3" spans="1:11" ht="12.75" customHeight="1">
      <c r="A3" s="645" t="s">
        <v>983</v>
      </c>
      <c r="B3" s="645"/>
      <c r="C3" s="645"/>
      <c r="D3" s="645"/>
      <c r="E3" s="645"/>
      <c r="F3" s="645"/>
      <c r="G3" s="645"/>
      <c r="H3" s="645"/>
      <c r="I3" s="645"/>
      <c r="J3" s="645"/>
      <c r="K3" s="645"/>
    </row>
    <row r="4" spans="1:11">
      <c r="A4" s="645" t="s">
        <v>1172</v>
      </c>
      <c r="B4" s="645"/>
      <c r="C4" s="645"/>
      <c r="D4" s="645"/>
      <c r="E4" s="645"/>
      <c r="F4" s="645"/>
      <c r="G4" s="645"/>
      <c r="H4" s="645"/>
      <c r="I4" s="645"/>
      <c r="J4" s="645"/>
      <c r="K4" s="645"/>
    </row>
    <row r="5" spans="1:11">
      <c r="B5" s="154"/>
      <c r="C5" s="154"/>
      <c r="D5" s="154"/>
      <c r="E5" s="154"/>
      <c r="F5" s="154"/>
      <c r="G5" s="154"/>
      <c r="H5" s="154"/>
      <c r="I5" s="154"/>
      <c r="J5" s="154"/>
      <c r="K5" s="154"/>
    </row>
    <row r="6" spans="1:11">
      <c r="B6" s="568"/>
      <c r="C6" s="568"/>
      <c r="D6" s="568"/>
      <c r="E6" s="568"/>
      <c r="F6" s="568"/>
      <c r="G6" s="568"/>
      <c r="H6" s="568"/>
      <c r="I6" s="568"/>
      <c r="J6" s="568"/>
      <c r="K6" s="568"/>
    </row>
    <row r="7" spans="1:11">
      <c r="B7" s="568"/>
      <c r="C7" s="568"/>
      <c r="D7" s="568"/>
      <c r="E7" s="568"/>
      <c r="F7" s="568"/>
      <c r="G7" s="568"/>
      <c r="H7" s="568"/>
      <c r="I7" s="568"/>
      <c r="J7" s="568"/>
      <c r="K7" s="568"/>
    </row>
    <row r="9" spans="1:11" ht="26.25" customHeight="1">
      <c r="C9" s="470"/>
      <c r="D9" s="574"/>
      <c r="E9" s="471" t="s">
        <v>188</v>
      </c>
      <c r="F9" s="574"/>
      <c r="G9" s="236" t="s">
        <v>187</v>
      </c>
      <c r="H9" s="574"/>
      <c r="I9" s="471" t="s">
        <v>957</v>
      </c>
      <c r="J9" s="574"/>
      <c r="K9" s="471" t="s">
        <v>552</v>
      </c>
    </row>
    <row r="10" spans="1:11">
      <c r="C10" s="574"/>
      <c r="D10" s="574"/>
      <c r="E10" s="574"/>
      <c r="F10" s="574"/>
      <c r="G10" s="574"/>
      <c r="H10" s="574"/>
      <c r="I10" s="574"/>
      <c r="J10" s="574"/>
      <c r="K10" s="574"/>
    </row>
    <row r="11" spans="1:11">
      <c r="A11" s="568"/>
      <c r="B11" s="472"/>
      <c r="C11" s="472"/>
      <c r="D11" s="472"/>
      <c r="E11" s="472"/>
      <c r="F11" s="472"/>
      <c r="G11" s="472"/>
      <c r="H11" s="472"/>
      <c r="I11" s="472"/>
      <c r="J11" s="472"/>
      <c r="K11" s="147"/>
    </row>
    <row r="12" spans="1:11">
      <c r="A12" s="568">
        <v>1</v>
      </c>
      <c r="B12" s="472" t="s">
        <v>1230</v>
      </c>
      <c r="C12" s="472"/>
      <c r="D12" s="472"/>
      <c r="E12" s="147"/>
      <c r="F12" s="527"/>
      <c r="G12" s="147">
        <v>2080</v>
      </c>
      <c r="H12" s="473"/>
      <c r="I12" s="593">
        <v>-69.150000000000006</v>
      </c>
      <c r="J12" s="472"/>
      <c r="K12" s="147">
        <f>SUM(E12:I12)</f>
        <v>2010.85</v>
      </c>
    </row>
    <row r="13" spans="1:11">
      <c r="A13" s="568">
        <f>A12+1</f>
        <v>2</v>
      </c>
      <c r="B13" s="472" t="s">
        <v>1231</v>
      </c>
      <c r="C13" s="472"/>
      <c r="D13" s="472"/>
      <c r="E13" s="147"/>
      <c r="F13" s="527"/>
      <c r="G13" s="147">
        <v>116.5</v>
      </c>
      <c r="H13" s="474"/>
      <c r="I13" s="593">
        <v>-50.58</v>
      </c>
      <c r="J13" s="472"/>
      <c r="K13" s="147">
        <f t="shared" ref="K13" si="0">SUM(E13:I13)</f>
        <v>65.92</v>
      </c>
    </row>
    <row r="14" spans="1:11">
      <c r="A14" s="568">
        <f t="shared" ref="A14:A43" si="1">A13+1</f>
        <v>3</v>
      </c>
      <c r="B14" s="472" t="s">
        <v>997</v>
      </c>
      <c r="C14" s="472"/>
      <c r="D14" s="472"/>
      <c r="E14" s="147"/>
      <c r="F14" s="527"/>
      <c r="G14" s="147">
        <v>165288.72</v>
      </c>
      <c r="H14" s="474"/>
      <c r="I14" s="593">
        <v>-989.14</v>
      </c>
      <c r="J14" s="472"/>
      <c r="K14" s="147">
        <f t="shared" ref="K14:K39" si="2">SUM(E14:I14)</f>
        <v>164299.57999999999</v>
      </c>
    </row>
    <row r="15" spans="1:11">
      <c r="A15" s="568">
        <f t="shared" si="1"/>
        <v>4</v>
      </c>
      <c r="B15" s="472" t="s">
        <v>998</v>
      </c>
      <c r="C15" s="472"/>
      <c r="D15" s="472"/>
      <c r="E15" s="147">
        <v>25813.02</v>
      </c>
      <c r="F15" s="527"/>
      <c r="G15" s="147">
        <v>252423.59</v>
      </c>
      <c r="H15" s="474"/>
      <c r="I15" s="593">
        <v>-18793.39</v>
      </c>
      <c r="J15" s="472"/>
      <c r="K15" s="147">
        <f t="shared" si="2"/>
        <v>259443.21999999997</v>
      </c>
    </row>
    <row r="16" spans="1:11">
      <c r="A16" s="568">
        <f t="shared" si="1"/>
        <v>5</v>
      </c>
      <c r="B16" s="472" t="s">
        <v>1228</v>
      </c>
      <c r="C16" s="472"/>
      <c r="D16" s="472"/>
      <c r="E16" s="147"/>
      <c r="F16" s="527"/>
      <c r="G16" s="147"/>
      <c r="H16" s="474"/>
      <c r="I16" s="593">
        <v>-349.11</v>
      </c>
      <c r="J16" s="472"/>
      <c r="K16" s="147">
        <f t="shared" si="2"/>
        <v>-349.11</v>
      </c>
    </row>
    <row r="17" spans="1:11">
      <c r="A17" s="568">
        <f t="shared" si="1"/>
        <v>6</v>
      </c>
      <c r="B17" s="472" t="s">
        <v>1227</v>
      </c>
      <c r="C17" s="472"/>
      <c r="D17" s="472"/>
      <c r="E17" s="147"/>
      <c r="F17" s="527"/>
      <c r="G17" s="147"/>
      <c r="H17" s="474"/>
      <c r="I17" s="593">
        <v>-20</v>
      </c>
      <c r="J17" s="472"/>
      <c r="K17" s="147">
        <f>SUM(E17:I17)</f>
        <v>-20</v>
      </c>
    </row>
    <row r="18" spans="1:11">
      <c r="A18" s="568">
        <f t="shared" si="1"/>
        <v>7</v>
      </c>
      <c r="B18" s="472" t="s">
        <v>999</v>
      </c>
      <c r="C18" s="472"/>
      <c r="D18" s="472"/>
      <c r="E18" s="147"/>
      <c r="F18" s="527"/>
      <c r="G18" s="147">
        <v>170787.98</v>
      </c>
      <c r="H18" s="474"/>
      <c r="I18" s="593">
        <v>-394.88</v>
      </c>
      <c r="J18" s="472"/>
      <c r="K18" s="147">
        <f t="shared" si="2"/>
        <v>170393.1</v>
      </c>
    </row>
    <row r="19" spans="1:11">
      <c r="A19" s="568">
        <f t="shared" si="1"/>
        <v>8</v>
      </c>
      <c r="B19" s="472" t="s">
        <v>1226</v>
      </c>
      <c r="C19" s="472"/>
      <c r="D19" s="472"/>
      <c r="E19" s="147"/>
      <c r="F19" s="527"/>
      <c r="G19" s="147"/>
      <c r="H19" s="474"/>
      <c r="I19" s="593">
        <v>-10.25</v>
      </c>
      <c r="J19" s="472"/>
      <c r="K19" s="147">
        <f t="shared" ref="K19" si="3">SUM(E19:I19)</f>
        <v>-10.25</v>
      </c>
    </row>
    <row r="20" spans="1:11">
      <c r="A20" s="568">
        <f t="shared" si="1"/>
        <v>9</v>
      </c>
      <c r="B20" s="472" t="s">
        <v>860</v>
      </c>
      <c r="C20" s="472"/>
      <c r="D20" s="472"/>
      <c r="E20" s="147">
        <v>213465</v>
      </c>
      <c r="F20" s="527"/>
      <c r="G20" s="147">
        <v>1320683.5900000001</v>
      </c>
      <c r="H20" s="474"/>
      <c r="I20" s="593">
        <v>-5250.37</v>
      </c>
      <c r="J20" s="472"/>
      <c r="K20" s="147">
        <f t="shared" si="2"/>
        <v>1528898.22</v>
      </c>
    </row>
    <row r="21" spans="1:11">
      <c r="A21" s="568">
        <f t="shared" si="1"/>
        <v>10</v>
      </c>
      <c r="B21" s="472" t="s">
        <v>1224</v>
      </c>
      <c r="C21" s="472"/>
      <c r="D21" s="472"/>
      <c r="E21" s="147">
        <v>23555.72</v>
      </c>
      <c r="F21" s="527"/>
      <c r="G21" s="147">
        <v>73509.81</v>
      </c>
      <c r="H21" s="474"/>
      <c r="I21" s="593"/>
      <c r="J21" s="472"/>
      <c r="K21" s="147">
        <f t="shared" si="2"/>
        <v>97065.53</v>
      </c>
    </row>
    <row r="22" spans="1:11">
      <c r="A22" s="568">
        <f t="shared" si="1"/>
        <v>11</v>
      </c>
      <c r="B22" s="472" t="s">
        <v>1225</v>
      </c>
      <c r="C22" s="472"/>
      <c r="D22" s="472"/>
      <c r="E22" s="147"/>
      <c r="F22" s="527"/>
      <c r="G22" s="147"/>
      <c r="H22" s="474"/>
      <c r="I22" s="593">
        <v>-28.05</v>
      </c>
      <c r="J22" s="472"/>
      <c r="K22" s="147">
        <f t="shared" ref="K22" si="4">SUM(E22:I22)</f>
        <v>-28.05</v>
      </c>
    </row>
    <row r="23" spans="1:11">
      <c r="A23" s="568">
        <f t="shared" si="1"/>
        <v>12</v>
      </c>
      <c r="B23" s="472" t="s">
        <v>1219</v>
      </c>
      <c r="C23" s="472"/>
      <c r="D23" s="472"/>
      <c r="E23" s="147">
        <v>723374.25</v>
      </c>
      <c r="F23" s="527"/>
      <c r="G23" s="147">
        <v>1799518.17</v>
      </c>
      <c r="H23" s="474"/>
      <c r="I23" s="593">
        <v>-106594.96</v>
      </c>
      <c r="J23" s="472"/>
      <c r="K23" s="147">
        <f t="shared" si="2"/>
        <v>2416297.46</v>
      </c>
    </row>
    <row r="24" spans="1:11">
      <c r="A24" s="568">
        <f t="shared" si="1"/>
        <v>13</v>
      </c>
      <c r="B24" s="472" t="s">
        <v>861</v>
      </c>
      <c r="C24" s="472"/>
      <c r="D24" s="472"/>
      <c r="E24" s="147"/>
      <c r="F24" s="527"/>
      <c r="G24" s="147">
        <v>145056.07</v>
      </c>
      <c r="H24" s="474"/>
      <c r="I24" s="593">
        <v>-145.21</v>
      </c>
      <c r="J24" s="472"/>
      <c r="K24" s="147">
        <f t="shared" ref="K24" si="5">SUM(E24:I24)</f>
        <v>144910.86000000002</v>
      </c>
    </row>
    <row r="25" spans="1:11">
      <c r="A25" s="568">
        <f t="shared" si="1"/>
        <v>14</v>
      </c>
      <c r="B25" s="472" t="s">
        <v>1223</v>
      </c>
      <c r="C25" s="472"/>
      <c r="D25" s="472"/>
      <c r="E25" s="147">
        <v>822135.54</v>
      </c>
      <c r="F25" s="527"/>
      <c r="G25" s="147">
        <v>1599429.25</v>
      </c>
      <c r="H25" s="474"/>
      <c r="I25" s="593">
        <v>-34259.370000000003</v>
      </c>
      <c r="J25" s="472"/>
      <c r="K25" s="147">
        <f t="shared" si="2"/>
        <v>2387305.42</v>
      </c>
    </row>
    <row r="26" spans="1:11">
      <c r="A26" s="568">
        <f t="shared" si="1"/>
        <v>15</v>
      </c>
      <c r="B26" s="472" t="s">
        <v>1000</v>
      </c>
      <c r="C26" s="472"/>
      <c r="D26" s="472"/>
      <c r="E26" s="147"/>
      <c r="F26" s="527"/>
      <c r="G26" s="147">
        <v>139193.04999999999</v>
      </c>
      <c r="H26" s="474"/>
      <c r="I26" s="593">
        <v>-1187.8800000000001</v>
      </c>
      <c r="J26" s="472"/>
      <c r="K26" s="147">
        <f t="shared" si="2"/>
        <v>138005.16999999998</v>
      </c>
    </row>
    <row r="27" spans="1:11">
      <c r="A27" s="568">
        <f t="shared" si="1"/>
        <v>16</v>
      </c>
      <c r="B27" s="472" t="s">
        <v>862</v>
      </c>
      <c r="C27" s="472"/>
      <c r="D27" s="472"/>
      <c r="E27" s="147"/>
      <c r="F27" s="527"/>
      <c r="G27" s="147">
        <v>10431.459999999999</v>
      </c>
      <c r="H27" s="474"/>
      <c r="I27" s="593">
        <v>-719.58</v>
      </c>
      <c r="J27" s="472"/>
      <c r="K27" s="147">
        <f t="shared" si="2"/>
        <v>9711.8799999999992</v>
      </c>
    </row>
    <row r="28" spans="1:11">
      <c r="A28" s="568">
        <f t="shared" si="1"/>
        <v>17</v>
      </c>
      <c r="B28" s="472" t="s">
        <v>1001</v>
      </c>
      <c r="C28" s="472"/>
      <c r="D28" s="472"/>
      <c r="E28" s="147">
        <v>14357.17</v>
      </c>
      <c r="F28" s="527"/>
      <c r="G28" s="147">
        <v>10981.93</v>
      </c>
      <c r="H28" s="474"/>
      <c r="I28" s="593">
        <v>-2844.02</v>
      </c>
      <c r="J28" s="472"/>
      <c r="K28" s="147">
        <f t="shared" si="2"/>
        <v>22495.079999999998</v>
      </c>
    </row>
    <row r="29" spans="1:11">
      <c r="A29" s="568">
        <f t="shared" si="1"/>
        <v>18</v>
      </c>
      <c r="B29" s="472" t="s">
        <v>1221</v>
      </c>
      <c r="C29" s="472"/>
      <c r="D29" s="472"/>
      <c r="E29" s="147"/>
      <c r="F29" s="527"/>
      <c r="G29" s="147"/>
      <c r="H29" s="474"/>
      <c r="I29" s="593">
        <v>-23281.7</v>
      </c>
      <c r="J29" s="472"/>
      <c r="K29" s="147">
        <f t="shared" ref="K29" si="6">SUM(E29:I29)</f>
        <v>-23281.7</v>
      </c>
    </row>
    <row r="30" spans="1:11">
      <c r="A30" s="568">
        <f t="shared" si="1"/>
        <v>19</v>
      </c>
      <c r="B30" s="472" t="s">
        <v>1229</v>
      </c>
      <c r="C30" s="472"/>
      <c r="D30" s="472"/>
      <c r="E30" s="147"/>
      <c r="F30" s="527"/>
      <c r="G30" s="147"/>
      <c r="H30" s="474"/>
      <c r="I30" s="593">
        <v>-1144.56</v>
      </c>
      <c r="J30" s="472"/>
      <c r="K30" s="147">
        <f t="shared" si="2"/>
        <v>-1144.56</v>
      </c>
    </row>
    <row r="31" spans="1:11">
      <c r="A31" s="568">
        <f t="shared" si="1"/>
        <v>20</v>
      </c>
      <c r="B31" s="472" t="s">
        <v>1232</v>
      </c>
      <c r="C31" s="472"/>
      <c r="D31" s="472"/>
      <c r="E31" s="147">
        <v>1170195.82</v>
      </c>
      <c r="F31" s="527"/>
      <c r="G31" s="147">
        <v>1501665.9</v>
      </c>
      <c r="H31" s="474"/>
      <c r="I31" s="593">
        <v>-1783.44</v>
      </c>
      <c r="J31" s="472"/>
      <c r="K31" s="147">
        <f t="shared" ref="K31" si="7">SUM(E31:I31)</f>
        <v>2670078.2799999998</v>
      </c>
    </row>
    <row r="32" spans="1:11">
      <c r="A32" s="568">
        <f t="shared" si="1"/>
        <v>21</v>
      </c>
      <c r="B32" s="472" t="s">
        <v>1220</v>
      </c>
      <c r="C32" s="472"/>
      <c r="D32" s="472"/>
      <c r="E32" s="147"/>
      <c r="F32" s="527"/>
      <c r="G32" s="147">
        <v>12365.52</v>
      </c>
      <c r="H32" s="474"/>
      <c r="I32" s="593">
        <v>-14169.08</v>
      </c>
      <c r="J32" s="472"/>
      <c r="K32" s="147">
        <f t="shared" si="2"/>
        <v>-1803.5599999999995</v>
      </c>
    </row>
    <row r="33" spans="1:11">
      <c r="A33" s="568">
        <f t="shared" si="1"/>
        <v>22</v>
      </c>
      <c r="B33" s="472" t="s">
        <v>1222</v>
      </c>
      <c r="C33" s="472"/>
      <c r="D33" s="472"/>
      <c r="E33" s="147"/>
      <c r="F33" s="527"/>
      <c r="G33" s="147">
        <v>4124.1000000000004</v>
      </c>
      <c r="H33" s="474"/>
      <c r="I33" s="593">
        <v>-4.25</v>
      </c>
      <c r="J33" s="472"/>
      <c r="K33" s="147">
        <f t="shared" ref="K33" si="8">SUM(E33:I33)</f>
        <v>4119.8500000000004</v>
      </c>
    </row>
    <row r="34" spans="1:11">
      <c r="A34" s="568">
        <f t="shared" si="1"/>
        <v>23</v>
      </c>
      <c r="B34" s="472" t="s">
        <v>1002</v>
      </c>
      <c r="C34" s="472"/>
      <c r="D34" s="472"/>
      <c r="E34" s="147">
        <v>15379.83</v>
      </c>
      <c r="F34" s="527"/>
      <c r="G34" s="147">
        <v>13424.88</v>
      </c>
      <c r="H34" s="474"/>
      <c r="I34" s="593">
        <v>-96.49</v>
      </c>
      <c r="J34" s="472"/>
      <c r="K34" s="147">
        <f t="shared" si="2"/>
        <v>28708.219999999998</v>
      </c>
    </row>
    <row r="35" spans="1:11">
      <c r="A35" s="568">
        <f t="shared" si="1"/>
        <v>24</v>
      </c>
      <c r="B35" s="472" t="s">
        <v>1003</v>
      </c>
      <c r="C35" s="472"/>
      <c r="D35" s="472"/>
      <c r="E35" s="147"/>
      <c r="F35" s="527"/>
      <c r="G35" s="147">
        <v>14580.84</v>
      </c>
      <c r="H35" s="474"/>
      <c r="I35" s="593"/>
      <c r="J35" s="472"/>
      <c r="K35" s="147">
        <f t="shared" si="2"/>
        <v>14580.84</v>
      </c>
    </row>
    <row r="36" spans="1:11">
      <c r="A36" s="568">
        <f t="shared" si="1"/>
        <v>25</v>
      </c>
      <c r="B36" s="472" t="s">
        <v>950</v>
      </c>
      <c r="C36" s="472"/>
      <c r="D36" s="472"/>
      <c r="E36" s="147"/>
      <c r="F36" s="527"/>
      <c r="G36" s="147">
        <v>222793.1</v>
      </c>
      <c r="H36" s="474"/>
      <c r="I36" s="593">
        <v>-418.96</v>
      </c>
      <c r="J36" s="472"/>
      <c r="K36" s="147">
        <f t="shared" si="2"/>
        <v>222374.14</v>
      </c>
    </row>
    <row r="37" spans="1:11">
      <c r="A37" s="568">
        <f t="shared" si="1"/>
        <v>26</v>
      </c>
      <c r="B37" s="472" t="s">
        <v>1233</v>
      </c>
      <c r="C37" s="472"/>
      <c r="D37" s="472"/>
      <c r="E37" s="147"/>
      <c r="F37" s="527"/>
      <c r="G37" s="147">
        <v>4.6399999999999997</v>
      </c>
      <c r="H37" s="474"/>
      <c r="I37" s="593"/>
      <c r="J37" s="472"/>
      <c r="K37" s="147">
        <f t="shared" ref="K37" si="9">SUM(E37:I37)</f>
        <v>4.6399999999999997</v>
      </c>
    </row>
    <row r="38" spans="1:11">
      <c r="A38" s="568">
        <f t="shared" si="1"/>
        <v>27</v>
      </c>
      <c r="B38" s="472" t="s">
        <v>1004</v>
      </c>
      <c r="C38" s="472"/>
      <c r="D38" s="472"/>
      <c r="E38" s="147"/>
      <c r="F38" s="527"/>
      <c r="G38" s="147">
        <v>40677.58</v>
      </c>
      <c r="H38" s="474"/>
      <c r="I38" s="593">
        <v>-164.31</v>
      </c>
      <c r="J38" s="472"/>
      <c r="K38" s="147">
        <f t="shared" si="2"/>
        <v>40513.270000000004</v>
      </c>
    </row>
    <row r="39" spans="1:11">
      <c r="A39" s="568">
        <f t="shared" si="1"/>
        <v>28</v>
      </c>
      <c r="B39" s="472" t="s">
        <v>984</v>
      </c>
      <c r="C39" s="472"/>
      <c r="D39" s="472"/>
      <c r="E39" s="147">
        <f>3818091.14+1422092.92</f>
        <v>5240184.0600000005</v>
      </c>
      <c r="F39" s="527"/>
      <c r="G39" s="147">
        <f>1011860.58+2700626.58</f>
        <v>3712487.16</v>
      </c>
      <c r="H39" s="474"/>
      <c r="I39" s="147"/>
      <c r="J39" s="472"/>
      <c r="K39" s="147">
        <f t="shared" si="2"/>
        <v>8952671.2200000007</v>
      </c>
    </row>
    <row r="40" spans="1:11">
      <c r="A40" s="568">
        <f t="shared" si="1"/>
        <v>29</v>
      </c>
      <c r="B40" s="472"/>
      <c r="C40" s="472"/>
      <c r="D40" s="472"/>
      <c r="E40" s="472"/>
      <c r="F40" s="472"/>
      <c r="G40" s="472"/>
      <c r="H40" s="472"/>
      <c r="I40" s="472"/>
      <c r="J40" s="472"/>
      <c r="K40" s="147"/>
    </row>
    <row r="41" spans="1:11">
      <c r="A41" s="568">
        <f t="shared" si="1"/>
        <v>30</v>
      </c>
      <c r="B41" s="472" t="s">
        <v>552</v>
      </c>
      <c r="C41" s="147"/>
      <c r="D41" s="472"/>
      <c r="E41" s="475">
        <f>SUM(E12:E39)</f>
        <v>8248460.4100000001</v>
      </c>
      <c r="F41" s="472"/>
      <c r="G41" s="475">
        <f>SUM(G12:G39)</f>
        <v>11211623.839999998</v>
      </c>
      <c r="H41" s="472"/>
      <c r="I41" s="475">
        <f>SUM(I12:I39)</f>
        <v>-212768.72999999995</v>
      </c>
      <c r="J41" s="147">
        <f>SUM(J11:J38)</f>
        <v>0</v>
      </c>
      <c r="K41" s="147"/>
    </row>
    <row r="42" spans="1:11">
      <c r="A42" s="568">
        <f t="shared" si="1"/>
        <v>31</v>
      </c>
      <c r="K42" s="178"/>
    </row>
    <row r="43" spans="1:11">
      <c r="A43" s="568">
        <f t="shared" si="1"/>
        <v>32</v>
      </c>
      <c r="B43" s="472" t="s">
        <v>35</v>
      </c>
      <c r="K43" s="197">
        <f>SUM(K12:K39)</f>
        <v>19247315.520000003</v>
      </c>
    </row>
    <row r="44" spans="1:11">
      <c r="K44" s="178"/>
    </row>
    <row r="45" spans="1:11">
      <c r="K45" s="178"/>
    </row>
    <row r="46" spans="1:11">
      <c r="E46" s="194"/>
      <c r="F46" s="194"/>
      <c r="G46" s="194"/>
      <c r="H46" s="194"/>
      <c r="I46" s="194"/>
      <c r="J46" s="194"/>
      <c r="K46" s="194"/>
    </row>
    <row r="47" spans="1:11">
      <c r="B47" s="153" t="s">
        <v>985</v>
      </c>
    </row>
    <row r="48" spans="1:11">
      <c r="B48" s="153" t="s">
        <v>1234</v>
      </c>
    </row>
    <row r="51" spans="2:2">
      <c r="B51" s="178"/>
    </row>
    <row r="53" spans="2:2">
      <c r="B53" s="154"/>
    </row>
  </sheetData>
  <sheetProtection formatCells="0"/>
  <mergeCells count="4">
    <mergeCell ref="A1:K1"/>
    <mergeCell ref="A2:K2"/>
    <mergeCell ref="A3:K3"/>
    <mergeCell ref="A4:K4"/>
  </mergeCells>
  <phoneticPr fontId="16" type="noConversion"/>
  <printOptions horizontalCentered="1"/>
  <pageMargins left="0.75" right="0.75" top="1" bottom="1" header="0.5" footer="0.5"/>
  <pageSetup scale="71" orientation="portrait" r:id="rId1"/>
  <headerFooter alignWithMargins="0">
    <oddHeader>&amp;CIDAHO POWER COMPANY
Transmission Cost of Service Rate Development
12 Months Ended 12/31/2014</oddHeader>
  </headerFooter>
</worksheet>
</file>

<file path=xl/worksheets/sheet33.xml><?xml version="1.0" encoding="utf-8"?>
<worksheet xmlns="http://schemas.openxmlformats.org/spreadsheetml/2006/main" xmlns:r="http://schemas.openxmlformats.org/officeDocument/2006/relationships">
  <sheetPr codeName="Sheet34"/>
  <dimension ref="A1:N20"/>
  <sheetViews>
    <sheetView zoomScaleNormal="100" zoomScaleSheetLayoutView="100" workbookViewId="0">
      <selection sqref="A1:F1"/>
    </sheetView>
  </sheetViews>
  <sheetFormatPr defaultRowHeight="12.75"/>
  <cols>
    <col min="1" max="1" width="2.85546875" style="178" customWidth="1"/>
    <col min="2" max="2" width="32.42578125" style="178" bestFit="1" customWidth="1"/>
    <col min="3" max="3" width="9.140625" style="178"/>
    <col min="4" max="4" width="11.5703125" style="178" bestFit="1" customWidth="1"/>
    <col min="5" max="5" width="10.140625" style="178" bestFit="1" customWidth="1"/>
    <col min="6" max="6" width="11.140625" style="178" bestFit="1" customWidth="1"/>
    <col min="7" max="16384" width="9.140625" style="178"/>
  </cols>
  <sheetData>
    <row r="1" spans="1:14">
      <c r="A1" s="661" t="s">
        <v>387</v>
      </c>
      <c r="B1" s="661"/>
      <c r="C1" s="661"/>
      <c r="D1" s="661"/>
      <c r="E1" s="661"/>
      <c r="F1" s="661"/>
      <c r="G1" s="352"/>
      <c r="H1" s="352"/>
      <c r="I1" s="352"/>
      <c r="J1" s="352"/>
      <c r="K1" s="352"/>
      <c r="L1" s="352"/>
      <c r="M1" s="352"/>
      <c r="N1" s="352"/>
    </row>
    <row r="2" spans="1:14">
      <c r="A2" s="661" t="s">
        <v>385</v>
      </c>
      <c r="B2" s="661"/>
      <c r="C2" s="661"/>
      <c r="D2" s="661"/>
      <c r="E2" s="661"/>
      <c r="F2" s="661"/>
      <c r="G2" s="352"/>
      <c r="H2" s="352"/>
      <c r="I2" s="352"/>
      <c r="J2" s="352"/>
      <c r="K2" s="352"/>
      <c r="L2" s="352"/>
      <c r="M2" s="352"/>
      <c r="N2" s="352"/>
    </row>
    <row r="3" spans="1:14">
      <c r="A3" s="661" t="s">
        <v>931</v>
      </c>
      <c r="B3" s="661"/>
      <c r="C3" s="661"/>
      <c r="D3" s="661"/>
      <c r="E3" s="661"/>
      <c r="F3" s="661"/>
      <c r="G3" s="352"/>
      <c r="H3" s="352"/>
      <c r="I3" s="352"/>
      <c r="J3" s="352"/>
      <c r="K3" s="352"/>
      <c r="L3" s="352"/>
      <c r="M3" s="352"/>
      <c r="N3" s="352"/>
    </row>
    <row r="4" spans="1:14" s="153" customFormat="1">
      <c r="A4" s="661" t="s">
        <v>1172</v>
      </c>
      <c r="B4" s="661"/>
      <c r="C4" s="661"/>
      <c r="D4" s="661"/>
      <c r="E4" s="661"/>
      <c r="F4" s="661"/>
      <c r="G4" s="352"/>
      <c r="H4" s="352"/>
      <c r="I4" s="352"/>
      <c r="J4" s="352"/>
      <c r="K4" s="352"/>
      <c r="L4" s="352"/>
      <c r="M4" s="352"/>
      <c r="N4" s="352"/>
    </row>
    <row r="6" spans="1:14">
      <c r="D6" s="243">
        <v>2014</v>
      </c>
    </row>
    <row r="7" spans="1:14">
      <c r="A7" s="574">
        <v>1</v>
      </c>
      <c r="B7" s="178" t="s">
        <v>986</v>
      </c>
      <c r="D7" s="262">
        <v>7500.7</v>
      </c>
      <c r="F7" s="91"/>
    </row>
    <row r="8" spans="1:14">
      <c r="A8" s="574">
        <v>2</v>
      </c>
      <c r="B8" s="178" t="s">
        <v>1243</v>
      </c>
      <c r="D8" s="262">
        <v>4818200</v>
      </c>
      <c r="F8" s="262"/>
    </row>
    <row r="9" spans="1:14">
      <c r="A9" s="574">
        <v>3</v>
      </c>
      <c r="B9" s="178" t="s">
        <v>1232</v>
      </c>
      <c r="D9" s="262">
        <v>162040.81</v>
      </c>
      <c r="F9" s="262"/>
    </row>
    <row r="10" spans="1:14" s="21" customFormat="1">
      <c r="A10" s="135">
        <f>A9+1</f>
        <v>4</v>
      </c>
      <c r="B10" s="21" t="s">
        <v>1386</v>
      </c>
      <c r="D10" s="591">
        <v>-8758</v>
      </c>
      <c r="F10" s="561"/>
    </row>
    <row r="11" spans="1:14">
      <c r="A11" s="135">
        <f t="shared" ref="A11:A15" si="0">A10+1</f>
        <v>5</v>
      </c>
      <c r="B11" s="178" t="s">
        <v>968</v>
      </c>
      <c r="D11" s="262">
        <v>641095</v>
      </c>
      <c r="F11" s="262"/>
    </row>
    <row r="12" spans="1:14">
      <c r="A12" s="135">
        <f t="shared" si="0"/>
        <v>6</v>
      </c>
      <c r="B12" s="178" t="s">
        <v>1050</v>
      </c>
      <c r="D12" s="262">
        <v>4198538</v>
      </c>
      <c r="E12" s="574"/>
      <c r="F12" s="262"/>
    </row>
    <row r="13" spans="1:14">
      <c r="A13" s="135">
        <f t="shared" si="0"/>
        <v>7</v>
      </c>
      <c r="B13" s="178" t="s">
        <v>969</v>
      </c>
      <c r="D13" s="262">
        <v>1189719</v>
      </c>
      <c r="F13" s="469"/>
    </row>
    <row r="14" spans="1:14">
      <c r="A14" s="135">
        <f t="shared" si="0"/>
        <v>8</v>
      </c>
      <c r="D14" s="175"/>
    </row>
    <row r="15" spans="1:14">
      <c r="A15" s="135">
        <f t="shared" si="0"/>
        <v>9</v>
      </c>
      <c r="B15" s="178" t="s">
        <v>552</v>
      </c>
      <c r="D15" s="91">
        <f>SUM(D7:D14)</f>
        <v>11008335.51</v>
      </c>
      <c r="F15" s="91"/>
    </row>
    <row r="16" spans="1:14">
      <c r="D16" s="91"/>
    </row>
    <row r="20" spans="2:2">
      <c r="B20" s="592"/>
    </row>
  </sheetData>
  <sheetProtection formatCells="0"/>
  <mergeCells count="4">
    <mergeCell ref="A1:F1"/>
    <mergeCell ref="A2:F2"/>
    <mergeCell ref="A3:F3"/>
    <mergeCell ref="A4:F4"/>
  </mergeCells>
  <phoneticPr fontId="16" type="noConversion"/>
  <printOptions horizontalCentered="1"/>
  <pageMargins left="0.75" right="0.75" top="1" bottom="1" header="0.5" footer="0.5"/>
  <pageSetup scale="71" orientation="portrait" r:id="rId1"/>
  <headerFooter alignWithMargins="0">
    <oddHeader>&amp;CIDAHO POWER COMPANY
Transmission Cost of Service Rate Development
12 Months Ended 12/31/2014</oddHeader>
  </headerFooter>
  <ignoredErrors>
    <ignoredError sqref="D15" formulaRange="1"/>
  </ignoredErrors>
</worksheet>
</file>

<file path=xl/worksheets/sheet34.xml><?xml version="1.0" encoding="utf-8"?>
<worksheet xmlns="http://schemas.openxmlformats.org/spreadsheetml/2006/main" xmlns:r="http://schemas.openxmlformats.org/officeDocument/2006/relationships">
  <sheetPr codeName="Sheet35">
    <pageSetUpPr fitToPage="1"/>
  </sheetPr>
  <dimension ref="A1:N59"/>
  <sheetViews>
    <sheetView zoomScale="90" zoomScaleNormal="90" zoomScaleSheetLayoutView="100" workbookViewId="0">
      <selection activeCell="A26" sqref="A26:H26"/>
    </sheetView>
  </sheetViews>
  <sheetFormatPr defaultRowHeight="12.75"/>
  <cols>
    <col min="1" max="1" width="15.28515625" style="159" bestFit="1" customWidth="1"/>
    <col min="2" max="2" width="15.85546875" style="568" customWidth="1"/>
    <col min="3" max="3" width="13.85546875" style="568" customWidth="1"/>
    <col min="4" max="4" width="18.7109375" style="568" customWidth="1"/>
    <col min="5" max="5" width="15.85546875" style="568" customWidth="1"/>
    <col min="6" max="6" width="17.5703125" style="153" customWidth="1"/>
    <col min="7" max="7" width="19.42578125" style="153" customWidth="1"/>
    <col min="8" max="8" width="15" style="153" customWidth="1"/>
    <col min="9" max="16384" width="9.140625" style="153"/>
  </cols>
  <sheetData>
    <row r="1" spans="1:14">
      <c r="A1" s="645" t="s">
        <v>30</v>
      </c>
      <c r="B1" s="645"/>
      <c r="C1" s="645"/>
      <c r="D1" s="645"/>
      <c r="E1" s="645"/>
      <c r="F1" s="645"/>
      <c r="G1" s="645"/>
      <c r="H1" s="645"/>
    </row>
    <row r="2" spans="1:14">
      <c r="A2" s="645" t="s">
        <v>386</v>
      </c>
      <c r="B2" s="645"/>
      <c r="C2" s="645"/>
      <c r="D2" s="645"/>
      <c r="E2" s="645"/>
      <c r="F2" s="645"/>
      <c r="G2" s="645"/>
      <c r="H2" s="645"/>
    </row>
    <row r="3" spans="1:14">
      <c r="A3" s="645" t="str">
        <f>'Schedule 1 Workpaper'!A3:F3</f>
        <v>12 Months Ended 12/31/2014</v>
      </c>
      <c r="B3" s="645"/>
      <c r="C3" s="645"/>
      <c r="D3" s="645"/>
      <c r="E3" s="645"/>
      <c r="F3" s="645"/>
      <c r="G3" s="645"/>
      <c r="H3" s="645"/>
      <c r="I3" s="568"/>
      <c r="J3" s="568"/>
      <c r="K3" s="568"/>
      <c r="L3" s="568"/>
      <c r="M3" s="568"/>
      <c r="N3" s="568"/>
    </row>
    <row r="4" spans="1:14">
      <c r="F4" s="568"/>
      <c r="G4" s="568"/>
      <c r="H4" s="568"/>
    </row>
    <row r="5" spans="1:14">
      <c r="C5" s="569"/>
      <c r="F5" s="568"/>
      <c r="G5" s="568"/>
      <c r="H5" s="568"/>
    </row>
    <row r="6" spans="1:14">
      <c r="A6" s="665" t="s">
        <v>987</v>
      </c>
      <c r="B6" s="647"/>
      <c r="C6" s="647"/>
      <c r="D6" s="647"/>
      <c r="E6" s="647"/>
      <c r="F6" s="647"/>
      <c r="G6" s="647"/>
      <c r="H6" s="666"/>
    </row>
    <row r="7" spans="1:14">
      <c r="A7" s="219"/>
      <c r="B7" s="574"/>
      <c r="C7" s="574" t="s">
        <v>467</v>
      </c>
      <c r="D7" s="574"/>
      <c r="E7" s="574"/>
      <c r="F7" s="574" t="s">
        <v>412</v>
      </c>
      <c r="G7" s="178"/>
      <c r="H7" s="220"/>
    </row>
    <row r="8" spans="1:14">
      <c r="A8" s="219"/>
      <c r="B8" s="574" t="s">
        <v>467</v>
      </c>
      <c r="C8" s="574" t="s">
        <v>468</v>
      </c>
      <c r="D8" s="574" t="s">
        <v>805</v>
      </c>
      <c r="E8" s="574" t="s">
        <v>533</v>
      </c>
      <c r="F8" s="574" t="s">
        <v>816</v>
      </c>
      <c r="G8" s="574" t="s">
        <v>805</v>
      </c>
      <c r="H8" s="575" t="s">
        <v>816</v>
      </c>
    </row>
    <row r="9" spans="1:14">
      <c r="A9" s="219"/>
      <c r="B9" s="221" t="s">
        <v>819</v>
      </c>
      <c r="C9" s="221" t="s">
        <v>469</v>
      </c>
      <c r="D9" s="221" t="s">
        <v>546</v>
      </c>
      <c r="E9" s="221" t="s">
        <v>534</v>
      </c>
      <c r="F9" s="221" t="s">
        <v>817</v>
      </c>
      <c r="G9" s="221" t="s">
        <v>1389</v>
      </c>
      <c r="H9" s="222" t="s">
        <v>817</v>
      </c>
    </row>
    <row r="10" spans="1:14">
      <c r="A10" s="219"/>
      <c r="B10" s="574" t="s">
        <v>806</v>
      </c>
      <c r="C10" s="574" t="s">
        <v>807</v>
      </c>
      <c r="D10" s="574" t="s">
        <v>808</v>
      </c>
      <c r="E10" s="574" t="s">
        <v>809</v>
      </c>
      <c r="F10" s="574" t="s">
        <v>810</v>
      </c>
      <c r="G10" s="178"/>
      <c r="H10" s="575"/>
    </row>
    <row r="11" spans="1:14">
      <c r="A11" s="219" t="s">
        <v>455</v>
      </c>
      <c r="B11" s="574">
        <v>3687</v>
      </c>
      <c r="C11" s="230">
        <v>217</v>
      </c>
      <c r="D11" s="574">
        <f>567</f>
        <v>567</v>
      </c>
      <c r="E11" s="574">
        <v>320</v>
      </c>
      <c r="F11" s="574">
        <f t="shared" ref="F11:F22" si="0">SUM(B11:E11)</f>
        <v>4791</v>
      </c>
      <c r="G11" s="574">
        <f>'Schedule 5'!G54+'Schedule 5'!H54+'Schedule 5'!I54</f>
        <v>0</v>
      </c>
      <c r="H11" s="575">
        <f>F11+G11</f>
        <v>4791</v>
      </c>
    </row>
    <row r="12" spans="1:14">
      <c r="A12" s="219" t="s">
        <v>456</v>
      </c>
      <c r="B12" s="574">
        <v>3597</v>
      </c>
      <c r="C12" s="230">
        <v>220</v>
      </c>
      <c r="D12" s="574">
        <f>567</f>
        <v>567</v>
      </c>
      <c r="E12" s="574">
        <v>325</v>
      </c>
      <c r="F12" s="574">
        <f t="shared" si="0"/>
        <v>4709</v>
      </c>
      <c r="G12" s="574">
        <f>'Schedule 5'!G55+'Schedule 5'!H55+'Schedule 5'!I55</f>
        <v>0</v>
      </c>
      <c r="H12" s="575">
        <f t="shared" ref="H12:H22" si="1">F12+G12</f>
        <v>4709</v>
      </c>
    </row>
    <row r="13" spans="1:14">
      <c r="A13" s="219" t="s">
        <v>457</v>
      </c>
      <c r="B13" s="574">
        <v>3097</v>
      </c>
      <c r="C13" s="230">
        <v>190</v>
      </c>
      <c r="D13" s="574">
        <f>567</f>
        <v>567</v>
      </c>
      <c r="E13" s="574">
        <v>523</v>
      </c>
      <c r="F13" s="574">
        <f t="shared" si="0"/>
        <v>4377</v>
      </c>
      <c r="G13" s="574">
        <f>'Schedule 5'!G56+'Schedule 5'!H56+'Schedule 5'!I56</f>
        <v>0</v>
      </c>
      <c r="H13" s="575">
        <f t="shared" si="1"/>
        <v>4377</v>
      </c>
    </row>
    <row r="14" spans="1:14">
      <c r="A14" s="219" t="s">
        <v>458</v>
      </c>
      <c r="B14" s="574">
        <v>2827</v>
      </c>
      <c r="C14" s="230">
        <v>159</v>
      </c>
      <c r="D14" s="574">
        <f>567</f>
        <v>567</v>
      </c>
      <c r="E14" s="574">
        <v>628</v>
      </c>
      <c r="F14" s="574">
        <f t="shared" si="0"/>
        <v>4181</v>
      </c>
      <c r="G14" s="574">
        <f>'Schedule 5'!G57+'Schedule 5'!H57+'Schedule 5'!I57</f>
        <v>0</v>
      </c>
      <c r="H14" s="575">
        <f t="shared" si="1"/>
        <v>4181</v>
      </c>
    </row>
    <row r="15" spans="1:14">
      <c r="A15" s="219" t="s">
        <v>459</v>
      </c>
      <c r="B15" s="574">
        <v>3488</v>
      </c>
      <c r="C15" s="230">
        <v>284</v>
      </c>
      <c r="D15" s="574">
        <f>567</f>
        <v>567</v>
      </c>
      <c r="E15" s="574">
        <v>479</v>
      </c>
      <c r="F15" s="574">
        <f t="shared" si="0"/>
        <v>4818</v>
      </c>
      <c r="G15" s="574">
        <f>'Schedule 5'!G58+'Schedule 5'!H58+'Schedule 5'!I58</f>
        <v>0</v>
      </c>
      <c r="H15" s="575">
        <f t="shared" si="1"/>
        <v>4818</v>
      </c>
    </row>
    <row r="16" spans="1:14">
      <c r="A16" s="219" t="s">
        <v>460</v>
      </c>
      <c r="B16" s="574">
        <v>4364</v>
      </c>
      <c r="C16" s="230">
        <v>342</v>
      </c>
      <c r="D16" s="574">
        <f>567</f>
        <v>567</v>
      </c>
      <c r="E16" s="574">
        <v>223</v>
      </c>
      <c r="F16" s="574">
        <f t="shared" si="0"/>
        <v>5496</v>
      </c>
      <c r="G16" s="574">
        <f>'Schedule 5'!G59+'Schedule 5'!H59+'Schedule 5'!I59</f>
        <v>0</v>
      </c>
      <c r="H16" s="575">
        <f t="shared" si="1"/>
        <v>5496</v>
      </c>
    </row>
    <row r="17" spans="1:10">
      <c r="A17" s="219" t="s">
        <v>461</v>
      </c>
      <c r="B17" s="574">
        <v>4769</v>
      </c>
      <c r="C17" s="230">
        <v>357</v>
      </c>
      <c r="D17" s="574">
        <f>463</f>
        <v>463</v>
      </c>
      <c r="E17" s="574">
        <v>227</v>
      </c>
      <c r="F17" s="574">
        <f t="shared" si="0"/>
        <v>5816</v>
      </c>
      <c r="G17" s="574">
        <f>'Schedule 5'!G60+'Schedule 5'!H60+'Schedule 5'!I60</f>
        <v>0</v>
      </c>
      <c r="H17" s="575">
        <f t="shared" si="1"/>
        <v>5816</v>
      </c>
    </row>
    <row r="18" spans="1:10">
      <c r="A18" s="219" t="s">
        <v>462</v>
      </c>
      <c r="B18" s="574">
        <v>4413</v>
      </c>
      <c r="C18" s="230">
        <v>274</v>
      </c>
      <c r="D18" s="574">
        <f>463</f>
        <v>463</v>
      </c>
      <c r="E18" s="574">
        <v>179</v>
      </c>
      <c r="F18" s="574">
        <f t="shared" si="0"/>
        <v>5329</v>
      </c>
      <c r="G18" s="574">
        <f>'Schedule 5'!G61+'Schedule 5'!H61+'Schedule 5'!I61</f>
        <v>0</v>
      </c>
      <c r="H18" s="575">
        <f t="shared" si="1"/>
        <v>5329</v>
      </c>
    </row>
    <row r="19" spans="1:10">
      <c r="A19" s="219" t="s">
        <v>463</v>
      </c>
      <c r="B19" s="574">
        <v>4092</v>
      </c>
      <c r="C19" s="230">
        <v>248</v>
      </c>
      <c r="D19" s="574">
        <f>463</f>
        <v>463</v>
      </c>
      <c r="E19" s="574">
        <v>176</v>
      </c>
      <c r="F19" s="574">
        <f t="shared" si="0"/>
        <v>4979</v>
      </c>
      <c r="G19" s="574">
        <f>'Schedule 5'!G62+'Schedule 5'!H62+'Schedule 5'!I62</f>
        <v>0</v>
      </c>
      <c r="H19" s="575">
        <f t="shared" si="1"/>
        <v>4979</v>
      </c>
    </row>
    <row r="20" spans="1:10">
      <c r="A20" s="219" t="s">
        <v>464</v>
      </c>
      <c r="B20" s="574">
        <v>3345</v>
      </c>
      <c r="C20" s="230">
        <v>162</v>
      </c>
      <c r="D20" s="574">
        <f>463</f>
        <v>463</v>
      </c>
      <c r="E20" s="574">
        <v>205</v>
      </c>
      <c r="F20" s="574">
        <f t="shared" si="0"/>
        <v>4175</v>
      </c>
      <c r="G20" s="574">
        <f>'Schedule 5'!G63+'Schedule 5'!H63+'Schedule 5'!I63</f>
        <v>0</v>
      </c>
      <c r="H20" s="575">
        <f t="shared" si="1"/>
        <v>4175</v>
      </c>
    </row>
    <row r="21" spans="1:10">
      <c r="A21" s="219" t="s">
        <v>465</v>
      </c>
      <c r="B21" s="574">
        <v>4012</v>
      </c>
      <c r="C21" s="230">
        <v>244</v>
      </c>
      <c r="D21" s="574">
        <f>463</f>
        <v>463</v>
      </c>
      <c r="E21" s="574">
        <v>73</v>
      </c>
      <c r="F21" s="574">
        <f t="shared" si="0"/>
        <v>4792</v>
      </c>
      <c r="G21" s="574">
        <f>'Schedule 5'!G64+'Schedule 5'!H64+'Schedule 5'!I64</f>
        <v>0</v>
      </c>
      <c r="H21" s="575">
        <f t="shared" si="1"/>
        <v>4792</v>
      </c>
    </row>
    <row r="22" spans="1:10">
      <c r="A22" s="219" t="s">
        <v>466</v>
      </c>
      <c r="B22" s="574">
        <v>3896</v>
      </c>
      <c r="C22" s="230">
        <v>234</v>
      </c>
      <c r="D22" s="574">
        <f>463</f>
        <v>463</v>
      </c>
      <c r="E22" s="574">
        <v>109</v>
      </c>
      <c r="F22" s="574">
        <f t="shared" si="0"/>
        <v>4702</v>
      </c>
      <c r="G22" s="574">
        <f>'Schedule 5'!G65+'Schedule 5'!H65+'Schedule 5'!I65</f>
        <v>0</v>
      </c>
      <c r="H22" s="575">
        <f t="shared" si="1"/>
        <v>4702</v>
      </c>
    </row>
    <row r="23" spans="1:10">
      <c r="A23" s="219"/>
      <c r="B23" s="574"/>
      <c r="C23" s="574"/>
      <c r="D23" s="574"/>
      <c r="E23" s="574"/>
      <c r="F23" s="574"/>
      <c r="G23" s="178"/>
      <c r="H23" s="220"/>
      <c r="J23" s="590"/>
    </row>
    <row r="24" spans="1:10">
      <c r="A24" s="219" t="s">
        <v>535</v>
      </c>
      <c r="B24" s="574">
        <f>ROUND(SUM(B11:B23)/12,0)</f>
        <v>3799</v>
      </c>
      <c r="C24" s="574">
        <f>ROUND(SUM(C11:C23)/12,0)</f>
        <v>244</v>
      </c>
      <c r="D24" s="574">
        <f>ROUND(SUM(D11:D23)/12,0)</f>
        <v>515</v>
      </c>
      <c r="E24" s="574">
        <f>ROUND(SUM(E11:E23)/12,0)</f>
        <v>289</v>
      </c>
      <c r="F24" s="230">
        <f>SUM(F11:F22)/12</f>
        <v>4847.083333333333</v>
      </c>
      <c r="G24" s="230">
        <f>SUM(G11:G22)/12</f>
        <v>0</v>
      </c>
      <c r="H24" s="231">
        <f>SUM(H11:H22)/12</f>
        <v>4847.083333333333</v>
      </c>
      <c r="J24" s="590"/>
    </row>
    <row r="25" spans="1:10">
      <c r="A25" s="219"/>
      <c r="B25" s="574"/>
      <c r="C25" s="574"/>
      <c r="D25" s="574"/>
      <c r="E25" s="574"/>
      <c r="F25" s="574"/>
      <c r="G25" s="574"/>
      <c r="H25" s="575"/>
    </row>
    <row r="26" spans="1:10" ht="38.25" customHeight="1">
      <c r="A26" s="648" t="s">
        <v>1390</v>
      </c>
      <c r="B26" s="649"/>
      <c r="C26" s="649"/>
      <c r="D26" s="649"/>
      <c r="E26" s="649"/>
      <c r="F26" s="649"/>
      <c r="G26" s="649"/>
      <c r="H26" s="650"/>
    </row>
    <row r="27" spans="1:10">
      <c r="B27" s="645"/>
      <c r="C27" s="645"/>
      <c r="D27" s="645"/>
      <c r="E27" s="645"/>
      <c r="F27" s="645"/>
      <c r="G27" s="645"/>
      <c r="H27" s="645"/>
    </row>
    <row r="28" spans="1:10">
      <c r="A28" s="663"/>
      <c r="B28" s="663"/>
      <c r="C28" s="663"/>
      <c r="D28" s="663"/>
      <c r="E28" s="663"/>
      <c r="F28" s="663"/>
      <c r="G28" s="663"/>
      <c r="H28" s="178"/>
    </row>
    <row r="29" spans="1:10">
      <c r="A29" s="366"/>
      <c r="B29" s="367"/>
      <c r="C29" s="367"/>
      <c r="D29" s="367"/>
      <c r="E29" s="367"/>
      <c r="F29" s="367"/>
      <c r="G29" s="367"/>
      <c r="H29" s="368"/>
    </row>
    <row r="30" spans="1:10">
      <c r="A30" s="662" t="s">
        <v>196</v>
      </c>
      <c r="B30" s="663"/>
      <c r="C30" s="663"/>
      <c r="D30" s="663"/>
      <c r="E30" s="663"/>
      <c r="F30" s="663"/>
      <c r="G30" s="663"/>
      <c r="H30" s="664"/>
    </row>
    <row r="31" spans="1:10">
      <c r="A31" s="369"/>
      <c r="B31" s="178"/>
      <c r="C31" s="178"/>
      <c r="D31" s="178"/>
      <c r="E31" s="178"/>
      <c r="F31" s="178"/>
      <c r="G31" s="178" t="s">
        <v>412</v>
      </c>
      <c r="H31" s="220"/>
    </row>
    <row r="32" spans="1:10">
      <c r="A32" s="369"/>
      <c r="B32" s="570"/>
      <c r="C32" s="570" t="s">
        <v>467</v>
      </c>
      <c r="D32" s="570"/>
      <c r="E32" s="570"/>
      <c r="F32" s="367"/>
      <c r="G32" s="367"/>
      <c r="H32" s="368"/>
    </row>
    <row r="33" spans="1:8">
      <c r="A33" s="369"/>
      <c r="B33" s="574" t="s">
        <v>467</v>
      </c>
      <c r="C33" s="574" t="s">
        <v>468</v>
      </c>
      <c r="D33" s="574" t="s">
        <v>805</v>
      </c>
      <c r="E33" s="574"/>
      <c r="F33" s="574" t="s">
        <v>823</v>
      </c>
      <c r="G33" s="178"/>
      <c r="H33" s="575"/>
    </row>
    <row r="34" spans="1:8">
      <c r="A34" s="369"/>
      <c r="B34" s="221" t="s">
        <v>31</v>
      </c>
      <c r="C34" s="221" t="s">
        <v>469</v>
      </c>
      <c r="D34" s="221" t="s">
        <v>546</v>
      </c>
      <c r="E34" s="221" t="s">
        <v>933</v>
      </c>
      <c r="F34" s="221" t="s">
        <v>821</v>
      </c>
      <c r="G34" s="221" t="s">
        <v>343</v>
      </c>
      <c r="H34" s="222" t="s">
        <v>454</v>
      </c>
    </row>
    <row r="35" spans="1:8">
      <c r="A35" s="369"/>
      <c r="B35" s="574" t="s">
        <v>811</v>
      </c>
      <c r="C35" s="574" t="s">
        <v>812</v>
      </c>
      <c r="D35" s="370" t="s">
        <v>15</v>
      </c>
      <c r="E35" s="574" t="s">
        <v>815</v>
      </c>
      <c r="F35" s="574" t="s">
        <v>814</v>
      </c>
      <c r="G35" s="574" t="s">
        <v>813</v>
      </c>
      <c r="H35" s="575" t="s">
        <v>822</v>
      </c>
    </row>
    <row r="36" spans="1:8">
      <c r="A36" s="369" t="s">
        <v>455</v>
      </c>
      <c r="B36" s="230">
        <f>'Schedule 5'!B11</f>
        <v>2171</v>
      </c>
      <c r="C36" s="230">
        <f>'Schedule 5'!C11</f>
        <v>217</v>
      </c>
      <c r="D36" s="230">
        <f>'Schedule 5'!D11</f>
        <v>567</v>
      </c>
      <c r="E36" s="230">
        <f>'Schedule 5'!E11</f>
        <v>2955</v>
      </c>
      <c r="F36" s="230">
        <f>'Schedule 5'!F11</f>
        <v>1836</v>
      </c>
      <c r="G36" s="230">
        <f>'Schedule 5'!G11</f>
        <v>330</v>
      </c>
      <c r="H36" s="231">
        <f>'Schedule 5'!H11</f>
        <v>5121</v>
      </c>
    </row>
    <row r="37" spans="1:8">
      <c r="A37" s="369" t="s">
        <v>456</v>
      </c>
      <c r="B37" s="230">
        <f>'Schedule 5'!B12</f>
        <v>2086</v>
      </c>
      <c r="C37" s="230">
        <f>'Schedule 5'!C12</f>
        <v>220</v>
      </c>
      <c r="D37" s="230">
        <f>'Schedule 5'!D12</f>
        <v>567</v>
      </c>
      <c r="E37" s="230">
        <f>'Schedule 5'!E12</f>
        <v>2873</v>
      </c>
      <c r="F37" s="230">
        <f>'Schedule 5'!F12</f>
        <v>1836</v>
      </c>
      <c r="G37" s="230">
        <f>'Schedule 5'!G12</f>
        <v>330</v>
      </c>
      <c r="H37" s="231">
        <f>'Schedule 5'!H12</f>
        <v>5039</v>
      </c>
    </row>
    <row r="38" spans="1:8">
      <c r="A38" s="369" t="s">
        <v>457</v>
      </c>
      <c r="B38" s="230">
        <f>'Schedule 5'!B13</f>
        <v>1784</v>
      </c>
      <c r="C38" s="230">
        <f>'Schedule 5'!C13</f>
        <v>190</v>
      </c>
      <c r="D38" s="230">
        <f>'Schedule 5'!D13</f>
        <v>567</v>
      </c>
      <c r="E38" s="230">
        <f>'Schedule 5'!E13</f>
        <v>2541</v>
      </c>
      <c r="F38" s="230">
        <f>'Schedule 5'!F13</f>
        <v>1836</v>
      </c>
      <c r="G38" s="230">
        <f>'Schedule 5'!G13</f>
        <v>330</v>
      </c>
      <c r="H38" s="231">
        <f>'Schedule 5'!H13</f>
        <v>4707</v>
      </c>
    </row>
    <row r="39" spans="1:8">
      <c r="A39" s="369" t="s">
        <v>458</v>
      </c>
      <c r="B39" s="230">
        <f>'Schedule 5'!B14</f>
        <v>1619</v>
      </c>
      <c r="C39" s="230">
        <f>'Schedule 5'!C14</f>
        <v>159</v>
      </c>
      <c r="D39" s="230">
        <f>'Schedule 5'!D14</f>
        <v>567</v>
      </c>
      <c r="E39" s="230">
        <f>'Schedule 5'!E14</f>
        <v>2345</v>
      </c>
      <c r="F39" s="230">
        <f>'Schedule 5'!F14</f>
        <v>1836</v>
      </c>
      <c r="G39" s="230">
        <f>'Schedule 5'!G14</f>
        <v>330</v>
      </c>
      <c r="H39" s="231">
        <f>'Schedule 5'!H14</f>
        <v>4511</v>
      </c>
    </row>
    <row r="40" spans="1:8">
      <c r="A40" s="369" t="s">
        <v>459</v>
      </c>
      <c r="B40" s="230">
        <f>'Schedule 5'!B15</f>
        <v>2131</v>
      </c>
      <c r="C40" s="230">
        <f>'Schedule 5'!C15</f>
        <v>284</v>
      </c>
      <c r="D40" s="230">
        <f>'Schedule 5'!D15</f>
        <v>567</v>
      </c>
      <c r="E40" s="230">
        <f>'Schedule 5'!E15</f>
        <v>2982</v>
      </c>
      <c r="F40" s="230">
        <f>'Schedule 5'!F15</f>
        <v>1836</v>
      </c>
      <c r="G40" s="230">
        <f>'Schedule 5'!G15</f>
        <v>330</v>
      </c>
      <c r="H40" s="231">
        <f>'Schedule 5'!H15</f>
        <v>5148</v>
      </c>
    </row>
    <row r="41" spans="1:8">
      <c r="A41" s="369" t="s">
        <v>460</v>
      </c>
      <c r="B41" s="230">
        <f>'Schedule 5'!B16</f>
        <v>2751</v>
      </c>
      <c r="C41" s="230">
        <f>'Schedule 5'!C16</f>
        <v>342</v>
      </c>
      <c r="D41" s="230">
        <f>'Schedule 5'!D16</f>
        <v>567</v>
      </c>
      <c r="E41" s="230">
        <f>'Schedule 5'!E16</f>
        <v>3660</v>
      </c>
      <c r="F41" s="230">
        <f>'Schedule 5'!F16</f>
        <v>1836</v>
      </c>
      <c r="G41" s="230">
        <f>'Schedule 5'!G16</f>
        <v>330</v>
      </c>
      <c r="H41" s="231">
        <f>'Schedule 5'!H16</f>
        <v>5826</v>
      </c>
    </row>
    <row r="42" spans="1:8">
      <c r="A42" s="369" t="s">
        <v>461</v>
      </c>
      <c r="B42" s="230">
        <f>'Schedule 5'!B17</f>
        <v>3160</v>
      </c>
      <c r="C42" s="230">
        <f>'Schedule 5'!C17</f>
        <v>357</v>
      </c>
      <c r="D42" s="230">
        <f>'Schedule 5'!D17</f>
        <v>463</v>
      </c>
      <c r="E42" s="230">
        <f>'Schedule 5'!E17</f>
        <v>3980</v>
      </c>
      <c r="F42" s="230">
        <f>'Schedule 5'!F17</f>
        <v>1836</v>
      </c>
      <c r="G42" s="230">
        <f>'Schedule 5'!G17</f>
        <v>330</v>
      </c>
      <c r="H42" s="231">
        <f>'Schedule 5'!H17</f>
        <v>6146</v>
      </c>
    </row>
    <row r="43" spans="1:8">
      <c r="A43" s="369" t="s">
        <v>462</v>
      </c>
      <c r="B43" s="230">
        <f>'Schedule 5'!B18</f>
        <v>2756</v>
      </c>
      <c r="C43" s="230">
        <f>'Schedule 5'!C18</f>
        <v>274</v>
      </c>
      <c r="D43" s="230">
        <f>'Schedule 5'!D18</f>
        <v>463</v>
      </c>
      <c r="E43" s="230">
        <f>'Schedule 5'!E18</f>
        <v>3493</v>
      </c>
      <c r="F43" s="230">
        <f>'Schedule 5'!F18</f>
        <v>1836</v>
      </c>
      <c r="G43" s="230">
        <f>'Schedule 5'!G18</f>
        <v>330</v>
      </c>
      <c r="H43" s="231">
        <f>'Schedule 5'!H18</f>
        <v>5659</v>
      </c>
    </row>
    <row r="44" spans="1:8">
      <c r="A44" s="369" t="s">
        <v>463</v>
      </c>
      <c r="B44" s="230">
        <f>'Schedule 5'!B19</f>
        <v>2432</v>
      </c>
      <c r="C44" s="230">
        <f>'Schedule 5'!C19</f>
        <v>248</v>
      </c>
      <c r="D44" s="230">
        <f>'Schedule 5'!D19</f>
        <v>463</v>
      </c>
      <c r="E44" s="230">
        <f>'Schedule 5'!E19</f>
        <v>3143</v>
      </c>
      <c r="F44" s="230">
        <f>'Schedule 5'!F19</f>
        <v>1836</v>
      </c>
      <c r="G44" s="230">
        <f>'Schedule 5'!G19</f>
        <v>330</v>
      </c>
      <c r="H44" s="231">
        <f>'Schedule 5'!H19</f>
        <v>5309</v>
      </c>
    </row>
    <row r="45" spans="1:8">
      <c r="A45" s="369" t="s">
        <v>464</v>
      </c>
      <c r="B45" s="230">
        <f>'Schedule 5'!B20</f>
        <v>1714</v>
      </c>
      <c r="C45" s="230">
        <f>'Schedule 5'!C20</f>
        <v>162</v>
      </c>
      <c r="D45" s="230">
        <f>'Schedule 5'!D20</f>
        <v>463</v>
      </c>
      <c r="E45" s="230">
        <f>'Schedule 5'!E20</f>
        <v>2339</v>
      </c>
      <c r="F45" s="230">
        <f>'Schedule 5'!F20</f>
        <v>1836</v>
      </c>
      <c r="G45" s="230">
        <f>'Schedule 5'!G20</f>
        <v>330</v>
      </c>
      <c r="H45" s="231">
        <f>'Schedule 5'!H20</f>
        <v>4505</v>
      </c>
    </row>
    <row r="46" spans="1:8">
      <c r="A46" s="369" t="s">
        <v>465</v>
      </c>
      <c r="B46" s="230">
        <f>'Schedule 5'!B21</f>
        <v>2249</v>
      </c>
      <c r="C46" s="230">
        <f>'Schedule 5'!C21</f>
        <v>244</v>
      </c>
      <c r="D46" s="230">
        <f>'Schedule 5'!D21</f>
        <v>463</v>
      </c>
      <c r="E46" s="230">
        <f>'Schedule 5'!E21</f>
        <v>2956</v>
      </c>
      <c r="F46" s="230">
        <f>'Schedule 5'!F21</f>
        <v>1836</v>
      </c>
      <c r="G46" s="230">
        <f>'Schedule 5'!G21</f>
        <v>330</v>
      </c>
      <c r="H46" s="231">
        <f>'Schedule 5'!H21</f>
        <v>5122</v>
      </c>
    </row>
    <row r="47" spans="1:8">
      <c r="A47" s="369" t="s">
        <v>466</v>
      </c>
      <c r="B47" s="230">
        <f>'Schedule 5'!B22</f>
        <v>2169</v>
      </c>
      <c r="C47" s="230">
        <f>'Schedule 5'!C22</f>
        <v>234</v>
      </c>
      <c r="D47" s="230">
        <f>'Schedule 5'!D22</f>
        <v>463</v>
      </c>
      <c r="E47" s="230">
        <f>'Schedule 5'!E22</f>
        <v>2866</v>
      </c>
      <c r="F47" s="230">
        <f>'Schedule 5'!F22</f>
        <v>1836</v>
      </c>
      <c r="G47" s="230">
        <f>'Schedule 5'!G22</f>
        <v>330</v>
      </c>
      <c r="H47" s="231">
        <f>'Schedule 5'!H22</f>
        <v>5032</v>
      </c>
    </row>
    <row r="48" spans="1:8">
      <c r="A48" s="369"/>
      <c r="B48" s="178"/>
      <c r="C48" s="178"/>
      <c r="D48" s="178"/>
      <c r="E48" s="178"/>
      <c r="F48" s="178"/>
      <c r="G48" s="178"/>
      <c r="H48" s="231"/>
    </row>
    <row r="49" spans="1:8">
      <c r="A49" s="369" t="s">
        <v>115</v>
      </c>
      <c r="B49" s="230">
        <f t="shared" ref="B49:G49" si="2">ROUND(SUM(B36:B47)/12,0)</f>
        <v>2252</v>
      </c>
      <c r="C49" s="230">
        <f t="shared" si="2"/>
        <v>244</v>
      </c>
      <c r="D49" s="230">
        <f t="shared" si="2"/>
        <v>515</v>
      </c>
      <c r="E49" s="230">
        <f t="shared" si="2"/>
        <v>3011</v>
      </c>
      <c r="F49" s="230">
        <f t="shared" si="2"/>
        <v>1836</v>
      </c>
      <c r="G49" s="230">
        <f t="shared" si="2"/>
        <v>330</v>
      </c>
      <c r="H49" s="231">
        <f>'Schedule 5'!H24</f>
        <v>5177.0833333333339</v>
      </c>
    </row>
    <row r="50" spans="1:8">
      <c r="A50" s="369"/>
      <c r="B50" s="178"/>
      <c r="C50" s="178"/>
      <c r="D50" s="178"/>
      <c r="E50" s="178"/>
      <c r="F50" s="178"/>
      <c r="G50" s="178"/>
      <c r="H50" s="575"/>
    </row>
    <row r="51" spans="1:8">
      <c r="A51" s="667" t="s">
        <v>1385</v>
      </c>
      <c r="B51" s="668"/>
      <c r="C51" s="668"/>
      <c r="D51" s="668"/>
      <c r="E51" s="668"/>
      <c r="F51" s="668"/>
      <c r="G51" s="668"/>
      <c r="H51" s="220"/>
    </row>
    <row r="52" spans="1:8" s="568" customFormat="1">
      <c r="A52" s="667"/>
      <c r="B52" s="668"/>
      <c r="C52" s="668"/>
      <c r="D52" s="668"/>
      <c r="E52" s="668"/>
      <c r="F52" s="668"/>
      <c r="G52" s="668"/>
      <c r="H52" s="575"/>
    </row>
    <row r="53" spans="1:8">
      <c r="A53" s="667"/>
      <c r="B53" s="668"/>
      <c r="C53" s="668"/>
      <c r="D53" s="668"/>
      <c r="E53" s="668"/>
      <c r="F53" s="668"/>
      <c r="G53" s="668"/>
      <c r="H53" s="220"/>
    </row>
    <row r="54" spans="1:8">
      <c r="A54" s="667"/>
      <c r="B54" s="668"/>
      <c r="C54" s="668"/>
      <c r="D54" s="668"/>
      <c r="E54" s="668"/>
      <c r="F54" s="668"/>
      <c r="G54" s="668"/>
      <c r="H54" s="220"/>
    </row>
    <row r="55" spans="1:8">
      <c r="A55" s="667"/>
      <c r="B55" s="668"/>
      <c r="C55" s="668"/>
      <c r="D55" s="668"/>
      <c r="E55" s="668"/>
      <c r="F55" s="668"/>
      <c r="G55" s="668"/>
      <c r="H55" s="220"/>
    </row>
    <row r="56" spans="1:8" ht="40.5" customHeight="1">
      <c r="A56" s="648" t="s">
        <v>932</v>
      </c>
      <c r="B56" s="649"/>
      <c r="C56" s="649"/>
      <c r="D56" s="649"/>
      <c r="E56" s="649"/>
      <c r="F56" s="649"/>
      <c r="G56" s="649"/>
      <c r="H56" s="371"/>
    </row>
    <row r="57" spans="1:8">
      <c r="A57" s="182"/>
      <c r="B57" s="574"/>
      <c r="C57" s="574"/>
      <c r="D57" s="574"/>
      <c r="E57" s="574"/>
      <c r="F57" s="178"/>
      <c r="G57" s="178"/>
      <c r="H57" s="178"/>
    </row>
    <row r="58" spans="1:8">
      <c r="A58" s="179"/>
      <c r="B58" s="574"/>
      <c r="C58" s="574"/>
      <c r="D58" s="574"/>
      <c r="E58" s="574"/>
      <c r="F58" s="178"/>
      <c r="G58" s="178"/>
      <c r="H58" s="178"/>
    </row>
    <row r="59" spans="1:8">
      <c r="A59" s="643"/>
      <c r="B59" s="643"/>
      <c r="C59" s="643"/>
      <c r="D59" s="643"/>
      <c r="E59" s="643"/>
      <c r="F59" s="643"/>
      <c r="G59" s="643"/>
      <c r="H59" s="643"/>
    </row>
  </sheetData>
  <sheetProtection formatCells="0"/>
  <mergeCells count="11">
    <mergeCell ref="A59:H59"/>
    <mergeCell ref="A30:H30"/>
    <mergeCell ref="A1:H1"/>
    <mergeCell ref="A2:H2"/>
    <mergeCell ref="A28:G28"/>
    <mergeCell ref="B27:H27"/>
    <mergeCell ref="A6:H6"/>
    <mergeCell ref="A51:G55"/>
    <mergeCell ref="A56:G56"/>
    <mergeCell ref="A3:H3"/>
    <mergeCell ref="A26:H26"/>
  </mergeCells>
  <phoneticPr fontId="16" type="noConversion"/>
  <printOptions horizontalCentered="1"/>
  <pageMargins left="0.75" right="0.75" top="1" bottom="1" header="0.5" footer="0.5"/>
  <pageSetup scale="69" orientation="portrait" r:id="rId1"/>
  <headerFooter alignWithMargins="0">
    <oddHeader>&amp;CIDAHO POWER COMPANY
Transmission Cost of Service Rate Development
12 Months Ended 12/31/2014</oddHeader>
  </headerFooter>
</worksheet>
</file>

<file path=xl/worksheets/sheet35.xml><?xml version="1.0" encoding="utf-8"?>
<worksheet xmlns="http://schemas.openxmlformats.org/spreadsheetml/2006/main" xmlns:r="http://schemas.openxmlformats.org/officeDocument/2006/relationships">
  <sheetPr codeName="Sheet36">
    <pageSetUpPr fitToPage="1"/>
  </sheetPr>
  <dimension ref="A1:O45"/>
  <sheetViews>
    <sheetView view="pageBreakPreview" zoomScale="80" zoomScaleNormal="75" zoomScaleSheetLayoutView="80" zoomScalePageLayoutView="75" workbookViewId="0">
      <selection sqref="A1:O1"/>
    </sheetView>
  </sheetViews>
  <sheetFormatPr defaultColWidth="11" defaultRowHeight="12.75"/>
  <cols>
    <col min="1" max="1" width="4" style="429" customWidth="1"/>
    <col min="2" max="2" width="40.140625" style="429" customWidth="1"/>
    <col min="3" max="3" width="11.5703125" style="468" customWidth="1"/>
    <col min="4" max="4" width="10" style="429" customWidth="1"/>
    <col min="5" max="5" width="10.28515625" style="429" customWidth="1"/>
    <col min="6" max="6" width="11.5703125" style="429" customWidth="1"/>
    <col min="7" max="7" width="13.28515625" style="429" customWidth="1"/>
    <col min="8" max="11" width="11.5703125" style="429" customWidth="1"/>
    <col min="12" max="12" width="13.42578125" style="429" customWidth="1"/>
    <col min="13" max="13" width="11.5703125" style="429" customWidth="1"/>
    <col min="14" max="14" width="13.42578125" style="429" bestFit="1" customWidth="1"/>
    <col min="15" max="15" width="11.5703125" style="429" customWidth="1"/>
    <col min="16" max="16384" width="11" style="429"/>
  </cols>
  <sheetData>
    <row r="1" spans="1:15" s="153" customFormat="1">
      <c r="A1" s="645" t="s">
        <v>988</v>
      </c>
      <c r="B1" s="645"/>
      <c r="C1" s="645"/>
      <c r="D1" s="645"/>
      <c r="E1" s="645"/>
      <c r="F1" s="645"/>
      <c r="G1" s="645"/>
      <c r="H1" s="645"/>
      <c r="I1" s="645"/>
      <c r="J1" s="645"/>
      <c r="K1" s="645"/>
      <c r="L1" s="645"/>
      <c r="M1" s="645"/>
      <c r="N1" s="645"/>
      <c r="O1" s="645"/>
    </row>
    <row r="2" spans="1:15" s="153" customFormat="1">
      <c r="A2" s="645" t="s">
        <v>989</v>
      </c>
      <c r="B2" s="645"/>
      <c r="C2" s="645"/>
      <c r="D2" s="645"/>
      <c r="E2" s="645"/>
      <c r="F2" s="645"/>
      <c r="G2" s="645"/>
      <c r="H2" s="645"/>
      <c r="I2" s="645"/>
      <c r="J2" s="645"/>
      <c r="K2" s="645"/>
      <c r="L2" s="645"/>
      <c r="M2" s="645"/>
      <c r="N2" s="645"/>
      <c r="O2" s="645"/>
    </row>
    <row r="3" spans="1:15" s="153" customFormat="1">
      <c r="A3" s="645" t="str">
        <f>'Schedule 1 Workpaper'!A3:F3</f>
        <v>12 Months Ended 12/31/2014</v>
      </c>
      <c r="B3" s="645"/>
      <c r="C3" s="645"/>
      <c r="D3" s="645"/>
      <c r="E3" s="645"/>
      <c r="F3" s="645"/>
      <c r="G3" s="645"/>
      <c r="H3" s="645"/>
      <c r="I3" s="645"/>
      <c r="J3" s="645"/>
      <c r="K3" s="645"/>
      <c r="L3" s="645"/>
      <c r="M3" s="645"/>
      <c r="N3" s="645"/>
      <c r="O3" s="645"/>
    </row>
    <row r="4" spans="1:15" s="551" customFormat="1">
      <c r="A4" s="645" t="s">
        <v>936</v>
      </c>
      <c r="B4" s="645"/>
      <c r="C4" s="645"/>
      <c r="D4" s="645"/>
      <c r="E4" s="645"/>
      <c r="F4" s="645"/>
      <c r="G4" s="645"/>
      <c r="H4" s="645"/>
      <c r="I4" s="645"/>
      <c r="J4" s="645"/>
      <c r="K4" s="645"/>
      <c r="L4" s="645"/>
      <c r="M4" s="645"/>
      <c r="N4" s="645"/>
      <c r="O4" s="645"/>
    </row>
    <row r="5" spans="1:15" s="153" customFormat="1">
      <c r="A5" s="569"/>
      <c r="B5" s="569"/>
      <c r="C5" s="569"/>
      <c r="D5" s="569"/>
      <c r="E5" s="569"/>
      <c r="F5" s="569"/>
      <c r="G5" s="569"/>
      <c r="H5" s="569"/>
      <c r="I5" s="569"/>
      <c r="J5" s="569"/>
      <c r="K5" s="569"/>
      <c r="L5" s="569"/>
      <c r="M5" s="569"/>
      <c r="N5" s="569"/>
      <c r="O5" s="569"/>
    </row>
    <row r="6" spans="1:15" ht="15">
      <c r="A6" s="430"/>
      <c r="B6" s="431" t="s">
        <v>878</v>
      </c>
      <c r="C6" s="431" t="s">
        <v>879</v>
      </c>
      <c r="D6" s="431" t="s">
        <v>880</v>
      </c>
      <c r="E6" s="431" t="s">
        <v>881</v>
      </c>
      <c r="F6" s="431" t="s">
        <v>882</v>
      </c>
      <c r="G6" s="431" t="s">
        <v>883</v>
      </c>
      <c r="H6" s="431" t="s">
        <v>884</v>
      </c>
      <c r="I6" s="431" t="s">
        <v>885</v>
      </c>
      <c r="J6" s="431" t="s">
        <v>886</v>
      </c>
      <c r="K6" s="431" t="s">
        <v>887</v>
      </c>
      <c r="L6" s="431" t="s">
        <v>888</v>
      </c>
      <c r="M6" s="431" t="s">
        <v>889</v>
      </c>
      <c r="N6" s="431" t="s">
        <v>890</v>
      </c>
      <c r="O6" s="431" t="s">
        <v>891</v>
      </c>
    </row>
    <row r="7" spans="1:15" ht="13.5" customHeight="1">
      <c r="A7" s="430"/>
      <c r="B7" s="432"/>
      <c r="C7" s="432"/>
      <c r="D7" s="433"/>
      <c r="E7" s="433"/>
      <c r="F7" s="432"/>
      <c r="G7" s="432"/>
      <c r="H7" s="434"/>
      <c r="I7" s="434" t="s">
        <v>557</v>
      </c>
      <c r="J7" s="434"/>
      <c r="K7" s="434"/>
      <c r="L7" s="434" t="s">
        <v>892</v>
      </c>
      <c r="M7" s="434"/>
      <c r="N7" s="434" t="s">
        <v>893</v>
      </c>
      <c r="O7" s="434" t="s">
        <v>894</v>
      </c>
    </row>
    <row r="8" spans="1:15" ht="15">
      <c r="A8" s="430"/>
      <c r="B8" s="430"/>
      <c r="C8" s="430"/>
      <c r="D8" s="433"/>
      <c r="E8" s="433"/>
      <c r="F8" s="432"/>
      <c r="G8" s="432"/>
      <c r="H8" s="434"/>
      <c r="I8" s="435"/>
      <c r="J8" s="432"/>
      <c r="K8" s="432"/>
      <c r="L8" s="434" t="s">
        <v>558</v>
      </c>
      <c r="M8" s="434"/>
      <c r="N8" s="434" t="s">
        <v>556</v>
      </c>
      <c r="O8" s="432"/>
    </row>
    <row r="9" spans="1:15" ht="15">
      <c r="A9" s="434" t="s">
        <v>559</v>
      </c>
      <c r="B9" s="430"/>
      <c r="C9" s="434" t="s">
        <v>895</v>
      </c>
      <c r="D9" s="436" t="s">
        <v>896</v>
      </c>
      <c r="E9" s="436" t="s">
        <v>897</v>
      </c>
      <c r="F9" s="669" t="s">
        <v>560</v>
      </c>
      <c r="G9" s="669"/>
      <c r="H9" s="434"/>
      <c r="I9" s="432" t="s">
        <v>898</v>
      </c>
      <c r="J9" s="434" t="s">
        <v>899</v>
      </c>
      <c r="K9" s="434" t="s">
        <v>561</v>
      </c>
      <c r="L9" s="434" t="s">
        <v>562</v>
      </c>
      <c r="M9" s="434"/>
      <c r="N9" s="434" t="s">
        <v>563</v>
      </c>
      <c r="O9" s="434" t="s">
        <v>564</v>
      </c>
    </row>
    <row r="10" spans="1:15" ht="15">
      <c r="A10" s="437" t="s">
        <v>565</v>
      </c>
      <c r="B10" s="437" t="s">
        <v>542</v>
      </c>
      <c r="C10" s="437" t="s">
        <v>569</v>
      </c>
      <c r="D10" s="438" t="s">
        <v>900</v>
      </c>
      <c r="E10" s="438" t="s">
        <v>900</v>
      </c>
      <c r="F10" s="437" t="s">
        <v>543</v>
      </c>
      <c r="G10" s="437" t="s">
        <v>544</v>
      </c>
      <c r="H10" s="437" t="s">
        <v>566</v>
      </c>
      <c r="I10" s="437" t="s">
        <v>545</v>
      </c>
      <c r="J10" s="437" t="s">
        <v>901</v>
      </c>
      <c r="K10" s="437" t="s">
        <v>567</v>
      </c>
      <c r="L10" s="437" t="s">
        <v>568</v>
      </c>
      <c r="M10" s="437" t="s">
        <v>902</v>
      </c>
      <c r="N10" s="437" t="s">
        <v>570</v>
      </c>
      <c r="O10" s="437" t="s">
        <v>571</v>
      </c>
    </row>
    <row r="11" spans="1:15" ht="15">
      <c r="A11" s="430"/>
      <c r="B11" s="439" t="s">
        <v>572</v>
      </c>
      <c r="C11" s="439"/>
      <c r="D11" s="440"/>
      <c r="E11" s="440"/>
      <c r="F11" s="430"/>
      <c r="G11" s="430"/>
      <c r="H11" s="430"/>
      <c r="I11" s="430"/>
      <c r="J11" s="430"/>
      <c r="K11" s="430"/>
      <c r="L11" s="430"/>
      <c r="M11" s="430"/>
      <c r="N11" s="430"/>
      <c r="O11" s="430"/>
    </row>
    <row r="12" spans="1:15" ht="15">
      <c r="A12" s="434">
        <v>1</v>
      </c>
      <c r="B12" s="519" t="s">
        <v>875</v>
      </c>
      <c r="C12" s="520">
        <v>0.06</v>
      </c>
      <c r="D12" s="521">
        <v>37575</v>
      </c>
      <c r="E12" s="521">
        <v>48533</v>
      </c>
      <c r="F12" s="522">
        <v>100000</v>
      </c>
      <c r="G12" s="522">
        <v>100000</v>
      </c>
      <c r="H12" s="515">
        <v>99.456000000000003</v>
      </c>
      <c r="I12" s="524">
        <v>543.99999999999693</v>
      </c>
      <c r="J12" s="517">
        <v>750</v>
      </c>
      <c r="K12" s="517">
        <v>441.21600000000001</v>
      </c>
      <c r="L12" s="442">
        <v>98264.784</v>
      </c>
      <c r="M12" s="523">
        <v>6.127109345623246E-2</v>
      </c>
      <c r="N12" s="517">
        <v>6000</v>
      </c>
      <c r="O12" s="518">
        <v>6.1059514464510505</v>
      </c>
    </row>
    <row r="13" spans="1:15" ht="15">
      <c r="A13" s="434">
        <v>2</v>
      </c>
      <c r="B13" s="519" t="s">
        <v>573</v>
      </c>
      <c r="C13" s="520">
        <v>5.5E-2</v>
      </c>
      <c r="D13" s="521">
        <v>37754</v>
      </c>
      <c r="E13" s="521">
        <v>48670</v>
      </c>
      <c r="F13" s="522">
        <v>70000</v>
      </c>
      <c r="G13" s="522">
        <v>70000</v>
      </c>
      <c r="H13" s="515">
        <v>99.947999999999993</v>
      </c>
      <c r="I13" s="516">
        <v>36.400000000004695</v>
      </c>
      <c r="J13" s="517">
        <v>525</v>
      </c>
      <c r="K13" s="517">
        <v>3810.2468900000003</v>
      </c>
      <c r="L13" s="442">
        <v>65628.353109999996</v>
      </c>
      <c r="M13" s="523">
        <v>5.9489763374888566E-2</v>
      </c>
      <c r="N13" s="517">
        <v>3850</v>
      </c>
      <c r="O13" s="518">
        <v>5.8663669245927847</v>
      </c>
    </row>
    <row r="14" spans="1:15" ht="15">
      <c r="A14" s="434">
        <v>3</v>
      </c>
      <c r="B14" s="519" t="s">
        <v>574</v>
      </c>
      <c r="C14" s="520">
        <v>5.5E-2</v>
      </c>
      <c r="D14" s="521">
        <v>38072</v>
      </c>
      <c r="E14" s="521">
        <v>49018</v>
      </c>
      <c r="F14" s="522">
        <v>50000</v>
      </c>
      <c r="G14" s="522">
        <v>50000</v>
      </c>
      <c r="H14" s="515">
        <v>99.233000000000004</v>
      </c>
      <c r="I14" s="516">
        <v>383.49999999999795</v>
      </c>
      <c r="J14" s="442">
        <v>375</v>
      </c>
      <c r="K14" s="517">
        <v>149.41932</v>
      </c>
      <c r="L14" s="442">
        <v>49092.080679999999</v>
      </c>
      <c r="M14" s="523">
        <v>5.6259085786513958E-2</v>
      </c>
      <c r="N14" s="517">
        <v>2750</v>
      </c>
      <c r="O14" s="518">
        <v>5.6017181629059447</v>
      </c>
    </row>
    <row r="15" spans="1:15" ht="15">
      <c r="A15" s="434">
        <v>4</v>
      </c>
      <c r="B15" s="519" t="s">
        <v>575</v>
      </c>
      <c r="C15" s="520">
        <v>5.8749999999999997E-2</v>
      </c>
      <c r="D15" s="521">
        <v>38215</v>
      </c>
      <c r="E15" s="521">
        <v>49171</v>
      </c>
      <c r="F15" s="443">
        <v>55000</v>
      </c>
      <c r="G15" s="443">
        <v>55000</v>
      </c>
      <c r="H15" s="444">
        <v>98.64</v>
      </c>
      <c r="I15" s="516">
        <v>747.99999999999966</v>
      </c>
      <c r="J15" s="442">
        <v>412.5</v>
      </c>
      <c r="K15" s="517">
        <v>173.25947999999997</v>
      </c>
      <c r="L15" s="442">
        <v>53666.240519999999</v>
      </c>
      <c r="M15" s="523">
        <v>6.0511966969041583E-2</v>
      </c>
      <c r="N15" s="517">
        <v>3231.25</v>
      </c>
      <c r="O15" s="518">
        <v>6.0210105434827277</v>
      </c>
    </row>
    <row r="16" spans="1:15" ht="15">
      <c r="A16" s="434">
        <v>5</v>
      </c>
      <c r="B16" s="519" t="s">
        <v>576</v>
      </c>
      <c r="C16" s="520">
        <v>5.2999999999999999E-2</v>
      </c>
      <c r="D16" s="521">
        <v>38590</v>
      </c>
      <c r="E16" s="521">
        <v>49536</v>
      </c>
      <c r="F16" s="522">
        <v>60000</v>
      </c>
      <c r="G16" s="522">
        <v>60000</v>
      </c>
      <c r="H16" s="515">
        <v>99.319000000000003</v>
      </c>
      <c r="I16" s="516">
        <v>408.59999999999837</v>
      </c>
      <c r="J16" s="517">
        <v>450</v>
      </c>
      <c r="K16" s="517">
        <v>3399.7387599999997</v>
      </c>
      <c r="L16" s="442">
        <v>55741.661240000001</v>
      </c>
      <c r="M16" s="523">
        <v>5.8021037371971895E-2</v>
      </c>
      <c r="N16" s="517">
        <v>3180</v>
      </c>
      <c r="O16" s="518">
        <v>5.7048891785055806</v>
      </c>
    </row>
    <row r="17" spans="1:15" ht="15">
      <c r="A17" s="434">
        <v>6</v>
      </c>
      <c r="B17" s="519" t="s">
        <v>864</v>
      </c>
      <c r="C17" s="520">
        <v>6.3E-2</v>
      </c>
      <c r="D17" s="521">
        <v>39255</v>
      </c>
      <c r="E17" s="521">
        <v>50206</v>
      </c>
      <c r="F17" s="522">
        <v>140000</v>
      </c>
      <c r="G17" s="522">
        <v>140000</v>
      </c>
      <c r="H17" s="515">
        <v>99.801000000000002</v>
      </c>
      <c r="I17" s="516">
        <v>278.59999999999729</v>
      </c>
      <c r="J17" s="517">
        <v>1050</v>
      </c>
      <c r="K17" s="517">
        <v>450.03067999999996</v>
      </c>
      <c r="L17" s="442">
        <v>138221.36932</v>
      </c>
      <c r="M17" s="523">
        <v>6.3956176346651808E-2</v>
      </c>
      <c r="N17" s="517">
        <v>8820</v>
      </c>
      <c r="O17" s="518">
        <v>6.3810683133811104</v>
      </c>
    </row>
    <row r="18" spans="1:15" ht="15">
      <c r="A18" s="434">
        <v>7</v>
      </c>
      <c r="B18" s="519" t="s">
        <v>865</v>
      </c>
      <c r="C18" s="520">
        <v>6.25E-2</v>
      </c>
      <c r="D18" s="521">
        <v>39373</v>
      </c>
      <c r="E18" s="521">
        <v>50328</v>
      </c>
      <c r="F18" s="522">
        <v>100000</v>
      </c>
      <c r="G18" s="522">
        <v>100000</v>
      </c>
      <c r="H18" s="515">
        <v>99.731999999999999</v>
      </c>
      <c r="I18" s="516">
        <v>268.00000000000068</v>
      </c>
      <c r="J18" s="517">
        <v>750</v>
      </c>
      <c r="K18" s="517">
        <v>477.48976999999996</v>
      </c>
      <c r="L18" s="442">
        <v>98504.51023</v>
      </c>
      <c r="M18" s="523">
        <v>6.362251555849123E-2</v>
      </c>
      <c r="N18" s="517">
        <v>6250</v>
      </c>
      <c r="O18" s="518">
        <v>6.3448871380678504</v>
      </c>
    </row>
    <row r="19" spans="1:15" ht="15">
      <c r="A19" s="434">
        <v>8</v>
      </c>
      <c r="B19" s="519" t="s">
        <v>866</v>
      </c>
      <c r="C19" s="520">
        <v>6.0249999999999998E-2</v>
      </c>
      <c r="D19" s="521">
        <v>39639</v>
      </c>
      <c r="E19" s="521">
        <v>43296</v>
      </c>
      <c r="F19" s="522">
        <v>120000</v>
      </c>
      <c r="G19" s="522">
        <v>120000</v>
      </c>
      <c r="H19" s="515">
        <v>100</v>
      </c>
      <c r="I19" s="516">
        <v>0</v>
      </c>
      <c r="J19" s="517">
        <v>750</v>
      </c>
      <c r="K19" s="517">
        <v>914.61737000000005</v>
      </c>
      <c r="L19" s="442">
        <v>118335.38262999999</v>
      </c>
      <c r="M19" s="523">
        <v>6.2129624361985596E-2</v>
      </c>
      <c r="N19" s="517">
        <v>7230</v>
      </c>
      <c r="O19" s="518">
        <v>6.1097533462211278</v>
      </c>
    </row>
    <row r="20" spans="1:15" ht="15">
      <c r="A20" s="434">
        <v>9</v>
      </c>
      <c r="B20" s="519" t="s">
        <v>876</v>
      </c>
      <c r="C20" s="520">
        <v>6.1499999999999999E-2</v>
      </c>
      <c r="D20" s="521">
        <v>39902</v>
      </c>
      <c r="E20" s="521">
        <v>43556</v>
      </c>
      <c r="F20" s="522">
        <v>100000</v>
      </c>
      <c r="G20" s="522">
        <v>100000</v>
      </c>
      <c r="H20" s="515">
        <v>99.814999999999998</v>
      </c>
      <c r="I20" s="516">
        <v>185.00000000000225</v>
      </c>
      <c r="J20" s="517">
        <v>625</v>
      </c>
      <c r="K20" s="517">
        <v>409.90922999999998</v>
      </c>
      <c r="L20" s="442">
        <v>98780.090769999995</v>
      </c>
      <c r="M20" s="523">
        <v>6.3163320807636036E-2</v>
      </c>
      <c r="N20" s="517">
        <v>6150</v>
      </c>
      <c r="O20" s="518">
        <v>6.2259509502979578</v>
      </c>
    </row>
    <row r="21" spans="1:15" ht="15">
      <c r="A21" s="434">
        <v>10</v>
      </c>
      <c r="B21" s="519" t="s">
        <v>877</v>
      </c>
      <c r="C21" s="520">
        <v>4.4999999999999998E-2</v>
      </c>
      <c r="D21" s="521">
        <v>40137</v>
      </c>
      <c r="E21" s="521">
        <v>43891</v>
      </c>
      <c r="F21" s="522">
        <v>130000</v>
      </c>
      <c r="G21" s="522">
        <v>130000</v>
      </c>
      <c r="H21" s="515">
        <v>99.819000000000003</v>
      </c>
      <c r="I21" s="516">
        <v>235.29999999999663</v>
      </c>
      <c r="J21" s="517">
        <v>812.5</v>
      </c>
      <c r="K21" s="517">
        <v>386.88333999999998</v>
      </c>
      <c r="L21" s="442">
        <v>128565.31666</v>
      </c>
      <c r="M21" s="523">
        <v>4.6353839852438648E-2</v>
      </c>
      <c r="N21" s="517">
        <v>5850</v>
      </c>
      <c r="O21" s="518">
        <v>4.5502163040369092</v>
      </c>
    </row>
    <row r="22" spans="1:15" ht="15">
      <c r="A22" s="434">
        <v>11</v>
      </c>
      <c r="B22" s="519" t="s">
        <v>937</v>
      </c>
      <c r="C22" s="520">
        <v>3.4000000000000002E-2</v>
      </c>
      <c r="D22" s="521">
        <v>40420</v>
      </c>
      <c r="E22" s="521">
        <v>44136</v>
      </c>
      <c r="F22" s="522">
        <v>100000</v>
      </c>
      <c r="G22" s="522">
        <v>100000</v>
      </c>
      <c r="H22" s="515">
        <v>99.501000000000005</v>
      </c>
      <c r="I22" s="516">
        <v>498.99999999999523</v>
      </c>
      <c r="J22" s="517">
        <v>625</v>
      </c>
      <c r="K22" s="517">
        <v>534.87079000000006</v>
      </c>
      <c r="L22" s="442">
        <v>98341.129209999999</v>
      </c>
      <c r="M22" s="523">
        <v>3.5958058425209681E-2</v>
      </c>
      <c r="N22" s="517">
        <v>3400.0000000000005</v>
      </c>
      <c r="O22" s="518">
        <v>3.4573530193450996</v>
      </c>
    </row>
    <row r="23" spans="1:15" ht="15">
      <c r="A23" s="434">
        <v>12</v>
      </c>
      <c r="B23" s="519" t="s">
        <v>938</v>
      </c>
      <c r="C23" s="520">
        <v>4.8500000000000001E-2</v>
      </c>
      <c r="D23" s="521">
        <v>40420</v>
      </c>
      <c r="E23" s="521">
        <v>51363</v>
      </c>
      <c r="F23" s="522">
        <v>100000</v>
      </c>
      <c r="G23" s="522">
        <v>100000</v>
      </c>
      <c r="H23" s="515">
        <v>99.83</v>
      </c>
      <c r="I23" s="516">
        <v>170.00000000000171</v>
      </c>
      <c r="J23" s="517">
        <v>750</v>
      </c>
      <c r="K23" s="517">
        <v>534.87079999999992</v>
      </c>
      <c r="L23" s="442">
        <v>98545.129199999996</v>
      </c>
      <c r="M23" s="523">
        <v>4.943446770003905E-2</v>
      </c>
      <c r="N23" s="517">
        <v>4850</v>
      </c>
      <c r="O23" s="518">
        <v>4.9216029644213002</v>
      </c>
    </row>
    <row r="24" spans="1:15" ht="15">
      <c r="A24" s="434">
        <v>13</v>
      </c>
      <c r="B24" s="519" t="s">
        <v>1054</v>
      </c>
      <c r="C24" s="520">
        <v>2.9499999999999998E-2</v>
      </c>
      <c r="D24" s="521">
        <v>41012</v>
      </c>
      <c r="E24" s="521">
        <v>44652</v>
      </c>
      <c r="F24" s="522">
        <v>75000</v>
      </c>
      <c r="G24" s="522">
        <v>75000</v>
      </c>
      <c r="H24" s="515">
        <v>99.828999999999994</v>
      </c>
      <c r="I24" s="516">
        <v>128.25000000000486</v>
      </c>
      <c r="J24" s="517">
        <v>468.75</v>
      </c>
      <c r="K24" s="517">
        <v>1397.79</v>
      </c>
      <c r="L24" s="442">
        <v>73005.210000000006</v>
      </c>
      <c r="M24" s="523">
        <v>3.2646932264447474E-2</v>
      </c>
      <c r="N24" s="517">
        <v>2212.5</v>
      </c>
      <c r="O24" s="518">
        <v>3.0306056238999926</v>
      </c>
    </row>
    <row r="25" spans="1:15" ht="15">
      <c r="A25" s="434">
        <v>14</v>
      </c>
      <c r="B25" s="519" t="s">
        <v>1055</v>
      </c>
      <c r="C25" s="520">
        <v>4.2999999999999997E-2</v>
      </c>
      <c r="D25" s="521">
        <v>41012</v>
      </c>
      <c r="E25" s="521">
        <v>51957</v>
      </c>
      <c r="F25" s="522">
        <v>75000</v>
      </c>
      <c r="G25" s="522">
        <v>75000</v>
      </c>
      <c r="H25" s="515">
        <v>99.933999999999997</v>
      </c>
      <c r="I25" s="516">
        <v>49.500000000001876</v>
      </c>
      <c r="J25" s="517">
        <v>562.5</v>
      </c>
      <c r="K25" s="517">
        <v>1397.79</v>
      </c>
      <c r="L25" s="442">
        <v>72990.210000000006</v>
      </c>
      <c r="M25" s="523">
        <v>4.4629381661078486E-2</v>
      </c>
      <c r="N25" s="517">
        <v>3224.9999999999995</v>
      </c>
      <c r="O25" s="518">
        <v>4.4184007690894429</v>
      </c>
    </row>
    <row r="26" spans="1:15" ht="15">
      <c r="A26" s="434">
        <v>15</v>
      </c>
      <c r="B26" s="519" t="s">
        <v>1147</v>
      </c>
      <c r="C26" s="520">
        <v>2.5000000000000001E-2</v>
      </c>
      <c r="D26" s="521">
        <v>41372</v>
      </c>
      <c r="E26" s="521">
        <v>45017</v>
      </c>
      <c r="F26" s="522">
        <v>75000</v>
      </c>
      <c r="G26" s="522">
        <v>75000</v>
      </c>
      <c r="H26" s="515">
        <v>99.501000000000005</v>
      </c>
      <c r="I26" s="524">
        <v>374.24999999999642</v>
      </c>
      <c r="J26" s="517">
        <v>468.75</v>
      </c>
      <c r="K26" s="517">
        <v>179</v>
      </c>
      <c r="L26" s="442">
        <v>73978</v>
      </c>
      <c r="M26" s="523">
        <v>2.6562932464233708E-2</v>
      </c>
      <c r="N26" s="517">
        <v>1875</v>
      </c>
      <c r="O26" s="518">
        <v>2.5345372948714484</v>
      </c>
    </row>
    <row r="27" spans="1:15" ht="15">
      <c r="A27" s="434">
        <v>16</v>
      </c>
      <c r="B27" s="519" t="s">
        <v>1148</v>
      </c>
      <c r="C27" s="520">
        <v>0.04</v>
      </c>
      <c r="D27" s="521">
        <v>41372</v>
      </c>
      <c r="E27" s="521">
        <v>52322</v>
      </c>
      <c r="F27" s="522">
        <v>75000</v>
      </c>
      <c r="G27" s="522">
        <v>75000</v>
      </c>
      <c r="H27" s="515">
        <v>99.741</v>
      </c>
      <c r="I27" s="524">
        <v>194.25000000000026</v>
      </c>
      <c r="J27" s="517">
        <v>562.5</v>
      </c>
      <c r="K27" s="517">
        <v>179</v>
      </c>
      <c r="L27" s="442">
        <v>74064.25</v>
      </c>
      <c r="M27" s="523">
        <v>4.0723967416831014E-2</v>
      </c>
      <c r="N27" s="517">
        <v>3000</v>
      </c>
      <c r="O27" s="518">
        <v>4.0505372024964812</v>
      </c>
    </row>
    <row r="28" spans="1:15" ht="15">
      <c r="A28" s="434"/>
      <c r="B28" s="519" t="s">
        <v>577</v>
      </c>
      <c r="C28" s="519"/>
      <c r="D28" s="450"/>
      <c r="E28" s="450"/>
      <c r="F28" s="443">
        <f>SUM(F12:F27)</f>
        <v>1425000</v>
      </c>
      <c r="G28" s="443">
        <f>SUM(G12:G27)</f>
        <v>1425000</v>
      </c>
      <c r="H28" s="444"/>
      <c r="I28" s="516">
        <f>SUM(I12:I27)</f>
        <v>4502.6499999999951</v>
      </c>
      <c r="J28" s="442">
        <f>SUM(J12:J27)</f>
        <v>9937.5</v>
      </c>
      <c r="K28" s="442">
        <f>SUM(K12:K27)</f>
        <v>14836.132430000001</v>
      </c>
      <c r="L28" s="441">
        <f>SUM(L12:L27)</f>
        <v>1395723.7175700001</v>
      </c>
      <c r="M28" s="451"/>
      <c r="N28" s="442">
        <f>SUM(N12:N27)</f>
        <v>71873.75</v>
      </c>
      <c r="O28" s="452">
        <f>(N28/L28)</f>
        <v>5.1495685783096462E-2</v>
      </c>
    </row>
    <row r="29" spans="1:15" ht="15">
      <c r="B29" s="519"/>
      <c r="C29" s="519"/>
      <c r="D29" s="450"/>
      <c r="E29" s="450"/>
      <c r="F29" s="443"/>
      <c r="G29" s="443"/>
      <c r="H29" s="444"/>
      <c r="I29" s="516"/>
      <c r="J29" s="442"/>
      <c r="K29" s="442"/>
      <c r="L29" s="442"/>
      <c r="M29" s="451"/>
      <c r="N29" s="442"/>
      <c r="O29" s="550"/>
    </row>
    <row r="30" spans="1:15" ht="15">
      <c r="A30" s="434"/>
      <c r="B30" s="519" t="s">
        <v>578</v>
      </c>
      <c r="C30" s="519"/>
      <c r="D30" s="450"/>
      <c r="E30" s="450"/>
      <c r="F30" s="443"/>
      <c r="G30" s="443"/>
      <c r="H30" s="444"/>
      <c r="I30" s="516"/>
      <c r="J30" s="442"/>
      <c r="K30" s="442"/>
      <c r="L30" s="442"/>
      <c r="M30" s="451"/>
      <c r="N30" s="442"/>
      <c r="O30" s="453"/>
    </row>
    <row r="31" spans="1:15" ht="15">
      <c r="A31" s="434">
        <v>17</v>
      </c>
      <c r="B31" s="454" t="s">
        <v>903</v>
      </c>
      <c r="C31" s="520">
        <v>5.2499999999999998E-2</v>
      </c>
      <c r="D31" s="521">
        <v>40045</v>
      </c>
      <c r="E31" s="521">
        <v>46218</v>
      </c>
      <c r="F31" s="522">
        <v>116300</v>
      </c>
      <c r="G31" s="522">
        <v>116300</v>
      </c>
      <c r="H31" s="444">
        <v>100</v>
      </c>
      <c r="I31" s="516">
        <v>0</v>
      </c>
      <c r="J31" s="517">
        <v>930.4</v>
      </c>
      <c r="K31" s="517">
        <v>7703.9115110000002</v>
      </c>
      <c r="L31" s="442">
        <v>107665.68848900001</v>
      </c>
      <c r="M31" s="523">
        <v>5.9520295507838376E-2</v>
      </c>
      <c r="N31" s="442">
        <v>6105.75</v>
      </c>
      <c r="O31" s="453">
        <v>5.6710267548456841</v>
      </c>
    </row>
    <row r="32" spans="1:15" ht="15">
      <c r="A32" s="434">
        <v>18</v>
      </c>
      <c r="B32" s="519" t="s">
        <v>904</v>
      </c>
      <c r="C32" s="520">
        <v>2.8084699453551913E-3</v>
      </c>
      <c r="D32" s="521">
        <v>36663</v>
      </c>
      <c r="E32" s="521">
        <v>46419</v>
      </c>
      <c r="F32" s="443">
        <v>4360</v>
      </c>
      <c r="G32" s="443">
        <v>4360</v>
      </c>
      <c r="H32" s="444">
        <v>100</v>
      </c>
      <c r="I32" s="516">
        <v>0</v>
      </c>
      <c r="J32" s="517">
        <v>50</v>
      </c>
      <c r="K32" s="517">
        <v>120.34312999999999</v>
      </c>
      <c r="L32" s="442">
        <v>4189.6568699999998</v>
      </c>
      <c r="M32" s="523">
        <v>4.3598419367850381E-3</v>
      </c>
      <c r="N32" s="442">
        <v>12.244928961748634</v>
      </c>
      <c r="O32" s="453">
        <v>0.2922656757270109</v>
      </c>
    </row>
    <row r="33" spans="1:15" ht="15">
      <c r="A33" s="434">
        <v>19</v>
      </c>
      <c r="B33" s="519" t="s">
        <v>905</v>
      </c>
      <c r="C33" s="520">
        <v>5.1499999999999997E-2</v>
      </c>
      <c r="D33" s="521">
        <v>40045</v>
      </c>
      <c r="E33" s="521">
        <v>45627</v>
      </c>
      <c r="F33" s="522">
        <v>49800</v>
      </c>
      <c r="G33" s="522">
        <v>49800</v>
      </c>
      <c r="H33" s="515">
        <v>100</v>
      </c>
      <c r="I33" s="524">
        <v>0</v>
      </c>
      <c r="J33" s="517">
        <v>398.4</v>
      </c>
      <c r="K33" s="517">
        <v>3956.6490389999999</v>
      </c>
      <c r="L33" s="442">
        <v>45444.950960999995</v>
      </c>
      <c r="M33" s="523">
        <v>6.033134456052873E-2</v>
      </c>
      <c r="N33" s="442">
        <v>2564.6999999999998</v>
      </c>
      <c r="O33" s="518">
        <v>5.6435312301271425</v>
      </c>
    </row>
    <row r="34" spans="1:15" ht="15">
      <c r="A34" s="434"/>
      <c r="B34" s="519"/>
      <c r="C34" s="519"/>
      <c r="D34" s="521"/>
      <c r="E34" s="521"/>
      <c r="F34" s="445"/>
      <c r="G34" s="445"/>
      <c r="H34" s="446"/>
      <c r="I34" s="447"/>
      <c r="J34" s="448"/>
      <c r="K34" s="448"/>
      <c r="L34" s="448"/>
      <c r="M34" s="455"/>
      <c r="N34" s="448"/>
      <c r="O34" s="449"/>
    </row>
    <row r="35" spans="1:15" ht="15">
      <c r="A35" s="434">
        <v>20</v>
      </c>
      <c r="B35" s="519" t="s">
        <v>579</v>
      </c>
      <c r="C35" s="519"/>
      <c r="D35" s="440"/>
      <c r="E35" s="440"/>
      <c r="F35" s="443">
        <f>SUM(F31:F34)</f>
        <v>170460</v>
      </c>
      <c r="G35" s="443">
        <f>SUM(G31:G34)</f>
        <v>170460</v>
      </c>
      <c r="H35" s="444"/>
      <c r="I35" s="516">
        <f>SUM(I31:I34)</f>
        <v>0</v>
      </c>
      <c r="J35" s="442">
        <f>SUM(J31:J34)</f>
        <v>1378.8</v>
      </c>
      <c r="K35" s="442">
        <f>SUM(K31:K34)</f>
        <v>11780.903679999999</v>
      </c>
      <c r="L35" s="442">
        <f>SUM(L31:L34)</f>
        <v>157300.29632000002</v>
      </c>
      <c r="M35" s="451"/>
      <c r="N35" s="442">
        <f>SUM(N31:N34)</f>
        <v>8682.6949289617478</v>
      </c>
      <c r="O35" s="453">
        <f>(N35/L35*100)</f>
        <v>5.51982108876535</v>
      </c>
    </row>
    <row r="36" spans="1:15" ht="15">
      <c r="A36" s="434"/>
      <c r="B36" s="519"/>
      <c r="C36" s="519"/>
      <c r="D36" s="440"/>
      <c r="E36" s="440"/>
      <c r="F36" s="443"/>
      <c r="G36" s="443"/>
      <c r="H36" s="444"/>
      <c r="I36" s="516"/>
      <c r="J36" s="442"/>
      <c r="K36" s="442"/>
      <c r="L36" s="442"/>
      <c r="M36" s="451"/>
      <c r="N36" s="442"/>
      <c r="O36" s="453"/>
    </row>
    <row r="37" spans="1:15" ht="15">
      <c r="A37" s="434"/>
      <c r="B37" s="519"/>
      <c r="C37" s="519"/>
      <c r="D37" s="436"/>
      <c r="E37" s="436"/>
      <c r="F37" s="443"/>
      <c r="G37" s="442"/>
      <c r="H37" s="444"/>
      <c r="I37" s="456"/>
      <c r="J37" s="457"/>
      <c r="K37" s="457"/>
      <c r="L37" s="442"/>
      <c r="M37" s="451"/>
      <c r="N37" s="442"/>
      <c r="O37" s="453"/>
    </row>
    <row r="38" spans="1:15" ht="15">
      <c r="A38" s="430"/>
      <c r="B38" s="519"/>
      <c r="C38" s="519"/>
      <c r="D38" s="440"/>
      <c r="E38" s="440"/>
      <c r="F38" s="443"/>
      <c r="G38" s="443"/>
      <c r="H38" s="443"/>
      <c r="I38" s="458"/>
      <c r="J38" s="442"/>
      <c r="K38" s="442"/>
      <c r="L38" s="442"/>
      <c r="M38" s="442"/>
      <c r="N38" s="442"/>
      <c r="O38" s="459"/>
    </row>
    <row r="39" spans="1:15" ht="15.75" thickBot="1">
      <c r="A39" s="434">
        <v>21</v>
      </c>
      <c r="B39" s="519" t="s">
        <v>580</v>
      </c>
      <c r="C39" s="519"/>
      <c r="D39" s="440"/>
      <c r="E39" s="440"/>
      <c r="F39" s="460">
        <f>SUM(F28,F35)</f>
        <v>1595460</v>
      </c>
      <c r="G39" s="461">
        <f>SUM(G28,G35)</f>
        <v>1595460</v>
      </c>
      <c r="H39" s="462"/>
      <c r="I39" s="463">
        <f>SUM(I28,I35)</f>
        <v>4502.6499999999951</v>
      </c>
      <c r="J39" s="461">
        <f>SUM(J28,J35)</f>
        <v>11316.3</v>
      </c>
      <c r="K39" s="461">
        <f>SUM(K28,K35)</f>
        <v>26617.036110000001</v>
      </c>
      <c r="L39" s="461">
        <f>SUM(L28,L35)</f>
        <v>1553024.0138900001</v>
      </c>
      <c r="M39" s="461"/>
      <c r="N39" s="461">
        <f>SUM(N28,N35)</f>
        <v>80556.444928961748</v>
      </c>
      <c r="O39" s="464">
        <f>(N39/L39)</f>
        <v>5.1870701424110446E-2</v>
      </c>
    </row>
    <row r="40" spans="1:15" ht="15.75" thickTop="1">
      <c r="A40" s="434"/>
      <c r="B40" s="519"/>
      <c r="C40" s="519"/>
      <c r="D40" s="440"/>
      <c r="E40" s="440"/>
      <c r="F40" s="465"/>
      <c r="G40" s="465"/>
      <c r="H40" s="465"/>
      <c r="I40" s="466"/>
      <c r="J40" s="442"/>
      <c r="K40" s="442"/>
      <c r="L40" s="466"/>
      <c r="M40" s="466"/>
      <c r="N40" s="466"/>
      <c r="O40" s="467"/>
    </row>
    <row r="41" spans="1:15" ht="15">
      <c r="A41" s="519" t="s">
        <v>867</v>
      </c>
      <c r="B41" s="430" t="s">
        <v>1315</v>
      </c>
      <c r="C41" s="430"/>
      <c r="D41" s="440"/>
      <c r="E41" s="440"/>
      <c r="F41" s="430"/>
      <c r="G41" s="430"/>
      <c r="H41" s="430"/>
      <c r="I41" s="430"/>
      <c r="J41" s="442"/>
      <c r="K41" s="430"/>
      <c r="L41" s="430"/>
      <c r="M41" s="430"/>
      <c r="N41" s="430"/>
      <c r="O41" s="430"/>
    </row>
    <row r="42" spans="1:15" ht="15">
      <c r="B42" s="430" t="s">
        <v>906</v>
      </c>
      <c r="C42" s="430"/>
      <c r="D42" s="440"/>
      <c r="E42" s="440"/>
      <c r="F42" s="430"/>
      <c r="G42" s="430"/>
      <c r="H42" s="430"/>
      <c r="I42" s="430"/>
      <c r="J42" s="430"/>
      <c r="K42" s="430"/>
      <c r="L42" s="430"/>
      <c r="M42" s="430"/>
      <c r="N42" s="430"/>
      <c r="O42" s="430"/>
    </row>
    <row r="43" spans="1:15" ht="15">
      <c r="A43" s="430"/>
      <c r="M43" s="153"/>
      <c r="N43" s="153"/>
    </row>
    <row r="44" spans="1:15">
      <c r="A44" s="76"/>
      <c r="B44" s="153"/>
      <c r="C44" s="153"/>
      <c r="D44" s="153"/>
      <c r="E44" s="153"/>
      <c r="F44" s="153"/>
      <c r="G44" s="153"/>
      <c r="H44" s="153"/>
      <c r="I44" s="153"/>
      <c r="J44" s="153"/>
      <c r="K44" s="153"/>
      <c r="L44" s="153"/>
      <c r="M44" s="153"/>
      <c r="N44" s="153"/>
    </row>
    <row r="45" spans="1:15">
      <c r="A45" s="153"/>
      <c r="B45" s="76"/>
      <c r="C45" s="77"/>
      <c r="D45" s="78"/>
      <c r="E45" s="78"/>
      <c r="F45" s="79"/>
      <c r="G45" s="80"/>
      <c r="H45" s="81"/>
      <c r="I45" s="82"/>
      <c r="J45" s="82"/>
      <c r="K45" s="83"/>
      <c r="L45" s="84"/>
      <c r="M45" s="153"/>
      <c r="N45" s="153"/>
    </row>
  </sheetData>
  <sheetProtection formatCells="0"/>
  <mergeCells count="5">
    <mergeCell ref="F9:G9"/>
    <mergeCell ref="A4:O4"/>
    <mergeCell ref="A1:O1"/>
    <mergeCell ref="A2:O2"/>
    <mergeCell ref="A3:O3"/>
  </mergeCells>
  <phoneticPr fontId="16" type="noConversion"/>
  <printOptions horizontalCentered="1"/>
  <pageMargins left="0.75" right="0.75" top="1" bottom="1" header="0.5" footer="0.5"/>
  <pageSetup scale="62" orientation="landscape" r:id="rId1"/>
  <headerFooter alignWithMargins="0">
    <oddHeader>&amp;CIDAHO POWER COMPANY
Transmission Cost of Service Rate Development
12 Months Ended 12/31/2014</oddHeader>
  </headerFooter>
  <ignoredErrors>
    <ignoredError sqref="B6:O6" numberStoredAsText="1"/>
    <ignoredError sqref="F28:O28 I34:O35 F35:G35 G39:O39" unlockedFormula="1"/>
  </ignoredErrors>
</worksheet>
</file>

<file path=xl/worksheets/sheet36.xml><?xml version="1.0" encoding="utf-8"?>
<worksheet xmlns="http://schemas.openxmlformats.org/spreadsheetml/2006/main" xmlns:r="http://schemas.openxmlformats.org/officeDocument/2006/relationships">
  <sheetPr codeName="Sheet37"/>
  <dimension ref="A1:N22"/>
  <sheetViews>
    <sheetView zoomScaleNormal="100" zoomScaleSheetLayoutView="100" workbookViewId="0">
      <selection activeCell="B24" sqref="B24"/>
    </sheetView>
  </sheetViews>
  <sheetFormatPr defaultColWidth="9.85546875" defaultRowHeight="12.75"/>
  <cols>
    <col min="1" max="1" width="1.42578125" style="198" customWidth="1"/>
    <col min="2" max="2" width="28.42578125" style="198" bestFit="1" customWidth="1"/>
    <col min="3" max="6" width="12.7109375" style="198" customWidth="1"/>
    <col min="7" max="16384" width="9.85546875" style="198"/>
  </cols>
  <sheetData>
    <row r="1" spans="1:14">
      <c r="B1" s="637" t="s">
        <v>371</v>
      </c>
      <c r="C1" s="637"/>
      <c r="D1" s="637"/>
      <c r="E1" s="637"/>
      <c r="F1" s="637"/>
    </row>
    <row r="2" spans="1:14">
      <c r="B2" s="637" t="s">
        <v>104</v>
      </c>
      <c r="C2" s="637"/>
      <c r="D2" s="637"/>
      <c r="E2" s="637"/>
      <c r="F2" s="637"/>
    </row>
    <row r="3" spans="1:14">
      <c r="A3" s="637" t="str">
        <f>'Schedule 1 Workpaper'!A3:F3</f>
        <v>12 Months Ended 12/31/2014</v>
      </c>
      <c r="B3" s="637"/>
      <c r="C3" s="637"/>
      <c r="D3" s="637"/>
      <c r="E3" s="637"/>
      <c r="F3" s="637"/>
      <c r="G3" s="5"/>
      <c r="H3" s="5"/>
      <c r="I3" s="564"/>
      <c r="J3" s="564"/>
      <c r="K3" s="564"/>
      <c r="L3" s="564"/>
      <c r="M3" s="564"/>
      <c r="N3" s="564"/>
    </row>
    <row r="4" spans="1:14">
      <c r="B4" s="636"/>
      <c r="C4" s="636"/>
      <c r="D4" s="636"/>
      <c r="E4" s="636"/>
      <c r="F4" s="636"/>
    </row>
    <row r="5" spans="1:14">
      <c r="B5" s="564"/>
      <c r="C5" s="564"/>
      <c r="D5" s="564"/>
      <c r="E5" s="564"/>
      <c r="F5" s="564"/>
    </row>
    <row r="8" spans="1:14">
      <c r="C8" s="563" t="s">
        <v>99</v>
      </c>
      <c r="D8" s="563" t="s">
        <v>100</v>
      </c>
      <c r="E8" s="563" t="s">
        <v>101</v>
      </c>
      <c r="F8" s="563" t="s">
        <v>102</v>
      </c>
    </row>
    <row r="10" spans="1:14">
      <c r="B10" s="198" t="s">
        <v>103</v>
      </c>
      <c r="C10" s="195">
        <v>5.8999999999999997E-2</v>
      </c>
      <c r="D10" s="195">
        <v>3.0000000000000001E-3</v>
      </c>
      <c r="E10" s="195">
        <v>1E-3</v>
      </c>
      <c r="F10" s="75">
        <f>SUM(C10:E10)</f>
        <v>6.3E-2</v>
      </c>
    </row>
    <row r="15" spans="1:14">
      <c r="B15" s="4" t="s">
        <v>329</v>
      </c>
    </row>
    <row r="16" spans="1:14">
      <c r="B16" s="198" t="s">
        <v>330</v>
      </c>
    </row>
    <row r="17" spans="2:2">
      <c r="B17" s="198" t="s">
        <v>331</v>
      </c>
    </row>
    <row r="18" spans="2:2">
      <c r="B18" s="198" t="s">
        <v>332</v>
      </c>
    </row>
    <row r="19" spans="2:2">
      <c r="B19" s="198" t="s">
        <v>333</v>
      </c>
    </row>
    <row r="20" spans="2:2">
      <c r="B20" s="198" t="s">
        <v>334</v>
      </c>
    </row>
    <row r="22" spans="2:2">
      <c r="B22" s="198" t="s">
        <v>335</v>
      </c>
    </row>
  </sheetData>
  <sheetProtection formatCells="0"/>
  <mergeCells count="4">
    <mergeCell ref="B2:F2"/>
    <mergeCell ref="B1:F1"/>
    <mergeCell ref="B4:F4"/>
    <mergeCell ref="A3:F3"/>
  </mergeCells>
  <phoneticPr fontId="16" type="noConversion"/>
  <printOptions horizontalCentered="1"/>
  <pageMargins left="0.75" right="0.75" top="1" bottom="1" header="0.5" footer="0.5"/>
  <pageSetup scale="71" orientation="portrait" r:id="rId1"/>
  <headerFooter alignWithMargins="0">
    <oddHeader>&amp;CIDAHO POWER COMPANY
Transmission Cost of Service Rate Development
12 Months Ended 12/31/2014</oddHeader>
  </headerFooter>
</worksheet>
</file>

<file path=xl/worksheets/sheet37.xml><?xml version="1.0" encoding="utf-8"?>
<worksheet xmlns="http://schemas.openxmlformats.org/spreadsheetml/2006/main" xmlns:r="http://schemas.openxmlformats.org/officeDocument/2006/relationships">
  <sheetPr codeName="Sheet38"/>
  <dimension ref="A1:N18"/>
  <sheetViews>
    <sheetView zoomScaleNormal="100" zoomScaleSheetLayoutView="100" workbookViewId="0">
      <selection sqref="A1:G1"/>
    </sheetView>
  </sheetViews>
  <sheetFormatPr defaultRowHeight="12.75"/>
  <cols>
    <col min="1" max="2" width="9.140625" style="153"/>
    <col min="3" max="3" width="13" style="153" bestFit="1" customWidth="1"/>
    <col min="4" max="4" width="9.140625" style="153"/>
    <col min="5" max="5" width="13" style="153" bestFit="1" customWidth="1"/>
    <col min="6" max="6" width="9.140625" style="153"/>
    <col min="7" max="7" width="11.42578125" style="153" bestFit="1" customWidth="1"/>
    <col min="8" max="16384" width="9.140625" style="153"/>
  </cols>
  <sheetData>
    <row r="1" spans="1:14">
      <c r="A1" s="645" t="s">
        <v>372</v>
      </c>
      <c r="B1" s="645"/>
      <c r="C1" s="645"/>
      <c r="D1" s="645"/>
      <c r="E1" s="645"/>
      <c r="F1" s="645"/>
      <c r="G1" s="645"/>
    </row>
    <row r="2" spans="1:14">
      <c r="A2" s="645" t="s">
        <v>109</v>
      </c>
      <c r="B2" s="645"/>
      <c r="C2" s="645"/>
      <c r="D2" s="645"/>
      <c r="E2" s="645"/>
      <c r="F2" s="645"/>
      <c r="G2" s="645"/>
    </row>
    <row r="3" spans="1:14">
      <c r="A3" s="645" t="s">
        <v>725</v>
      </c>
      <c r="B3" s="645"/>
      <c r="C3" s="645"/>
      <c r="D3" s="645"/>
      <c r="E3" s="645"/>
      <c r="F3" s="645"/>
      <c r="G3" s="645"/>
    </row>
    <row r="4" spans="1:14">
      <c r="A4" s="645" t="s">
        <v>724</v>
      </c>
      <c r="B4" s="645"/>
      <c r="C4" s="645"/>
      <c r="D4" s="645"/>
      <c r="E4" s="645"/>
      <c r="F4" s="645"/>
      <c r="G4" s="645"/>
    </row>
    <row r="5" spans="1:14">
      <c r="A5" s="645" t="str">
        <f>'Schedule 1 Workpaper'!A3:F3</f>
        <v>12 Months Ended 12/31/2014</v>
      </c>
      <c r="B5" s="645"/>
      <c r="C5" s="645"/>
      <c r="D5" s="645"/>
      <c r="E5" s="645"/>
      <c r="F5" s="645"/>
      <c r="G5" s="645"/>
      <c r="H5" s="184"/>
      <c r="I5" s="568"/>
      <c r="J5" s="568"/>
      <c r="K5" s="568"/>
      <c r="L5" s="568"/>
      <c r="M5" s="568"/>
      <c r="N5" s="568"/>
    </row>
    <row r="6" spans="1:14">
      <c r="A6" s="568"/>
      <c r="B6" s="568"/>
      <c r="C6" s="568"/>
      <c r="D6" s="568"/>
      <c r="E6" s="568"/>
      <c r="F6" s="568"/>
      <c r="G6" s="568"/>
    </row>
    <row r="7" spans="1:14">
      <c r="A7" s="568"/>
      <c r="B7" s="568"/>
      <c r="C7" s="568"/>
      <c r="D7" s="568"/>
      <c r="E7" s="568"/>
      <c r="F7" s="568"/>
      <c r="G7" s="568"/>
    </row>
    <row r="8" spans="1:14">
      <c r="A8" s="568"/>
      <c r="B8" s="568"/>
      <c r="C8" s="568"/>
      <c r="D8" s="568"/>
      <c r="E8" s="568"/>
      <c r="F8" s="568"/>
      <c r="G8" s="568"/>
    </row>
    <row r="9" spans="1:14" ht="13.5" thickBot="1">
      <c r="A9" s="185"/>
      <c r="B9" s="185"/>
      <c r="C9" s="186" t="s">
        <v>110</v>
      </c>
      <c r="D9" s="186" t="s">
        <v>412</v>
      </c>
      <c r="E9" s="187" t="s">
        <v>111</v>
      </c>
    </row>
    <row r="10" spans="1:14">
      <c r="A10" s="185"/>
      <c r="B10" s="185"/>
      <c r="C10" s="185">
        <v>107000</v>
      </c>
      <c r="D10" s="185">
        <v>451</v>
      </c>
      <c r="E10" s="589">
        <v>3700011.06</v>
      </c>
    </row>
    <row r="11" spans="1:14" ht="13.5" thickBot="1">
      <c r="A11" s="188"/>
      <c r="B11" s="188"/>
      <c r="C11" s="189" t="s">
        <v>939</v>
      </c>
      <c r="D11" s="189"/>
      <c r="E11" s="190">
        <f>SUM(E10:E10)</f>
        <v>3700011.06</v>
      </c>
    </row>
    <row r="12" spans="1:14" ht="13.5" thickTop="1">
      <c r="A12" s="188"/>
      <c r="B12" s="188"/>
      <c r="C12" s="189"/>
      <c r="D12" s="189"/>
      <c r="E12" s="191"/>
    </row>
    <row r="14" spans="1:14">
      <c r="C14" s="153" t="s">
        <v>240</v>
      </c>
      <c r="E14" s="192"/>
    </row>
    <row r="15" spans="1:14">
      <c r="C15" s="153" t="s">
        <v>241</v>
      </c>
      <c r="E15" s="192"/>
    </row>
    <row r="16" spans="1:14">
      <c r="C16" s="193">
        <v>2.0299999999999999E-2</v>
      </c>
      <c r="E16" s="192"/>
    </row>
    <row r="18" spans="3:7">
      <c r="C18" s="194">
        <f>E11</f>
        <v>3700011.06</v>
      </c>
      <c r="D18" s="568" t="s">
        <v>112</v>
      </c>
      <c r="E18" s="195">
        <f>C16</f>
        <v>2.0299999999999999E-2</v>
      </c>
      <c r="F18" s="196" t="s">
        <v>113</v>
      </c>
      <c r="G18" s="197">
        <f>ROUND(C18*E18,0)</f>
        <v>75110</v>
      </c>
    </row>
  </sheetData>
  <sheetProtection formatCells="0"/>
  <mergeCells count="5">
    <mergeCell ref="A2:G2"/>
    <mergeCell ref="A1:G1"/>
    <mergeCell ref="A3:G3"/>
    <mergeCell ref="A4:G4"/>
    <mergeCell ref="A5:G5"/>
  </mergeCells>
  <phoneticPr fontId="16" type="noConversion"/>
  <conditionalFormatting sqref="E10">
    <cfRule type="cellIs" dxfId="1" priority="2" operator="lessThan">
      <formula>0</formula>
    </cfRule>
  </conditionalFormatting>
  <conditionalFormatting sqref="C16">
    <cfRule type="cellIs" dxfId="0" priority="1" operator="notBetween">
      <formula>0.02</formula>
      <formula>0.0299</formula>
    </cfRule>
  </conditionalFormatting>
  <printOptions horizontalCentered="1"/>
  <pageMargins left="0.75" right="0.75" top="1" bottom="1" header="0.5" footer="0.5"/>
  <pageSetup scale="71" orientation="portrait" r:id="rId1"/>
  <headerFooter alignWithMargins="0">
    <oddHeader>&amp;CIDAHO POWER COMPANY
Transmission Cost of Service Rate Development
12 Months Ended 12/31/2014</oddHeader>
  </headerFooter>
</worksheet>
</file>

<file path=xl/worksheets/sheet38.xml><?xml version="1.0" encoding="utf-8"?>
<worksheet xmlns="http://schemas.openxmlformats.org/spreadsheetml/2006/main" xmlns:r="http://schemas.openxmlformats.org/officeDocument/2006/relationships">
  <sheetPr codeName="Sheet39">
    <pageSetUpPr fitToPage="1"/>
  </sheetPr>
  <dimension ref="A1:U100"/>
  <sheetViews>
    <sheetView zoomScale="90" zoomScaleNormal="90" zoomScaleSheetLayoutView="70" zoomScalePageLayoutView="50" workbookViewId="0">
      <pane xSplit="7" ySplit="22" topLeftCell="H29" activePane="bottomRight" state="frozen"/>
      <selection pane="topRight"/>
      <selection pane="bottomLeft"/>
      <selection pane="bottomRight" sqref="A1:Q1"/>
    </sheetView>
  </sheetViews>
  <sheetFormatPr defaultColWidth="30.140625" defaultRowHeight="12.75"/>
  <cols>
    <col min="1" max="1" width="11.5703125" style="407" customWidth="1"/>
    <col min="2" max="2" width="30.140625" style="407" customWidth="1"/>
    <col min="3" max="3" width="9.140625" style="410" bestFit="1" customWidth="1"/>
    <col min="4" max="4" width="5.5703125" style="411" bestFit="1" customWidth="1"/>
    <col min="5" max="5" width="13.140625" style="407" bestFit="1" customWidth="1"/>
    <col min="6" max="6" width="12.5703125" style="410" bestFit="1" customWidth="1"/>
    <col min="7" max="7" width="8.28515625" style="407" bestFit="1" customWidth="1"/>
    <col min="8" max="8" width="12.85546875" style="407" bestFit="1" customWidth="1"/>
    <col min="9" max="9" width="12.5703125" style="410" bestFit="1" customWidth="1"/>
    <col min="10" max="10" width="8.28515625" style="407" bestFit="1" customWidth="1"/>
    <col min="11" max="11" width="14.28515625" style="407" bestFit="1" customWidth="1"/>
    <col min="12" max="12" width="13.5703125" style="410" bestFit="1" customWidth="1"/>
    <col min="13" max="13" width="8.28515625" style="410" bestFit="1" customWidth="1"/>
    <col min="14" max="14" width="14.28515625" style="407" bestFit="1" customWidth="1"/>
    <col min="15" max="15" width="18.28515625" style="407" bestFit="1" customWidth="1"/>
    <col min="16" max="16" width="13.140625" style="407" bestFit="1" customWidth="1"/>
    <col min="17" max="17" width="10.5703125" style="409" bestFit="1" customWidth="1"/>
    <col min="18" max="28" width="9.140625" style="407" customWidth="1"/>
    <col min="29" max="29" width="11.5703125" style="407" customWidth="1"/>
    <col min="30" max="16384" width="30.140625" style="407"/>
  </cols>
  <sheetData>
    <row r="1" spans="1:21">
      <c r="A1" s="673" t="s">
        <v>11</v>
      </c>
      <c r="B1" s="673"/>
      <c r="C1" s="673"/>
      <c r="D1" s="673"/>
      <c r="E1" s="673"/>
      <c r="F1" s="673"/>
      <c r="G1" s="673"/>
      <c r="H1" s="673"/>
      <c r="I1" s="673"/>
      <c r="J1" s="673"/>
      <c r="K1" s="673"/>
      <c r="L1" s="673"/>
      <c r="M1" s="673"/>
      <c r="N1" s="673"/>
      <c r="O1" s="673"/>
      <c r="P1" s="673"/>
      <c r="Q1" s="673"/>
    </row>
    <row r="2" spans="1:21">
      <c r="A2" s="645" t="s">
        <v>723</v>
      </c>
      <c r="B2" s="645"/>
      <c r="C2" s="645"/>
      <c r="D2" s="645"/>
      <c r="E2" s="645"/>
      <c r="F2" s="645"/>
      <c r="G2" s="645"/>
      <c r="H2" s="645"/>
      <c r="I2" s="645"/>
      <c r="J2" s="645"/>
      <c r="K2" s="645"/>
      <c r="L2" s="645"/>
      <c r="M2" s="645"/>
      <c r="N2" s="645"/>
      <c r="O2" s="645"/>
      <c r="P2" s="645"/>
      <c r="Q2" s="645"/>
    </row>
    <row r="3" spans="1:21">
      <c r="A3" s="654" t="s">
        <v>730</v>
      </c>
      <c r="B3" s="654"/>
      <c r="C3" s="654"/>
      <c r="D3" s="654"/>
      <c r="E3" s="654"/>
      <c r="F3" s="654"/>
      <c r="G3" s="654"/>
      <c r="H3" s="654"/>
      <c r="I3" s="654"/>
      <c r="J3" s="654"/>
      <c r="K3" s="654"/>
      <c r="L3" s="654"/>
      <c r="M3" s="654"/>
      <c r="N3" s="654"/>
      <c r="O3" s="654"/>
      <c r="P3" s="654"/>
      <c r="Q3" s="654"/>
    </row>
    <row r="4" spans="1:21">
      <c r="A4" s="654" t="s">
        <v>726</v>
      </c>
      <c r="B4" s="654"/>
      <c r="C4" s="654"/>
      <c r="D4" s="654"/>
      <c r="E4" s="654"/>
      <c r="F4" s="654"/>
      <c r="G4" s="654"/>
      <c r="H4" s="654"/>
      <c r="I4" s="654"/>
      <c r="J4" s="654"/>
      <c r="K4" s="654"/>
      <c r="L4" s="654"/>
      <c r="M4" s="654"/>
      <c r="N4" s="654"/>
      <c r="O4" s="654"/>
      <c r="P4" s="654"/>
      <c r="Q4" s="654"/>
    </row>
    <row r="5" spans="1:21" s="153" customFormat="1">
      <c r="A5" s="645" t="str">
        <f>'Schedule 1 Workpaper'!A3:F3</f>
        <v>12 Months Ended 12/31/2014</v>
      </c>
      <c r="B5" s="645"/>
      <c r="C5" s="645"/>
      <c r="D5" s="645"/>
      <c r="E5" s="645"/>
      <c r="F5" s="645"/>
      <c r="G5" s="645"/>
      <c r="H5" s="645"/>
      <c r="I5" s="645"/>
      <c r="J5" s="645"/>
      <c r="K5" s="645"/>
      <c r="L5" s="645"/>
      <c r="M5" s="645"/>
      <c r="N5" s="645"/>
      <c r="O5" s="645"/>
      <c r="P5" s="645"/>
      <c r="Q5" s="645"/>
    </row>
    <row r="6" spans="1:21">
      <c r="A6" s="572"/>
      <c r="B6" s="572"/>
      <c r="C6" s="572"/>
      <c r="D6" s="408"/>
      <c r="E6" s="572"/>
      <c r="F6" s="572"/>
      <c r="G6" s="572"/>
      <c r="H6" s="576"/>
      <c r="I6" s="576"/>
      <c r="J6" s="576"/>
      <c r="K6" s="576"/>
      <c r="L6" s="576"/>
      <c r="M6" s="576"/>
      <c r="N6" s="576"/>
      <c r="O6" s="576"/>
      <c r="P6" s="576"/>
    </row>
    <row r="7" spans="1:21">
      <c r="F7" s="670" t="s">
        <v>1051</v>
      </c>
      <c r="G7" s="671"/>
      <c r="H7" s="672"/>
      <c r="I7" s="670" t="s">
        <v>1052</v>
      </c>
      <c r="J7" s="671"/>
      <c r="K7" s="672"/>
      <c r="L7" s="670" t="s">
        <v>1053</v>
      </c>
      <c r="M7" s="671"/>
      <c r="N7" s="672"/>
      <c r="O7" s="412"/>
    </row>
    <row r="8" spans="1:21" ht="26.25" thickBot="1">
      <c r="A8" s="413" t="s">
        <v>40</v>
      </c>
      <c r="B8" s="413" t="s">
        <v>711</v>
      </c>
      <c r="C8" s="413" t="s">
        <v>828</v>
      </c>
      <c r="D8" s="414" t="s">
        <v>829</v>
      </c>
      <c r="E8" s="413" t="s">
        <v>830</v>
      </c>
      <c r="F8" s="413" t="s">
        <v>831</v>
      </c>
      <c r="G8" s="413" t="s">
        <v>161</v>
      </c>
      <c r="H8" s="415" t="s">
        <v>162</v>
      </c>
      <c r="I8" s="413" t="s">
        <v>831</v>
      </c>
      <c r="J8" s="413" t="s">
        <v>161</v>
      </c>
      <c r="K8" s="415" t="s">
        <v>162</v>
      </c>
      <c r="L8" s="413" t="s">
        <v>831</v>
      </c>
      <c r="M8" s="413" t="s">
        <v>161</v>
      </c>
      <c r="N8" s="415" t="s">
        <v>162</v>
      </c>
      <c r="O8" s="415" t="s">
        <v>832</v>
      </c>
      <c r="P8" s="415" t="s">
        <v>833</v>
      </c>
      <c r="Q8" s="415" t="s">
        <v>834</v>
      </c>
    </row>
    <row r="9" spans="1:21">
      <c r="A9" s="188" t="s">
        <v>846</v>
      </c>
      <c r="B9" s="188" t="s">
        <v>163</v>
      </c>
      <c r="C9" s="279">
        <v>353</v>
      </c>
      <c r="D9" s="298">
        <v>1978</v>
      </c>
      <c r="E9" s="588">
        <f>648863.15-968.78</f>
        <v>647894.37</v>
      </c>
      <c r="F9" s="418">
        <v>2.12E-2</v>
      </c>
      <c r="G9" s="568">
        <f>IF((2008-$D9)+0.58&lt;0, 0,(2008-$D9)+0.58)</f>
        <v>30.58</v>
      </c>
      <c r="H9" s="409">
        <f>ROUND(E9*G9*F9,2)</f>
        <v>420027.33</v>
      </c>
      <c r="I9" s="418">
        <v>2.06E-2</v>
      </c>
      <c r="J9" s="420">
        <f t="shared" ref="J9:J16" si="0">IF(G9=0,IF($J$89=D9,$J$89-D9+0.42,($J$89+0.42-D9)-G9),$J$89+0.42-D9)-G9</f>
        <v>3.8400000000000745</v>
      </c>
      <c r="K9" s="409">
        <f>ROUND(E9*J9*I9,2)</f>
        <v>51251.040000000001</v>
      </c>
      <c r="L9" s="418">
        <v>1.9E-2</v>
      </c>
      <c r="M9" s="420">
        <f t="shared" ref="M9:M40" si="1">$J$91+1-D9-J9-G9</f>
        <v>2.5799999999999272</v>
      </c>
      <c r="N9" s="409">
        <f>ROUND(E9*L9*M9,2)</f>
        <v>31759.78</v>
      </c>
      <c r="O9" s="409">
        <f>SUM(H9,K9,N9)</f>
        <v>503038.15</v>
      </c>
      <c r="P9" s="416">
        <f t="shared" ref="P9:P64" si="2">E9-O9</f>
        <v>144856.21999999997</v>
      </c>
      <c r="Q9" s="409">
        <f>ROUND(E9*L9,2)</f>
        <v>12309.99</v>
      </c>
      <c r="S9" s="407">
        <f>2014+1-D9</f>
        <v>37</v>
      </c>
      <c r="T9" s="417">
        <f>G9+J9+M9</f>
        <v>37</v>
      </c>
      <c r="U9" s="417" t="str">
        <f>IF(S9-T9=0, "ok","error")</f>
        <v>ok</v>
      </c>
    </row>
    <row r="10" spans="1:21">
      <c r="A10" s="188" t="s">
        <v>835</v>
      </c>
      <c r="B10" s="188" t="s">
        <v>164</v>
      </c>
      <c r="C10" s="279">
        <v>353</v>
      </c>
      <c r="D10" s="298">
        <v>1959</v>
      </c>
      <c r="E10" s="588">
        <f>748173.1-275.63</f>
        <v>747897.47</v>
      </c>
      <c r="F10" s="418">
        <v>2.12E-2</v>
      </c>
      <c r="G10" s="568">
        <f t="shared" ref="G10:G68" si="3">IF((2008-D10)+0.58&lt;0, 0,(2008-D10)+0.58)</f>
        <v>49.58</v>
      </c>
      <c r="H10" s="409">
        <f>ROUND(E10*G10*F10,2)</f>
        <v>786112.04</v>
      </c>
      <c r="I10" s="418">
        <v>2.06E-2</v>
      </c>
      <c r="J10" s="420">
        <f t="shared" si="0"/>
        <v>3.8400000000000745</v>
      </c>
      <c r="K10" s="409">
        <f t="shared" ref="K10:K64" si="4">ROUND(E10*J10*I10,2)</f>
        <v>59161.68</v>
      </c>
      <c r="L10" s="418">
        <v>1.9E-2</v>
      </c>
      <c r="M10" s="420">
        <f t="shared" si="1"/>
        <v>2.5799999999999272</v>
      </c>
      <c r="N10" s="409">
        <f t="shared" ref="N10:N52" si="5">ROUND(E10*L10*M10,2)</f>
        <v>36661.93</v>
      </c>
      <c r="O10" s="409">
        <f t="shared" ref="O10:O11" si="6">SUM(H10,K10,N10)</f>
        <v>881935.65000000014</v>
      </c>
      <c r="P10" s="416">
        <f t="shared" si="2"/>
        <v>-134038.18000000017</v>
      </c>
      <c r="Q10" s="409">
        <f t="shared" ref="Q10:Q64" si="7">ROUND(E10*L10,2)</f>
        <v>14210.05</v>
      </c>
      <c r="S10" s="407">
        <f t="shared" ref="S10:S71" si="8">2014+1-D10</f>
        <v>56</v>
      </c>
      <c r="T10" s="417">
        <f t="shared" ref="T10:T63" si="9">G10+J10+M10</f>
        <v>56</v>
      </c>
      <c r="U10" s="417" t="str">
        <f t="shared" ref="U10:U63" si="10">IF(S10-T10=0, "ok","error")</f>
        <v>ok</v>
      </c>
    </row>
    <row r="11" spans="1:21">
      <c r="A11" s="188" t="s">
        <v>835</v>
      </c>
      <c r="B11" s="188" t="s">
        <v>164</v>
      </c>
      <c r="C11" s="279">
        <v>353</v>
      </c>
      <c r="D11" s="298">
        <v>1980</v>
      </c>
      <c r="E11" s="588">
        <v>1541721.69</v>
      </c>
      <c r="F11" s="418">
        <v>2.12E-2</v>
      </c>
      <c r="G11" s="568">
        <f t="shared" si="3"/>
        <v>28.58</v>
      </c>
      <c r="H11" s="409">
        <f>ROUND(E11*G11*F11,2)</f>
        <v>934123.01</v>
      </c>
      <c r="I11" s="418">
        <v>2.06E-2</v>
      </c>
      <c r="J11" s="420">
        <f t="shared" si="0"/>
        <v>3.8400000000000745</v>
      </c>
      <c r="K11" s="409">
        <f t="shared" si="4"/>
        <v>121956.35</v>
      </c>
      <c r="L11" s="418">
        <v>1.9E-2</v>
      </c>
      <c r="M11" s="420">
        <f t="shared" si="1"/>
        <v>2.5799999999999272</v>
      </c>
      <c r="N11" s="409">
        <f t="shared" si="5"/>
        <v>75575.199999999997</v>
      </c>
      <c r="O11" s="409">
        <f t="shared" si="6"/>
        <v>1131654.56</v>
      </c>
      <c r="P11" s="416">
        <f t="shared" si="2"/>
        <v>410067.12999999989</v>
      </c>
      <c r="Q11" s="409">
        <f t="shared" si="7"/>
        <v>29292.71</v>
      </c>
      <c r="S11" s="407">
        <f t="shared" si="8"/>
        <v>35</v>
      </c>
      <c r="T11" s="417">
        <f t="shared" si="9"/>
        <v>35</v>
      </c>
      <c r="U11" s="417" t="str">
        <f t="shared" si="10"/>
        <v>ok</v>
      </c>
    </row>
    <row r="12" spans="1:21">
      <c r="A12" s="188" t="s">
        <v>835</v>
      </c>
      <c r="B12" s="188" t="s">
        <v>164</v>
      </c>
      <c r="C12" s="279">
        <v>353</v>
      </c>
      <c r="D12" s="298">
        <v>2000</v>
      </c>
      <c r="E12" s="588">
        <v>11284.55</v>
      </c>
      <c r="F12" s="418">
        <v>2.12E-2</v>
      </c>
      <c r="G12" s="568">
        <f t="shared" si="3"/>
        <v>8.58</v>
      </c>
      <c r="H12" s="409">
        <f t="shared" ref="H12:H21" si="11">ROUND(E12*G12*F12,2)</f>
        <v>2052.61</v>
      </c>
      <c r="I12" s="418">
        <v>2.06E-2</v>
      </c>
      <c r="J12" s="420">
        <f t="shared" si="0"/>
        <v>3.8400000000000727</v>
      </c>
      <c r="K12" s="409">
        <f t="shared" si="4"/>
        <v>892.65</v>
      </c>
      <c r="L12" s="418">
        <v>1.9E-2</v>
      </c>
      <c r="M12" s="420">
        <f t="shared" si="1"/>
        <v>2.5799999999999272</v>
      </c>
      <c r="N12" s="409">
        <f t="shared" si="5"/>
        <v>553.16999999999996</v>
      </c>
      <c r="O12" s="409">
        <f t="shared" ref="O12:O52" si="12">SUM(H12,K12,N12)</f>
        <v>3498.4300000000003</v>
      </c>
      <c r="P12" s="416">
        <f t="shared" si="2"/>
        <v>7786.119999999999</v>
      </c>
      <c r="Q12" s="409">
        <f t="shared" si="7"/>
        <v>214.41</v>
      </c>
      <c r="S12" s="407">
        <f t="shared" si="8"/>
        <v>15</v>
      </c>
      <c r="T12" s="417">
        <f t="shared" si="9"/>
        <v>15</v>
      </c>
      <c r="U12" s="417" t="str">
        <f t="shared" si="10"/>
        <v>ok</v>
      </c>
    </row>
    <row r="13" spans="1:21">
      <c r="A13" s="188" t="s">
        <v>835</v>
      </c>
      <c r="B13" s="188" t="s">
        <v>164</v>
      </c>
      <c r="C13" s="279">
        <v>353</v>
      </c>
      <c r="D13" s="298">
        <v>2003</v>
      </c>
      <c r="E13" s="588">
        <v>15167.15</v>
      </c>
      <c r="F13" s="418">
        <v>2.12E-2</v>
      </c>
      <c r="G13" s="568">
        <f t="shared" si="3"/>
        <v>5.58</v>
      </c>
      <c r="H13" s="409">
        <f t="shared" si="11"/>
        <v>1794.21</v>
      </c>
      <c r="I13" s="418">
        <v>2.06E-2</v>
      </c>
      <c r="J13" s="420">
        <f t="shared" si="0"/>
        <v>3.8400000000000727</v>
      </c>
      <c r="K13" s="409">
        <f t="shared" si="4"/>
        <v>1199.78</v>
      </c>
      <c r="L13" s="418">
        <v>1.9E-2</v>
      </c>
      <c r="M13" s="420">
        <f t="shared" si="1"/>
        <v>2.5799999999999272</v>
      </c>
      <c r="N13" s="409">
        <f t="shared" si="5"/>
        <v>743.49</v>
      </c>
      <c r="O13" s="409">
        <f t="shared" si="12"/>
        <v>3737.4799999999996</v>
      </c>
      <c r="P13" s="416">
        <f t="shared" si="2"/>
        <v>11429.67</v>
      </c>
      <c r="Q13" s="409">
        <f t="shared" si="7"/>
        <v>288.18</v>
      </c>
      <c r="S13" s="407">
        <f t="shared" si="8"/>
        <v>12</v>
      </c>
      <c r="T13" s="417">
        <f t="shared" si="9"/>
        <v>12</v>
      </c>
      <c r="U13" s="417" t="str">
        <f t="shared" si="10"/>
        <v>ok</v>
      </c>
    </row>
    <row r="14" spans="1:21">
      <c r="A14" s="188" t="s">
        <v>835</v>
      </c>
      <c r="B14" s="188" t="s">
        <v>164</v>
      </c>
      <c r="C14" s="279">
        <v>353</v>
      </c>
      <c r="D14" s="298">
        <v>2012</v>
      </c>
      <c r="E14" s="588">
        <v>1855783.59</v>
      </c>
      <c r="F14" s="418">
        <v>2.12E-2</v>
      </c>
      <c r="G14" s="568">
        <f t="shared" si="3"/>
        <v>0</v>
      </c>
      <c r="H14" s="409">
        <f t="shared" si="11"/>
        <v>0</v>
      </c>
      <c r="I14" s="418">
        <v>2.06E-2</v>
      </c>
      <c r="J14" s="420">
        <f t="shared" si="0"/>
        <v>0.42</v>
      </c>
      <c r="K14" s="409">
        <f t="shared" si="4"/>
        <v>16056.24</v>
      </c>
      <c r="L14" s="418">
        <v>1.9E-2</v>
      </c>
      <c r="M14" s="420">
        <f t="shared" si="1"/>
        <v>2.58</v>
      </c>
      <c r="N14" s="409">
        <f t="shared" si="5"/>
        <v>90970.51</v>
      </c>
      <c r="O14" s="409">
        <f t="shared" si="12"/>
        <v>107026.75</v>
      </c>
      <c r="P14" s="416">
        <f t="shared" si="2"/>
        <v>1748756.84</v>
      </c>
      <c r="Q14" s="409">
        <f t="shared" si="7"/>
        <v>35259.89</v>
      </c>
      <c r="S14" s="407">
        <f t="shared" si="8"/>
        <v>3</v>
      </c>
      <c r="T14" s="417">
        <f t="shared" si="9"/>
        <v>3</v>
      </c>
      <c r="U14" s="417" t="str">
        <f t="shared" si="10"/>
        <v>ok</v>
      </c>
    </row>
    <row r="15" spans="1:21">
      <c r="A15" s="188" t="s">
        <v>848</v>
      </c>
      <c r="B15" s="188" t="s">
        <v>165</v>
      </c>
      <c r="C15" s="279">
        <v>353</v>
      </c>
      <c r="D15" s="298">
        <v>1950</v>
      </c>
      <c r="E15" s="588">
        <v>316403.89</v>
      </c>
      <c r="F15" s="418">
        <v>2.12E-2</v>
      </c>
      <c r="G15" s="568">
        <f t="shared" si="3"/>
        <v>58.58</v>
      </c>
      <c r="H15" s="409">
        <f t="shared" si="11"/>
        <v>392940.73</v>
      </c>
      <c r="I15" s="418">
        <v>2.06E-2</v>
      </c>
      <c r="J15" s="420">
        <f t="shared" si="0"/>
        <v>3.8400000000000745</v>
      </c>
      <c r="K15" s="409">
        <f t="shared" si="4"/>
        <v>25028.81</v>
      </c>
      <c r="L15" s="418">
        <v>1.9E-2</v>
      </c>
      <c r="M15" s="420">
        <f t="shared" si="1"/>
        <v>2.5799999999999272</v>
      </c>
      <c r="N15" s="409">
        <f t="shared" si="5"/>
        <v>15510.12</v>
      </c>
      <c r="O15" s="409">
        <f t="shared" si="12"/>
        <v>433479.66</v>
      </c>
      <c r="P15" s="416">
        <f t="shared" si="2"/>
        <v>-117075.76999999996</v>
      </c>
      <c r="Q15" s="409">
        <f t="shared" si="7"/>
        <v>6011.67</v>
      </c>
      <c r="S15" s="407">
        <f t="shared" si="8"/>
        <v>65</v>
      </c>
      <c r="T15" s="417">
        <f t="shared" si="9"/>
        <v>65</v>
      </c>
      <c r="U15" s="417" t="str">
        <f t="shared" si="10"/>
        <v>ok</v>
      </c>
    </row>
    <row r="16" spans="1:21">
      <c r="A16" s="188" t="s">
        <v>848</v>
      </c>
      <c r="B16" s="188" t="s">
        <v>165</v>
      </c>
      <c r="C16" s="279">
        <v>353</v>
      </c>
      <c r="D16" s="298">
        <v>1964</v>
      </c>
      <c r="E16" s="588">
        <v>1416.21</v>
      </c>
      <c r="F16" s="418">
        <v>2.12E-2</v>
      </c>
      <c r="G16" s="568">
        <f t="shared" si="3"/>
        <v>44.58</v>
      </c>
      <c r="H16" s="409">
        <f t="shared" si="11"/>
        <v>1338.45</v>
      </c>
      <c r="I16" s="418">
        <v>2.06E-2</v>
      </c>
      <c r="J16" s="420">
        <f t="shared" si="0"/>
        <v>3.8400000000000745</v>
      </c>
      <c r="K16" s="409">
        <f t="shared" si="4"/>
        <v>112.03</v>
      </c>
      <c r="L16" s="418">
        <v>1.9E-2</v>
      </c>
      <c r="M16" s="420">
        <f t="shared" si="1"/>
        <v>2.5799999999999272</v>
      </c>
      <c r="N16" s="409">
        <f t="shared" si="5"/>
        <v>69.42</v>
      </c>
      <c r="O16" s="409">
        <f t="shared" si="12"/>
        <v>1519.9</v>
      </c>
      <c r="P16" s="416">
        <f t="shared" si="2"/>
        <v>-103.69000000000005</v>
      </c>
      <c r="Q16" s="409">
        <f t="shared" si="7"/>
        <v>26.91</v>
      </c>
      <c r="S16" s="407">
        <f t="shared" si="8"/>
        <v>51</v>
      </c>
      <c r="T16" s="417">
        <f t="shared" si="9"/>
        <v>51</v>
      </c>
      <c r="U16" s="417" t="str">
        <f t="shared" si="10"/>
        <v>ok</v>
      </c>
    </row>
    <row r="17" spans="1:21">
      <c r="A17" s="188" t="s">
        <v>844</v>
      </c>
      <c r="B17" s="188" t="s">
        <v>166</v>
      </c>
      <c r="C17" s="279">
        <v>353</v>
      </c>
      <c r="D17" s="298">
        <v>1983</v>
      </c>
      <c r="E17" s="588">
        <v>257772.45</v>
      </c>
      <c r="F17" s="418">
        <v>2.12E-2</v>
      </c>
      <c r="G17" s="568">
        <f t="shared" si="3"/>
        <v>25.58</v>
      </c>
      <c r="H17" s="409">
        <f t="shared" si="11"/>
        <v>139788.97</v>
      </c>
      <c r="I17" s="418">
        <v>2.06E-2</v>
      </c>
      <c r="J17" s="420">
        <f t="shared" ref="J17:J19" si="13">IF(G17=0,IF($J$89=D17,$J$89-D17+0.42,($J$89+0.42-D17)-G17),$J$89+0.42-D17)-G17</f>
        <v>3.8400000000000745</v>
      </c>
      <c r="K17" s="409">
        <f t="shared" si="4"/>
        <v>20390.830000000002</v>
      </c>
      <c r="L17" s="418">
        <v>1.9E-2</v>
      </c>
      <c r="M17" s="420">
        <f t="shared" si="1"/>
        <v>2.5799999999999272</v>
      </c>
      <c r="N17" s="409">
        <f t="shared" si="5"/>
        <v>12636.01</v>
      </c>
      <c r="O17" s="409">
        <f t="shared" si="12"/>
        <v>172815.81</v>
      </c>
      <c r="P17" s="416">
        <f t="shared" si="2"/>
        <v>84956.640000000014</v>
      </c>
      <c r="Q17" s="409">
        <f t="shared" si="7"/>
        <v>4897.68</v>
      </c>
      <c r="S17" s="407">
        <f t="shared" si="8"/>
        <v>32</v>
      </c>
      <c r="T17" s="417">
        <f t="shared" si="9"/>
        <v>32</v>
      </c>
      <c r="U17" s="417" t="str">
        <f t="shared" si="10"/>
        <v>ok</v>
      </c>
    </row>
    <row r="18" spans="1:21">
      <c r="A18" s="188" t="s">
        <v>847</v>
      </c>
      <c r="B18" s="188" t="s">
        <v>168</v>
      </c>
      <c r="C18" s="279">
        <v>353</v>
      </c>
      <c r="D18" s="298">
        <v>1965</v>
      </c>
      <c r="E18" s="588">
        <v>19807.669999999998</v>
      </c>
      <c r="F18" s="418">
        <v>2.12E-2</v>
      </c>
      <c r="G18" s="568">
        <f t="shared" si="3"/>
        <v>43.58</v>
      </c>
      <c r="H18" s="409">
        <f t="shared" si="11"/>
        <v>18300.23</v>
      </c>
      <c r="I18" s="418">
        <v>2.06E-2</v>
      </c>
      <c r="J18" s="420">
        <f t="shared" si="13"/>
        <v>3.8400000000000745</v>
      </c>
      <c r="K18" s="409">
        <f t="shared" si="4"/>
        <v>1566.87</v>
      </c>
      <c r="L18" s="418">
        <v>1.9E-2</v>
      </c>
      <c r="M18" s="420">
        <f t="shared" si="1"/>
        <v>2.5799999999999272</v>
      </c>
      <c r="N18" s="409">
        <f t="shared" si="5"/>
        <v>970.97</v>
      </c>
      <c r="O18" s="409">
        <f t="shared" si="12"/>
        <v>20838.07</v>
      </c>
      <c r="P18" s="416">
        <f t="shared" si="2"/>
        <v>-1030.4000000000015</v>
      </c>
      <c r="Q18" s="409">
        <f t="shared" si="7"/>
        <v>376.35</v>
      </c>
      <c r="S18" s="407">
        <f t="shared" si="8"/>
        <v>50</v>
      </c>
      <c r="T18" s="417">
        <f t="shared" si="9"/>
        <v>50</v>
      </c>
      <c r="U18" s="417" t="str">
        <f t="shared" si="10"/>
        <v>ok</v>
      </c>
    </row>
    <row r="19" spans="1:21">
      <c r="A19" s="188" t="s">
        <v>836</v>
      </c>
      <c r="B19" s="188" t="s">
        <v>169</v>
      </c>
      <c r="C19" s="279">
        <v>353</v>
      </c>
      <c r="D19" s="298">
        <v>2001</v>
      </c>
      <c r="E19" s="588">
        <v>259219.44</v>
      </c>
      <c r="F19" s="418">
        <v>2.12E-2</v>
      </c>
      <c r="G19" s="568">
        <f t="shared" si="3"/>
        <v>7.58</v>
      </c>
      <c r="H19" s="409">
        <f t="shared" si="11"/>
        <v>41655.53</v>
      </c>
      <c r="I19" s="418">
        <v>2.06E-2</v>
      </c>
      <c r="J19" s="420">
        <f t="shared" si="13"/>
        <v>3.8400000000000727</v>
      </c>
      <c r="K19" s="409">
        <f t="shared" si="4"/>
        <v>20505.29</v>
      </c>
      <c r="L19" s="418">
        <v>1.9E-2</v>
      </c>
      <c r="M19" s="420">
        <f t="shared" si="1"/>
        <v>2.5799999999999272</v>
      </c>
      <c r="N19" s="409">
        <f t="shared" si="5"/>
        <v>12706.94</v>
      </c>
      <c r="O19" s="409">
        <f t="shared" si="12"/>
        <v>74867.759999999995</v>
      </c>
      <c r="P19" s="416">
        <f t="shared" si="2"/>
        <v>184351.68</v>
      </c>
      <c r="Q19" s="409">
        <f t="shared" si="7"/>
        <v>4925.17</v>
      </c>
      <c r="S19" s="407">
        <f t="shared" si="8"/>
        <v>14</v>
      </c>
      <c r="T19" s="417">
        <f t="shared" si="9"/>
        <v>14</v>
      </c>
      <c r="U19" s="417" t="str">
        <f t="shared" si="10"/>
        <v>ok</v>
      </c>
    </row>
    <row r="20" spans="1:21">
      <c r="A20" s="188" t="s">
        <v>836</v>
      </c>
      <c r="B20" s="188" t="s">
        <v>169</v>
      </c>
      <c r="C20" s="279">
        <v>353</v>
      </c>
      <c r="D20" s="298">
        <v>2008</v>
      </c>
      <c r="E20" s="588">
        <v>7041.17</v>
      </c>
      <c r="F20" s="418">
        <v>2.12E-2</v>
      </c>
      <c r="G20" s="568">
        <f t="shared" si="3"/>
        <v>0.57999999999999996</v>
      </c>
      <c r="H20" s="409">
        <f t="shared" si="11"/>
        <v>86.58</v>
      </c>
      <c r="I20" s="418">
        <v>2.06E-2</v>
      </c>
      <c r="J20" s="420">
        <f t="shared" ref="J20:J51" si="14">IF(G20=0,IF($J$89=D20,$J$89-D20+0.42,($J$89+0.42-D20)-G20),$J$89+0.42-D20)-G20</f>
        <v>3.8400000000000727</v>
      </c>
      <c r="K20" s="409">
        <f t="shared" si="4"/>
        <v>556.98</v>
      </c>
      <c r="L20" s="418">
        <v>1.9E-2</v>
      </c>
      <c r="M20" s="420">
        <f t="shared" si="1"/>
        <v>2.5799999999999272</v>
      </c>
      <c r="N20" s="409">
        <f t="shared" si="5"/>
        <v>345.16</v>
      </c>
      <c r="O20" s="409">
        <f t="shared" si="12"/>
        <v>988.72</v>
      </c>
      <c r="P20" s="416">
        <f t="shared" si="2"/>
        <v>6052.45</v>
      </c>
      <c r="Q20" s="409">
        <f t="shared" si="7"/>
        <v>133.78</v>
      </c>
      <c r="S20" s="407">
        <f t="shared" si="8"/>
        <v>7</v>
      </c>
      <c r="T20" s="417">
        <f t="shared" si="9"/>
        <v>7</v>
      </c>
      <c r="U20" s="417" t="str">
        <f t="shared" si="10"/>
        <v>ok</v>
      </c>
    </row>
    <row r="21" spans="1:21">
      <c r="A21" s="188" t="s">
        <v>836</v>
      </c>
      <c r="B21" s="188" t="s">
        <v>169</v>
      </c>
      <c r="C21" s="279">
        <v>353</v>
      </c>
      <c r="D21" s="538">
        <v>2009</v>
      </c>
      <c r="E21" s="588">
        <v>3878240.38</v>
      </c>
      <c r="F21" s="418">
        <v>2.12E-2</v>
      </c>
      <c r="G21" s="568">
        <f t="shared" si="3"/>
        <v>0</v>
      </c>
      <c r="H21" s="409">
        <f t="shared" si="11"/>
        <v>0</v>
      </c>
      <c r="I21" s="418">
        <v>2.06E-2</v>
      </c>
      <c r="J21" s="420">
        <f t="shared" si="14"/>
        <v>3.4200000000000728</v>
      </c>
      <c r="K21" s="409">
        <f t="shared" si="4"/>
        <v>273229.78999999998</v>
      </c>
      <c r="L21" s="418">
        <v>1.9E-2</v>
      </c>
      <c r="M21" s="420">
        <f t="shared" si="1"/>
        <v>2.5799999999999272</v>
      </c>
      <c r="N21" s="409">
        <f t="shared" si="5"/>
        <v>190111.34</v>
      </c>
      <c r="O21" s="409">
        <f t="shared" si="12"/>
        <v>463341.13</v>
      </c>
      <c r="P21" s="416">
        <f t="shared" si="2"/>
        <v>3414899.25</v>
      </c>
      <c r="Q21" s="409">
        <f t="shared" si="7"/>
        <v>73686.570000000007</v>
      </c>
      <c r="S21" s="407">
        <f t="shared" si="8"/>
        <v>6</v>
      </c>
      <c r="T21" s="417">
        <f t="shared" si="9"/>
        <v>6</v>
      </c>
      <c r="U21" s="417" t="str">
        <f t="shared" si="10"/>
        <v>ok</v>
      </c>
    </row>
    <row r="22" spans="1:21">
      <c r="A22" s="188" t="s">
        <v>837</v>
      </c>
      <c r="B22" s="188" t="s">
        <v>170</v>
      </c>
      <c r="C22" s="279">
        <v>353</v>
      </c>
      <c r="D22" s="298">
        <v>1967</v>
      </c>
      <c r="E22" s="588">
        <v>945897.18</v>
      </c>
      <c r="F22" s="418">
        <v>2.12E-2</v>
      </c>
      <c r="G22" s="568">
        <f t="shared" si="3"/>
        <v>41.58</v>
      </c>
      <c r="H22" s="409">
        <f>ROUND(E22*G22*F22,2)</f>
        <v>833804.58</v>
      </c>
      <c r="I22" s="418">
        <v>2.06E-2</v>
      </c>
      <c r="J22" s="420">
        <f t="shared" si="14"/>
        <v>3.8400000000000745</v>
      </c>
      <c r="K22" s="409">
        <f t="shared" si="4"/>
        <v>74824.25</v>
      </c>
      <c r="L22" s="418">
        <v>1.9E-2</v>
      </c>
      <c r="M22" s="420">
        <f t="shared" si="1"/>
        <v>2.5799999999999272</v>
      </c>
      <c r="N22" s="409">
        <f t="shared" si="5"/>
        <v>46367.88</v>
      </c>
      <c r="O22" s="409">
        <f t="shared" si="12"/>
        <v>954996.71</v>
      </c>
      <c r="P22" s="416">
        <f t="shared" si="2"/>
        <v>-9099.5299999999115</v>
      </c>
      <c r="Q22" s="409">
        <f t="shared" si="7"/>
        <v>17972.05</v>
      </c>
      <c r="S22" s="407">
        <f t="shared" si="8"/>
        <v>48</v>
      </c>
      <c r="T22" s="417">
        <f t="shared" si="9"/>
        <v>48</v>
      </c>
      <c r="U22" s="417" t="str">
        <f t="shared" si="10"/>
        <v>ok</v>
      </c>
    </row>
    <row r="23" spans="1:21">
      <c r="A23" s="188" t="s">
        <v>837</v>
      </c>
      <c r="B23" s="188" t="s">
        <v>170</v>
      </c>
      <c r="C23" s="279">
        <v>353</v>
      </c>
      <c r="D23" s="298">
        <v>2000</v>
      </c>
      <c r="E23" s="588">
        <v>2680.97</v>
      </c>
      <c r="F23" s="418">
        <v>2.12E-2</v>
      </c>
      <c r="G23" s="568">
        <f t="shared" si="3"/>
        <v>8.58</v>
      </c>
      <c r="H23" s="409">
        <f>ROUND(E23*G23*F23,2)</f>
        <v>487.66</v>
      </c>
      <c r="I23" s="418">
        <v>2.06E-2</v>
      </c>
      <c r="J23" s="420">
        <f t="shared" si="14"/>
        <v>3.8400000000000727</v>
      </c>
      <c r="K23" s="409">
        <f t="shared" si="4"/>
        <v>212.08</v>
      </c>
      <c r="L23" s="418">
        <v>1.9E-2</v>
      </c>
      <c r="M23" s="420">
        <f t="shared" si="1"/>
        <v>2.5799999999999272</v>
      </c>
      <c r="N23" s="409">
        <f t="shared" si="5"/>
        <v>131.41999999999999</v>
      </c>
      <c r="O23" s="409">
        <f t="shared" si="12"/>
        <v>831.16</v>
      </c>
      <c r="P23" s="416">
        <f t="shared" si="2"/>
        <v>1849.81</v>
      </c>
      <c r="Q23" s="409">
        <f t="shared" si="7"/>
        <v>50.94</v>
      </c>
      <c r="S23" s="407">
        <f t="shared" si="8"/>
        <v>15</v>
      </c>
      <c r="T23" s="417">
        <f t="shared" si="9"/>
        <v>15</v>
      </c>
      <c r="U23" s="417" t="str">
        <f t="shared" si="10"/>
        <v>ok</v>
      </c>
    </row>
    <row r="24" spans="1:21">
      <c r="A24" s="188" t="s">
        <v>849</v>
      </c>
      <c r="B24" s="188" t="s">
        <v>171</v>
      </c>
      <c r="C24" s="279">
        <v>353</v>
      </c>
      <c r="D24" s="298">
        <v>1948</v>
      </c>
      <c r="E24" s="588">
        <v>81118.75</v>
      </c>
      <c r="F24" s="418">
        <v>2.12E-2</v>
      </c>
      <c r="G24" s="568">
        <f t="shared" si="3"/>
        <v>60.58</v>
      </c>
      <c r="H24" s="409">
        <f t="shared" ref="H24:H31" si="15">ROUND(E24*G24*F24,2)</f>
        <v>104180.49</v>
      </c>
      <c r="I24" s="418">
        <v>2.06E-2</v>
      </c>
      <c r="J24" s="420">
        <f t="shared" si="14"/>
        <v>3.8400000000000745</v>
      </c>
      <c r="K24" s="409">
        <f t="shared" si="4"/>
        <v>6416.82</v>
      </c>
      <c r="L24" s="418">
        <v>1.9E-2</v>
      </c>
      <c r="M24" s="420">
        <f t="shared" si="1"/>
        <v>2.5799999999999272</v>
      </c>
      <c r="N24" s="409">
        <f t="shared" si="5"/>
        <v>3976.44</v>
      </c>
      <c r="O24" s="409">
        <f t="shared" si="12"/>
        <v>114573.75</v>
      </c>
      <c r="P24" s="416">
        <f t="shared" si="2"/>
        <v>-33455</v>
      </c>
      <c r="Q24" s="409">
        <f t="shared" si="7"/>
        <v>1541.26</v>
      </c>
      <c r="S24" s="407">
        <f t="shared" si="8"/>
        <v>67</v>
      </c>
      <c r="T24" s="417">
        <f t="shared" si="9"/>
        <v>67</v>
      </c>
      <c r="U24" s="417" t="str">
        <f t="shared" si="10"/>
        <v>ok</v>
      </c>
    </row>
    <row r="25" spans="1:21">
      <c r="A25" s="188" t="s">
        <v>849</v>
      </c>
      <c r="B25" s="188" t="s">
        <v>171</v>
      </c>
      <c r="C25" s="279">
        <v>353</v>
      </c>
      <c r="D25" s="298">
        <v>1958</v>
      </c>
      <c r="E25" s="588">
        <v>1551.05</v>
      </c>
      <c r="F25" s="418">
        <v>2.12E-2</v>
      </c>
      <c r="G25" s="568">
        <f t="shared" si="3"/>
        <v>50.58</v>
      </c>
      <c r="H25" s="409">
        <f t="shared" si="15"/>
        <v>1663.18</v>
      </c>
      <c r="I25" s="418">
        <v>2.06E-2</v>
      </c>
      <c r="J25" s="420">
        <f t="shared" si="14"/>
        <v>3.8400000000000745</v>
      </c>
      <c r="K25" s="409">
        <f t="shared" si="4"/>
        <v>122.69</v>
      </c>
      <c r="L25" s="418">
        <v>1.9E-2</v>
      </c>
      <c r="M25" s="420">
        <f t="shared" si="1"/>
        <v>2.5799999999999272</v>
      </c>
      <c r="N25" s="409">
        <f t="shared" si="5"/>
        <v>76.03</v>
      </c>
      <c r="O25" s="409">
        <f t="shared" si="12"/>
        <v>1861.9</v>
      </c>
      <c r="P25" s="416">
        <f t="shared" si="2"/>
        <v>-310.85000000000014</v>
      </c>
      <c r="Q25" s="409">
        <f t="shared" si="7"/>
        <v>29.47</v>
      </c>
      <c r="S25" s="407">
        <f t="shared" si="8"/>
        <v>57</v>
      </c>
      <c r="T25" s="417">
        <f t="shared" si="9"/>
        <v>57</v>
      </c>
      <c r="U25" s="417" t="str">
        <f t="shared" si="10"/>
        <v>ok</v>
      </c>
    </row>
    <row r="26" spans="1:21">
      <c r="A26" s="188" t="s">
        <v>852</v>
      </c>
      <c r="B26" s="188" t="s">
        <v>172</v>
      </c>
      <c r="C26" s="279">
        <v>353</v>
      </c>
      <c r="D26" s="298">
        <v>1949</v>
      </c>
      <c r="E26" s="588">
        <v>303512.28999999998</v>
      </c>
      <c r="F26" s="418">
        <v>2.12E-2</v>
      </c>
      <c r="G26" s="568">
        <f t="shared" si="3"/>
        <v>59.58</v>
      </c>
      <c r="H26" s="409">
        <f t="shared" si="15"/>
        <v>383365.16</v>
      </c>
      <c r="I26" s="418">
        <v>2.06E-2</v>
      </c>
      <c r="J26" s="420">
        <f t="shared" si="14"/>
        <v>3.8400000000000745</v>
      </c>
      <c r="K26" s="409">
        <f t="shared" si="4"/>
        <v>24009.040000000001</v>
      </c>
      <c r="L26" s="418">
        <v>1.9E-2</v>
      </c>
      <c r="M26" s="420">
        <f t="shared" si="1"/>
        <v>2.5799999999999272</v>
      </c>
      <c r="N26" s="409">
        <f t="shared" si="5"/>
        <v>14878.17</v>
      </c>
      <c r="O26" s="409">
        <f t="shared" si="12"/>
        <v>422252.36999999994</v>
      </c>
      <c r="P26" s="416">
        <f t="shared" si="2"/>
        <v>-118740.07999999996</v>
      </c>
      <c r="Q26" s="409">
        <f t="shared" si="7"/>
        <v>5766.73</v>
      </c>
      <c r="S26" s="407">
        <f t="shared" si="8"/>
        <v>66</v>
      </c>
      <c r="T26" s="417">
        <f t="shared" si="9"/>
        <v>66</v>
      </c>
      <c r="U26" s="417" t="str">
        <f t="shared" si="10"/>
        <v>ok</v>
      </c>
    </row>
    <row r="27" spans="1:21">
      <c r="A27" s="188" t="s">
        <v>841</v>
      </c>
      <c r="B27" s="188" t="s">
        <v>173</v>
      </c>
      <c r="C27" s="279">
        <v>353</v>
      </c>
      <c r="D27" s="298">
        <v>1992</v>
      </c>
      <c r="E27" s="588">
        <v>664293.88</v>
      </c>
      <c r="F27" s="418">
        <v>2.12E-2</v>
      </c>
      <c r="G27" s="568">
        <f t="shared" si="3"/>
        <v>16.579999999999998</v>
      </c>
      <c r="H27" s="409">
        <f t="shared" si="15"/>
        <v>233496.64</v>
      </c>
      <c r="I27" s="418">
        <v>2.06E-2</v>
      </c>
      <c r="J27" s="420">
        <f t="shared" si="14"/>
        <v>3.8400000000000745</v>
      </c>
      <c r="K27" s="409">
        <f t="shared" si="4"/>
        <v>52548.3</v>
      </c>
      <c r="L27" s="418">
        <v>1.9E-2</v>
      </c>
      <c r="M27" s="420">
        <f t="shared" si="1"/>
        <v>2.5799999999999272</v>
      </c>
      <c r="N27" s="409">
        <f t="shared" si="5"/>
        <v>32563.69</v>
      </c>
      <c r="O27" s="409">
        <f t="shared" si="12"/>
        <v>318608.63</v>
      </c>
      <c r="P27" s="416">
        <f t="shared" si="2"/>
        <v>345685.25</v>
      </c>
      <c r="Q27" s="409">
        <f t="shared" si="7"/>
        <v>12621.58</v>
      </c>
      <c r="S27" s="407">
        <f t="shared" si="8"/>
        <v>23</v>
      </c>
      <c r="T27" s="417">
        <f t="shared" si="9"/>
        <v>23</v>
      </c>
      <c r="U27" s="417" t="str">
        <f t="shared" si="10"/>
        <v>ok</v>
      </c>
    </row>
    <row r="28" spans="1:21">
      <c r="A28" s="188" t="s">
        <v>838</v>
      </c>
      <c r="B28" s="188" t="s">
        <v>174</v>
      </c>
      <c r="C28" s="279">
        <v>353</v>
      </c>
      <c r="D28" s="298">
        <v>1949</v>
      </c>
      <c r="E28" s="588">
        <v>100827.22</v>
      </c>
      <c r="F28" s="418">
        <v>2.12E-2</v>
      </c>
      <c r="G28" s="568">
        <f t="shared" si="3"/>
        <v>59.58</v>
      </c>
      <c r="H28" s="409">
        <f t="shared" si="15"/>
        <v>127354.46</v>
      </c>
      <c r="I28" s="418">
        <v>2.06E-2</v>
      </c>
      <c r="J28" s="420">
        <f t="shared" si="14"/>
        <v>3.8400000000000745</v>
      </c>
      <c r="K28" s="409">
        <f t="shared" si="4"/>
        <v>7975.84</v>
      </c>
      <c r="L28" s="418">
        <v>1.9E-2</v>
      </c>
      <c r="M28" s="420">
        <f t="shared" si="1"/>
        <v>2.5799999999999272</v>
      </c>
      <c r="N28" s="409">
        <f t="shared" si="5"/>
        <v>4942.55</v>
      </c>
      <c r="O28" s="409">
        <f t="shared" si="12"/>
        <v>140272.85</v>
      </c>
      <c r="P28" s="416">
        <f t="shared" si="2"/>
        <v>-39445.630000000005</v>
      </c>
      <c r="Q28" s="409">
        <f t="shared" si="7"/>
        <v>1915.72</v>
      </c>
      <c r="S28" s="407">
        <f t="shared" si="8"/>
        <v>66</v>
      </c>
      <c r="T28" s="417">
        <f t="shared" si="9"/>
        <v>66</v>
      </c>
      <c r="U28" s="417" t="str">
        <f t="shared" si="10"/>
        <v>ok</v>
      </c>
    </row>
    <row r="29" spans="1:21">
      <c r="A29" s="188" t="s">
        <v>838</v>
      </c>
      <c r="B29" s="188" t="s">
        <v>174</v>
      </c>
      <c r="C29" s="279">
        <v>353</v>
      </c>
      <c r="D29" s="298">
        <v>1951</v>
      </c>
      <c r="E29" s="588">
        <v>43216.23</v>
      </c>
      <c r="F29" s="418">
        <v>2.12E-2</v>
      </c>
      <c r="G29" s="568">
        <f t="shared" si="3"/>
        <v>57.58</v>
      </c>
      <c r="H29" s="409">
        <f t="shared" si="15"/>
        <v>52753.88</v>
      </c>
      <c r="I29" s="418">
        <v>2.06E-2</v>
      </c>
      <c r="J29" s="420">
        <f t="shared" si="14"/>
        <v>3.8400000000000745</v>
      </c>
      <c r="K29" s="409">
        <f t="shared" si="4"/>
        <v>3418.58</v>
      </c>
      <c r="L29" s="418">
        <v>1.9E-2</v>
      </c>
      <c r="M29" s="420">
        <f t="shared" si="1"/>
        <v>2.5799999999999272</v>
      </c>
      <c r="N29" s="409">
        <f t="shared" si="5"/>
        <v>2118.46</v>
      </c>
      <c r="O29" s="409">
        <f t="shared" si="12"/>
        <v>58290.92</v>
      </c>
      <c r="P29" s="416">
        <f t="shared" si="2"/>
        <v>-15074.689999999995</v>
      </c>
      <c r="Q29" s="409">
        <f t="shared" si="7"/>
        <v>821.11</v>
      </c>
      <c r="S29" s="407">
        <f t="shared" si="8"/>
        <v>64</v>
      </c>
      <c r="T29" s="417">
        <f t="shared" si="9"/>
        <v>64</v>
      </c>
      <c r="U29" s="417" t="str">
        <f t="shared" si="10"/>
        <v>ok</v>
      </c>
    </row>
    <row r="30" spans="1:21">
      <c r="A30" s="188" t="s">
        <v>838</v>
      </c>
      <c r="B30" s="188" t="s">
        <v>174</v>
      </c>
      <c r="C30" s="279">
        <v>353</v>
      </c>
      <c r="D30" s="298">
        <v>1957</v>
      </c>
      <c r="E30" s="588">
        <v>208866.2</v>
      </c>
      <c r="F30" s="418">
        <v>2.12E-2</v>
      </c>
      <c r="G30" s="568">
        <f t="shared" si="3"/>
        <v>51.58</v>
      </c>
      <c r="H30" s="409">
        <f t="shared" si="15"/>
        <v>228394.35</v>
      </c>
      <c r="I30" s="418">
        <v>2.06E-2</v>
      </c>
      <c r="J30" s="420">
        <f t="shared" si="14"/>
        <v>3.8400000000000745</v>
      </c>
      <c r="K30" s="409">
        <f t="shared" si="4"/>
        <v>16522.150000000001</v>
      </c>
      <c r="L30" s="418">
        <v>1.9E-2</v>
      </c>
      <c r="M30" s="420">
        <f t="shared" si="1"/>
        <v>2.5799999999999272</v>
      </c>
      <c r="N30" s="409">
        <f t="shared" si="5"/>
        <v>10238.620000000001</v>
      </c>
      <c r="O30" s="409">
        <f t="shared" si="12"/>
        <v>255155.12</v>
      </c>
      <c r="P30" s="416">
        <f t="shared" si="2"/>
        <v>-46288.919999999984</v>
      </c>
      <c r="Q30" s="409">
        <f t="shared" si="7"/>
        <v>3968.46</v>
      </c>
      <c r="S30" s="407">
        <f t="shared" si="8"/>
        <v>58</v>
      </c>
      <c r="T30" s="417">
        <f t="shared" si="9"/>
        <v>58</v>
      </c>
      <c r="U30" s="417" t="str">
        <f t="shared" si="10"/>
        <v>ok</v>
      </c>
    </row>
    <row r="31" spans="1:21">
      <c r="A31" s="188" t="s">
        <v>838</v>
      </c>
      <c r="B31" s="188" t="s">
        <v>174</v>
      </c>
      <c r="C31" s="279">
        <v>353</v>
      </c>
      <c r="D31" s="298">
        <v>1961</v>
      </c>
      <c r="E31" s="588">
        <v>423845.86</v>
      </c>
      <c r="F31" s="418">
        <v>2.12E-2</v>
      </c>
      <c r="G31" s="568">
        <f t="shared" si="3"/>
        <v>47.58</v>
      </c>
      <c r="H31" s="409">
        <f t="shared" si="15"/>
        <v>427531.62</v>
      </c>
      <c r="I31" s="418">
        <v>2.06E-2</v>
      </c>
      <c r="J31" s="420">
        <f t="shared" si="14"/>
        <v>3.8400000000000745</v>
      </c>
      <c r="K31" s="409">
        <f t="shared" si="4"/>
        <v>33527.9</v>
      </c>
      <c r="L31" s="418">
        <v>1.9E-2</v>
      </c>
      <c r="M31" s="420">
        <f t="shared" si="1"/>
        <v>2.5799999999999272</v>
      </c>
      <c r="N31" s="409">
        <f t="shared" si="5"/>
        <v>20776.919999999998</v>
      </c>
      <c r="O31" s="409">
        <f t="shared" si="12"/>
        <v>481836.44</v>
      </c>
      <c r="P31" s="416">
        <f t="shared" si="2"/>
        <v>-57990.580000000016</v>
      </c>
      <c r="Q31" s="409">
        <f t="shared" si="7"/>
        <v>8053.07</v>
      </c>
      <c r="S31" s="407">
        <f t="shared" si="8"/>
        <v>54</v>
      </c>
      <c r="T31" s="417">
        <f t="shared" si="9"/>
        <v>54</v>
      </c>
      <c r="U31" s="417" t="str">
        <f t="shared" si="10"/>
        <v>ok</v>
      </c>
    </row>
    <row r="32" spans="1:21">
      <c r="A32" s="188" t="s">
        <v>838</v>
      </c>
      <c r="B32" s="188" t="s">
        <v>174</v>
      </c>
      <c r="C32" s="279">
        <v>353</v>
      </c>
      <c r="D32" s="298">
        <v>1979</v>
      </c>
      <c r="E32" s="588">
        <v>2963.82</v>
      </c>
      <c r="F32" s="418">
        <v>2.12E-2</v>
      </c>
      <c r="G32" s="568">
        <f t="shared" si="3"/>
        <v>29.58</v>
      </c>
      <c r="H32" s="409">
        <f>ROUND(E32*G32*F32,2)</f>
        <v>1858.6</v>
      </c>
      <c r="I32" s="418">
        <v>2.06E-2</v>
      </c>
      <c r="J32" s="420">
        <f t="shared" si="14"/>
        <v>3.8400000000000745</v>
      </c>
      <c r="K32" s="409">
        <f t="shared" si="4"/>
        <v>234.45</v>
      </c>
      <c r="L32" s="418">
        <v>1.9E-2</v>
      </c>
      <c r="M32" s="420">
        <f t="shared" si="1"/>
        <v>2.5799999999999272</v>
      </c>
      <c r="N32" s="409">
        <f t="shared" si="5"/>
        <v>145.29</v>
      </c>
      <c r="O32" s="409">
        <f t="shared" si="12"/>
        <v>2238.3399999999997</v>
      </c>
      <c r="P32" s="416">
        <f t="shared" si="2"/>
        <v>725.48000000000047</v>
      </c>
      <c r="Q32" s="409">
        <f t="shared" si="7"/>
        <v>56.31</v>
      </c>
      <c r="S32" s="407">
        <f t="shared" si="8"/>
        <v>36</v>
      </c>
      <c r="T32" s="417">
        <f t="shared" si="9"/>
        <v>36</v>
      </c>
      <c r="U32" s="417" t="str">
        <f t="shared" si="10"/>
        <v>ok</v>
      </c>
    </row>
    <row r="33" spans="1:21">
      <c r="A33" s="188" t="s">
        <v>838</v>
      </c>
      <c r="B33" s="188" t="s">
        <v>174</v>
      </c>
      <c r="C33" s="279">
        <v>353</v>
      </c>
      <c r="D33" s="298">
        <v>1980</v>
      </c>
      <c r="E33" s="588">
        <v>6099.17</v>
      </c>
      <c r="F33" s="418">
        <v>2.12E-2</v>
      </c>
      <c r="G33" s="568">
        <f t="shared" si="3"/>
        <v>28.58</v>
      </c>
      <c r="H33" s="409">
        <f>ROUND(E33*G33*F33,2)</f>
        <v>3695.46</v>
      </c>
      <c r="I33" s="418">
        <v>2.06E-2</v>
      </c>
      <c r="J33" s="420">
        <f t="shared" si="14"/>
        <v>3.8400000000000745</v>
      </c>
      <c r="K33" s="409">
        <f t="shared" si="4"/>
        <v>482.47</v>
      </c>
      <c r="L33" s="418">
        <v>1.9E-2</v>
      </c>
      <c r="M33" s="420">
        <f t="shared" si="1"/>
        <v>2.5799999999999272</v>
      </c>
      <c r="N33" s="409">
        <f t="shared" si="5"/>
        <v>298.98</v>
      </c>
      <c r="O33" s="409">
        <f t="shared" si="12"/>
        <v>4476.91</v>
      </c>
      <c r="P33" s="416">
        <f t="shared" si="2"/>
        <v>1622.2600000000002</v>
      </c>
      <c r="Q33" s="409">
        <f t="shared" si="7"/>
        <v>115.88</v>
      </c>
      <c r="S33" s="407">
        <f t="shared" si="8"/>
        <v>35</v>
      </c>
      <c r="T33" s="417">
        <f t="shared" si="9"/>
        <v>35</v>
      </c>
      <c r="U33" s="417" t="str">
        <f t="shared" si="10"/>
        <v>ok</v>
      </c>
    </row>
    <row r="34" spans="1:21">
      <c r="A34" s="188" t="s">
        <v>838</v>
      </c>
      <c r="B34" s="188" t="s">
        <v>174</v>
      </c>
      <c r="C34" s="279">
        <v>353</v>
      </c>
      <c r="D34" s="298">
        <v>2000</v>
      </c>
      <c r="E34" s="588">
        <v>132897.45000000001</v>
      </c>
      <c r="F34" s="418">
        <v>2.12E-2</v>
      </c>
      <c r="G34" s="568">
        <f t="shared" si="3"/>
        <v>8.58</v>
      </c>
      <c r="H34" s="409">
        <f t="shared" ref="H34:H42" si="16">ROUND(E34*G34*F34,2)</f>
        <v>24173.51</v>
      </c>
      <c r="I34" s="418">
        <v>2.06E-2</v>
      </c>
      <c r="J34" s="420">
        <f t="shared" si="14"/>
        <v>3.8400000000000727</v>
      </c>
      <c r="K34" s="409">
        <f t="shared" si="4"/>
        <v>10512.72</v>
      </c>
      <c r="L34" s="418">
        <v>1.9E-2</v>
      </c>
      <c r="M34" s="420">
        <f t="shared" si="1"/>
        <v>2.5799999999999272</v>
      </c>
      <c r="N34" s="409">
        <f t="shared" si="5"/>
        <v>6514.63</v>
      </c>
      <c r="O34" s="409">
        <f t="shared" si="12"/>
        <v>41200.859999999993</v>
      </c>
      <c r="P34" s="416">
        <f t="shared" si="2"/>
        <v>91696.590000000026</v>
      </c>
      <c r="Q34" s="409">
        <f t="shared" si="7"/>
        <v>2525.0500000000002</v>
      </c>
      <c r="S34" s="407">
        <f t="shared" si="8"/>
        <v>15</v>
      </c>
      <c r="T34" s="417">
        <f t="shared" si="9"/>
        <v>15</v>
      </c>
      <c r="U34" s="417" t="str">
        <f t="shared" si="10"/>
        <v>ok</v>
      </c>
    </row>
    <row r="35" spans="1:21">
      <c r="A35" s="188" t="s">
        <v>838</v>
      </c>
      <c r="B35" s="188" t="s">
        <v>174</v>
      </c>
      <c r="C35" s="279">
        <v>353</v>
      </c>
      <c r="D35" s="298">
        <v>2000</v>
      </c>
      <c r="E35" s="588">
        <v>3395.4</v>
      </c>
      <c r="F35" s="418">
        <v>2.12E-2</v>
      </c>
      <c r="G35" s="568">
        <f t="shared" si="3"/>
        <v>8.58</v>
      </c>
      <c r="H35" s="409">
        <f t="shared" si="16"/>
        <v>617.61</v>
      </c>
      <c r="I35" s="418">
        <v>2.06E-2</v>
      </c>
      <c r="J35" s="420">
        <f t="shared" si="14"/>
        <v>3.8400000000000727</v>
      </c>
      <c r="K35" s="409">
        <f t="shared" si="4"/>
        <v>268.58999999999997</v>
      </c>
      <c r="L35" s="418">
        <v>1.9E-2</v>
      </c>
      <c r="M35" s="420">
        <f t="shared" si="1"/>
        <v>2.5799999999999272</v>
      </c>
      <c r="N35" s="409">
        <f t="shared" si="5"/>
        <v>166.44</v>
      </c>
      <c r="O35" s="409">
        <f t="shared" si="12"/>
        <v>1052.6400000000001</v>
      </c>
      <c r="P35" s="416">
        <f t="shared" si="2"/>
        <v>2342.7600000000002</v>
      </c>
      <c r="Q35" s="409">
        <f t="shared" si="7"/>
        <v>64.510000000000005</v>
      </c>
      <c r="S35" s="407">
        <f t="shared" si="8"/>
        <v>15</v>
      </c>
      <c r="T35" s="417">
        <f t="shared" si="9"/>
        <v>15</v>
      </c>
      <c r="U35" s="417" t="str">
        <f t="shared" si="10"/>
        <v>ok</v>
      </c>
    </row>
    <row r="36" spans="1:21">
      <c r="A36" s="188" t="s">
        <v>842</v>
      </c>
      <c r="B36" s="188" t="s">
        <v>175</v>
      </c>
      <c r="C36" s="279">
        <v>353</v>
      </c>
      <c r="D36" s="298">
        <v>1992</v>
      </c>
      <c r="E36" s="588">
        <v>306659.17</v>
      </c>
      <c r="F36" s="418">
        <v>2.12E-2</v>
      </c>
      <c r="G36" s="568">
        <f t="shared" si="3"/>
        <v>16.579999999999998</v>
      </c>
      <c r="H36" s="409">
        <f t="shared" si="16"/>
        <v>107789.47</v>
      </c>
      <c r="I36" s="418">
        <v>2.06E-2</v>
      </c>
      <c r="J36" s="420">
        <f t="shared" si="14"/>
        <v>3.8400000000000745</v>
      </c>
      <c r="K36" s="409">
        <f t="shared" si="4"/>
        <v>24257.97</v>
      </c>
      <c r="L36" s="418">
        <v>1.9E-2</v>
      </c>
      <c r="M36" s="420">
        <f t="shared" si="1"/>
        <v>2.5799999999999272</v>
      </c>
      <c r="N36" s="409">
        <f t="shared" si="5"/>
        <v>15032.43</v>
      </c>
      <c r="O36" s="409">
        <f t="shared" si="12"/>
        <v>147079.87</v>
      </c>
      <c r="P36" s="416">
        <f t="shared" si="2"/>
        <v>159579.29999999999</v>
      </c>
      <c r="Q36" s="409">
        <f t="shared" si="7"/>
        <v>5826.52</v>
      </c>
      <c r="S36" s="407">
        <f t="shared" si="8"/>
        <v>23</v>
      </c>
      <c r="T36" s="417">
        <f t="shared" si="9"/>
        <v>23</v>
      </c>
      <c r="U36" s="417" t="str">
        <f t="shared" si="10"/>
        <v>ok</v>
      </c>
    </row>
    <row r="37" spans="1:21">
      <c r="A37" s="188" t="s">
        <v>845</v>
      </c>
      <c r="B37" s="188" t="s">
        <v>176</v>
      </c>
      <c r="C37" s="279">
        <v>353</v>
      </c>
      <c r="D37" s="298">
        <v>1952</v>
      </c>
      <c r="E37" s="588">
        <v>344946.87</v>
      </c>
      <c r="F37" s="418">
        <v>2.12E-2</v>
      </c>
      <c r="G37" s="568">
        <f t="shared" si="3"/>
        <v>56.58</v>
      </c>
      <c r="H37" s="409">
        <f t="shared" si="16"/>
        <v>413762.39</v>
      </c>
      <c r="I37" s="418">
        <v>2.06E-2</v>
      </c>
      <c r="J37" s="420">
        <f t="shared" si="14"/>
        <v>3.8400000000000745</v>
      </c>
      <c r="K37" s="409">
        <f t="shared" si="4"/>
        <v>27286.68</v>
      </c>
      <c r="L37" s="418">
        <v>1.9E-2</v>
      </c>
      <c r="M37" s="420">
        <f t="shared" si="1"/>
        <v>2.5799999999999272</v>
      </c>
      <c r="N37" s="409">
        <f t="shared" si="5"/>
        <v>16909.3</v>
      </c>
      <c r="O37" s="409">
        <f t="shared" si="12"/>
        <v>457958.37</v>
      </c>
      <c r="P37" s="416">
        <f t="shared" si="2"/>
        <v>-113011.5</v>
      </c>
      <c r="Q37" s="409">
        <f t="shared" si="7"/>
        <v>6553.99</v>
      </c>
      <c r="S37" s="407">
        <f t="shared" si="8"/>
        <v>63</v>
      </c>
      <c r="T37" s="417">
        <f t="shared" si="9"/>
        <v>63</v>
      </c>
      <c r="U37" s="417" t="str">
        <f t="shared" si="10"/>
        <v>ok</v>
      </c>
    </row>
    <row r="38" spans="1:21">
      <c r="A38" s="188" t="s">
        <v>845</v>
      </c>
      <c r="B38" s="188" t="s">
        <v>176</v>
      </c>
      <c r="C38" s="279">
        <v>353</v>
      </c>
      <c r="D38" s="298">
        <v>1965</v>
      </c>
      <c r="E38" s="588">
        <v>1480.23</v>
      </c>
      <c r="F38" s="418">
        <v>2.12E-2</v>
      </c>
      <c r="G38" s="568">
        <f t="shared" si="3"/>
        <v>43.58</v>
      </c>
      <c r="H38" s="409">
        <f t="shared" si="16"/>
        <v>1367.58</v>
      </c>
      <c r="I38" s="418">
        <v>2.06E-2</v>
      </c>
      <c r="J38" s="420">
        <f t="shared" si="14"/>
        <v>3.8400000000000745</v>
      </c>
      <c r="K38" s="409">
        <f t="shared" si="4"/>
        <v>117.09</v>
      </c>
      <c r="L38" s="418">
        <v>1.9E-2</v>
      </c>
      <c r="M38" s="420">
        <f t="shared" si="1"/>
        <v>2.5799999999999272</v>
      </c>
      <c r="N38" s="409">
        <f t="shared" si="5"/>
        <v>72.56</v>
      </c>
      <c r="O38" s="409">
        <f t="shared" si="12"/>
        <v>1557.2299999999998</v>
      </c>
      <c r="P38" s="416">
        <f t="shared" si="2"/>
        <v>-76.999999999999773</v>
      </c>
      <c r="Q38" s="409">
        <f t="shared" si="7"/>
        <v>28.12</v>
      </c>
      <c r="S38" s="407">
        <f t="shared" si="8"/>
        <v>50</v>
      </c>
      <c r="T38" s="417">
        <f t="shared" si="9"/>
        <v>50</v>
      </c>
      <c r="U38" s="417" t="str">
        <f t="shared" si="10"/>
        <v>ok</v>
      </c>
    </row>
    <row r="39" spans="1:21">
      <c r="A39" s="188" t="s">
        <v>845</v>
      </c>
      <c r="B39" s="188" t="s">
        <v>176</v>
      </c>
      <c r="C39" s="279">
        <v>353</v>
      </c>
      <c r="D39" s="298">
        <v>1972</v>
      </c>
      <c r="E39" s="588">
        <v>609.84</v>
      </c>
      <c r="F39" s="418">
        <v>2.12E-2</v>
      </c>
      <c r="G39" s="568">
        <f t="shared" si="3"/>
        <v>36.58</v>
      </c>
      <c r="H39" s="409">
        <f t="shared" si="16"/>
        <v>472.93</v>
      </c>
      <c r="I39" s="418">
        <v>2.06E-2</v>
      </c>
      <c r="J39" s="420">
        <f t="shared" si="14"/>
        <v>3.8400000000000745</v>
      </c>
      <c r="K39" s="409">
        <f t="shared" si="4"/>
        <v>48.24</v>
      </c>
      <c r="L39" s="418">
        <v>1.9E-2</v>
      </c>
      <c r="M39" s="420">
        <f t="shared" si="1"/>
        <v>2.5799999999999272</v>
      </c>
      <c r="N39" s="409">
        <f t="shared" si="5"/>
        <v>29.89</v>
      </c>
      <c r="O39" s="409">
        <f t="shared" si="12"/>
        <v>551.05999999999995</v>
      </c>
      <c r="P39" s="416">
        <f t="shared" si="2"/>
        <v>58.780000000000086</v>
      </c>
      <c r="Q39" s="409">
        <f t="shared" si="7"/>
        <v>11.59</v>
      </c>
      <c r="S39" s="407">
        <f t="shared" si="8"/>
        <v>43</v>
      </c>
      <c r="T39" s="417">
        <f t="shared" si="9"/>
        <v>43</v>
      </c>
      <c r="U39" s="417" t="str">
        <f t="shared" si="10"/>
        <v>ok</v>
      </c>
    </row>
    <row r="40" spans="1:21">
      <c r="A40" s="188" t="s">
        <v>845</v>
      </c>
      <c r="B40" s="188" t="s">
        <v>176</v>
      </c>
      <c r="C40" s="279">
        <v>353</v>
      </c>
      <c r="D40" s="298">
        <v>1973</v>
      </c>
      <c r="E40" s="588">
        <v>316.68</v>
      </c>
      <c r="F40" s="418">
        <v>2.12E-2</v>
      </c>
      <c r="G40" s="568">
        <f t="shared" si="3"/>
        <v>35.58</v>
      </c>
      <c r="H40" s="409">
        <f t="shared" si="16"/>
        <v>238.87</v>
      </c>
      <c r="I40" s="418">
        <v>2.06E-2</v>
      </c>
      <c r="J40" s="420">
        <f t="shared" si="14"/>
        <v>3.8400000000000745</v>
      </c>
      <c r="K40" s="409">
        <f t="shared" si="4"/>
        <v>25.05</v>
      </c>
      <c r="L40" s="418">
        <v>1.9E-2</v>
      </c>
      <c r="M40" s="420">
        <f t="shared" si="1"/>
        <v>2.5799999999999272</v>
      </c>
      <c r="N40" s="409">
        <f t="shared" si="5"/>
        <v>15.52</v>
      </c>
      <c r="O40" s="409">
        <f t="shared" si="12"/>
        <v>279.44</v>
      </c>
      <c r="P40" s="416">
        <f t="shared" si="2"/>
        <v>37.240000000000009</v>
      </c>
      <c r="Q40" s="409">
        <f t="shared" si="7"/>
        <v>6.02</v>
      </c>
      <c r="S40" s="407">
        <f t="shared" si="8"/>
        <v>42</v>
      </c>
      <c r="T40" s="417">
        <f t="shared" si="9"/>
        <v>42</v>
      </c>
      <c r="U40" s="417" t="str">
        <f t="shared" si="10"/>
        <v>ok</v>
      </c>
    </row>
    <row r="41" spans="1:21">
      <c r="A41" s="188" t="s">
        <v>845</v>
      </c>
      <c r="B41" s="188" t="s">
        <v>176</v>
      </c>
      <c r="C41" s="279">
        <v>353</v>
      </c>
      <c r="D41" s="298">
        <v>1982</v>
      </c>
      <c r="E41" s="588">
        <v>32437.37</v>
      </c>
      <c r="F41" s="418">
        <v>2.12E-2</v>
      </c>
      <c r="G41" s="568">
        <f t="shared" si="3"/>
        <v>26.58</v>
      </c>
      <c r="H41" s="409">
        <f t="shared" si="16"/>
        <v>18278.330000000002</v>
      </c>
      <c r="I41" s="418">
        <v>2.06E-2</v>
      </c>
      <c r="J41" s="420">
        <f t="shared" si="14"/>
        <v>3.8400000000000745</v>
      </c>
      <c r="K41" s="409">
        <f t="shared" si="4"/>
        <v>2565.9299999999998</v>
      </c>
      <c r="L41" s="418">
        <v>1.9E-2</v>
      </c>
      <c r="M41" s="420">
        <f t="shared" ref="M41:M71" si="17">$J$91+1-D41-J41-G41</f>
        <v>2.5799999999999272</v>
      </c>
      <c r="N41" s="409">
        <f t="shared" si="5"/>
        <v>1590.08</v>
      </c>
      <c r="O41" s="409">
        <f t="shared" si="12"/>
        <v>22434.340000000004</v>
      </c>
      <c r="P41" s="416">
        <f t="shared" si="2"/>
        <v>10003.029999999995</v>
      </c>
      <c r="Q41" s="409">
        <f t="shared" si="7"/>
        <v>616.30999999999995</v>
      </c>
      <c r="S41" s="407">
        <f t="shared" si="8"/>
        <v>33</v>
      </c>
      <c r="T41" s="417">
        <f t="shared" si="9"/>
        <v>33</v>
      </c>
      <c r="U41" s="417" t="str">
        <f t="shared" si="10"/>
        <v>ok</v>
      </c>
    </row>
    <row r="42" spans="1:21">
      <c r="A42" s="188" t="s">
        <v>839</v>
      </c>
      <c r="B42" s="188" t="s">
        <v>177</v>
      </c>
      <c r="C42" s="279">
        <v>353</v>
      </c>
      <c r="D42" s="298">
        <v>1994</v>
      </c>
      <c r="E42" s="588">
        <v>432054.7</v>
      </c>
      <c r="F42" s="418">
        <v>2.12E-2</v>
      </c>
      <c r="G42" s="568">
        <f t="shared" si="3"/>
        <v>14.58</v>
      </c>
      <c r="H42" s="409">
        <f t="shared" si="16"/>
        <v>133546.38</v>
      </c>
      <c r="I42" s="418">
        <v>2.06E-2</v>
      </c>
      <c r="J42" s="420">
        <f t="shared" si="14"/>
        <v>3.8400000000000727</v>
      </c>
      <c r="K42" s="409">
        <f t="shared" si="4"/>
        <v>34177.25</v>
      </c>
      <c r="L42" s="418">
        <v>1.9E-2</v>
      </c>
      <c r="M42" s="420">
        <f t="shared" si="17"/>
        <v>2.5799999999999255</v>
      </c>
      <c r="N42" s="409">
        <f t="shared" si="5"/>
        <v>21179.32</v>
      </c>
      <c r="O42" s="409">
        <f t="shared" si="12"/>
        <v>188902.95</v>
      </c>
      <c r="P42" s="416">
        <f t="shared" si="2"/>
        <v>243151.75</v>
      </c>
      <c r="Q42" s="409">
        <f t="shared" si="7"/>
        <v>8209.0400000000009</v>
      </c>
      <c r="S42" s="407">
        <f t="shared" si="8"/>
        <v>21</v>
      </c>
      <c r="T42" s="417">
        <f t="shared" si="9"/>
        <v>21</v>
      </c>
      <c r="U42" s="417" t="str">
        <f t="shared" si="10"/>
        <v>ok</v>
      </c>
    </row>
    <row r="43" spans="1:21">
      <c r="A43" s="188" t="s">
        <v>839</v>
      </c>
      <c r="B43" s="188" t="s">
        <v>177</v>
      </c>
      <c r="C43" s="279">
        <v>353</v>
      </c>
      <c r="D43" s="298">
        <v>1999</v>
      </c>
      <c r="E43" s="588">
        <v>3.04</v>
      </c>
      <c r="F43" s="418">
        <v>2.12E-2</v>
      </c>
      <c r="G43" s="568">
        <f t="shared" si="3"/>
        <v>9.58</v>
      </c>
      <c r="H43" s="409">
        <f>ROUND(E43*G43*F43,2)</f>
        <v>0.62</v>
      </c>
      <c r="I43" s="418">
        <v>2.06E-2</v>
      </c>
      <c r="J43" s="420">
        <f t="shared" si="14"/>
        <v>3.8400000000000727</v>
      </c>
      <c r="K43" s="409">
        <f t="shared" si="4"/>
        <v>0.24</v>
      </c>
      <c r="L43" s="418">
        <v>1.9E-2</v>
      </c>
      <c r="M43" s="420">
        <f t="shared" si="17"/>
        <v>2.5799999999999272</v>
      </c>
      <c r="N43" s="409">
        <f t="shared" si="5"/>
        <v>0.15</v>
      </c>
      <c r="O43" s="409">
        <f t="shared" si="12"/>
        <v>1.01</v>
      </c>
      <c r="P43" s="416">
        <f t="shared" si="2"/>
        <v>2.0300000000000002</v>
      </c>
      <c r="Q43" s="409">
        <f t="shared" si="7"/>
        <v>0.06</v>
      </c>
      <c r="S43" s="407">
        <f t="shared" si="8"/>
        <v>16</v>
      </c>
      <c r="T43" s="417">
        <f t="shared" si="9"/>
        <v>16</v>
      </c>
      <c r="U43" s="417" t="str">
        <f t="shared" si="10"/>
        <v>ok</v>
      </c>
    </row>
    <row r="44" spans="1:21">
      <c r="A44" s="188" t="s">
        <v>853</v>
      </c>
      <c r="B44" s="188" t="s">
        <v>178</v>
      </c>
      <c r="C44" s="279">
        <v>353</v>
      </c>
      <c r="D44" s="298">
        <v>1949</v>
      </c>
      <c r="E44" s="588">
        <v>39458.78</v>
      </c>
      <c r="F44" s="418">
        <v>2.12E-2</v>
      </c>
      <c r="G44" s="568">
        <f t="shared" si="3"/>
        <v>59.58</v>
      </c>
      <c r="H44" s="409">
        <f>ROUND(E44*G44*F44,2)</f>
        <v>49840.23</v>
      </c>
      <c r="I44" s="418">
        <v>2.06E-2</v>
      </c>
      <c r="J44" s="420">
        <f t="shared" si="14"/>
        <v>3.8400000000000745</v>
      </c>
      <c r="K44" s="409">
        <f t="shared" si="4"/>
        <v>3121.35</v>
      </c>
      <c r="L44" s="418">
        <v>1.9E-2</v>
      </c>
      <c r="M44" s="420">
        <f t="shared" si="17"/>
        <v>2.5799999999999272</v>
      </c>
      <c r="N44" s="409">
        <f t="shared" si="5"/>
        <v>1934.27</v>
      </c>
      <c r="O44" s="409">
        <f t="shared" si="12"/>
        <v>54895.85</v>
      </c>
      <c r="P44" s="416">
        <f t="shared" si="2"/>
        <v>-15437.07</v>
      </c>
      <c r="Q44" s="409">
        <f t="shared" si="7"/>
        <v>749.72</v>
      </c>
      <c r="S44" s="407">
        <f t="shared" si="8"/>
        <v>66</v>
      </c>
      <c r="T44" s="417">
        <f t="shared" si="9"/>
        <v>66</v>
      </c>
      <c r="U44" s="417" t="str">
        <f t="shared" si="10"/>
        <v>ok</v>
      </c>
    </row>
    <row r="45" spans="1:21">
      <c r="A45" s="188" t="s">
        <v>840</v>
      </c>
      <c r="B45" s="188" t="s">
        <v>179</v>
      </c>
      <c r="C45" s="279">
        <v>353</v>
      </c>
      <c r="D45" s="298">
        <v>1995</v>
      </c>
      <c r="E45" s="588">
        <v>430708.27</v>
      </c>
      <c r="F45" s="418">
        <v>2.12E-2</v>
      </c>
      <c r="G45" s="568">
        <f t="shared" si="3"/>
        <v>13.58</v>
      </c>
      <c r="H45" s="409">
        <f t="shared" ref="H45:H52" si="18">ROUND(E45*G45*F45,2)</f>
        <v>123999.19</v>
      </c>
      <c r="I45" s="418">
        <v>2.06E-2</v>
      </c>
      <c r="J45" s="420">
        <f t="shared" si="14"/>
        <v>3.8400000000000727</v>
      </c>
      <c r="K45" s="409">
        <f t="shared" si="4"/>
        <v>34070.75</v>
      </c>
      <c r="L45" s="418">
        <v>1.9E-2</v>
      </c>
      <c r="M45" s="420">
        <f t="shared" si="17"/>
        <v>2.5799999999999255</v>
      </c>
      <c r="N45" s="409">
        <f t="shared" si="5"/>
        <v>21113.32</v>
      </c>
      <c r="O45" s="409">
        <f t="shared" si="12"/>
        <v>179183.26</v>
      </c>
      <c r="P45" s="416">
        <f t="shared" si="2"/>
        <v>251525.01</v>
      </c>
      <c r="Q45" s="409">
        <f t="shared" si="7"/>
        <v>8183.46</v>
      </c>
      <c r="S45" s="407">
        <f t="shared" si="8"/>
        <v>20</v>
      </c>
      <c r="T45" s="417">
        <f t="shared" si="9"/>
        <v>20</v>
      </c>
      <c r="U45" s="417" t="str">
        <f t="shared" si="10"/>
        <v>ok</v>
      </c>
    </row>
    <row r="46" spans="1:21">
      <c r="A46" s="188" t="s">
        <v>850</v>
      </c>
      <c r="B46" s="188" t="s">
        <v>180</v>
      </c>
      <c r="C46" s="279">
        <v>353</v>
      </c>
      <c r="D46" s="298">
        <v>1956</v>
      </c>
      <c r="E46" s="588">
        <v>36470.01</v>
      </c>
      <c r="F46" s="418">
        <v>2.12E-2</v>
      </c>
      <c r="G46" s="568">
        <f t="shared" si="3"/>
        <v>52.58</v>
      </c>
      <c r="H46" s="409">
        <f t="shared" si="18"/>
        <v>40652.97</v>
      </c>
      <c r="I46" s="418">
        <v>2.06E-2</v>
      </c>
      <c r="J46" s="420">
        <f t="shared" si="14"/>
        <v>3.8400000000000745</v>
      </c>
      <c r="K46" s="409">
        <f t="shared" si="4"/>
        <v>2884.92</v>
      </c>
      <c r="L46" s="418">
        <v>1.9E-2</v>
      </c>
      <c r="M46" s="420">
        <f t="shared" si="17"/>
        <v>2.5799999999999272</v>
      </c>
      <c r="N46" s="409">
        <f t="shared" si="5"/>
        <v>1787.76</v>
      </c>
      <c r="O46" s="409">
        <f t="shared" si="12"/>
        <v>45325.65</v>
      </c>
      <c r="P46" s="416">
        <f t="shared" si="2"/>
        <v>-8855.64</v>
      </c>
      <c r="Q46" s="409">
        <f t="shared" si="7"/>
        <v>692.93</v>
      </c>
      <c r="S46" s="407">
        <f t="shared" si="8"/>
        <v>59</v>
      </c>
      <c r="T46" s="417">
        <f t="shared" si="9"/>
        <v>59</v>
      </c>
      <c r="U46" s="417" t="str">
        <f t="shared" si="10"/>
        <v>ok</v>
      </c>
    </row>
    <row r="47" spans="1:21">
      <c r="A47" s="188" t="s">
        <v>843</v>
      </c>
      <c r="B47" s="188" t="s">
        <v>181</v>
      </c>
      <c r="C47" s="279">
        <v>353</v>
      </c>
      <c r="D47" s="298">
        <v>1948</v>
      </c>
      <c r="E47" s="588">
        <v>31129.21</v>
      </c>
      <c r="F47" s="418">
        <v>2.12E-2</v>
      </c>
      <c r="G47" s="568">
        <f t="shared" si="3"/>
        <v>60.58</v>
      </c>
      <c r="H47" s="409">
        <f t="shared" si="18"/>
        <v>39979.120000000003</v>
      </c>
      <c r="I47" s="418">
        <v>2.06E-2</v>
      </c>
      <c r="J47" s="420">
        <f t="shared" si="14"/>
        <v>3.8400000000000745</v>
      </c>
      <c r="K47" s="409">
        <f t="shared" si="4"/>
        <v>2462.4499999999998</v>
      </c>
      <c r="L47" s="418">
        <v>1.9E-2</v>
      </c>
      <c r="M47" s="420">
        <f t="shared" si="17"/>
        <v>2.5799999999999272</v>
      </c>
      <c r="N47" s="409">
        <f t="shared" si="5"/>
        <v>1525.95</v>
      </c>
      <c r="O47" s="409">
        <f t="shared" si="12"/>
        <v>43967.519999999997</v>
      </c>
      <c r="P47" s="416">
        <f t="shared" si="2"/>
        <v>-12838.309999999998</v>
      </c>
      <c r="Q47" s="409">
        <f t="shared" si="7"/>
        <v>591.45000000000005</v>
      </c>
      <c r="S47" s="407">
        <f t="shared" si="8"/>
        <v>67</v>
      </c>
      <c r="T47" s="417">
        <f t="shared" si="9"/>
        <v>67</v>
      </c>
      <c r="U47" s="417" t="str">
        <f t="shared" si="10"/>
        <v>ok</v>
      </c>
    </row>
    <row r="48" spans="1:21">
      <c r="A48" s="188" t="s">
        <v>843</v>
      </c>
      <c r="B48" s="188" t="s">
        <v>181</v>
      </c>
      <c r="C48" s="279">
        <v>353</v>
      </c>
      <c r="D48" s="298">
        <v>1987</v>
      </c>
      <c r="E48" s="588">
        <v>2109.16</v>
      </c>
      <c r="F48" s="418">
        <v>2.12E-2</v>
      </c>
      <c r="G48" s="568">
        <f t="shared" si="3"/>
        <v>21.58</v>
      </c>
      <c r="H48" s="409">
        <f t="shared" si="18"/>
        <v>964.93</v>
      </c>
      <c r="I48" s="418">
        <v>2.06E-2</v>
      </c>
      <c r="J48" s="420">
        <f t="shared" si="14"/>
        <v>3.8400000000000745</v>
      </c>
      <c r="K48" s="409">
        <f t="shared" si="4"/>
        <v>166.84</v>
      </c>
      <c r="L48" s="418">
        <v>1.9E-2</v>
      </c>
      <c r="M48" s="420">
        <f t="shared" si="17"/>
        <v>2.5799999999999272</v>
      </c>
      <c r="N48" s="409">
        <f t="shared" si="5"/>
        <v>103.39</v>
      </c>
      <c r="O48" s="409">
        <f t="shared" si="12"/>
        <v>1235.1600000000001</v>
      </c>
      <c r="P48" s="416">
        <f t="shared" si="2"/>
        <v>873.99999999999977</v>
      </c>
      <c r="Q48" s="409">
        <f t="shared" si="7"/>
        <v>40.07</v>
      </c>
      <c r="S48" s="407">
        <f t="shared" si="8"/>
        <v>28</v>
      </c>
      <c r="T48" s="417">
        <f t="shared" si="9"/>
        <v>28</v>
      </c>
      <c r="U48" s="417" t="str">
        <f t="shared" si="10"/>
        <v>ok</v>
      </c>
    </row>
    <row r="49" spans="1:21">
      <c r="A49" s="188" t="s">
        <v>843</v>
      </c>
      <c r="B49" s="188" t="s">
        <v>181</v>
      </c>
      <c r="C49" s="279">
        <v>353</v>
      </c>
      <c r="D49" s="298">
        <v>1988</v>
      </c>
      <c r="E49" s="588">
        <v>278.93</v>
      </c>
      <c r="F49" s="418">
        <v>2.12E-2</v>
      </c>
      <c r="G49" s="568">
        <f t="shared" si="3"/>
        <v>20.58</v>
      </c>
      <c r="H49" s="409">
        <f t="shared" si="18"/>
        <v>121.7</v>
      </c>
      <c r="I49" s="418">
        <v>2.06E-2</v>
      </c>
      <c r="J49" s="420">
        <f t="shared" si="14"/>
        <v>3.8400000000000745</v>
      </c>
      <c r="K49" s="409">
        <f t="shared" si="4"/>
        <v>22.06</v>
      </c>
      <c r="L49" s="418">
        <v>1.9E-2</v>
      </c>
      <c r="M49" s="420">
        <f t="shared" si="17"/>
        <v>2.5799999999999272</v>
      </c>
      <c r="N49" s="409">
        <f t="shared" si="5"/>
        <v>13.67</v>
      </c>
      <c r="O49" s="409">
        <f t="shared" si="12"/>
        <v>157.42999999999998</v>
      </c>
      <c r="P49" s="416">
        <f t="shared" si="2"/>
        <v>121.50000000000003</v>
      </c>
      <c r="Q49" s="409">
        <f t="shared" si="7"/>
        <v>5.3</v>
      </c>
      <c r="S49" s="407">
        <f t="shared" si="8"/>
        <v>27</v>
      </c>
      <c r="T49" s="417">
        <f t="shared" si="9"/>
        <v>27</v>
      </c>
      <c r="U49" s="417" t="str">
        <f t="shared" si="10"/>
        <v>ok</v>
      </c>
    </row>
    <row r="50" spans="1:21">
      <c r="A50" s="188" t="s">
        <v>851</v>
      </c>
      <c r="B50" s="188" t="s">
        <v>182</v>
      </c>
      <c r="C50" s="279">
        <v>353</v>
      </c>
      <c r="D50" s="298">
        <v>1937</v>
      </c>
      <c r="E50" s="588">
        <v>72167.73</v>
      </c>
      <c r="F50" s="418">
        <v>2.12E-2</v>
      </c>
      <c r="G50" s="568">
        <f t="shared" si="3"/>
        <v>71.58</v>
      </c>
      <c r="H50" s="409">
        <f t="shared" si="18"/>
        <v>109514.24000000001</v>
      </c>
      <c r="I50" s="418">
        <v>2.06E-2</v>
      </c>
      <c r="J50" s="420">
        <f t="shared" si="14"/>
        <v>3.8400000000000745</v>
      </c>
      <c r="K50" s="409">
        <f t="shared" si="4"/>
        <v>5708.76</v>
      </c>
      <c r="L50" s="418">
        <v>1.9E-2</v>
      </c>
      <c r="M50" s="420">
        <f t="shared" si="17"/>
        <v>2.5799999999999272</v>
      </c>
      <c r="N50" s="409">
        <f t="shared" si="5"/>
        <v>3537.66</v>
      </c>
      <c r="O50" s="409">
        <f t="shared" si="12"/>
        <v>118760.66</v>
      </c>
      <c r="P50" s="416">
        <f t="shared" si="2"/>
        <v>-46592.930000000008</v>
      </c>
      <c r="Q50" s="409">
        <f t="shared" si="7"/>
        <v>1371.19</v>
      </c>
      <c r="S50" s="407">
        <f t="shared" si="8"/>
        <v>78</v>
      </c>
      <c r="T50" s="417">
        <f t="shared" si="9"/>
        <v>78</v>
      </c>
      <c r="U50" s="417" t="str">
        <f t="shared" si="10"/>
        <v>ok</v>
      </c>
    </row>
    <row r="51" spans="1:21">
      <c r="A51" s="188" t="s">
        <v>851</v>
      </c>
      <c r="B51" s="188" t="s">
        <v>182</v>
      </c>
      <c r="C51" s="279">
        <v>353</v>
      </c>
      <c r="D51" s="298">
        <v>1954</v>
      </c>
      <c r="E51" s="588">
        <v>418.06</v>
      </c>
      <c r="F51" s="418">
        <v>2.12E-2</v>
      </c>
      <c r="G51" s="568">
        <f t="shared" si="3"/>
        <v>54.58</v>
      </c>
      <c r="H51" s="409">
        <f t="shared" si="18"/>
        <v>483.74</v>
      </c>
      <c r="I51" s="418">
        <v>2.06E-2</v>
      </c>
      <c r="J51" s="420">
        <f t="shared" si="14"/>
        <v>3.8400000000000745</v>
      </c>
      <c r="K51" s="409">
        <f t="shared" si="4"/>
        <v>33.07</v>
      </c>
      <c r="L51" s="418">
        <v>1.9E-2</v>
      </c>
      <c r="M51" s="420">
        <f t="shared" si="17"/>
        <v>2.5799999999999272</v>
      </c>
      <c r="N51" s="409">
        <f t="shared" si="5"/>
        <v>20.49</v>
      </c>
      <c r="O51" s="409">
        <f t="shared" si="12"/>
        <v>537.30000000000007</v>
      </c>
      <c r="P51" s="416">
        <f t="shared" si="2"/>
        <v>-119.24000000000007</v>
      </c>
      <c r="Q51" s="409">
        <f t="shared" si="7"/>
        <v>7.94</v>
      </c>
      <c r="S51" s="407">
        <f t="shared" si="8"/>
        <v>61</v>
      </c>
      <c r="T51" s="417">
        <f t="shared" si="9"/>
        <v>61</v>
      </c>
      <c r="U51" s="417" t="str">
        <f t="shared" si="10"/>
        <v>ok</v>
      </c>
    </row>
    <row r="52" spans="1:21">
      <c r="A52" s="188" t="s">
        <v>854</v>
      </c>
      <c r="B52" s="188" t="s">
        <v>183</v>
      </c>
      <c r="C52" s="279">
        <v>353</v>
      </c>
      <c r="D52" s="298">
        <v>1947</v>
      </c>
      <c r="E52" s="588">
        <v>70392.59</v>
      </c>
      <c r="F52" s="418">
        <v>2.12E-2</v>
      </c>
      <c r="G52" s="568">
        <f t="shared" si="3"/>
        <v>61.58</v>
      </c>
      <c r="H52" s="409">
        <f t="shared" si="18"/>
        <v>91897.24</v>
      </c>
      <c r="I52" s="418">
        <v>2.06E-2</v>
      </c>
      <c r="J52" s="420">
        <f t="shared" ref="J52:J65" si="19">IF(G52=0,IF($J$89=D52,$J$89-D52+0.42,($J$89+0.42-D52)-G52),$J$89+0.42-D52)-G52</f>
        <v>3.8400000000000745</v>
      </c>
      <c r="K52" s="409">
        <f t="shared" si="4"/>
        <v>5568.34</v>
      </c>
      <c r="L52" s="418">
        <v>1.9E-2</v>
      </c>
      <c r="M52" s="420">
        <f t="shared" si="17"/>
        <v>2.5799999999999272</v>
      </c>
      <c r="N52" s="409">
        <f t="shared" si="5"/>
        <v>3450.64</v>
      </c>
      <c r="O52" s="409">
        <f t="shared" si="12"/>
        <v>100916.22</v>
      </c>
      <c r="P52" s="416">
        <f t="shared" si="2"/>
        <v>-30523.630000000005</v>
      </c>
      <c r="Q52" s="409">
        <f t="shared" si="7"/>
        <v>1337.46</v>
      </c>
      <c r="S52" s="407">
        <f t="shared" si="8"/>
        <v>68</v>
      </c>
      <c r="T52" s="417">
        <f t="shared" si="9"/>
        <v>68</v>
      </c>
      <c r="U52" s="417" t="str">
        <f t="shared" si="10"/>
        <v>ok</v>
      </c>
    </row>
    <row r="53" spans="1:21">
      <c r="A53" s="188"/>
      <c r="B53" s="188" t="s">
        <v>191</v>
      </c>
      <c r="C53" s="279">
        <v>353</v>
      </c>
      <c r="D53" s="298">
        <v>1980</v>
      </c>
      <c r="E53" s="588">
        <v>373215.24</v>
      </c>
      <c r="F53" s="418">
        <v>2.12E-2</v>
      </c>
      <c r="G53" s="568">
        <f t="shared" si="3"/>
        <v>28.58</v>
      </c>
      <c r="H53" s="409">
        <f t="shared" ref="H53:H79" si="20">ROUND(E53*G53*F53,2)</f>
        <v>226129.62</v>
      </c>
      <c r="I53" s="418">
        <v>2.06E-2</v>
      </c>
      <c r="J53" s="420">
        <f t="shared" si="19"/>
        <v>3.8400000000000745</v>
      </c>
      <c r="K53" s="409">
        <f t="shared" si="4"/>
        <v>29522.82</v>
      </c>
      <c r="L53" s="418">
        <v>1.9E-2</v>
      </c>
      <c r="M53" s="420">
        <f t="shared" si="17"/>
        <v>2.5799999999999272</v>
      </c>
      <c r="N53" s="409">
        <f t="shared" ref="N53:N81" si="21">ROUND(E53*L53*M53,2)</f>
        <v>18295.009999999998</v>
      </c>
      <c r="O53" s="409">
        <f t="shared" ref="O53:O81" si="22">SUM(H53,K53,N53)</f>
        <v>273947.45</v>
      </c>
      <c r="P53" s="416">
        <f t="shared" si="2"/>
        <v>99267.789999999979</v>
      </c>
      <c r="Q53" s="409">
        <f t="shared" si="7"/>
        <v>7091.09</v>
      </c>
      <c r="S53" s="407">
        <f t="shared" si="8"/>
        <v>35</v>
      </c>
      <c r="T53" s="417">
        <f t="shared" si="9"/>
        <v>35</v>
      </c>
      <c r="U53" s="417" t="str">
        <f t="shared" si="10"/>
        <v>ok</v>
      </c>
    </row>
    <row r="54" spans="1:21">
      <c r="A54" s="188"/>
      <c r="B54" s="188" t="s">
        <v>191</v>
      </c>
      <c r="C54" s="279">
        <v>353</v>
      </c>
      <c r="D54" s="298">
        <v>1992</v>
      </c>
      <c r="E54" s="588">
        <v>2010.51</v>
      </c>
      <c r="F54" s="418">
        <v>2.12E-2</v>
      </c>
      <c r="G54" s="568">
        <f t="shared" si="3"/>
        <v>16.579999999999998</v>
      </c>
      <c r="H54" s="409">
        <f t="shared" si="20"/>
        <v>706.69</v>
      </c>
      <c r="I54" s="418">
        <v>2.06E-2</v>
      </c>
      <c r="J54" s="420">
        <f t="shared" si="19"/>
        <v>3.8400000000000745</v>
      </c>
      <c r="K54" s="409">
        <f t="shared" si="4"/>
        <v>159.04</v>
      </c>
      <c r="L54" s="418">
        <v>1.9E-2</v>
      </c>
      <c r="M54" s="420">
        <f t="shared" si="17"/>
        <v>2.5799999999999272</v>
      </c>
      <c r="N54" s="409">
        <f t="shared" si="21"/>
        <v>98.56</v>
      </c>
      <c r="O54" s="409">
        <f t="shared" si="22"/>
        <v>964.29</v>
      </c>
      <c r="P54" s="416">
        <f t="shared" si="2"/>
        <v>1046.22</v>
      </c>
      <c r="Q54" s="409">
        <f t="shared" si="7"/>
        <v>38.200000000000003</v>
      </c>
      <c r="S54" s="407">
        <f t="shared" si="8"/>
        <v>23</v>
      </c>
      <c r="T54" s="417">
        <f t="shared" si="9"/>
        <v>23</v>
      </c>
      <c r="U54" s="417" t="str">
        <f t="shared" si="10"/>
        <v>ok</v>
      </c>
    </row>
    <row r="55" spans="1:21">
      <c r="A55" s="188"/>
      <c r="B55" s="188" t="s">
        <v>191</v>
      </c>
      <c r="C55" s="279">
        <v>353</v>
      </c>
      <c r="D55" s="298">
        <v>2003</v>
      </c>
      <c r="E55" s="588">
        <v>64212.69</v>
      </c>
      <c r="F55" s="418">
        <v>2.12E-2</v>
      </c>
      <c r="G55" s="568">
        <f t="shared" si="3"/>
        <v>5.58</v>
      </c>
      <c r="H55" s="409">
        <f t="shared" si="20"/>
        <v>7596.1</v>
      </c>
      <c r="I55" s="418">
        <v>2.06E-2</v>
      </c>
      <c r="J55" s="420">
        <f t="shared" si="19"/>
        <v>3.8400000000000727</v>
      </c>
      <c r="K55" s="409">
        <f t="shared" si="4"/>
        <v>5079.4799999999996</v>
      </c>
      <c r="L55" s="418">
        <v>1.9E-2</v>
      </c>
      <c r="M55" s="420">
        <f t="shared" si="17"/>
        <v>2.5799999999999272</v>
      </c>
      <c r="N55" s="409">
        <f t="shared" si="21"/>
        <v>3147.71</v>
      </c>
      <c r="O55" s="409">
        <f t="shared" si="22"/>
        <v>15823.29</v>
      </c>
      <c r="P55" s="416">
        <f t="shared" si="2"/>
        <v>48389.4</v>
      </c>
      <c r="Q55" s="409">
        <f t="shared" si="7"/>
        <v>1220.04</v>
      </c>
      <c r="S55" s="407">
        <f t="shared" si="8"/>
        <v>12</v>
      </c>
      <c r="T55" s="417">
        <f t="shared" si="9"/>
        <v>12</v>
      </c>
      <c r="U55" s="417" t="str">
        <f t="shared" si="10"/>
        <v>ok</v>
      </c>
    </row>
    <row r="56" spans="1:21">
      <c r="A56" s="188"/>
      <c r="B56" s="188" t="s">
        <v>191</v>
      </c>
      <c r="C56" s="279">
        <v>353</v>
      </c>
      <c r="D56" s="298">
        <v>2007</v>
      </c>
      <c r="E56" s="588">
        <v>3243.66</v>
      </c>
      <c r="F56" s="418">
        <v>2.12E-2</v>
      </c>
      <c r="G56" s="568">
        <f t="shared" si="3"/>
        <v>1.58</v>
      </c>
      <c r="H56" s="409">
        <f t="shared" si="20"/>
        <v>108.65</v>
      </c>
      <c r="I56" s="418">
        <v>2.06E-2</v>
      </c>
      <c r="J56" s="420">
        <f t="shared" si="19"/>
        <v>3.8400000000000727</v>
      </c>
      <c r="K56" s="409">
        <f t="shared" si="4"/>
        <v>256.58999999999997</v>
      </c>
      <c r="L56" s="418">
        <v>1.9E-2</v>
      </c>
      <c r="M56" s="420">
        <f t="shared" si="17"/>
        <v>2.5799999999999272</v>
      </c>
      <c r="N56" s="409">
        <f t="shared" si="21"/>
        <v>159</v>
      </c>
      <c r="O56" s="409">
        <f t="shared" si="22"/>
        <v>524.24</v>
      </c>
      <c r="P56" s="416">
        <f t="shared" si="2"/>
        <v>2719.42</v>
      </c>
      <c r="Q56" s="409">
        <f t="shared" si="7"/>
        <v>61.63</v>
      </c>
      <c r="S56" s="407">
        <f t="shared" si="8"/>
        <v>8</v>
      </c>
      <c r="T56" s="417">
        <f t="shared" si="9"/>
        <v>8</v>
      </c>
      <c r="U56" s="417" t="str">
        <f t="shared" si="10"/>
        <v>ok</v>
      </c>
    </row>
    <row r="57" spans="1:21">
      <c r="A57" s="188"/>
      <c r="B57" s="188" t="s">
        <v>191</v>
      </c>
      <c r="C57" s="279">
        <v>353</v>
      </c>
      <c r="D57" s="298">
        <v>2009</v>
      </c>
      <c r="E57" s="588">
        <v>6429.87</v>
      </c>
      <c r="F57" s="418">
        <v>2.12E-2</v>
      </c>
      <c r="G57" s="568">
        <f t="shared" si="3"/>
        <v>0</v>
      </c>
      <c r="H57" s="409">
        <f t="shared" si="20"/>
        <v>0</v>
      </c>
      <c r="I57" s="418">
        <v>2.06E-2</v>
      </c>
      <c r="J57" s="420">
        <f t="shared" si="19"/>
        <v>3.4200000000000728</v>
      </c>
      <c r="K57" s="409">
        <f t="shared" si="4"/>
        <v>453</v>
      </c>
      <c r="L57" s="418">
        <v>1.9E-2</v>
      </c>
      <c r="M57" s="420">
        <f t="shared" si="17"/>
        <v>2.5799999999999272</v>
      </c>
      <c r="N57" s="409">
        <f t="shared" si="21"/>
        <v>315.19</v>
      </c>
      <c r="O57" s="409">
        <f t="shared" si="22"/>
        <v>768.19</v>
      </c>
      <c r="P57" s="416">
        <f t="shared" si="2"/>
        <v>5661.68</v>
      </c>
      <c r="Q57" s="409">
        <f t="shared" si="7"/>
        <v>122.17</v>
      </c>
      <c r="S57" s="407">
        <f t="shared" si="8"/>
        <v>6</v>
      </c>
      <c r="T57" s="417">
        <f t="shared" si="9"/>
        <v>6</v>
      </c>
      <c r="U57" s="417" t="str">
        <f t="shared" si="10"/>
        <v>ok</v>
      </c>
    </row>
    <row r="58" spans="1:21">
      <c r="A58" s="188"/>
      <c r="B58" s="188" t="s">
        <v>191</v>
      </c>
      <c r="C58" s="279">
        <v>353</v>
      </c>
      <c r="D58" s="298">
        <v>2010</v>
      </c>
      <c r="E58" s="588">
        <v>4030.25</v>
      </c>
      <c r="F58" s="418">
        <v>2.12E-2</v>
      </c>
      <c r="G58" s="568">
        <f t="shared" si="3"/>
        <v>0</v>
      </c>
      <c r="H58" s="409">
        <f t="shared" si="20"/>
        <v>0</v>
      </c>
      <c r="I58" s="418">
        <v>2.06E-2</v>
      </c>
      <c r="J58" s="420">
        <f t="shared" si="19"/>
        <v>2.4200000000000728</v>
      </c>
      <c r="K58" s="409">
        <f t="shared" si="4"/>
        <v>200.92</v>
      </c>
      <c r="L58" s="418">
        <v>1.9E-2</v>
      </c>
      <c r="M58" s="420">
        <f t="shared" si="17"/>
        <v>2.5799999999999272</v>
      </c>
      <c r="N58" s="409">
        <f t="shared" si="21"/>
        <v>197.56</v>
      </c>
      <c r="O58" s="409">
        <f t="shared" si="22"/>
        <v>398.48</v>
      </c>
      <c r="P58" s="416">
        <f t="shared" si="2"/>
        <v>3631.77</v>
      </c>
      <c r="Q58" s="409">
        <f t="shared" si="7"/>
        <v>76.569999999999993</v>
      </c>
      <c r="S58" s="407">
        <f t="shared" si="8"/>
        <v>5</v>
      </c>
      <c r="T58" s="417">
        <f t="shared" si="9"/>
        <v>5</v>
      </c>
      <c r="U58" s="417" t="str">
        <f t="shared" si="10"/>
        <v>ok</v>
      </c>
    </row>
    <row r="59" spans="1:21">
      <c r="A59" s="188"/>
      <c r="B59" s="188" t="s">
        <v>192</v>
      </c>
      <c r="C59" s="279">
        <v>353</v>
      </c>
      <c r="D59" s="298">
        <v>1976</v>
      </c>
      <c r="E59" s="588">
        <f>842488-533657.09-37722.28-2112.41</f>
        <v>268996.22000000003</v>
      </c>
      <c r="F59" s="418">
        <v>2.12E-2</v>
      </c>
      <c r="G59" s="568">
        <f t="shared" si="3"/>
        <v>32.58</v>
      </c>
      <c r="H59" s="409">
        <f t="shared" si="20"/>
        <v>185794.61</v>
      </c>
      <c r="I59" s="418">
        <v>2.06E-2</v>
      </c>
      <c r="J59" s="420">
        <f t="shared" si="19"/>
        <v>3.8400000000000745</v>
      </c>
      <c r="K59" s="409">
        <f t="shared" si="4"/>
        <v>21278.68</v>
      </c>
      <c r="L59" s="418">
        <v>1.9E-2</v>
      </c>
      <c r="M59" s="420">
        <f t="shared" si="17"/>
        <v>2.5799999999999272</v>
      </c>
      <c r="N59" s="409">
        <f t="shared" si="21"/>
        <v>13186.19</v>
      </c>
      <c r="O59" s="409">
        <f t="shared" si="22"/>
        <v>220259.47999999998</v>
      </c>
      <c r="P59" s="416">
        <f t="shared" si="2"/>
        <v>48736.740000000049</v>
      </c>
      <c r="Q59" s="409">
        <f t="shared" si="7"/>
        <v>5110.93</v>
      </c>
      <c r="S59" s="407">
        <f t="shared" si="8"/>
        <v>39</v>
      </c>
      <c r="T59" s="417">
        <f t="shared" si="9"/>
        <v>39</v>
      </c>
      <c r="U59" s="417" t="str">
        <f t="shared" si="10"/>
        <v>ok</v>
      </c>
    </row>
    <row r="60" spans="1:21">
      <c r="A60" s="188"/>
      <c r="B60" s="188" t="s">
        <v>192</v>
      </c>
      <c r="C60" s="279">
        <v>353</v>
      </c>
      <c r="D60" s="298">
        <v>1990</v>
      </c>
      <c r="E60" s="588">
        <f>965852-14490.31-36852.2-4454.28</f>
        <v>910055.21</v>
      </c>
      <c r="F60" s="418">
        <v>2.12E-2</v>
      </c>
      <c r="G60" s="568">
        <f t="shared" si="3"/>
        <v>18.579999999999998</v>
      </c>
      <c r="H60" s="409">
        <f t="shared" si="20"/>
        <v>358467.11</v>
      </c>
      <c r="I60" s="418">
        <v>2.06E-2</v>
      </c>
      <c r="J60" s="420">
        <f t="shared" si="19"/>
        <v>3.8400000000000745</v>
      </c>
      <c r="K60" s="409">
        <f t="shared" si="4"/>
        <v>71989.009999999995</v>
      </c>
      <c r="L60" s="418">
        <v>1.9E-2</v>
      </c>
      <c r="M60" s="420">
        <f t="shared" si="17"/>
        <v>2.5799999999999272</v>
      </c>
      <c r="N60" s="409">
        <f t="shared" si="21"/>
        <v>44610.91</v>
      </c>
      <c r="O60" s="409">
        <f t="shared" si="22"/>
        <v>475067.03</v>
      </c>
      <c r="P60" s="416">
        <f t="shared" si="2"/>
        <v>434988.17999999993</v>
      </c>
      <c r="Q60" s="409">
        <f t="shared" si="7"/>
        <v>17291.05</v>
      </c>
      <c r="S60" s="407">
        <f t="shared" si="8"/>
        <v>25</v>
      </c>
      <c r="T60" s="417">
        <f t="shared" si="9"/>
        <v>25</v>
      </c>
      <c r="U60" s="417" t="str">
        <f t="shared" si="10"/>
        <v>ok</v>
      </c>
    </row>
    <row r="61" spans="1:21">
      <c r="A61" s="188"/>
      <c r="B61" s="188" t="s">
        <v>192</v>
      </c>
      <c r="C61" s="279">
        <v>353</v>
      </c>
      <c r="D61" s="298">
        <v>1995</v>
      </c>
      <c r="E61" s="588">
        <v>27259</v>
      </c>
      <c r="F61" s="418">
        <v>2.12E-2</v>
      </c>
      <c r="G61" s="568">
        <f t="shared" si="3"/>
        <v>13.58</v>
      </c>
      <c r="H61" s="409">
        <f t="shared" si="20"/>
        <v>7847.76</v>
      </c>
      <c r="I61" s="418">
        <v>2.06E-2</v>
      </c>
      <c r="J61" s="420">
        <f t="shared" si="19"/>
        <v>3.8400000000000727</v>
      </c>
      <c r="K61" s="409">
        <f t="shared" si="4"/>
        <v>2156.3000000000002</v>
      </c>
      <c r="L61" s="418">
        <v>1.9E-2</v>
      </c>
      <c r="M61" s="420">
        <f t="shared" si="17"/>
        <v>2.5799999999999255</v>
      </c>
      <c r="N61" s="409">
        <f t="shared" si="21"/>
        <v>1336.24</v>
      </c>
      <c r="O61" s="409">
        <f t="shared" si="22"/>
        <v>11340.300000000001</v>
      </c>
      <c r="P61" s="416">
        <f t="shared" si="2"/>
        <v>15918.699999999999</v>
      </c>
      <c r="Q61" s="409">
        <f t="shared" si="7"/>
        <v>517.91999999999996</v>
      </c>
      <c r="S61" s="407">
        <f t="shared" si="8"/>
        <v>20</v>
      </c>
      <c r="T61" s="417">
        <f t="shared" si="9"/>
        <v>20</v>
      </c>
      <c r="U61" s="417" t="str">
        <f t="shared" si="10"/>
        <v>ok</v>
      </c>
    </row>
    <row r="62" spans="1:21">
      <c r="A62" s="188"/>
      <c r="B62" s="188" t="s">
        <v>192</v>
      </c>
      <c r="C62" s="279">
        <v>353</v>
      </c>
      <c r="D62" s="298">
        <v>1996</v>
      </c>
      <c r="E62" s="588">
        <v>45684</v>
      </c>
      <c r="F62" s="418">
        <v>2.12E-2</v>
      </c>
      <c r="G62" s="568">
        <f t="shared" si="3"/>
        <v>12.58</v>
      </c>
      <c r="H62" s="409">
        <f t="shared" si="20"/>
        <v>12183.74</v>
      </c>
      <c r="I62" s="418">
        <v>2.06E-2</v>
      </c>
      <c r="J62" s="420">
        <f t="shared" si="19"/>
        <v>3.8400000000000727</v>
      </c>
      <c r="K62" s="409">
        <f t="shared" si="4"/>
        <v>3613.79</v>
      </c>
      <c r="L62" s="418">
        <v>1.9E-2</v>
      </c>
      <c r="M62" s="420">
        <f t="shared" si="17"/>
        <v>2.5799999999999272</v>
      </c>
      <c r="N62" s="409">
        <f t="shared" si="21"/>
        <v>2239.4299999999998</v>
      </c>
      <c r="O62" s="409">
        <f t="shared" si="22"/>
        <v>18036.96</v>
      </c>
      <c r="P62" s="416">
        <f t="shared" si="2"/>
        <v>27647.040000000001</v>
      </c>
      <c r="Q62" s="409">
        <f t="shared" si="7"/>
        <v>868</v>
      </c>
      <c r="S62" s="407">
        <f t="shared" si="8"/>
        <v>19</v>
      </c>
      <c r="T62" s="417">
        <f t="shared" si="9"/>
        <v>19</v>
      </c>
      <c r="U62" s="417" t="str">
        <f t="shared" si="10"/>
        <v>ok</v>
      </c>
    </row>
    <row r="63" spans="1:21">
      <c r="A63" s="188"/>
      <c r="B63" s="188" t="s">
        <v>192</v>
      </c>
      <c r="C63" s="279">
        <f t="shared" ref="C63" si="23">C62</f>
        <v>353</v>
      </c>
      <c r="D63" s="298">
        <v>2000</v>
      </c>
      <c r="E63" s="588">
        <v>972906</v>
      </c>
      <c r="F63" s="418">
        <v>2.12E-2</v>
      </c>
      <c r="G63" s="568">
        <f t="shared" si="3"/>
        <v>8.58</v>
      </c>
      <c r="H63" s="409">
        <f t="shared" si="20"/>
        <v>176967.71</v>
      </c>
      <c r="I63" s="418">
        <v>2.06E-2</v>
      </c>
      <c r="J63" s="420">
        <f t="shared" si="19"/>
        <v>3.8400000000000727</v>
      </c>
      <c r="K63" s="409">
        <f t="shared" si="4"/>
        <v>76960.759999999995</v>
      </c>
      <c r="L63" s="418">
        <v>1.9E-2</v>
      </c>
      <c r="M63" s="420">
        <f t="shared" si="17"/>
        <v>2.5799999999999272</v>
      </c>
      <c r="N63" s="409">
        <f t="shared" si="21"/>
        <v>47691.85</v>
      </c>
      <c r="O63" s="409">
        <f t="shared" si="22"/>
        <v>301620.31999999995</v>
      </c>
      <c r="P63" s="416">
        <f t="shared" si="2"/>
        <v>671285.68</v>
      </c>
      <c r="Q63" s="409">
        <f t="shared" si="7"/>
        <v>18485.21</v>
      </c>
      <c r="S63" s="407">
        <f t="shared" si="8"/>
        <v>15</v>
      </c>
      <c r="T63" s="417">
        <f t="shared" si="9"/>
        <v>15</v>
      </c>
      <c r="U63" s="417" t="str">
        <f t="shared" si="10"/>
        <v>ok</v>
      </c>
    </row>
    <row r="64" spans="1:21">
      <c r="A64" s="188"/>
      <c r="B64" s="188" t="s">
        <v>192</v>
      </c>
      <c r="C64" s="279">
        <v>353</v>
      </c>
      <c r="D64" s="298">
        <v>2008</v>
      </c>
      <c r="E64" s="588">
        <f>29415.43+73352.25</f>
        <v>102767.67999999999</v>
      </c>
      <c r="F64" s="418">
        <v>2.12E-2</v>
      </c>
      <c r="G64" s="568">
        <f t="shared" si="3"/>
        <v>0.57999999999999996</v>
      </c>
      <c r="H64" s="409">
        <f t="shared" si="20"/>
        <v>1263.6300000000001</v>
      </c>
      <c r="I64" s="418">
        <v>2.06E-2</v>
      </c>
      <c r="J64" s="420">
        <f t="shared" si="19"/>
        <v>3.8400000000000727</v>
      </c>
      <c r="K64" s="409">
        <f t="shared" si="4"/>
        <v>8129.33</v>
      </c>
      <c r="L64" s="418">
        <v>1.9E-2</v>
      </c>
      <c r="M64" s="420">
        <f t="shared" si="17"/>
        <v>2.5799999999999272</v>
      </c>
      <c r="N64" s="409">
        <f t="shared" si="21"/>
        <v>5037.67</v>
      </c>
      <c r="O64" s="409">
        <f t="shared" si="22"/>
        <v>14430.63</v>
      </c>
      <c r="P64" s="416">
        <f t="shared" si="2"/>
        <v>88337.049999999988</v>
      </c>
      <c r="Q64" s="409">
        <f t="shared" si="7"/>
        <v>1952.59</v>
      </c>
      <c r="S64" s="407">
        <f t="shared" si="8"/>
        <v>7</v>
      </c>
      <c r="T64" s="417">
        <f t="shared" ref="T64:T81" si="24">G64+J64+M64</f>
        <v>7</v>
      </c>
      <c r="U64" s="417" t="str">
        <f t="shared" ref="U64:U81" si="25">IF(S64-T64=0, "ok","error")</f>
        <v>ok</v>
      </c>
    </row>
    <row r="65" spans="1:21">
      <c r="A65" s="188"/>
      <c r="B65" s="188" t="s">
        <v>192</v>
      </c>
      <c r="C65" s="279">
        <v>353</v>
      </c>
      <c r="D65" s="298">
        <v>2011</v>
      </c>
      <c r="E65" s="588">
        <f>482673.57-78424.03</f>
        <v>404249.54000000004</v>
      </c>
      <c r="F65" s="418">
        <v>2.12E-2</v>
      </c>
      <c r="G65" s="568">
        <f t="shared" si="3"/>
        <v>0</v>
      </c>
      <c r="H65" s="409">
        <f t="shared" si="20"/>
        <v>0</v>
      </c>
      <c r="I65" s="418">
        <v>2.06E-2</v>
      </c>
      <c r="J65" s="420">
        <f t="shared" si="19"/>
        <v>1.4200000000000728</v>
      </c>
      <c r="K65" s="409">
        <f t="shared" ref="K65:K81" si="26">ROUND(E65*J65*I65,2)</f>
        <v>11825.11</v>
      </c>
      <c r="L65" s="418">
        <v>1.9E-2</v>
      </c>
      <c r="M65" s="420">
        <f t="shared" si="17"/>
        <v>2.5799999999999272</v>
      </c>
      <c r="N65" s="409">
        <f t="shared" si="21"/>
        <v>19816.310000000001</v>
      </c>
      <c r="O65" s="409">
        <f t="shared" si="22"/>
        <v>31641.420000000002</v>
      </c>
      <c r="P65" s="416">
        <f t="shared" ref="P65:P81" si="27">E65-O65</f>
        <v>372608.12000000005</v>
      </c>
      <c r="Q65" s="409">
        <f t="shared" ref="Q65:Q81" si="28">ROUND(E65*L65,2)</f>
        <v>7680.74</v>
      </c>
      <c r="S65" s="407">
        <f t="shared" si="8"/>
        <v>4</v>
      </c>
      <c r="T65" s="417">
        <f t="shared" si="24"/>
        <v>4</v>
      </c>
      <c r="U65" s="417" t="str">
        <f t="shared" si="25"/>
        <v>ok</v>
      </c>
    </row>
    <row r="66" spans="1:21">
      <c r="A66" s="188"/>
      <c r="B66" s="188" t="s">
        <v>192</v>
      </c>
      <c r="C66" s="279">
        <v>353</v>
      </c>
      <c r="D66" s="298">
        <v>2013</v>
      </c>
      <c r="E66" s="588">
        <v>20629.744999999999</v>
      </c>
      <c r="F66" s="418">
        <v>2.12E-2</v>
      </c>
      <c r="G66" s="568">
        <f t="shared" si="3"/>
        <v>0</v>
      </c>
      <c r="H66" s="409">
        <f t="shared" si="20"/>
        <v>0</v>
      </c>
      <c r="I66" s="418">
        <v>2.06E-2</v>
      </c>
      <c r="J66" s="420">
        <v>0</v>
      </c>
      <c r="K66" s="409">
        <f t="shared" si="26"/>
        <v>0</v>
      </c>
      <c r="L66" s="418">
        <v>1.9E-2</v>
      </c>
      <c r="M66" s="420">
        <f t="shared" si="17"/>
        <v>2</v>
      </c>
      <c r="N66" s="409">
        <f t="shared" si="21"/>
        <v>783.93</v>
      </c>
      <c r="O66" s="409">
        <f t="shared" si="22"/>
        <v>783.93</v>
      </c>
      <c r="P66" s="416">
        <f t="shared" ref="P66:P67" si="29">E66-O66</f>
        <v>19845.814999999999</v>
      </c>
      <c r="Q66" s="409">
        <f t="shared" ref="Q66:Q68" si="30">ROUND(E66*L66,2)</f>
        <v>391.97</v>
      </c>
      <c r="S66" s="407">
        <f t="shared" si="8"/>
        <v>2</v>
      </c>
      <c r="T66" s="417">
        <f t="shared" si="24"/>
        <v>2</v>
      </c>
      <c r="U66" s="417" t="str">
        <f t="shared" si="25"/>
        <v>ok</v>
      </c>
    </row>
    <row r="67" spans="1:21">
      <c r="A67" s="188"/>
      <c r="B67" s="188" t="s">
        <v>192</v>
      </c>
      <c r="C67" s="279">
        <v>353</v>
      </c>
      <c r="D67" s="298">
        <v>2013</v>
      </c>
      <c r="E67" s="588">
        <v>1564945.2299999997</v>
      </c>
      <c r="F67" s="418">
        <v>2.12E-2</v>
      </c>
      <c r="G67" s="568">
        <f t="shared" si="3"/>
        <v>0</v>
      </c>
      <c r="H67" s="409">
        <f t="shared" si="20"/>
        <v>0</v>
      </c>
      <c r="I67" s="418">
        <v>2.06E-2</v>
      </c>
      <c r="J67" s="420">
        <v>0</v>
      </c>
      <c r="K67" s="409">
        <f t="shared" si="26"/>
        <v>0</v>
      </c>
      <c r="L67" s="418">
        <v>1.9E-2</v>
      </c>
      <c r="M67" s="420">
        <f t="shared" si="17"/>
        <v>2</v>
      </c>
      <c r="N67" s="409">
        <f t="shared" si="21"/>
        <v>59467.92</v>
      </c>
      <c r="O67" s="409">
        <f t="shared" si="22"/>
        <v>59467.92</v>
      </c>
      <c r="P67" s="416">
        <f t="shared" si="29"/>
        <v>1505477.3099999998</v>
      </c>
      <c r="Q67" s="409">
        <f t="shared" si="30"/>
        <v>29733.96</v>
      </c>
      <c r="S67" s="407">
        <f t="shared" si="8"/>
        <v>2</v>
      </c>
      <c r="T67" s="417">
        <f t="shared" si="24"/>
        <v>2</v>
      </c>
      <c r="U67" s="417" t="str">
        <f t="shared" si="25"/>
        <v>ok</v>
      </c>
    </row>
    <row r="68" spans="1:21">
      <c r="A68" s="188"/>
      <c r="B68" s="188" t="s">
        <v>192</v>
      </c>
      <c r="C68" s="279">
        <v>353</v>
      </c>
      <c r="D68" s="298">
        <v>2014</v>
      </c>
      <c r="E68" s="588">
        <f>1663952.72+0.43</f>
        <v>1663953.15</v>
      </c>
      <c r="F68" s="418">
        <v>2.12E-2</v>
      </c>
      <c r="G68" s="568">
        <f t="shared" si="3"/>
        <v>0</v>
      </c>
      <c r="H68" s="409">
        <f t="shared" si="20"/>
        <v>0</v>
      </c>
      <c r="I68" s="418">
        <v>2.06E-2</v>
      </c>
      <c r="J68" s="420">
        <v>0</v>
      </c>
      <c r="K68" s="409">
        <f t="shared" si="26"/>
        <v>0</v>
      </c>
      <c r="L68" s="418">
        <v>1.9E-2</v>
      </c>
      <c r="M68" s="420">
        <f t="shared" si="17"/>
        <v>1</v>
      </c>
      <c r="N68" s="409">
        <f t="shared" si="21"/>
        <v>31615.11</v>
      </c>
      <c r="O68" s="409">
        <f t="shared" ref="O68" si="31">SUM(H68,K68,N68)</f>
        <v>31615.11</v>
      </c>
      <c r="P68" s="416">
        <f t="shared" ref="P68" si="32">E68-O68</f>
        <v>1632338.0399999998</v>
      </c>
      <c r="Q68" s="409">
        <f t="shared" si="30"/>
        <v>31615.11</v>
      </c>
      <c r="S68" s="407">
        <f t="shared" si="8"/>
        <v>1</v>
      </c>
      <c r="T68" s="417">
        <f t="shared" ref="T68" si="33">G68+J68+M68</f>
        <v>1</v>
      </c>
      <c r="U68" s="417" t="str">
        <f t="shared" ref="U68" si="34">IF(S68-T68=0, "ok","error")</f>
        <v>ok</v>
      </c>
    </row>
    <row r="69" spans="1:21">
      <c r="A69" s="188"/>
      <c r="B69" s="188" t="s">
        <v>1033</v>
      </c>
      <c r="C69" s="279">
        <v>353</v>
      </c>
      <c r="D69" s="298">
        <v>2008</v>
      </c>
      <c r="E69" s="588">
        <f>2223479.04</f>
        <v>2223479.04</v>
      </c>
      <c r="F69" s="418">
        <v>2.12E-2</v>
      </c>
      <c r="G69" s="568">
        <f t="shared" ref="G69:G79" si="35">IF((2008-D69)+0.58&lt;0, 0,(2008-D69)+0.58)</f>
        <v>0.57999999999999996</v>
      </c>
      <c r="H69" s="409">
        <f t="shared" ref="H69:H71" si="36">ROUND(E69*G69*F69,2)</f>
        <v>27339.9</v>
      </c>
      <c r="I69" s="418">
        <v>2.06E-2</v>
      </c>
      <c r="J69" s="420">
        <f>IF(G69=0,IF($J$89=D69,$J$89-D69+0.42,($J$89+0.42-D69)-G69),$J$89+0.42-D69)-G69</f>
        <v>3.8400000000000727</v>
      </c>
      <c r="K69" s="409">
        <f t="shared" si="26"/>
        <v>175886.09</v>
      </c>
      <c r="L69" s="418">
        <v>1.9E-2</v>
      </c>
      <c r="M69" s="420">
        <f t="shared" si="17"/>
        <v>2.5799999999999272</v>
      </c>
      <c r="N69" s="409">
        <f t="shared" si="21"/>
        <v>108994.94</v>
      </c>
      <c r="O69" s="409">
        <f t="shared" si="22"/>
        <v>312220.93</v>
      </c>
      <c r="P69" s="416">
        <f t="shared" si="27"/>
        <v>1911258.11</v>
      </c>
      <c r="Q69" s="409">
        <f t="shared" si="28"/>
        <v>42246.1</v>
      </c>
      <c r="S69" s="407">
        <f t="shared" si="8"/>
        <v>7</v>
      </c>
      <c r="T69" s="417">
        <f t="shared" si="24"/>
        <v>7</v>
      </c>
      <c r="U69" s="417" t="str">
        <f t="shared" si="25"/>
        <v>ok</v>
      </c>
    </row>
    <row r="70" spans="1:21">
      <c r="A70" s="188"/>
      <c r="B70" s="188" t="s">
        <v>1033</v>
      </c>
      <c r="C70" s="279">
        <v>353</v>
      </c>
      <c r="D70" s="298">
        <v>2011</v>
      </c>
      <c r="E70" s="588">
        <v>63402.18</v>
      </c>
      <c r="F70" s="418">
        <v>2.12E-2</v>
      </c>
      <c r="G70" s="568">
        <f t="shared" si="35"/>
        <v>0</v>
      </c>
      <c r="H70" s="409">
        <f t="shared" si="36"/>
        <v>0</v>
      </c>
      <c r="I70" s="418">
        <v>2.06E-2</v>
      </c>
      <c r="J70" s="420">
        <f>IF(G70=0,IF($J$89=D70,$J$89-D70+0.42,($J$89+0.42-D70)-G70),$J$89+0.42-D70)-G70</f>
        <v>1.4200000000000728</v>
      </c>
      <c r="K70" s="409">
        <f t="shared" si="26"/>
        <v>1854.64</v>
      </c>
      <c r="L70" s="418">
        <v>1.9E-2</v>
      </c>
      <c r="M70" s="420">
        <f t="shared" si="17"/>
        <v>2.5799999999999272</v>
      </c>
      <c r="N70" s="409">
        <f t="shared" si="21"/>
        <v>3107.97</v>
      </c>
      <c r="O70" s="409">
        <f t="shared" si="22"/>
        <v>4962.6099999999997</v>
      </c>
      <c r="P70" s="416">
        <f t="shared" si="27"/>
        <v>58439.57</v>
      </c>
      <c r="Q70" s="409">
        <f t="shared" si="28"/>
        <v>1204.6400000000001</v>
      </c>
      <c r="S70" s="407">
        <f t="shared" si="8"/>
        <v>4</v>
      </c>
      <c r="T70" s="417">
        <f t="shared" si="24"/>
        <v>4</v>
      </c>
      <c r="U70" s="417" t="str">
        <f t="shared" si="25"/>
        <v>ok</v>
      </c>
    </row>
    <row r="71" spans="1:21">
      <c r="A71" s="188"/>
      <c r="B71" s="188" t="s">
        <v>1152</v>
      </c>
      <c r="C71" s="279">
        <v>353</v>
      </c>
      <c r="D71" s="298">
        <v>2013</v>
      </c>
      <c r="E71" s="588">
        <f>234568.29-56507.35-39973.38</f>
        <v>138087.56</v>
      </c>
      <c r="F71" s="418">
        <v>2.12E-2</v>
      </c>
      <c r="G71" s="568">
        <f t="shared" si="35"/>
        <v>0</v>
      </c>
      <c r="H71" s="409">
        <f t="shared" si="36"/>
        <v>0</v>
      </c>
      <c r="I71" s="418">
        <v>2.06E-2</v>
      </c>
      <c r="J71" s="420">
        <v>0</v>
      </c>
      <c r="K71" s="409">
        <f t="shared" si="26"/>
        <v>0</v>
      </c>
      <c r="L71" s="418">
        <v>1.9E-2</v>
      </c>
      <c r="M71" s="420">
        <f t="shared" si="17"/>
        <v>2</v>
      </c>
      <c r="N71" s="409">
        <f t="shared" si="21"/>
        <v>5247.33</v>
      </c>
      <c r="O71" s="409">
        <f t="shared" si="22"/>
        <v>5247.33</v>
      </c>
      <c r="P71" s="416">
        <f t="shared" si="27"/>
        <v>132840.23000000001</v>
      </c>
      <c r="Q71" s="409">
        <f t="shared" si="28"/>
        <v>2623.66</v>
      </c>
      <c r="S71" s="407">
        <f t="shared" si="8"/>
        <v>2</v>
      </c>
      <c r="T71" s="417">
        <f t="shared" si="24"/>
        <v>2</v>
      </c>
      <c r="U71" s="417" t="str">
        <f t="shared" si="25"/>
        <v>ok</v>
      </c>
    </row>
    <row r="72" spans="1:21">
      <c r="A72" s="188"/>
      <c r="B72" s="188" t="s">
        <v>1034</v>
      </c>
      <c r="C72" s="279">
        <v>352</v>
      </c>
      <c r="D72" s="298">
        <v>1982</v>
      </c>
      <c r="E72" s="588">
        <v>55381.11</v>
      </c>
      <c r="F72" s="418">
        <v>1.29E-2</v>
      </c>
      <c r="G72" s="568">
        <f t="shared" si="35"/>
        <v>26.58</v>
      </c>
      <c r="H72" s="409">
        <f t="shared" si="20"/>
        <v>18989.189999999999</v>
      </c>
      <c r="I72" s="418">
        <v>1.6799999999999999E-2</v>
      </c>
      <c r="J72" s="420">
        <f>IF(G72=0,IF($J$89=D72,$J$89-D72+0.42,($J$89+0.42-D72)-G72),$J$89+0.42-D72)-G72</f>
        <v>3.8400000000000745</v>
      </c>
      <c r="K72" s="409">
        <f t="shared" si="26"/>
        <v>3572.75</v>
      </c>
      <c r="L72" s="418">
        <v>1.84E-2</v>
      </c>
      <c r="M72" s="420">
        <f t="shared" ref="M72:M81" si="37">$J$91+1-D72-J72-G72</f>
        <v>2.5799999999999272</v>
      </c>
      <c r="N72" s="409">
        <f t="shared" si="21"/>
        <v>2629.05</v>
      </c>
      <c r="O72" s="409">
        <f t="shared" si="22"/>
        <v>25190.989999999998</v>
      </c>
      <c r="P72" s="416">
        <f t="shared" si="27"/>
        <v>30190.120000000003</v>
      </c>
      <c r="Q72" s="409">
        <f t="shared" si="28"/>
        <v>1019.01</v>
      </c>
      <c r="S72" s="407">
        <f t="shared" ref="S72:S81" si="38">2014+1-D72</f>
        <v>33</v>
      </c>
      <c r="T72" s="417">
        <f t="shared" si="24"/>
        <v>33</v>
      </c>
      <c r="U72" s="417" t="str">
        <f t="shared" si="25"/>
        <v>ok</v>
      </c>
    </row>
    <row r="73" spans="1:21">
      <c r="A73" s="188"/>
      <c r="B73" s="188" t="s">
        <v>1034</v>
      </c>
      <c r="C73" s="279">
        <v>353</v>
      </c>
      <c r="D73" s="298">
        <v>1985</v>
      </c>
      <c r="E73" s="588">
        <f>518465.7+518465.71-189778.67</f>
        <v>847152.74</v>
      </c>
      <c r="F73" s="418">
        <v>2.12E-2</v>
      </c>
      <c r="G73" s="568">
        <f t="shared" ref="G73:G78" si="39">IF((2008-D73)+0.58&lt;0, 0,(2008-D73)+0.58)</f>
        <v>23.58</v>
      </c>
      <c r="H73" s="409">
        <f t="shared" ref="H73:H78" si="40">ROUND(E73*G73*F73,2)</f>
        <v>423488.27</v>
      </c>
      <c r="I73" s="418">
        <v>2.06E-2</v>
      </c>
      <c r="J73" s="420">
        <f>IF(G73=0,IF($J$89=D73,$J$89-D73+0.42,($J$89+0.42-D73)-G73),$J$89+0.42-D73)-G73</f>
        <v>3.8400000000000745</v>
      </c>
      <c r="K73" s="409">
        <f t="shared" ref="K73:K78" si="41">ROUND(E73*J73*I73,2)</f>
        <v>67013.17</v>
      </c>
      <c r="L73" s="418">
        <v>1.9E-2</v>
      </c>
      <c r="M73" s="420">
        <f t="shared" si="37"/>
        <v>2.5799999999999272</v>
      </c>
      <c r="N73" s="409">
        <f t="shared" ref="N73:N78" si="42">ROUND(E73*L73*M73,2)</f>
        <v>41527.43</v>
      </c>
      <c r="O73" s="409">
        <f t="shared" ref="O73:O78" si="43">SUM(H73,K73,N73)</f>
        <v>532028.87</v>
      </c>
      <c r="P73" s="416">
        <f t="shared" ref="P73:P78" si="44">E73-O73</f>
        <v>315123.87</v>
      </c>
      <c r="Q73" s="409">
        <f t="shared" ref="Q73:Q78" si="45">ROUND(E73*L73,2)</f>
        <v>16095.9</v>
      </c>
      <c r="S73" s="407">
        <f t="shared" si="38"/>
        <v>30</v>
      </c>
      <c r="T73" s="417">
        <f t="shared" ref="T73:T78" si="46">G73+J73+M73</f>
        <v>30</v>
      </c>
      <c r="U73" s="417" t="str">
        <f t="shared" ref="U73:U78" si="47">IF(S73-T73=0, "ok","error")</f>
        <v>ok</v>
      </c>
    </row>
    <row r="74" spans="1:21">
      <c r="A74" s="188"/>
      <c r="B74" s="188" t="s">
        <v>1034</v>
      </c>
      <c r="C74" s="279">
        <v>353</v>
      </c>
      <c r="D74" s="298">
        <v>1986</v>
      </c>
      <c r="E74" s="588">
        <v>4161.2299999999996</v>
      </c>
      <c r="F74" s="418">
        <v>2.12E-2</v>
      </c>
      <c r="G74" s="568">
        <f t="shared" si="39"/>
        <v>22.58</v>
      </c>
      <c r="H74" s="409">
        <f t="shared" si="40"/>
        <v>1991.96</v>
      </c>
      <c r="I74" s="418">
        <v>2.06E-2</v>
      </c>
      <c r="J74" s="420">
        <f t="shared" ref="J74:J76" si="48">IF(G74=0,IF($J$89=D74,$J$89-D74+0.42,($J$89+0.42-D74)-G74),$J$89+0.42-D74)-G74</f>
        <v>3.8400000000000745</v>
      </c>
      <c r="K74" s="409">
        <f t="shared" si="41"/>
        <v>329.17</v>
      </c>
      <c r="L74" s="418">
        <v>1.9E-2</v>
      </c>
      <c r="M74" s="420">
        <f t="shared" si="37"/>
        <v>2.5799999999999272</v>
      </c>
      <c r="N74" s="409">
        <f t="shared" si="42"/>
        <v>203.98</v>
      </c>
      <c r="O74" s="409">
        <f t="shared" si="43"/>
        <v>2525.11</v>
      </c>
      <c r="P74" s="416">
        <f t="shared" si="44"/>
        <v>1636.1199999999994</v>
      </c>
      <c r="Q74" s="409">
        <f t="shared" si="45"/>
        <v>79.06</v>
      </c>
      <c r="S74" s="407">
        <f t="shared" si="38"/>
        <v>29</v>
      </c>
      <c r="T74" s="417">
        <f t="shared" si="46"/>
        <v>29</v>
      </c>
      <c r="U74" s="417" t="str">
        <f t="shared" si="47"/>
        <v>ok</v>
      </c>
    </row>
    <row r="75" spans="1:21">
      <c r="A75" s="188"/>
      <c r="B75" s="188" t="s">
        <v>1034</v>
      </c>
      <c r="C75" s="279">
        <v>353</v>
      </c>
      <c r="D75" s="298">
        <v>1987</v>
      </c>
      <c r="E75" s="588">
        <v>70.08</v>
      </c>
      <c r="F75" s="418">
        <v>2.12E-2</v>
      </c>
      <c r="G75" s="568">
        <f t="shared" si="39"/>
        <v>21.58</v>
      </c>
      <c r="H75" s="409">
        <f t="shared" si="40"/>
        <v>32.06</v>
      </c>
      <c r="I75" s="418">
        <v>2.06E-2</v>
      </c>
      <c r="J75" s="420">
        <f t="shared" si="48"/>
        <v>3.8400000000000745</v>
      </c>
      <c r="K75" s="409">
        <f t="shared" si="41"/>
        <v>5.54</v>
      </c>
      <c r="L75" s="418">
        <v>1.9E-2</v>
      </c>
      <c r="M75" s="420">
        <f t="shared" si="37"/>
        <v>2.5799999999999272</v>
      </c>
      <c r="N75" s="409">
        <f t="shared" si="42"/>
        <v>3.44</v>
      </c>
      <c r="O75" s="409">
        <f t="shared" si="43"/>
        <v>41.04</v>
      </c>
      <c r="P75" s="416">
        <f t="shared" si="44"/>
        <v>29.04</v>
      </c>
      <c r="Q75" s="409">
        <f t="shared" si="45"/>
        <v>1.33</v>
      </c>
      <c r="S75" s="407">
        <f t="shared" si="38"/>
        <v>28</v>
      </c>
      <c r="T75" s="417">
        <f t="shared" si="46"/>
        <v>28</v>
      </c>
      <c r="U75" s="417" t="str">
        <f t="shared" si="47"/>
        <v>ok</v>
      </c>
    </row>
    <row r="76" spans="1:21">
      <c r="A76" s="188"/>
      <c r="B76" s="188" t="s">
        <v>1034</v>
      </c>
      <c r="C76" s="279">
        <v>353</v>
      </c>
      <c r="D76" s="298">
        <v>2011</v>
      </c>
      <c r="E76" s="588">
        <v>22115.47</v>
      </c>
      <c r="F76" s="418">
        <v>2.12E-2</v>
      </c>
      <c r="G76" s="568">
        <f t="shared" si="39"/>
        <v>0</v>
      </c>
      <c r="H76" s="409">
        <f t="shared" si="40"/>
        <v>0</v>
      </c>
      <c r="I76" s="418">
        <v>2.06E-2</v>
      </c>
      <c r="J76" s="420">
        <f t="shared" si="48"/>
        <v>1.4200000000000728</v>
      </c>
      <c r="K76" s="409">
        <f t="shared" si="41"/>
        <v>646.91999999999996</v>
      </c>
      <c r="L76" s="418">
        <v>1.9E-2</v>
      </c>
      <c r="M76" s="420">
        <f t="shared" si="37"/>
        <v>2.5799999999999272</v>
      </c>
      <c r="N76" s="409">
        <f t="shared" si="42"/>
        <v>1084.0999999999999</v>
      </c>
      <c r="O76" s="409">
        <f t="shared" si="43"/>
        <v>1731.02</v>
      </c>
      <c r="P76" s="416">
        <f t="shared" si="44"/>
        <v>20384.45</v>
      </c>
      <c r="Q76" s="409">
        <f t="shared" si="45"/>
        <v>420.19</v>
      </c>
      <c r="S76" s="407">
        <f t="shared" si="38"/>
        <v>4</v>
      </c>
      <c r="T76" s="417">
        <f t="shared" si="46"/>
        <v>4</v>
      </c>
      <c r="U76" s="417" t="str">
        <f t="shared" si="47"/>
        <v>ok</v>
      </c>
    </row>
    <row r="77" spans="1:21">
      <c r="A77" s="188"/>
      <c r="B77" s="188" t="s">
        <v>1035</v>
      </c>
      <c r="C77" s="279">
        <v>352</v>
      </c>
      <c r="D77" s="298">
        <v>1977</v>
      </c>
      <c r="E77" s="588">
        <f>228712.7-2725.26-2.46</f>
        <v>225984.98</v>
      </c>
      <c r="F77" s="418">
        <v>1.29E-2</v>
      </c>
      <c r="G77" s="568">
        <f t="shared" si="39"/>
        <v>31.58</v>
      </c>
      <c r="H77" s="409">
        <f t="shared" si="40"/>
        <v>92062.21</v>
      </c>
      <c r="I77" s="418">
        <v>1.6799999999999999E-2</v>
      </c>
      <c r="J77" s="420">
        <f>IF(G77=0,IF($J$89=D77,$J$89-D77+0.42,($J$89+0.42-D77)-G77),$J$89+0.42-D77)-G77</f>
        <v>3.8400000000000745</v>
      </c>
      <c r="K77" s="409">
        <f t="shared" si="41"/>
        <v>14578.74</v>
      </c>
      <c r="L77" s="418">
        <v>1.84E-2</v>
      </c>
      <c r="M77" s="420">
        <f t="shared" si="37"/>
        <v>2.5799999999999272</v>
      </c>
      <c r="N77" s="409">
        <f t="shared" si="42"/>
        <v>10727.96</v>
      </c>
      <c r="O77" s="409">
        <f t="shared" si="43"/>
        <v>117368.91</v>
      </c>
      <c r="P77" s="416">
        <f t="shared" si="44"/>
        <v>108616.07</v>
      </c>
      <c r="Q77" s="409">
        <f t="shared" si="45"/>
        <v>4158.12</v>
      </c>
      <c r="S77" s="407">
        <f t="shared" si="38"/>
        <v>38</v>
      </c>
      <c r="T77" s="417">
        <f t="shared" si="46"/>
        <v>38</v>
      </c>
      <c r="U77" s="417" t="str">
        <f t="shared" si="47"/>
        <v>ok</v>
      </c>
    </row>
    <row r="78" spans="1:21">
      <c r="A78" s="188"/>
      <c r="B78" s="188" t="s">
        <v>1035</v>
      </c>
      <c r="C78" s="279">
        <v>352</v>
      </c>
      <c r="D78" s="298">
        <v>1982</v>
      </c>
      <c r="E78" s="588">
        <v>130830.17</v>
      </c>
      <c r="F78" s="418">
        <v>1.29E-2</v>
      </c>
      <c r="G78" s="568">
        <f t="shared" si="39"/>
        <v>26.58</v>
      </c>
      <c r="H78" s="409">
        <f t="shared" si="40"/>
        <v>44859.31</v>
      </c>
      <c r="I78" s="418">
        <v>1.6799999999999999E-2</v>
      </c>
      <c r="J78" s="420">
        <f>IF(G78=0,IF($J$89=D78,$J$89-D78+0.42,($J$89+0.42-D78)-G78),$J$89+0.42-D78)-G78</f>
        <v>3.8400000000000745</v>
      </c>
      <c r="K78" s="409">
        <f t="shared" si="41"/>
        <v>8440.1200000000008</v>
      </c>
      <c r="L78" s="418">
        <v>1.84E-2</v>
      </c>
      <c r="M78" s="420">
        <f t="shared" si="37"/>
        <v>2.5799999999999272</v>
      </c>
      <c r="N78" s="409">
        <f t="shared" si="42"/>
        <v>6210.77</v>
      </c>
      <c r="O78" s="409">
        <f t="shared" si="43"/>
        <v>59510.2</v>
      </c>
      <c r="P78" s="416">
        <f t="shared" si="44"/>
        <v>71319.97</v>
      </c>
      <c r="Q78" s="409">
        <f t="shared" si="45"/>
        <v>2407.2800000000002</v>
      </c>
      <c r="S78" s="407">
        <f t="shared" si="38"/>
        <v>33</v>
      </c>
      <c r="T78" s="417">
        <f t="shared" si="46"/>
        <v>33</v>
      </c>
      <c r="U78" s="417" t="str">
        <f t="shared" si="47"/>
        <v>ok</v>
      </c>
    </row>
    <row r="79" spans="1:21">
      <c r="A79" s="188"/>
      <c r="B79" s="188" t="s">
        <v>1035</v>
      </c>
      <c r="C79" s="279">
        <v>353</v>
      </c>
      <c r="D79" s="298">
        <v>1981</v>
      </c>
      <c r="E79" s="588">
        <f>1386229.29-18917.49-17.2-56507.35</f>
        <v>1310787.25</v>
      </c>
      <c r="F79" s="418">
        <v>2.12E-2</v>
      </c>
      <c r="G79" s="568">
        <f t="shared" si="35"/>
        <v>27.58</v>
      </c>
      <c r="H79" s="409">
        <f t="shared" si="20"/>
        <v>766412.06</v>
      </c>
      <c r="I79" s="418">
        <v>2.06E-2</v>
      </c>
      <c r="J79" s="420">
        <f>IF(G79=0,IF($J$89=D79,$J$89-D79+0.42,($J$89+0.42-D79)-G79),$J$89+0.42-D79)-G79</f>
        <v>3.8400000000000745</v>
      </c>
      <c r="K79" s="409">
        <f t="shared" si="26"/>
        <v>103688.51</v>
      </c>
      <c r="L79" s="418">
        <v>1.9E-2</v>
      </c>
      <c r="M79" s="420">
        <f t="shared" si="37"/>
        <v>2.5799999999999272</v>
      </c>
      <c r="N79" s="409">
        <f t="shared" si="21"/>
        <v>64254.79</v>
      </c>
      <c r="O79" s="409">
        <f t="shared" si="22"/>
        <v>934355.3600000001</v>
      </c>
      <c r="P79" s="416">
        <f t="shared" si="27"/>
        <v>376431.8899999999</v>
      </c>
      <c r="Q79" s="409">
        <f t="shared" si="28"/>
        <v>24904.959999999999</v>
      </c>
      <c r="S79" s="407">
        <f t="shared" si="38"/>
        <v>34</v>
      </c>
      <c r="T79" s="417">
        <f t="shared" si="24"/>
        <v>34</v>
      </c>
      <c r="U79" s="417" t="str">
        <f t="shared" si="25"/>
        <v>ok</v>
      </c>
    </row>
    <row r="80" spans="1:21">
      <c r="A80" s="188"/>
      <c r="B80" s="188" t="s">
        <v>1035</v>
      </c>
      <c r="C80" s="279">
        <v>353</v>
      </c>
      <c r="D80" s="298">
        <v>1982</v>
      </c>
      <c r="E80" s="588">
        <v>107606.74</v>
      </c>
      <c r="F80" s="418">
        <v>2.12E-2</v>
      </c>
      <c r="G80" s="568">
        <f>IF((2008-D80)+0.58&lt;0, 0,(2008-D80)+0.58)</f>
        <v>26.58</v>
      </c>
      <c r="H80" s="409">
        <f>ROUND(E80*G80*F80,2)</f>
        <v>60635.97</v>
      </c>
      <c r="I80" s="418">
        <v>2.06E-2</v>
      </c>
      <c r="J80" s="420">
        <f>IF(G80=0,IF($J$89=D80,$J$89-D80+0.42,($J$89+0.42-D80)-G80),$J$89+0.42-D80)-G80</f>
        <v>3.8400000000000745</v>
      </c>
      <c r="K80" s="409">
        <f t="shared" si="26"/>
        <v>8512.1200000000008</v>
      </c>
      <c r="L80" s="418">
        <v>1.9E-2</v>
      </c>
      <c r="M80" s="420">
        <f t="shared" si="37"/>
        <v>2.5799999999999272</v>
      </c>
      <c r="N80" s="409">
        <f t="shared" si="21"/>
        <v>5274.88</v>
      </c>
      <c r="O80" s="409">
        <f t="shared" si="22"/>
        <v>74422.97</v>
      </c>
      <c r="P80" s="416">
        <f t="shared" si="27"/>
        <v>33183.770000000004</v>
      </c>
      <c r="Q80" s="409">
        <f t="shared" si="28"/>
        <v>2044.53</v>
      </c>
      <c r="S80" s="407">
        <f t="shared" si="38"/>
        <v>33</v>
      </c>
      <c r="T80" s="417">
        <f t="shared" si="24"/>
        <v>33</v>
      </c>
      <c r="U80" s="417" t="str">
        <f t="shared" si="25"/>
        <v>ok</v>
      </c>
    </row>
    <row r="81" spans="1:21">
      <c r="A81" s="188"/>
      <c r="B81" s="188" t="s">
        <v>1035</v>
      </c>
      <c r="C81" s="279">
        <v>353</v>
      </c>
      <c r="D81" s="298">
        <v>2005</v>
      </c>
      <c r="E81" s="588">
        <v>38513.699999999997</v>
      </c>
      <c r="F81" s="418">
        <v>2.12E-2</v>
      </c>
      <c r="G81" s="568">
        <f>IF((2008-D81)+0.58&lt;0, 0,(2008-D81)+0.58)</f>
        <v>3.58</v>
      </c>
      <c r="H81" s="409">
        <f>ROUND(E81*G81*F81,2)</f>
        <v>2923.04</v>
      </c>
      <c r="I81" s="418">
        <v>2.06E-2</v>
      </c>
      <c r="J81" s="420">
        <f>IF(G81=0,IF($J$89=D81,$J$89-D81+0.42,($J$89+0.42-D81)-G81),$J$89+0.42-D81)-G81</f>
        <v>3.8400000000000727</v>
      </c>
      <c r="K81" s="409">
        <f t="shared" si="26"/>
        <v>3046.59</v>
      </c>
      <c r="L81" s="418">
        <v>1.9E-2</v>
      </c>
      <c r="M81" s="420">
        <f t="shared" si="37"/>
        <v>2.5799999999999272</v>
      </c>
      <c r="N81" s="409">
        <f t="shared" si="21"/>
        <v>1887.94</v>
      </c>
      <c r="O81" s="409">
        <f t="shared" si="22"/>
        <v>7857.57</v>
      </c>
      <c r="P81" s="416">
        <f t="shared" si="27"/>
        <v>30656.129999999997</v>
      </c>
      <c r="Q81" s="409">
        <f t="shared" si="28"/>
        <v>731.76</v>
      </c>
      <c r="S81" s="407">
        <f t="shared" si="38"/>
        <v>10</v>
      </c>
      <c r="T81" s="417">
        <f t="shared" si="24"/>
        <v>10</v>
      </c>
      <c r="U81" s="417" t="str">
        <f t="shared" si="25"/>
        <v>ok</v>
      </c>
    </row>
    <row r="82" spans="1:21">
      <c r="E82" s="93"/>
      <c r="F82" s="418"/>
      <c r="G82" s="419"/>
      <c r="H82" s="93"/>
      <c r="I82" s="418"/>
      <c r="J82" s="420"/>
      <c r="K82" s="93"/>
      <c r="L82" s="421"/>
      <c r="M82" s="421"/>
      <c r="N82" s="93"/>
      <c r="O82" s="93"/>
      <c r="P82" s="93"/>
      <c r="Q82" s="93"/>
    </row>
    <row r="83" spans="1:21">
      <c r="A83" s="407" t="s">
        <v>454</v>
      </c>
      <c r="E83" s="422">
        <f>SUM(E9:E82)</f>
        <v>25884616.384999987</v>
      </c>
      <c r="F83" s="423"/>
      <c r="H83" s="422">
        <f>SUM(H9:H82)</f>
        <v>8710306.410000002</v>
      </c>
      <c r="I83" s="423"/>
      <c r="J83" s="424"/>
      <c r="K83" s="422">
        <f>SUM(K9:K82)</f>
        <v>1584700.4000000001</v>
      </c>
      <c r="L83" s="425"/>
      <c r="M83" s="425"/>
      <c r="N83" s="422">
        <f>SUM(N9:N82)</f>
        <v>1199279.1300000001</v>
      </c>
      <c r="O83" s="422">
        <f>SUM(O9:O82)</f>
        <v>11494285.939999999</v>
      </c>
      <c r="P83" s="422">
        <f>SUM(P9:P82)</f>
        <v>14390330.444999998</v>
      </c>
      <c r="Q83" s="422">
        <f>SUM(Q9:Q82)</f>
        <v>491560.39000000013</v>
      </c>
    </row>
    <row r="84" spans="1:21">
      <c r="B84" s="188"/>
      <c r="E84" s="426"/>
      <c r="F84" s="423"/>
      <c r="H84" s="426"/>
      <c r="I84" s="423"/>
      <c r="J84" s="424"/>
      <c r="K84" s="426"/>
      <c r="L84" s="427"/>
      <c r="M84" s="427"/>
      <c r="N84" s="426"/>
      <c r="O84" s="426"/>
      <c r="P84" s="426"/>
      <c r="Q84" s="428"/>
    </row>
    <row r="85" spans="1:21">
      <c r="B85" s="188"/>
      <c r="E85" s="426"/>
      <c r="F85" s="423"/>
      <c r="H85" s="426"/>
      <c r="I85" s="423"/>
      <c r="J85" s="424"/>
      <c r="K85" s="426"/>
      <c r="L85" s="427"/>
      <c r="M85" s="427"/>
      <c r="N85" s="426"/>
      <c r="O85" s="426"/>
      <c r="P85" s="426"/>
      <c r="Q85" s="428"/>
    </row>
    <row r="86" spans="1:21">
      <c r="B86" s="188"/>
      <c r="E86" s="426"/>
      <c r="F86" s="423"/>
      <c r="H86" s="426"/>
      <c r="I86" s="423"/>
      <c r="J86" s="424"/>
      <c r="K86" s="426"/>
      <c r="L86" s="427"/>
      <c r="M86" s="427"/>
      <c r="N86" s="426"/>
      <c r="O86" s="426"/>
      <c r="P86" s="426"/>
      <c r="Q86" s="428"/>
    </row>
    <row r="87" spans="1:21">
      <c r="B87" s="188"/>
      <c r="E87" s="426"/>
      <c r="J87" s="407">
        <v>2010</v>
      </c>
      <c r="O87" s="93"/>
      <c r="P87" s="93"/>
      <c r="Q87" s="93"/>
    </row>
    <row r="88" spans="1:21">
      <c r="E88" s="426"/>
      <c r="J88" s="407">
        <v>2011</v>
      </c>
    </row>
    <row r="89" spans="1:21">
      <c r="E89" s="426"/>
      <c r="J89" s="407">
        <v>2012</v>
      </c>
    </row>
    <row r="90" spans="1:21">
      <c r="E90" s="426"/>
      <c r="J90" s="407">
        <v>2013</v>
      </c>
    </row>
    <row r="91" spans="1:21">
      <c r="E91" s="426"/>
      <c r="J91" s="407">
        <v>2014</v>
      </c>
    </row>
    <row r="92" spans="1:21">
      <c r="E92" s="426"/>
    </row>
    <row r="93" spans="1:21">
      <c r="E93" s="426"/>
    </row>
    <row r="94" spans="1:21">
      <c r="E94" s="426"/>
    </row>
    <row r="95" spans="1:21">
      <c r="E95" s="426"/>
    </row>
    <row r="96" spans="1:21">
      <c r="E96" s="426"/>
    </row>
    <row r="97" spans="5:6">
      <c r="E97" s="426"/>
    </row>
    <row r="98" spans="5:6">
      <c r="E98" s="426"/>
      <c r="F98" s="427"/>
    </row>
    <row r="99" spans="5:6">
      <c r="E99" s="426"/>
    </row>
    <row r="100" spans="5:6">
      <c r="E100" s="426"/>
    </row>
  </sheetData>
  <sheetProtection formatCells="0"/>
  <sortState ref="A9:N84">
    <sortCondition ref="A9:A84"/>
  </sortState>
  <mergeCells count="8">
    <mergeCell ref="F7:H7"/>
    <mergeCell ref="I7:K7"/>
    <mergeCell ref="A1:Q1"/>
    <mergeCell ref="A2:Q2"/>
    <mergeCell ref="A3:Q3"/>
    <mergeCell ref="A4:Q4"/>
    <mergeCell ref="A5:Q5"/>
    <mergeCell ref="L7:N7"/>
  </mergeCells>
  <phoneticPr fontId="0" type="noConversion"/>
  <printOptions horizontalCentered="1"/>
  <pageMargins left="0.75" right="0.75" top="1" bottom="1" header="0.5" footer="0.5"/>
  <pageSetup scale="40" orientation="landscape" r:id="rId1"/>
  <headerFooter alignWithMargins="0">
    <oddHeader>&amp;CIDAHO POWER COMPANY
Transmission Cost of Service Rate Development
12 Months Ended 12/31/2014</oddHeader>
  </headerFooter>
  <ignoredErrors>
    <ignoredError sqref="E83 H83 K83 N83:Q83 E69 E80:E81 E9:E10 G79:H81 J79:K81 N79:Q81 E54:E55 E61:E65 N72:Q72 J72:K72 G72:H72 G69:H70 J69:K70 N69:Q70 C63 J9:K65 G9:H65 N9:Q65" unlockedFormula="1"/>
  </ignoredErrors>
</worksheet>
</file>

<file path=xl/worksheets/sheet39.xml><?xml version="1.0" encoding="utf-8"?>
<worksheet xmlns="http://schemas.openxmlformats.org/spreadsheetml/2006/main" xmlns:r="http://schemas.openxmlformats.org/officeDocument/2006/relationships">
  <sheetPr codeName="Sheet40">
    <pageSetUpPr fitToPage="1"/>
  </sheetPr>
  <dimension ref="A2:S19"/>
  <sheetViews>
    <sheetView zoomScaleNormal="100" zoomScaleSheetLayoutView="100" zoomScalePageLayoutView="75" workbookViewId="0"/>
  </sheetViews>
  <sheetFormatPr defaultColWidth="11.5703125" defaultRowHeight="12.75"/>
  <cols>
    <col min="1" max="1" width="30.140625" style="115" customWidth="1"/>
    <col min="2" max="2" width="10.28515625" style="117" customWidth="1"/>
    <col min="3" max="3" width="8.7109375" style="118" customWidth="1"/>
    <col min="4" max="4" width="13.28515625" style="115" customWidth="1"/>
    <col min="5" max="5" width="15.42578125" style="115" customWidth="1"/>
    <col min="6" max="6" width="13.28515625" style="115" customWidth="1"/>
    <col min="7" max="8" width="16.140625" style="115" customWidth="1"/>
    <col min="9" max="9" width="13.28515625" style="115" customWidth="1"/>
    <col min="10" max="14" width="17.28515625" style="115" customWidth="1"/>
    <col min="15" max="15" width="13.28515625" style="115" customWidth="1"/>
    <col min="16" max="16" width="13.28515625" style="116" customWidth="1"/>
    <col min="17" max="17" width="7.5703125" style="115" customWidth="1"/>
    <col min="18" max="20" width="9.140625" style="115" customWidth="1"/>
    <col min="21" max="43" width="28.28515625" style="115" customWidth="1"/>
    <col min="44" max="258" width="9.140625" style="115" customWidth="1"/>
    <col min="259" max="16384" width="11.5703125" style="115"/>
  </cols>
  <sheetData>
    <row r="2" spans="1:19">
      <c r="A2" s="677" t="s">
        <v>8</v>
      </c>
      <c r="B2" s="677"/>
      <c r="C2" s="677"/>
      <c r="D2" s="677"/>
      <c r="E2" s="677"/>
      <c r="F2" s="677"/>
      <c r="G2" s="677"/>
      <c r="H2" s="677"/>
      <c r="I2" s="677"/>
      <c r="J2" s="677"/>
      <c r="K2" s="677"/>
      <c r="L2" s="677"/>
      <c r="M2" s="677"/>
      <c r="N2" s="677"/>
      <c r="O2" s="677"/>
      <c r="P2" s="677"/>
    </row>
    <row r="3" spans="1:19">
      <c r="A3" s="655" t="s">
        <v>586</v>
      </c>
      <c r="B3" s="655"/>
      <c r="C3" s="655"/>
      <c r="D3" s="655"/>
      <c r="E3" s="655"/>
      <c r="F3" s="655"/>
      <c r="G3" s="655"/>
      <c r="H3" s="655"/>
      <c r="I3" s="655"/>
      <c r="J3" s="655"/>
      <c r="K3" s="655"/>
      <c r="L3" s="655"/>
      <c r="M3" s="655"/>
      <c r="N3" s="655"/>
      <c r="O3" s="655"/>
      <c r="P3" s="655"/>
    </row>
    <row r="4" spans="1:19">
      <c r="A4" s="655" t="s">
        <v>587</v>
      </c>
      <c r="B4" s="655"/>
      <c r="C4" s="655"/>
      <c r="D4" s="655"/>
      <c r="E4" s="655"/>
      <c r="F4" s="655"/>
      <c r="G4" s="655"/>
      <c r="H4" s="655"/>
      <c r="I4" s="655"/>
      <c r="J4" s="655"/>
      <c r="K4" s="655"/>
      <c r="L4" s="655"/>
      <c r="M4" s="655"/>
      <c r="N4" s="655"/>
      <c r="O4" s="655"/>
      <c r="P4" s="655"/>
    </row>
    <row r="5" spans="1:19">
      <c r="A5" s="655" t="s">
        <v>209</v>
      </c>
      <c r="B5" s="655"/>
      <c r="C5" s="655"/>
      <c r="D5" s="655"/>
      <c r="E5" s="655"/>
      <c r="F5" s="655"/>
      <c r="G5" s="655"/>
      <c r="H5" s="655"/>
      <c r="I5" s="655"/>
      <c r="J5" s="655"/>
      <c r="K5" s="655"/>
      <c r="L5" s="655"/>
      <c r="M5" s="655"/>
      <c r="N5" s="655"/>
      <c r="O5" s="655"/>
      <c r="P5" s="655"/>
    </row>
    <row r="6" spans="1:19" s="198" customFormat="1">
      <c r="A6" s="677" t="str">
        <f>'Schedule 1 Workpaper'!A3:F3</f>
        <v>12 Months Ended 12/31/2014</v>
      </c>
      <c r="B6" s="677"/>
      <c r="C6" s="677"/>
      <c r="D6" s="677"/>
      <c r="E6" s="677"/>
      <c r="F6" s="677"/>
      <c r="G6" s="677"/>
      <c r="H6" s="677"/>
      <c r="I6" s="677"/>
      <c r="J6" s="677"/>
      <c r="K6" s="677"/>
      <c r="L6" s="677"/>
      <c r="M6" s="677"/>
      <c r="N6" s="677"/>
      <c r="O6" s="677"/>
      <c r="P6" s="677"/>
      <c r="Q6" s="115"/>
    </row>
    <row r="7" spans="1:19">
      <c r="A7" s="133"/>
      <c r="B7" s="577"/>
      <c r="C7" s="577"/>
      <c r="D7" s="577"/>
      <c r="E7" s="577"/>
      <c r="F7" s="577"/>
      <c r="G7" s="577"/>
      <c r="H7" s="577"/>
      <c r="I7" s="577"/>
      <c r="J7" s="577"/>
      <c r="K7" s="577"/>
      <c r="L7" s="577"/>
      <c r="M7" s="577"/>
      <c r="N7" s="577"/>
      <c r="O7" s="577"/>
    </row>
    <row r="8" spans="1:19">
      <c r="E8" s="674" t="s">
        <v>1051</v>
      </c>
      <c r="F8" s="675"/>
      <c r="G8" s="676"/>
      <c r="H8" s="674" t="s">
        <v>1052</v>
      </c>
      <c r="I8" s="675"/>
      <c r="J8" s="676"/>
      <c r="K8" s="674" t="s">
        <v>1053</v>
      </c>
      <c r="L8" s="675"/>
      <c r="M8" s="676"/>
      <c r="N8" s="137"/>
    </row>
    <row r="9" spans="1:19" ht="39" thickBot="1">
      <c r="A9" s="119" t="s">
        <v>40</v>
      </c>
      <c r="B9" s="119" t="s">
        <v>41</v>
      </c>
      <c r="C9" s="119" t="s">
        <v>160</v>
      </c>
      <c r="D9" s="119" t="s">
        <v>9</v>
      </c>
      <c r="E9" s="119" t="s">
        <v>831</v>
      </c>
      <c r="F9" s="119" t="s">
        <v>161</v>
      </c>
      <c r="G9" s="138" t="s">
        <v>162</v>
      </c>
      <c r="H9" s="119" t="s">
        <v>831</v>
      </c>
      <c r="I9" s="150" t="s">
        <v>161</v>
      </c>
      <c r="J9" s="138" t="s">
        <v>162</v>
      </c>
      <c r="K9" s="119" t="s">
        <v>831</v>
      </c>
      <c r="L9" s="150" t="s">
        <v>161</v>
      </c>
      <c r="M9" s="138" t="s">
        <v>162</v>
      </c>
      <c r="N9" s="138" t="s">
        <v>832</v>
      </c>
      <c r="O9" s="138" t="s">
        <v>833</v>
      </c>
      <c r="P9" s="138" t="s">
        <v>834</v>
      </c>
    </row>
    <row r="10" spans="1:19">
      <c r="A10" s="44" t="s">
        <v>588</v>
      </c>
      <c r="B10" s="45">
        <v>352</v>
      </c>
      <c r="C10" s="46">
        <v>2005</v>
      </c>
      <c r="D10" s="39">
        <v>59325</v>
      </c>
      <c r="E10" s="120">
        <v>1.29E-2</v>
      </c>
      <c r="F10" s="139">
        <f t="shared" ref="F10:F15" si="0">(2008-C10)+0.58</f>
        <v>3.58</v>
      </c>
      <c r="G10" s="39">
        <f t="shared" ref="G10:G15" si="1">ROUND(D10*F10*E10,2)</f>
        <v>2739.75</v>
      </c>
      <c r="H10" s="120">
        <v>1.6799999999999999E-2</v>
      </c>
      <c r="I10" s="151">
        <f t="shared" ref="I10:I15" si="2">IF(C10&gt;2008.9, 0.42, 1.42)+2+0.42</f>
        <v>3.84</v>
      </c>
      <c r="J10" s="39">
        <f t="shared" ref="J10:J17" si="3">ROUND(D10*I10*H10,2)</f>
        <v>3827.17</v>
      </c>
      <c r="K10" s="394">
        <v>1.84E-2</v>
      </c>
      <c r="L10" s="587">
        <f>(2014+1-C10)-I10-F10</f>
        <v>2.58</v>
      </c>
      <c r="M10" s="39">
        <f>ROUND(D10*L10*K10,2)</f>
        <v>2816.28</v>
      </c>
      <c r="N10" s="39">
        <f>SUM(G10,J10,M10)</f>
        <v>9383.2000000000007</v>
      </c>
      <c r="O10" s="39">
        <f t="shared" ref="O10:O15" si="4">D10-N10</f>
        <v>49941.8</v>
      </c>
      <c r="P10" s="39">
        <f>ROUND((D10 * K10),2)</f>
        <v>1091.58</v>
      </c>
      <c r="R10" s="554">
        <f>2014+1-C10</f>
        <v>10</v>
      </c>
      <c r="S10" s="555">
        <f>F10+I10+L10</f>
        <v>10</v>
      </c>
    </row>
    <row r="11" spans="1:19">
      <c r="A11" s="44" t="s">
        <v>588</v>
      </c>
      <c r="B11" s="45">
        <v>353</v>
      </c>
      <c r="C11" s="46">
        <v>2005</v>
      </c>
      <c r="D11" s="39">
        <v>49372</v>
      </c>
      <c r="E11" s="120">
        <v>2.12E-2</v>
      </c>
      <c r="F11" s="139">
        <f t="shared" si="0"/>
        <v>3.58</v>
      </c>
      <c r="G11" s="39">
        <f t="shared" si="1"/>
        <v>3747.14</v>
      </c>
      <c r="H11" s="120">
        <v>2.06E-2</v>
      </c>
      <c r="I11" s="151">
        <f t="shared" si="2"/>
        <v>3.84</v>
      </c>
      <c r="J11" s="39">
        <f t="shared" si="3"/>
        <v>3905.52</v>
      </c>
      <c r="K11" s="394">
        <v>1.9E-2</v>
      </c>
      <c r="L11" s="587">
        <f t="shared" ref="L11:L17" si="5">(2014+1-C11)-I11-F11</f>
        <v>2.58</v>
      </c>
      <c r="M11" s="39">
        <f>ROUND(D11*L11*K11,2)</f>
        <v>2420.2199999999998</v>
      </c>
      <c r="N11" s="39">
        <f t="shared" ref="N11:N15" si="6">SUM(G11,J11,M11)</f>
        <v>10072.879999999999</v>
      </c>
      <c r="O11" s="39">
        <f t="shared" si="4"/>
        <v>39299.120000000003</v>
      </c>
      <c r="P11" s="39">
        <f t="shared" ref="P11:P15" si="7">ROUND((D11 * K11),2)</f>
        <v>938.07</v>
      </c>
      <c r="R11" s="554">
        <f t="shared" ref="R11:R17" si="8">2014+1-C11</f>
        <v>10</v>
      </c>
      <c r="S11" s="555">
        <f t="shared" ref="S11:S17" si="9">F11+I11+L11</f>
        <v>10</v>
      </c>
    </row>
    <row r="12" spans="1:19">
      <c r="A12" s="44" t="s">
        <v>169</v>
      </c>
      <c r="B12" s="45">
        <v>352</v>
      </c>
      <c r="C12" s="46">
        <v>2001</v>
      </c>
      <c r="D12" s="39">
        <v>89955.44</v>
      </c>
      <c r="E12" s="120">
        <v>1.29E-2</v>
      </c>
      <c r="F12" s="139">
        <f t="shared" si="0"/>
        <v>7.58</v>
      </c>
      <c r="G12" s="39">
        <f t="shared" si="1"/>
        <v>8796.02</v>
      </c>
      <c r="H12" s="120">
        <v>1.6799999999999999E-2</v>
      </c>
      <c r="I12" s="151">
        <f t="shared" si="2"/>
        <v>3.84</v>
      </c>
      <c r="J12" s="39">
        <f t="shared" si="3"/>
        <v>5803.21</v>
      </c>
      <c r="K12" s="394">
        <v>1.84E-2</v>
      </c>
      <c r="L12" s="587">
        <f t="shared" si="5"/>
        <v>2.58</v>
      </c>
      <c r="M12" s="39">
        <f t="shared" ref="M12:M17" si="10">ROUND(D12*L12*K12,2)</f>
        <v>4270.3599999999997</v>
      </c>
      <c r="N12" s="39">
        <f t="shared" si="6"/>
        <v>18869.59</v>
      </c>
      <c r="O12" s="39">
        <f t="shared" si="4"/>
        <v>71085.850000000006</v>
      </c>
      <c r="P12" s="39">
        <f t="shared" si="7"/>
        <v>1655.18</v>
      </c>
      <c r="R12" s="554">
        <f t="shared" si="8"/>
        <v>14</v>
      </c>
      <c r="S12" s="555">
        <f t="shared" si="9"/>
        <v>14</v>
      </c>
    </row>
    <row r="13" spans="1:19">
      <c r="A13" s="44" t="s">
        <v>169</v>
      </c>
      <c r="B13" s="45">
        <v>353</v>
      </c>
      <c r="C13" s="46">
        <v>2001</v>
      </c>
      <c r="D13" s="39">
        <v>433103.7</v>
      </c>
      <c r="E13" s="120">
        <v>2.12E-2</v>
      </c>
      <c r="F13" s="139">
        <f t="shared" si="0"/>
        <v>7.58</v>
      </c>
      <c r="G13" s="39">
        <f t="shared" si="1"/>
        <v>69598.03</v>
      </c>
      <c r="H13" s="120">
        <v>2.06E-2</v>
      </c>
      <c r="I13" s="151">
        <f t="shared" si="2"/>
        <v>3.84</v>
      </c>
      <c r="J13" s="39">
        <f t="shared" si="3"/>
        <v>34260.239999999998</v>
      </c>
      <c r="K13" s="120">
        <v>1.9E-2</v>
      </c>
      <c r="L13" s="587">
        <f t="shared" si="5"/>
        <v>2.58</v>
      </c>
      <c r="M13" s="39">
        <f t="shared" si="10"/>
        <v>21230.74</v>
      </c>
      <c r="N13" s="39">
        <f t="shared" si="6"/>
        <v>125089.01</v>
      </c>
      <c r="O13" s="39">
        <f t="shared" si="4"/>
        <v>308014.69</v>
      </c>
      <c r="P13" s="39">
        <f t="shared" si="7"/>
        <v>8228.9699999999993</v>
      </c>
      <c r="R13" s="554">
        <f t="shared" si="8"/>
        <v>14</v>
      </c>
      <c r="S13" s="555">
        <f t="shared" si="9"/>
        <v>14</v>
      </c>
    </row>
    <row r="14" spans="1:19">
      <c r="A14" s="44" t="s">
        <v>169</v>
      </c>
      <c r="B14" s="45">
        <v>352</v>
      </c>
      <c r="C14" s="564">
        <v>2008</v>
      </c>
      <c r="D14" s="39">
        <v>63308</v>
      </c>
      <c r="E14" s="120">
        <v>1.29E-2</v>
      </c>
      <c r="F14" s="139">
        <f t="shared" si="0"/>
        <v>0.57999999999999996</v>
      </c>
      <c r="G14" s="39">
        <f t="shared" si="1"/>
        <v>473.67</v>
      </c>
      <c r="H14" s="120">
        <v>1.6799999999999999E-2</v>
      </c>
      <c r="I14" s="151">
        <f t="shared" si="2"/>
        <v>3.84</v>
      </c>
      <c r="J14" s="39">
        <f t="shared" si="3"/>
        <v>4084.13</v>
      </c>
      <c r="K14" s="394">
        <v>1.84E-2</v>
      </c>
      <c r="L14" s="587">
        <f t="shared" si="5"/>
        <v>2.58</v>
      </c>
      <c r="M14" s="39">
        <f t="shared" si="10"/>
        <v>3005.36</v>
      </c>
      <c r="N14" s="39">
        <f t="shared" si="6"/>
        <v>7563.16</v>
      </c>
      <c r="O14" s="39">
        <f t="shared" si="4"/>
        <v>55744.84</v>
      </c>
      <c r="P14" s="39">
        <f t="shared" si="7"/>
        <v>1164.8699999999999</v>
      </c>
      <c r="R14" s="554">
        <f t="shared" si="8"/>
        <v>7</v>
      </c>
      <c r="S14" s="555">
        <f t="shared" si="9"/>
        <v>7</v>
      </c>
    </row>
    <row r="15" spans="1:19">
      <c r="A15" s="44" t="s">
        <v>169</v>
      </c>
      <c r="B15" s="45">
        <v>353</v>
      </c>
      <c r="C15" s="564">
        <v>2008</v>
      </c>
      <c r="D15" s="23">
        <v>126618</v>
      </c>
      <c r="E15" s="120">
        <v>2.12E-2</v>
      </c>
      <c r="F15" s="139">
        <f t="shared" si="0"/>
        <v>0.57999999999999996</v>
      </c>
      <c r="G15" s="39">
        <f t="shared" si="1"/>
        <v>1556.89</v>
      </c>
      <c r="H15" s="120">
        <v>2.06E-2</v>
      </c>
      <c r="I15" s="151">
        <f t="shared" si="2"/>
        <v>3.84</v>
      </c>
      <c r="J15" s="39">
        <f t="shared" si="3"/>
        <v>10015.99</v>
      </c>
      <c r="K15" s="394">
        <v>1.9E-2</v>
      </c>
      <c r="L15" s="587">
        <f t="shared" si="5"/>
        <v>2.58</v>
      </c>
      <c r="M15" s="39">
        <f t="shared" si="10"/>
        <v>6206.81</v>
      </c>
      <c r="N15" s="39">
        <f t="shared" si="6"/>
        <v>17779.689999999999</v>
      </c>
      <c r="O15" s="39">
        <f t="shared" si="4"/>
        <v>108838.31</v>
      </c>
      <c r="P15" s="39">
        <f t="shared" si="7"/>
        <v>2405.7399999999998</v>
      </c>
      <c r="R15" s="554">
        <f t="shared" si="8"/>
        <v>7</v>
      </c>
      <c r="S15" s="555">
        <f t="shared" si="9"/>
        <v>7</v>
      </c>
    </row>
    <row r="16" spans="1:19" ht="15">
      <c r="A16" s="44" t="s">
        <v>1056</v>
      </c>
      <c r="B16" s="45">
        <v>352</v>
      </c>
      <c r="C16" s="564">
        <v>2012</v>
      </c>
      <c r="D16" s="23">
        <v>150491.68</v>
      </c>
      <c r="E16" s="120"/>
      <c r="F16" s="139">
        <v>0</v>
      </c>
      <c r="G16" s="140"/>
      <c r="H16" s="120">
        <v>1.6799999999999999E-2</v>
      </c>
      <c r="I16" s="151">
        <f>0.42</f>
        <v>0.42</v>
      </c>
      <c r="J16" s="39">
        <f t="shared" si="3"/>
        <v>1061.8699999999999</v>
      </c>
      <c r="K16" s="394">
        <v>1.84E-2</v>
      </c>
      <c r="L16" s="587">
        <f t="shared" si="5"/>
        <v>2.58</v>
      </c>
      <c r="M16" s="39">
        <f t="shared" si="10"/>
        <v>7144.14</v>
      </c>
      <c r="N16" s="39">
        <f t="shared" ref="N16:N17" si="11">SUM(G16,J16,M16)</f>
        <v>8206.01</v>
      </c>
      <c r="O16" s="39">
        <f t="shared" ref="O16:O17" si="12">D16-N16</f>
        <v>142285.66999999998</v>
      </c>
      <c r="P16" s="39">
        <f t="shared" ref="P16:P17" si="13">ROUND((D16 * K16),2)</f>
        <v>2769.05</v>
      </c>
      <c r="R16" s="554">
        <f t="shared" si="8"/>
        <v>3</v>
      </c>
      <c r="S16" s="555">
        <f t="shared" si="9"/>
        <v>3</v>
      </c>
    </row>
    <row r="17" spans="1:19" ht="15">
      <c r="A17" s="44" t="s">
        <v>1056</v>
      </c>
      <c r="B17" s="45">
        <v>353</v>
      </c>
      <c r="C17" s="564">
        <v>2012</v>
      </c>
      <c r="D17" s="200">
        <v>68973.52</v>
      </c>
      <c r="E17" s="120"/>
      <c r="F17" s="139">
        <v>0</v>
      </c>
      <c r="G17" s="406"/>
      <c r="H17" s="120">
        <v>2.06E-2</v>
      </c>
      <c r="I17" s="151">
        <f>0.42</f>
        <v>0.42</v>
      </c>
      <c r="J17" s="200">
        <f t="shared" si="3"/>
        <v>596.76</v>
      </c>
      <c r="K17" s="394">
        <v>1.9E-2</v>
      </c>
      <c r="L17" s="587">
        <f t="shared" si="5"/>
        <v>2.58</v>
      </c>
      <c r="M17" s="200">
        <f t="shared" si="10"/>
        <v>3381.08</v>
      </c>
      <c r="N17" s="200">
        <f t="shared" si="11"/>
        <v>3977.84</v>
      </c>
      <c r="O17" s="200">
        <f t="shared" si="12"/>
        <v>64995.680000000008</v>
      </c>
      <c r="P17" s="200">
        <f t="shared" si="13"/>
        <v>1310.5</v>
      </c>
      <c r="R17" s="554">
        <f t="shared" si="8"/>
        <v>3</v>
      </c>
      <c r="S17" s="555">
        <f t="shared" si="9"/>
        <v>3</v>
      </c>
    </row>
    <row r="18" spans="1:19">
      <c r="D18" s="39"/>
      <c r="E18" s="120"/>
      <c r="F18" s="122"/>
      <c r="G18" s="39"/>
      <c r="H18" s="120"/>
      <c r="I18" s="121"/>
      <c r="J18" s="39"/>
      <c r="K18" s="39"/>
      <c r="L18" s="39"/>
      <c r="M18" s="39"/>
      <c r="N18" s="39"/>
      <c r="O18" s="39"/>
      <c r="P18" s="39"/>
    </row>
    <row r="19" spans="1:19">
      <c r="A19" s="115" t="s">
        <v>552</v>
      </c>
      <c r="D19" s="39">
        <f>SUM(D10:D18)</f>
        <v>1041147.3400000001</v>
      </c>
      <c r="E19" s="123"/>
      <c r="G19" s="39">
        <f>SUM(G10:G18)</f>
        <v>86911.5</v>
      </c>
      <c r="H19" s="123"/>
      <c r="I19" s="123"/>
      <c r="J19" s="39">
        <f>SUM(J10:J18)</f>
        <v>63554.89</v>
      </c>
      <c r="K19" s="39"/>
      <c r="L19" s="39"/>
      <c r="M19" s="39">
        <f>SUM(M10:M18)</f>
        <v>50474.99</v>
      </c>
      <c r="N19" s="39">
        <f>SUM(N10:N18)</f>
        <v>200941.38</v>
      </c>
      <c r="O19" s="39">
        <f>SUM(O10:O18)</f>
        <v>840205.96000000008</v>
      </c>
      <c r="P19" s="39">
        <f>SUM(P10:P18)</f>
        <v>19563.96</v>
      </c>
    </row>
  </sheetData>
  <mergeCells count="8">
    <mergeCell ref="E8:G8"/>
    <mergeCell ref="H8:J8"/>
    <mergeCell ref="A2:P2"/>
    <mergeCell ref="A3:P3"/>
    <mergeCell ref="A4:P4"/>
    <mergeCell ref="A5:P5"/>
    <mergeCell ref="A6:P6"/>
    <mergeCell ref="K8:M8"/>
  </mergeCells>
  <phoneticPr fontId="0" type="noConversion"/>
  <printOptions horizontalCentered="1"/>
  <pageMargins left="0.75" right="0.75" top="1" bottom="1" header="0.5" footer="0.5"/>
  <pageSetup scale="49" orientation="landscape" r:id="rId1"/>
  <headerFooter alignWithMargins="0">
    <oddHeader>&amp;CIDAHO POWER COMPANY
Transmission Cost of Service Rate Development
12 Months Ended 12/31/2014</oddHeader>
  </headerFooter>
</worksheet>
</file>

<file path=xl/worksheets/sheet4.xml><?xml version="1.0" encoding="utf-8"?>
<worksheet xmlns="http://schemas.openxmlformats.org/spreadsheetml/2006/main" xmlns:r="http://schemas.openxmlformats.org/officeDocument/2006/relationships">
  <sheetPr codeName="Sheet4"/>
  <dimension ref="A2:H26"/>
  <sheetViews>
    <sheetView zoomScaleNormal="100" zoomScaleSheetLayoutView="100" workbookViewId="0"/>
  </sheetViews>
  <sheetFormatPr defaultRowHeight="12.75"/>
  <cols>
    <col min="1" max="1" width="32.42578125" style="198" customWidth="1"/>
    <col min="2" max="2" width="1.28515625" style="198" customWidth="1"/>
    <col min="3" max="3" width="15.42578125" style="564" bestFit="1" customWidth="1"/>
    <col min="4" max="4" width="1.7109375" style="198" customWidth="1"/>
    <col min="5" max="5" width="19.5703125" style="564" customWidth="1"/>
    <col min="6" max="6" width="1.140625" style="198" customWidth="1"/>
    <col min="7" max="7" width="10.85546875" style="198" bestFit="1" customWidth="1"/>
    <col min="8" max="8" width="9.42578125" style="564" bestFit="1" customWidth="1"/>
    <col min="9" max="16384" width="9.140625" style="198"/>
  </cols>
  <sheetData>
    <row r="2" spans="1:8">
      <c r="A2" s="637"/>
      <c r="B2" s="637"/>
      <c r="C2" s="637"/>
      <c r="D2" s="637"/>
      <c r="E2" s="637"/>
      <c r="F2" s="637"/>
      <c r="G2" s="637"/>
      <c r="H2" s="637"/>
    </row>
    <row r="3" spans="1:8">
      <c r="A3" s="636" t="s">
        <v>731</v>
      </c>
      <c r="B3" s="636"/>
      <c r="C3" s="636"/>
      <c r="D3" s="636"/>
      <c r="E3" s="636"/>
      <c r="F3" s="636"/>
      <c r="G3" s="636"/>
      <c r="H3" s="636"/>
    </row>
    <row r="4" spans="1:8">
      <c r="A4" s="637"/>
      <c r="B4" s="637"/>
      <c r="C4" s="637"/>
      <c r="D4" s="637"/>
      <c r="E4" s="637"/>
      <c r="F4" s="637"/>
      <c r="G4" s="637"/>
      <c r="H4" s="637"/>
    </row>
    <row r="5" spans="1:8">
      <c r="A5" s="636"/>
      <c r="B5" s="636"/>
      <c r="C5" s="636"/>
      <c r="D5" s="636"/>
      <c r="E5" s="636"/>
      <c r="F5" s="636"/>
      <c r="G5" s="636"/>
      <c r="H5" s="636"/>
    </row>
    <row r="10" spans="1:8">
      <c r="H10" s="564" t="s">
        <v>732</v>
      </c>
    </row>
    <row r="11" spans="1:8" s="564" customFormat="1">
      <c r="C11" s="564" t="s">
        <v>534</v>
      </c>
      <c r="E11" s="564" t="s">
        <v>149</v>
      </c>
      <c r="G11" s="564" t="s">
        <v>733</v>
      </c>
      <c r="H11" s="564" t="s">
        <v>734</v>
      </c>
    </row>
    <row r="12" spans="1:8" s="564" customFormat="1">
      <c r="A12" s="52" t="s">
        <v>735</v>
      </c>
      <c r="C12" s="52" t="s">
        <v>736</v>
      </c>
      <c r="E12" s="52" t="s">
        <v>737</v>
      </c>
      <c r="G12" s="52" t="s">
        <v>746</v>
      </c>
      <c r="H12" s="52" t="s">
        <v>738</v>
      </c>
    </row>
    <row r="15" spans="1:8" s="56" customFormat="1">
      <c r="A15" s="566">
        <f>'Rate Calculation'!E47</f>
        <v>141879873.00341979</v>
      </c>
      <c r="B15" s="566"/>
      <c r="C15" s="566">
        <f>'Schedule 4'!E23</f>
        <v>20565135.094634119</v>
      </c>
      <c r="D15" s="566"/>
      <c r="E15" s="566">
        <f>A15-C15</f>
        <v>121314737.90878567</v>
      </c>
      <c r="F15" s="64"/>
      <c r="G15" s="55">
        <f>'Rate Calculation'!E53</f>
        <v>5177.0833333333339</v>
      </c>
      <c r="H15" s="56">
        <f>ROUND(E15/G15/1000,2)</f>
        <v>23.43</v>
      </c>
    </row>
    <row r="18" spans="3:8" ht="12" customHeight="1"/>
    <row r="21" spans="3:8">
      <c r="C21" s="199" t="s">
        <v>309</v>
      </c>
      <c r="G21" s="57"/>
      <c r="H21" s="6">
        <f>ROUND(H15/12,4)</f>
        <v>1.9524999999999999</v>
      </c>
    </row>
    <row r="22" spans="3:8">
      <c r="C22" s="199" t="s">
        <v>310</v>
      </c>
      <c r="G22" s="564"/>
      <c r="H22" s="6">
        <f>ROUND(H15/52,4)</f>
        <v>0.4506</v>
      </c>
    </row>
    <row r="23" spans="3:8">
      <c r="C23" s="199" t="s">
        <v>311</v>
      </c>
      <c r="G23" s="564"/>
      <c r="H23" s="6">
        <f>ROUND(H22/6,4)</f>
        <v>7.51E-2</v>
      </c>
    </row>
    <row r="24" spans="3:8">
      <c r="C24" s="199" t="s">
        <v>312</v>
      </c>
      <c r="G24" s="57"/>
      <c r="H24" s="6">
        <f>ROUND(H22/7,4)</f>
        <v>6.4399999999999999E-2</v>
      </c>
    </row>
    <row r="25" spans="3:8">
      <c r="C25" s="199" t="s">
        <v>313</v>
      </c>
      <c r="G25" s="564"/>
      <c r="H25" s="7">
        <f>ROUND(H15*1000/4896,2)</f>
        <v>4.79</v>
      </c>
    </row>
    <row r="26" spans="3:8">
      <c r="C26" s="199" t="s">
        <v>314</v>
      </c>
      <c r="G26" s="564"/>
      <c r="H26" s="7">
        <f>ROUND(H15*1000/8760,2)</f>
        <v>2.67</v>
      </c>
    </row>
  </sheetData>
  <mergeCells count="4">
    <mergeCell ref="A2:H2"/>
    <mergeCell ref="A3:H3"/>
    <mergeCell ref="A4:H4"/>
    <mergeCell ref="A5:H5"/>
  </mergeCells>
  <phoneticPr fontId="16" type="noConversion"/>
  <printOptions horizontalCentered="1"/>
  <pageMargins left="0.75" right="0.75" top="1" bottom="1" header="0.5" footer="0.5"/>
  <pageSetup scale="71" orientation="portrait" r:id="rId1"/>
  <headerFooter alignWithMargins="0">
    <oddHeader>&amp;CIDAHO POWER COMPANY
Transmission Cost of Service Rate Development
12 Months Ended 12/31/2014</oddHeader>
  </headerFooter>
</worksheet>
</file>

<file path=xl/worksheets/sheet5.xml><?xml version="1.0" encoding="utf-8"?>
<worksheet xmlns="http://schemas.openxmlformats.org/spreadsheetml/2006/main" xmlns:r="http://schemas.openxmlformats.org/officeDocument/2006/relationships">
  <sheetPr codeName="Sheet5"/>
  <dimension ref="A2:K44"/>
  <sheetViews>
    <sheetView zoomScaleNormal="100" zoomScaleSheetLayoutView="100" workbookViewId="0"/>
  </sheetViews>
  <sheetFormatPr defaultRowHeight="12.75"/>
  <cols>
    <col min="1" max="1" width="6.7109375" style="198" customWidth="1"/>
    <col min="2" max="2" width="2.140625" style="198" customWidth="1"/>
    <col min="3" max="3" width="10.42578125" style="198" bestFit="1" customWidth="1"/>
    <col min="4" max="4" width="11.28515625" style="198" customWidth="1"/>
    <col min="5" max="5" width="10.7109375" style="198" bestFit="1" customWidth="1"/>
    <col min="6" max="6" width="3.85546875" style="198" customWidth="1"/>
    <col min="7" max="7" width="13.28515625" style="198" bestFit="1" customWidth="1"/>
    <col min="8" max="8" width="2.140625" style="198" customWidth="1"/>
    <col min="9" max="9" width="26.85546875" style="564" bestFit="1" customWidth="1"/>
    <col min="10" max="10" width="2.140625" style="198" customWidth="1"/>
    <col min="11" max="11" width="22.7109375" style="564" customWidth="1"/>
    <col min="12" max="16384" width="9.140625" style="198"/>
  </cols>
  <sheetData>
    <row r="2" spans="1:11">
      <c r="A2" s="637"/>
      <c r="B2" s="637"/>
      <c r="C2" s="637"/>
      <c r="D2" s="637"/>
      <c r="E2" s="637"/>
      <c r="F2" s="637"/>
      <c r="G2" s="637"/>
      <c r="H2" s="637"/>
      <c r="I2" s="637"/>
      <c r="J2" s="637"/>
      <c r="K2" s="637"/>
    </row>
    <row r="3" spans="1:11">
      <c r="A3" s="636" t="s">
        <v>739</v>
      </c>
      <c r="B3" s="636"/>
      <c r="C3" s="636"/>
      <c r="D3" s="636"/>
      <c r="E3" s="636"/>
      <c r="F3" s="636"/>
      <c r="G3" s="636"/>
      <c r="H3" s="636"/>
      <c r="I3" s="636"/>
      <c r="J3" s="636"/>
      <c r="K3" s="636"/>
    </row>
    <row r="4" spans="1:11">
      <c r="A4" s="637"/>
      <c r="B4" s="637"/>
      <c r="C4" s="637"/>
      <c r="D4" s="637"/>
      <c r="E4" s="637"/>
      <c r="F4" s="637"/>
      <c r="G4" s="637"/>
      <c r="H4" s="637"/>
      <c r="I4" s="637"/>
      <c r="J4" s="637"/>
      <c r="K4" s="637"/>
    </row>
    <row r="5" spans="1:11">
      <c r="A5" s="564"/>
      <c r="B5" s="564"/>
      <c r="C5" s="564"/>
      <c r="D5" s="564"/>
      <c r="E5" s="564"/>
      <c r="F5" s="564"/>
      <c r="G5" s="564"/>
      <c r="H5" s="564"/>
      <c r="J5" s="564"/>
    </row>
    <row r="6" spans="1:11">
      <c r="I6" s="636"/>
      <c r="J6" s="636"/>
      <c r="K6" s="636"/>
    </row>
    <row r="10" spans="1:11">
      <c r="F10" s="51"/>
      <c r="G10" s="51" t="s">
        <v>151</v>
      </c>
      <c r="I10" s="566">
        <f>'Rate Calculation'!E47</f>
        <v>141879873.00341979</v>
      </c>
      <c r="J10" s="50"/>
      <c r="K10" s="50"/>
    </row>
    <row r="11" spans="1:11">
      <c r="A11" s="21"/>
      <c r="E11" s="54"/>
      <c r="F11" s="54"/>
      <c r="G11" s="54"/>
      <c r="I11" s="135"/>
      <c r="K11" s="135"/>
    </row>
    <row r="12" spans="1:11">
      <c r="G12" s="51" t="s">
        <v>152</v>
      </c>
      <c r="I12" s="567">
        <f>ABS('Rate Calculation'!E49)</f>
        <v>20565135.094634119</v>
      </c>
    </row>
    <row r="13" spans="1:11">
      <c r="G13" s="566"/>
    </row>
    <row r="14" spans="1:11">
      <c r="G14" s="142" t="s">
        <v>153</v>
      </c>
      <c r="I14" s="566">
        <f>'Rate Calculation'!E51</f>
        <v>121314737.90878567</v>
      </c>
    </row>
    <row r="15" spans="1:11">
      <c r="G15" s="566"/>
    </row>
    <row r="16" spans="1:11">
      <c r="G16" s="51" t="s">
        <v>344</v>
      </c>
      <c r="H16" s="51"/>
      <c r="I16" s="567">
        <f>C44</f>
        <v>10474443.870192308</v>
      </c>
    </row>
    <row r="17" spans="1:10">
      <c r="I17" s="566"/>
    </row>
    <row r="18" spans="1:10">
      <c r="B18" s="50"/>
      <c r="C18" s="50"/>
      <c r="D18" s="50"/>
      <c r="E18" s="50"/>
      <c r="F18" s="50"/>
      <c r="G18" s="51" t="s">
        <v>154</v>
      </c>
      <c r="H18" s="50"/>
      <c r="I18" s="566">
        <f>I14 + I16</f>
        <v>131789181.77897798</v>
      </c>
    </row>
    <row r="28" spans="1:10">
      <c r="I28" s="52" t="s">
        <v>345</v>
      </c>
    </row>
    <row r="29" spans="1:10">
      <c r="I29" s="135"/>
    </row>
    <row r="30" spans="1:10">
      <c r="A30" s="142" t="s">
        <v>583</v>
      </c>
      <c r="B30" s="53" t="s">
        <v>113</v>
      </c>
      <c r="C30" s="642" t="s">
        <v>150</v>
      </c>
      <c r="D30" s="642"/>
      <c r="E30" s="642"/>
      <c r="F30" s="642"/>
      <c r="G30" s="642"/>
      <c r="H30" s="53"/>
      <c r="I30" s="54" t="s">
        <v>346</v>
      </c>
      <c r="J30" s="107"/>
    </row>
    <row r="31" spans="1:10">
      <c r="C31" s="50" t="s">
        <v>347</v>
      </c>
      <c r="I31" s="50"/>
      <c r="J31" s="50"/>
    </row>
    <row r="34" spans="2:11">
      <c r="C34" s="641" t="s">
        <v>348</v>
      </c>
      <c r="D34" s="641"/>
      <c r="I34" s="135"/>
    </row>
    <row r="35" spans="2:11">
      <c r="C35" s="639" t="s">
        <v>349</v>
      </c>
      <c r="D35" s="639"/>
      <c r="E35" s="34">
        <f>'Schedule 5'!J67</f>
        <v>515</v>
      </c>
      <c r="I35" s="564" t="s">
        <v>350</v>
      </c>
    </row>
    <row r="36" spans="2:11">
      <c r="C36" s="639" t="s">
        <v>351</v>
      </c>
      <c r="D36" s="639"/>
      <c r="E36" s="34">
        <f>ROUND('Schedule 5'!E24,0)</f>
        <v>3011</v>
      </c>
      <c r="I36" s="564" t="s">
        <v>350</v>
      </c>
    </row>
    <row r="37" spans="2:11">
      <c r="C37" s="640" t="s">
        <v>352</v>
      </c>
      <c r="D37" s="640"/>
      <c r="E37" s="108">
        <f>ROUND('Rate Calculation'!E51/E36/1000, 2)</f>
        <v>40.29</v>
      </c>
      <c r="I37" s="71" t="s">
        <v>495</v>
      </c>
      <c r="J37" s="73"/>
    </row>
    <row r="38" spans="2:11">
      <c r="C38" s="639" t="s">
        <v>353</v>
      </c>
      <c r="D38" s="639"/>
      <c r="E38" s="59">
        <f>'Rate Calculation'!E55</f>
        <v>23.43</v>
      </c>
      <c r="I38" s="564" t="s">
        <v>961</v>
      </c>
    </row>
    <row r="41" spans="2:11">
      <c r="B41" s="40" t="s">
        <v>113</v>
      </c>
      <c r="C41" s="567" t="str">
        <f>E35&amp; " MW * "</f>
        <v xml:space="preserve">515 MW * </v>
      </c>
      <c r="D41" s="109" t="str">
        <f>E36&amp;" MW * ( "</f>
        <v xml:space="preserve">3011 MW * ( </v>
      </c>
      <c r="E41" s="110">
        <f>E37</f>
        <v>40.29</v>
      </c>
      <c r="F41" s="98" t="str">
        <f>" -  $ "</f>
        <v xml:space="preserve"> -  $ </v>
      </c>
      <c r="G41" s="111" t="str">
        <f>E38&amp; " ) * 1000 "</f>
        <v xml:space="preserve">23.43 ) * 1000 </v>
      </c>
      <c r="H41" s="40"/>
      <c r="I41" s="563"/>
      <c r="J41" s="4"/>
      <c r="K41" s="563"/>
    </row>
    <row r="42" spans="2:11">
      <c r="D42" s="112" t="str">
        <f>E36&amp; " MW - "</f>
        <v xml:space="preserve">3011 MW - </v>
      </c>
      <c r="E42" s="199" t="str">
        <f>E35&amp; " MW "</f>
        <v xml:space="preserve">515 MW </v>
      </c>
      <c r="I42" s="638"/>
      <c r="J42" s="638"/>
    </row>
    <row r="44" spans="2:11">
      <c r="B44" s="40" t="s">
        <v>113</v>
      </c>
      <c r="C44" s="566">
        <f>(E35*E36*((E37)-ROUND(E38,2))*1000)/(E36-E35)</f>
        <v>10474443.870192308</v>
      </c>
      <c r="D44" s="40"/>
      <c r="E44" s="40"/>
      <c r="F44" s="40"/>
      <c r="G44" s="40"/>
      <c r="H44" s="40"/>
    </row>
  </sheetData>
  <mergeCells count="11">
    <mergeCell ref="A2:K2"/>
    <mergeCell ref="A3:K3"/>
    <mergeCell ref="A4:K4"/>
    <mergeCell ref="C34:D34"/>
    <mergeCell ref="C30:G30"/>
    <mergeCell ref="I42:J42"/>
    <mergeCell ref="I6:K6"/>
    <mergeCell ref="C38:D38"/>
    <mergeCell ref="C35:D35"/>
    <mergeCell ref="C36:D36"/>
    <mergeCell ref="C37:D37"/>
  </mergeCells>
  <phoneticPr fontId="16" type="noConversion"/>
  <printOptions horizontalCentered="1"/>
  <pageMargins left="0.75" right="0.75" top="1" bottom="1" header="0.5" footer="0.5"/>
  <pageSetup scale="71" orientation="portrait" r:id="rId1"/>
  <headerFooter alignWithMargins="0">
    <oddHeader>&amp;CIDAHO POWER COMPANY
Transmission Cost of Service Rate Development
12 Months Ended 12/31/2014</oddHeader>
  </headerFooter>
</worksheet>
</file>

<file path=xl/worksheets/sheet6.xml><?xml version="1.0" encoding="utf-8"?>
<worksheet xmlns="http://schemas.openxmlformats.org/spreadsheetml/2006/main" xmlns:r="http://schemas.openxmlformats.org/officeDocument/2006/relationships">
  <sheetPr codeName="Sheet6"/>
  <dimension ref="A4:F16"/>
  <sheetViews>
    <sheetView zoomScaleNormal="100" zoomScaleSheetLayoutView="100" workbookViewId="0"/>
  </sheetViews>
  <sheetFormatPr defaultRowHeight="12.75"/>
  <cols>
    <col min="1" max="1" width="1.28515625" style="198" customWidth="1"/>
    <col min="2" max="2" width="24.5703125" style="566" bestFit="1" customWidth="1"/>
    <col min="3" max="3" width="1" style="198" customWidth="1"/>
    <col min="4" max="4" width="44.42578125" style="564" bestFit="1" customWidth="1"/>
    <col min="5" max="5" width="1" style="198" customWidth="1"/>
    <col min="6" max="6" width="20.28515625" style="564" bestFit="1" customWidth="1"/>
    <col min="7" max="16384" width="9.140625" style="198"/>
  </cols>
  <sheetData>
    <row r="4" spans="1:6">
      <c r="B4" s="637"/>
      <c r="C4" s="637"/>
      <c r="D4" s="637"/>
      <c r="E4" s="637"/>
      <c r="F4" s="637"/>
    </row>
    <row r="5" spans="1:6">
      <c r="B5" s="636" t="s">
        <v>752</v>
      </c>
      <c r="C5" s="636"/>
      <c r="D5" s="636"/>
      <c r="E5" s="636"/>
      <c r="F5" s="636"/>
    </row>
    <row r="6" spans="1:6">
      <c r="B6" s="637"/>
      <c r="C6" s="637"/>
      <c r="D6" s="637"/>
      <c r="E6" s="637"/>
      <c r="F6" s="637"/>
    </row>
    <row r="7" spans="1:6">
      <c r="B7" s="564"/>
      <c r="C7" s="564"/>
      <c r="E7" s="564"/>
    </row>
    <row r="8" spans="1:6">
      <c r="A8" s="636"/>
      <c r="B8" s="636"/>
      <c r="C8" s="636"/>
      <c r="D8" s="636"/>
      <c r="E8" s="636"/>
      <c r="F8" s="636"/>
    </row>
    <row r="11" spans="1:6">
      <c r="D11" s="564" t="s">
        <v>741</v>
      </c>
    </row>
    <row r="12" spans="1:6">
      <c r="B12" s="566" t="s">
        <v>742</v>
      </c>
      <c r="D12" s="564" t="s">
        <v>743</v>
      </c>
      <c r="F12" s="564" t="s">
        <v>744</v>
      </c>
    </row>
    <row r="13" spans="1:6">
      <c r="B13" s="567" t="s">
        <v>745</v>
      </c>
      <c r="D13" s="52" t="s">
        <v>747</v>
      </c>
      <c r="F13" s="52" t="s">
        <v>740</v>
      </c>
    </row>
    <row r="16" spans="1:6">
      <c r="B16" s="566">
        <f>'Schedule 4'!E13</f>
        <v>1310350.1946341177</v>
      </c>
      <c r="D16" s="566">
        <f>'Schedule 4'!E19</f>
        <v>19254784.900000002</v>
      </c>
      <c r="F16" s="566">
        <f>'Schedule 4'!E23</f>
        <v>20565135.094634119</v>
      </c>
    </row>
  </sheetData>
  <mergeCells count="4">
    <mergeCell ref="B4:F4"/>
    <mergeCell ref="B5:F5"/>
    <mergeCell ref="B6:F6"/>
    <mergeCell ref="A8:F8"/>
  </mergeCells>
  <phoneticPr fontId="16" type="noConversion"/>
  <printOptions horizontalCentered="1"/>
  <pageMargins left="0.75" right="0.75" top="1" bottom="1" header="0.5" footer="0.5"/>
  <pageSetup scale="71" orientation="portrait" r:id="rId1"/>
  <headerFooter alignWithMargins="0">
    <oddHeader>&amp;CIDAHO POWER COMPANY
Transmission Cost of Service Rate Development
12 Months Ended 12/31/2014</oddHeader>
  </headerFooter>
</worksheet>
</file>

<file path=xl/worksheets/sheet7.xml><?xml version="1.0" encoding="utf-8"?>
<worksheet xmlns="http://schemas.openxmlformats.org/spreadsheetml/2006/main" xmlns:r="http://schemas.openxmlformats.org/officeDocument/2006/relationships">
  <sheetPr codeName="Sheet7"/>
  <dimension ref="A1:E66"/>
  <sheetViews>
    <sheetView topLeftCell="A22" zoomScaleNormal="100" zoomScaleSheetLayoutView="80" workbookViewId="0">
      <selection activeCell="E61" sqref="E61"/>
    </sheetView>
  </sheetViews>
  <sheetFormatPr defaultRowHeight="12.75"/>
  <cols>
    <col min="1" max="1" width="5.140625" style="153" customWidth="1"/>
    <col min="2" max="2" width="2.7109375" style="153" customWidth="1"/>
    <col min="3" max="3" width="71.28515625" style="153" bestFit="1" customWidth="1"/>
    <col min="4" max="4" width="30.42578125" style="159" customWidth="1"/>
    <col min="5" max="5" width="17.7109375" style="168" customWidth="1"/>
    <col min="6" max="16384" width="9.140625" style="153"/>
  </cols>
  <sheetData>
    <row r="1" spans="1:5" ht="18">
      <c r="C1" s="644"/>
      <c r="D1" s="644"/>
      <c r="E1" s="644"/>
    </row>
    <row r="2" spans="1:5">
      <c r="A2" s="643" t="s">
        <v>541</v>
      </c>
      <c r="B2" s="643"/>
      <c r="C2" s="643"/>
      <c r="D2" s="643"/>
      <c r="E2" s="643"/>
    </row>
    <row r="3" spans="1:5">
      <c r="A3" s="643" t="s">
        <v>340</v>
      </c>
      <c r="B3" s="643"/>
      <c r="C3" s="643"/>
      <c r="D3" s="643"/>
      <c r="E3" s="643"/>
    </row>
    <row r="4" spans="1:5">
      <c r="A4" s="568"/>
      <c r="B4" s="568"/>
      <c r="C4" s="568"/>
      <c r="D4" s="568"/>
      <c r="E4" s="568"/>
    </row>
    <row r="5" spans="1:5">
      <c r="C5" s="157"/>
      <c r="D5" s="569" t="s">
        <v>232</v>
      </c>
      <c r="E5" s="201" t="s">
        <v>233</v>
      </c>
    </row>
    <row r="6" spans="1:5">
      <c r="C6" s="157" t="s">
        <v>234</v>
      </c>
    </row>
    <row r="7" spans="1:5">
      <c r="A7" s="153">
        <v>1</v>
      </c>
      <c r="C7" s="153" t="s">
        <v>328</v>
      </c>
      <c r="D7" s="159" t="s">
        <v>1023</v>
      </c>
      <c r="E7" s="202">
        <f>1016207456-0</f>
        <v>1016207456</v>
      </c>
    </row>
    <row r="8" spans="1:5">
      <c r="A8" s="153">
        <f>A7+1</f>
        <v>2</v>
      </c>
      <c r="C8" s="153" t="s">
        <v>536</v>
      </c>
      <c r="D8" s="159" t="s">
        <v>184</v>
      </c>
      <c r="E8" s="168">
        <f>-'Schedule 7'!E82</f>
        <v>-25884616.384999987</v>
      </c>
    </row>
    <row r="9" spans="1:5">
      <c r="A9" s="153">
        <f t="shared" ref="A9:A61" si="0">A8+1</f>
        <v>3</v>
      </c>
      <c r="C9" s="153" t="s">
        <v>218</v>
      </c>
      <c r="D9" s="159" t="s">
        <v>584</v>
      </c>
      <c r="E9" s="168">
        <f>-'Schedule 8'!E17</f>
        <v>-1041147.3400000001</v>
      </c>
    </row>
    <row r="10" spans="1:5">
      <c r="A10" s="153">
        <f t="shared" si="0"/>
        <v>4</v>
      </c>
      <c r="C10" s="153" t="s">
        <v>202</v>
      </c>
      <c r="D10" s="159" t="s">
        <v>44</v>
      </c>
      <c r="E10" s="168">
        <f>-'Schedule 9'!E57</f>
        <v>-9014.9871619999758</v>
      </c>
    </row>
    <row r="11" spans="1:5">
      <c r="A11" s="153">
        <f t="shared" si="0"/>
        <v>5</v>
      </c>
      <c r="C11" s="153" t="s">
        <v>388</v>
      </c>
      <c r="D11" s="159" t="s">
        <v>236</v>
      </c>
      <c r="E11" s="168">
        <f>'Schedule 1'!F22</f>
        <v>42237305.077300079</v>
      </c>
    </row>
    <row r="12" spans="1:5">
      <c r="A12" s="153">
        <f t="shared" si="0"/>
        <v>6</v>
      </c>
      <c r="C12" s="153" t="s">
        <v>237</v>
      </c>
      <c r="D12" s="159" t="s">
        <v>236</v>
      </c>
      <c r="E12" s="545">
        <f>'Schedule 1'!F36</f>
        <v>7337955.9970209897</v>
      </c>
    </row>
    <row r="13" spans="1:5">
      <c r="A13" s="153">
        <f t="shared" si="0"/>
        <v>7</v>
      </c>
      <c r="C13" s="153" t="s">
        <v>510</v>
      </c>
      <c r="D13" s="159" t="s">
        <v>1008</v>
      </c>
      <c r="E13" s="203">
        <f>423089+195489+308066+199069</f>
        <v>1125713</v>
      </c>
    </row>
    <row r="14" spans="1:5">
      <c r="A14" s="153">
        <f t="shared" si="0"/>
        <v>8</v>
      </c>
      <c r="C14" s="153" t="s">
        <v>511</v>
      </c>
      <c r="D14" s="159" t="s">
        <v>236</v>
      </c>
      <c r="E14" s="203">
        <f>'Schedule 1'!F75</f>
        <v>418230.80697782995</v>
      </c>
    </row>
    <row r="15" spans="1:5">
      <c r="A15" s="153">
        <f t="shared" si="0"/>
        <v>9</v>
      </c>
      <c r="C15" s="153" t="s">
        <v>356</v>
      </c>
      <c r="D15" s="159" t="s">
        <v>1024</v>
      </c>
      <c r="E15" s="168">
        <f>-312623040-0</f>
        <v>-312623040</v>
      </c>
    </row>
    <row r="16" spans="1:5">
      <c r="A16" s="153">
        <f t="shared" si="0"/>
        <v>10</v>
      </c>
      <c r="C16" s="153" t="s">
        <v>201</v>
      </c>
      <c r="D16" s="159" t="s">
        <v>184</v>
      </c>
      <c r="E16" s="168">
        <f>'Schedule 7'!F82</f>
        <v>11494285.939999999</v>
      </c>
    </row>
    <row r="17" spans="1:5">
      <c r="A17" s="153">
        <f t="shared" si="0"/>
        <v>11</v>
      </c>
      <c r="C17" s="153" t="s">
        <v>219</v>
      </c>
      <c r="D17" s="159" t="s">
        <v>584</v>
      </c>
      <c r="E17" s="168">
        <f>'Schedule 8'!F17</f>
        <v>200941.38</v>
      </c>
    </row>
    <row r="18" spans="1:5">
      <c r="A18" s="153">
        <f t="shared" si="0"/>
        <v>12</v>
      </c>
      <c r="C18" s="153" t="s">
        <v>342</v>
      </c>
      <c r="D18" s="159" t="s">
        <v>236</v>
      </c>
      <c r="E18" s="168">
        <f>-'Schedule 1'!F29</f>
        <v>-14013130.9716981</v>
      </c>
    </row>
    <row r="19" spans="1:5">
      <c r="A19" s="153">
        <f t="shared" si="0"/>
        <v>13</v>
      </c>
      <c r="C19" s="153" t="s">
        <v>486</v>
      </c>
      <c r="D19" s="159" t="s">
        <v>236</v>
      </c>
      <c r="E19" s="168">
        <f>-'Schedule 1'!F43</f>
        <v>-2884554.1804850097</v>
      </c>
    </row>
    <row r="20" spans="1:5">
      <c r="A20" s="153">
        <f t="shared" si="0"/>
        <v>14</v>
      </c>
      <c r="C20" s="153" t="s">
        <v>235</v>
      </c>
      <c r="D20" s="159" t="s">
        <v>236</v>
      </c>
      <c r="E20" s="168">
        <f xml:space="preserve"> - 'Schedule 1'!F15</f>
        <v>-77795810.67254892</v>
      </c>
    </row>
    <row r="21" spans="1:5">
      <c r="A21" s="153">
        <f t="shared" si="0"/>
        <v>15</v>
      </c>
      <c r="C21" s="153" t="s">
        <v>483</v>
      </c>
      <c r="D21" s="159" t="s">
        <v>236</v>
      </c>
      <c r="E21" s="168">
        <f xml:space="preserve"> - 'Schedule 1'!F54</f>
        <v>-3898533.4717250899</v>
      </c>
    </row>
    <row r="22" spans="1:5">
      <c r="A22" s="153">
        <f t="shared" si="0"/>
        <v>16</v>
      </c>
      <c r="C22" s="153" t="s">
        <v>426</v>
      </c>
      <c r="D22" s="159" t="s">
        <v>236</v>
      </c>
      <c r="E22" s="203">
        <f>'Schedule 1'!F70</f>
        <v>2285635.9231652101</v>
      </c>
    </row>
    <row r="23" spans="1:5">
      <c r="A23" s="153">
        <f t="shared" si="0"/>
        <v>17</v>
      </c>
      <c r="C23" s="153" t="s">
        <v>514</v>
      </c>
      <c r="D23" s="159" t="s">
        <v>518</v>
      </c>
      <c r="E23" s="168">
        <f>'Schedule 1'!F85</f>
        <v>12411791.227272749</v>
      </c>
    </row>
    <row r="24" spans="1:5">
      <c r="A24" s="153">
        <f t="shared" si="0"/>
        <v>18</v>
      </c>
      <c r="C24" s="153" t="s">
        <v>537</v>
      </c>
      <c r="D24" s="159" t="s">
        <v>236</v>
      </c>
      <c r="E24" s="203">
        <f>'Schedule 1'!F61</f>
        <v>4725973.1869594175</v>
      </c>
    </row>
    <row r="25" spans="1:5">
      <c r="A25" s="153">
        <f t="shared" si="0"/>
        <v>19</v>
      </c>
      <c r="C25" s="153" t="s">
        <v>37</v>
      </c>
      <c r="D25" s="159" t="s">
        <v>1009</v>
      </c>
      <c r="E25" s="203">
        <v>0</v>
      </c>
    </row>
    <row r="26" spans="1:5">
      <c r="A26" s="153">
        <f t="shared" si="0"/>
        <v>20</v>
      </c>
      <c r="C26" s="153" t="s">
        <v>238</v>
      </c>
      <c r="D26" s="161" t="s">
        <v>449</v>
      </c>
      <c r="E26" s="168">
        <f>SUM(E7:E25)</f>
        <v>660295440.53007722</v>
      </c>
    </row>
    <row r="27" spans="1:5">
      <c r="A27" s="153">
        <f t="shared" si="0"/>
        <v>21</v>
      </c>
    </row>
    <row r="28" spans="1:5">
      <c r="A28" s="153">
        <f t="shared" si="0"/>
        <v>22</v>
      </c>
      <c r="C28" s="157" t="s">
        <v>439</v>
      </c>
    </row>
    <row r="29" spans="1:5">
      <c r="A29" s="153">
        <f t="shared" si="0"/>
        <v>23</v>
      </c>
      <c r="C29" s="153" t="s">
        <v>239</v>
      </c>
      <c r="D29" s="159" t="s">
        <v>242</v>
      </c>
      <c r="E29" s="546">
        <f>ROUND('Schedule 6'!I20,5)</f>
        <v>8.1229999999999997E-2</v>
      </c>
    </row>
    <row r="30" spans="1:5">
      <c r="A30" s="153">
        <f t="shared" si="0"/>
        <v>24</v>
      </c>
      <c r="C30" s="153" t="s">
        <v>485</v>
      </c>
      <c r="D30" s="159" t="s">
        <v>242</v>
      </c>
      <c r="E30" s="546">
        <f xml:space="preserve"> 'Schedule 6'!I34</f>
        <v>3.6069999999999998E-2</v>
      </c>
    </row>
    <row r="31" spans="1:5">
      <c r="A31" s="153">
        <f t="shared" si="0"/>
        <v>25</v>
      </c>
      <c r="C31" s="153" t="s">
        <v>480</v>
      </c>
      <c r="D31" s="161" t="s">
        <v>16</v>
      </c>
      <c r="E31" s="168">
        <f>E26*(E29+E30)</f>
        <v>77452655.174178049</v>
      </c>
    </row>
    <row r="32" spans="1:5">
      <c r="A32" s="153">
        <f t="shared" si="0"/>
        <v>26</v>
      </c>
    </row>
    <row r="33" spans="1:5">
      <c r="A33" s="153">
        <f t="shared" si="0"/>
        <v>27</v>
      </c>
    </row>
    <row r="34" spans="1:5">
      <c r="A34" s="153">
        <f t="shared" si="0"/>
        <v>28</v>
      </c>
      <c r="C34" s="157" t="s">
        <v>243</v>
      </c>
    </row>
    <row r="35" spans="1:5">
      <c r="A35" s="153">
        <f t="shared" si="0"/>
        <v>29</v>
      </c>
      <c r="C35" s="153" t="s">
        <v>301</v>
      </c>
      <c r="D35" s="159" t="s">
        <v>246</v>
      </c>
      <c r="E35" s="168">
        <f>'Schedule 2'!F71</f>
        <v>19571514.649999999</v>
      </c>
    </row>
    <row r="36" spans="1:5">
      <c r="A36" s="153">
        <f t="shared" si="0"/>
        <v>30</v>
      </c>
      <c r="C36" s="153" t="s">
        <v>302</v>
      </c>
      <c r="D36" s="159" t="s">
        <v>246</v>
      </c>
      <c r="E36" s="168">
        <f>'Schedule 2'!F34</f>
        <v>1132863.40575639</v>
      </c>
    </row>
    <row r="37" spans="1:5">
      <c r="A37" s="153">
        <f t="shared" si="0"/>
        <v>31</v>
      </c>
      <c r="C37" s="153" t="s">
        <v>990</v>
      </c>
      <c r="D37" s="159" t="s">
        <v>246</v>
      </c>
      <c r="E37" s="168">
        <f>'Schedule 2'!F65</f>
        <v>893104.21767797996</v>
      </c>
    </row>
    <row r="38" spans="1:5">
      <c r="A38" s="153">
        <f t="shared" si="0"/>
        <v>32</v>
      </c>
      <c r="C38" s="153" t="s">
        <v>481</v>
      </c>
      <c r="D38" s="159" t="s">
        <v>246</v>
      </c>
      <c r="E38" s="203">
        <f xml:space="preserve"> 'Schedule 2'!F41</f>
        <v>-595121.79176311998</v>
      </c>
    </row>
    <row r="39" spans="1:5">
      <c r="A39" s="153">
        <f t="shared" si="0"/>
        <v>33</v>
      </c>
      <c r="C39" s="153" t="s">
        <v>244</v>
      </c>
      <c r="D39" s="159" t="s">
        <v>246</v>
      </c>
      <c r="E39" s="168">
        <f>'Schedule 2'!F77</f>
        <v>26891312.841805998</v>
      </c>
    </row>
    <row r="40" spans="1:5">
      <c r="A40" s="153">
        <f t="shared" si="0"/>
        <v>34</v>
      </c>
      <c r="C40" s="153" t="s">
        <v>434</v>
      </c>
      <c r="D40" s="159" t="s">
        <v>1314</v>
      </c>
      <c r="E40" s="168">
        <f>-(55425+1673701+926555+38422)</f>
        <v>-2694103</v>
      </c>
    </row>
    <row r="41" spans="1:5">
      <c r="A41" s="153">
        <f t="shared" si="0"/>
        <v>35</v>
      </c>
      <c r="C41" s="153" t="s">
        <v>435</v>
      </c>
      <c r="D41" s="159" t="s">
        <v>341</v>
      </c>
      <c r="E41" s="168">
        <v>-6081299</v>
      </c>
    </row>
    <row r="42" spans="1:5">
      <c r="A42" s="153">
        <f t="shared" si="0"/>
        <v>36</v>
      </c>
      <c r="C42" s="153" t="s">
        <v>245</v>
      </c>
      <c r="D42" s="159" t="s">
        <v>246</v>
      </c>
      <c r="E42" s="168">
        <f>'Schedule 2'!F28</f>
        <v>19691874.653869338</v>
      </c>
    </row>
    <row r="43" spans="1:5">
      <c r="A43" s="153">
        <f t="shared" si="0"/>
        <v>37</v>
      </c>
      <c r="C43" s="153" t="s">
        <v>527</v>
      </c>
      <c r="D43" s="159" t="s">
        <v>246</v>
      </c>
      <c r="E43" s="203">
        <f>'Schedule 2'!F58</f>
        <v>5477877.0518951472</v>
      </c>
    </row>
    <row r="44" spans="1:5">
      <c r="A44" s="153">
        <f t="shared" si="0"/>
        <v>38</v>
      </c>
      <c r="C44" s="153" t="s">
        <v>38</v>
      </c>
      <c r="D44" s="159" t="s">
        <v>147</v>
      </c>
      <c r="E44" s="168">
        <v>0</v>
      </c>
    </row>
    <row r="45" spans="1:5" ht="15">
      <c r="A45" s="153">
        <f t="shared" si="0"/>
        <v>39</v>
      </c>
      <c r="C45" s="153" t="s">
        <v>34</v>
      </c>
      <c r="D45" s="159" t="s">
        <v>44</v>
      </c>
      <c r="E45" s="547">
        <f>'Schedule 9'!E68</f>
        <v>139194.80000000002</v>
      </c>
    </row>
    <row r="46" spans="1:5">
      <c r="A46" s="153">
        <f t="shared" si="0"/>
        <v>40</v>
      </c>
      <c r="C46" s="153" t="s">
        <v>303</v>
      </c>
      <c r="D46" s="161" t="s">
        <v>17</v>
      </c>
      <c r="E46" s="168">
        <f>SUM(E35:E45)</f>
        <v>64427217.829241738</v>
      </c>
    </row>
    <row r="47" spans="1:5">
      <c r="A47" s="153">
        <f t="shared" si="0"/>
        <v>41</v>
      </c>
      <c r="C47" s="178" t="s">
        <v>304</v>
      </c>
      <c r="D47" s="204" t="s">
        <v>25</v>
      </c>
      <c r="E47" s="203">
        <f>E31+E46</f>
        <v>141879873.00341979</v>
      </c>
    </row>
    <row r="48" spans="1:5">
      <c r="A48" s="153">
        <f t="shared" si="0"/>
        <v>42</v>
      </c>
      <c r="C48" s="178"/>
      <c r="D48" s="179"/>
      <c r="E48" s="203"/>
    </row>
    <row r="49" spans="1:5">
      <c r="A49" s="153">
        <f t="shared" si="0"/>
        <v>43</v>
      </c>
      <c r="C49" s="178" t="s">
        <v>305</v>
      </c>
      <c r="D49" s="179" t="s">
        <v>306</v>
      </c>
      <c r="E49" s="203">
        <f>-'Schedule 4'!E23</f>
        <v>-20565135.094634119</v>
      </c>
    </row>
    <row r="50" spans="1:5">
      <c r="A50" s="153">
        <f t="shared" si="0"/>
        <v>44</v>
      </c>
      <c r="C50" s="178"/>
      <c r="D50" s="179"/>
      <c r="E50" s="203"/>
    </row>
    <row r="51" spans="1:5">
      <c r="A51" s="153">
        <f t="shared" si="0"/>
        <v>45</v>
      </c>
      <c r="C51" s="205" t="s">
        <v>274</v>
      </c>
      <c r="D51" s="204"/>
      <c r="E51" s="206">
        <f>SUM(E47:E49)</f>
        <v>121314737.90878567</v>
      </c>
    </row>
    <row r="52" spans="1:5">
      <c r="A52" s="153">
        <f t="shared" si="0"/>
        <v>46</v>
      </c>
      <c r="C52" s="178"/>
      <c r="D52" s="179"/>
      <c r="E52" s="203"/>
    </row>
    <row r="53" spans="1:5">
      <c r="A53" s="153">
        <f t="shared" si="0"/>
        <v>47</v>
      </c>
      <c r="C53" s="205" t="s">
        <v>531</v>
      </c>
      <c r="D53" s="179" t="s">
        <v>307</v>
      </c>
      <c r="E53" s="203">
        <f>'Schedule 5'!H24</f>
        <v>5177.0833333333339</v>
      </c>
    </row>
    <row r="54" spans="1:5">
      <c r="A54" s="153">
        <f t="shared" si="0"/>
        <v>48</v>
      </c>
      <c r="C54" s="205"/>
      <c r="D54" s="179"/>
      <c r="E54" s="203"/>
    </row>
    <row r="55" spans="1:5">
      <c r="A55" s="153">
        <f t="shared" si="0"/>
        <v>49</v>
      </c>
      <c r="C55" s="178" t="s">
        <v>308</v>
      </c>
      <c r="D55" s="204" t="s">
        <v>18</v>
      </c>
      <c r="E55" s="548">
        <f>ROUND(E51/(E53*1000),2)</f>
        <v>23.43</v>
      </c>
    </row>
    <row r="56" spans="1:5">
      <c r="A56" s="153">
        <f t="shared" si="0"/>
        <v>50</v>
      </c>
      <c r="C56" s="178" t="s">
        <v>309</v>
      </c>
      <c r="D56" s="204" t="s">
        <v>19</v>
      </c>
      <c r="E56" s="549">
        <f>ROUND(E55/12,4)</f>
        <v>1.9524999999999999</v>
      </c>
    </row>
    <row r="57" spans="1:5">
      <c r="A57" s="153">
        <f t="shared" si="0"/>
        <v>51</v>
      </c>
      <c r="C57" s="178" t="s">
        <v>310</v>
      </c>
      <c r="D57" s="204" t="s">
        <v>20</v>
      </c>
      <c r="E57" s="549">
        <f>ROUND(E55/52,4)</f>
        <v>0.4506</v>
      </c>
    </row>
    <row r="58" spans="1:5">
      <c r="A58" s="153">
        <f t="shared" si="0"/>
        <v>52</v>
      </c>
      <c r="C58" s="178" t="s">
        <v>311</v>
      </c>
      <c r="D58" s="204" t="s">
        <v>21</v>
      </c>
      <c r="E58" s="549">
        <f>ROUND(E57/6,4)</f>
        <v>7.51E-2</v>
      </c>
    </row>
    <row r="59" spans="1:5">
      <c r="A59" s="153">
        <f t="shared" si="0"/>
        <v>53</v>
      </c>
      <c r="C59" s="178" t="s">
        <v>312</v>
      </c>
      <c r="D59" s="179" t="s">
        <v>22</v>
      </c>
      <c r="E59" s="549">
        <f>ROUND(E57/7,4)</f>
        <v>6.4399999999999999E-2</v>
      </c>
    </row>
    <row r="60" spans="1:5">
      <c r="A60" s="153">
        <f t="shared" si="0"/>
        <v>54</v>
      </c>
      <c r="C60" s="178" t="s">
        <v>313</v>
      </c>
      <c r="D60" s="204" t="s">
        <v>23</v>
      </c>
      <c r="E60" s="548">
        <f>ROUND(E55*1000/4896,2)</f>
        <v>4.79</v>
      </c>
    </row>
    <row r="61" spans="1:5">
      <c r="A61" s="153">
        <f t="shared" si="0"/>
        <v>55</v>
      </c>
      <c r="C61" s="178" t="s">
        <v>314</v>
      </c>
      <c r="D61" s="204" t="s">
        <v>24</v>
      </c>
      <c r="E61" s="548">
        <f>ROUND(E55*1000/8760,2)</f>
        <v>2.67</v>
      </c>
    </row>
    <row r="66" spans="3:3">
      <c r="C66" s="168"/>
    </row>
  </sheetData>
  <sheetProtection formatCells="0"/>
  <mergeCells count="3">
    <mergeCell ref="A3:E3"/>
    <mergeCell ref="A2:E2"/>
    <mergeCell ref="C1:E1"/>
  </mergeCells>
  <phoneticPr fontId="0" type="noConversion"/>
  <printOptions horizontalCentered="1"/>
  <pageMargins left="0.75" right="0.75" top="1" bottom="1" header="0.5" footer="0.5"/>
  <pageSetup scale="71" orientation="portrait" r:id="rId1"/>
  <headerFooter alignWithMargins="0">
    <oddHeader>&amp;CIDAHO POWER COMPANY
Transmission Cost of Service Rate Development
12 Months Ended 12/31/2014</oddHeader>
  </headerFooter>
</worksheet>
</file>

<file path=xl/worksheets/sheet8.xml><?xml version="1.0" encoding="utf-8"?>
<worksheet xmlns="http://schemas.openxmlformats.org/spreadsheetml/2006/main" xmlns:r="http://schemas.openxmlformats.org/officeDocument/2006/relationships">
  <sheetPr codeName="Sheet8">
    <pageSetUpPr fitToPage="1"/>
  </sheetPr>
  <dimension ref="A1:G85"/>
  <sheetViews>
    <sheetView zoomScaleNormal="100" zoomScaleSheetLayoutView="100" workbookViewId="0">
      <selection sqref="A1:F1"/>
    </sheetView>
  </sheetViews>
  <sheetFormatPr defaultRowHeight="12.75"/>
  <cols>
    <col min="1" max="1" width="5.140625" style="568" customWidth="1"/>
    <col min="2" max="2" width="4.140625" style="153" customWidth="1"/>
    <col min="3" max="3" width="4" style="153" customWidth="1"/>
    <col min="4" max="4" width="52.85546875" style="153" customWidth="1"/>
    <col min="5" max="5" width="56.28515625" style="159" customWidth="1"/>
    <col min="6" max="6" width="17.85546875" style="158" customWidth="1"/>
    <col min="7" max="16384" width="9.140625" style="153"/>
  </cols>
  <sheetData>
    <row r="1" spans="1:6">
      <c r="A1" s="645" t="s">
        <v>373</v>
      </c>
      <c r="B1" s="645"/>
      <c r="C1" s="645"/>
      <c r="D1" s="645"/>
      <c r="E1" s="645"/>
      <c r="F1" s="645"/>
    </row>
    <row r="2" spans="1:6">
      <c r="A2" s="645" t="s">
        <v>315</v>
      </c>
      <c r="B2" s="645"/>
      <c r="C2" s="645"/>
      <c r="D2" s="645"/>
      <c r="E2" s="645"/>
      <c r="F2" s="645"/>
    </row>
    <row r="3" spans="1:6">
      <c r="B3" s="207"/>
      <c r="C3" s="207"/>
      <c r="D3" s="207"/>
      <c r="E3" s="207"/>
      <c r="F3" s="208"/>
    </row>
    <row r="6" spans="1:6">
      <c r="E6" s="155" t="s">
        <v>232</v>
      </c>
      <c r="F6" s="156" t="s">
        <v>233</v>
      </c>
    </row>
    <row r="7" spans="1:6">
      <c r="A7" s="568">
        <v>1</v>
      </c>
      <c r="B7" s="157" t="s">
        <v>221</v>
      </c>
      <c r="E7" s="155"/>
    </row>
    <row r="8" spans="1:6">
      <c r="A8" s="568">
        <f>A7+1</f>
        <v>2</v>
      </c>
      <c r="E8" s="155"/>
    </row>
    <row r="9" spans="1:6">
      <c r="A9" s="568">
        <f t="shared" ref="A9:A72" si="0">A8+1</f>
        <v>3</v>
      </c>
      <c r="D9" s="153" t="s">
        <v>473</v>
      </c>
      <c r="E9" s="590"/>
      <c r="F9" s="158" t="s">
        <v>1387</v>
      </c>
    </row>
    <row r="10" spans="1:6">
      <c r="A10" s="568">
        <f t="shared" si="0"/>
        <v>4</v>
      </c>
      <c r="D10" s="153" t="s">
        <v>474</v>
      </c>
      <c r="E10" s="159" t="s">
        <v>389</v>
      </c>
      <c r="F10" s="158">
        <v>451117692</v>
      </c>
    </row>
    <row r="11" spans="1:6">
      <c r="A11" s="568">
        <f t="shared" si="0"/>
        <v>5</v>
      </c>
      <c r="D11" s="153" t="s">
        <v>475</v>
      </c>
      <c r="E11" s="159" t="s">
        <v>476</v>
      </c>
      <c r="F11" s="158">
        <v>177581153</v>
      </c>
    </row>
    <row r="12" spans="1:6">
      <c r="A12" s="568">
        <f t="shared" si="0"/>
        <v>6</v>
      </c>
      <c r="D12" s="153" t="s">
        <v>472</v>
      </c>
      <c r="E12" s="159" t="s">
        <v>390</v>
      </c>
      <c r="F12" s="158">
        <f>-'Schedule 1 Workpaper'!F11</f>
        <v>-216529408</v>
      </c>
    </row>
    <row r="13" spans="1:6">
      <c r="A13" s="568">
        <f t="shared" si="0"/>
        <v>7</v>
      </c>
      <c r="D13" s="153" t="s">
        <v>479</v>
      </c>
      <c r="F13" s="158">
        <f>SUM(F9:F12)</f>
        <v>412169437</v>
      </c>
    </row>
    <row r="14" spans="1:6">
      <c r="A14" s="568">
        <f t="shared" si="0"/>
        <v>8</v>
      </c>
      <c r="D14" s="153" t="s">
        <v>317</v>
      </c>
      <c r="E14" s="159" t="s">
        <v>318</v>
      </c>
      <c r="F14" s="160">
        <f>'Schedule 3'!F46</f>
        <v>0.18874716</v>
      </c>
    </row>
    <row r="15" spans="1:6">
      <c r="A15" s="568">
        <f t="shared" si="0"/>
        <v>9</v>
      </c>
      <c r="D15" s="153" t="s">
        <v>316</v>
      </c>
      <c r="E15" s="204" t="s">
        <v>279</v>
      </c>
      <c r="F15" s="158">
        <f>F13*F14</f>
        <v>77795810.67254892</v>
      </c>
    </row>
    <row r="16" spans="1:6">
      <c r="A16" s="568">
        <f t="shared" si="0"/>
        <v>10</v>
      </c>
      <c r="E16" s="155"/>
    </row>
    <row r="17" spans="1:6">
      <c r="A17" s="568">
        <f t="shared" si="0"/>
        <v>11</v>
      </c>
      <c r="E17" s="155"/>
    </row>
    <row r="18" spans="1:6">
      <c r="A18" s="568">
        <f t="shared" si="0"/>
        <v>12</v>
      </c>
      <c r="B18" s="157" t="s">
        <v>319</v>
      </c>
    </row>
    <row r="19" spans="1:6">
      <c r="A19" s="568">
        <f t="shared" si="0"/>
        <v>13</v>
      </c>
    </row>
    <row r="20" spans="1:6">
      <c r="A20" s="568">
        <f t="shared" si="0"/>
        <v>14</v>
      </c>
      <c r="D20" s="153" t="s">
        <v>391</v>
      </c>
      <c r="E20" s="159" t="s">
        <v>357</v>
      </c>
      <c r="F20" s="158">
        <f>339201272-0</f>
        <v>339201272</v>
      </c>
    </row>
    <row r="21" spans="1:6">
      <c r="A21" s="568">
        <f t="shared" si="0"/>
        <v>15</v>
      </c>
      <c r="D21" s="153" t="s">
        <v>530</v>
      </c>
      <c r="E21" s="161" t="s">
        <v>318</v>
      </c>
      <c r="F21" s="160">
        <f>'Schedule 3'!F27</f>
        <v>0.12451988999999999</v>
      </c>
    </row>
    <row r="22" spans="1:6">
      <c r="A22" s="568">
        <f t="shared" si="0"/>
        <v>16</v>
      </c>
      <c r="D22" s="153" t="s">
        <v>320</v>
      </c>
      <c r="E22" s="204" t="s">
        <v>280</v>
      </c>
      <c r="F22" s="158">
        <f>F21*F20</f>
        <v>42237305.077300079</v>
      </c>
    </row>
    <row r="23" spans="1:6">
      <c r="A23" s="568">
        <f t="shared" si="0"/>
        <v>17</v>
      </c>
    </row>
    <row r="24" spans="1:6">
      <c r="A24" s="568">
        <f t="shared" si="0"/>
        <v>18</v>
      </c>
    </row>
    <row r="25" spans="1:6">
      <c r="A25" s="568">
        <f t="shared" si="0"/>
        <v>19</v>
      </c>
      <c r="B25" s="157" t="s">
        <v>438</v>
      </c>
    </row>
    <row r="26" spans="1:6">
      <c r="A26" s="568">
        <f t="shared" si="0"/>
        <v>20</v>
      </c>
    </row>
    <row r="27" spans="1:6">
      <c r="A27" s="568">
        <f t="shared" si="0"/>
        <v>21</v>
      </c>
      <c r="D27" s="153" t="s">
        <v>1318</v>
      </c>
      <c r="E27" s="159" t="s">
        <v>1036</v>
      </c>
      <c r="F27" s="93">
        <f>112537290-0</f>
        <v>112537290</v>
      </c>
    </row>
    <row r="28" spans="1:6">
      <c r="A28" s="568">
        <f t="shared" si="0"/>
        <v>22</v>
      </c>
      <c r="D28" s="153" t="s">
        <v>530</v>
      </c>
      <c r="E28" s="161" t="s">
        <v>318</v>
      </c>
      <c r="F28" s="160">
        <f>'Schedule 3'!F27</f>
        <v>0.12451988999999999</v>
      </c>
    </row>
    <row r="29" spans="1:6">
      <c r="A29" s="568">
        <f t="shared" si="0"/>
        <v>23</v>
      </c>
      <c r="D29" s="153" t="s">
        <v>1319</v>
      </c>
      <c r="E29" s="204" t="s">
        <v>281</v>
      </c>
      <c r="F29" s="158">
        <f>F28*F27</f>
        <v>14013130.9716981</v>
      </c>
    </row>
    <row r="30" spans="1:6">
      <c r="A30" s="568">
        <f t="shared" si="0"/>
        <v>24</v>
      </c>
    </row>
    <row r="31" spans="1:6">
      <c r="A31" s="568">
        <f t="shared" si="0"/>
        <v>25</v>
      </c>
    </row>
    <row r="32" spans="1:6">
      <c r="A32" s="568">
        <f t="shared" si="0"/>
        <v>26</v>
      </c>
      <c r="B32" s="157" t="s">
        <v>321</v>
      </c>
    </row>
    <row r="33" spans="1:6">
      <c r="A33" s="568">
        <f t="shared" si="0"/>
        <v>27</v>
      </c>
    </row>
    <row r="34" spans="1:6">
      <c r="A34" s="568">
        <f t="shared" si="0"/>
        <v>28</v>
      </c>
      <c r="D34" s="153" t="s">
        <v>322</v>
      </c>
      <c r="E34" s="159" t="s">
        <v>915</v>
      </c>
      <c r="F34" s="158">
        <v>58929991</v>
      </c>
    </row>
    <row r="35" spans="1:6">
      <c r="A35" s="568">
        <f t="shared" si="0"/>
        <v>29</v>
      </c>
      <c r="D35" s="153" t="s">
        <v>530</v>
      </c>
      <c r="E35" s="161" t="s">
        <v>318</v>
      </c>
      <c r="F35" s="160">
        <f>'Schedule 3'!F27</f>
        <v>0.12451988999999999</v>
      </c>
    </row>
    <row r="36" spans="1:6">
      <c r="A36" s="568">
        <f t="shared" si="0"/>
        <v>30</v>
      </c>
      <c r="D36" s="153" t="s">
        <v>323</v>
      </c>
      <c r="E36" s="204" t="s">
        <v>282</v>
      </c>
      <c r="F36" s="158">
        <f>F35*F34</f>
        <v>7337955.9970209897</v>
      </c>
    </row>
    <row r="37" spans="1:6">
      <c r="A37" s="568">
        <f t="shared" si="0"/>
        <v>31</v>
      </c>
    </row>
    <row r="38" spans="1:6">
      <c r="A38" s="568">
        <f t="shared" si="0"/>
        <v>32</v>
      </c>
    </row>
    <row r="39" spans="1:6">
      <c r="A39" s="568">
        <f t="shared" si="0"/>
        <v>33</v>
      </c>
      <c r="B39" s="157" t="s">
        <v>486</v>
      </c>
    </row>
    <row r="40" spans="1:6">
      <c r="A40" s="568">
        <f t="shared" si="0"/>
        <v>34</v>
      </c>
      <c r="B40" s="157"/>
    </row>
    <row r="41" spans="1:6">
      <c r="A41" s="568">
        <f t="shared" si="0"/>
        <v>35</v>
      </c>
      <c r="D41" s="153" t="s">
        <v>486</v>
      </c>
      <c r="E41" s="159" t="s">
        <v>962</v>
      </c>
      <c r="F41" s="158">
        <v>23165409</v>
      </c>
    </row>
    <row r="42" spans="1:6">
      <c r="A42" s="568">
        <f t="shared" si="0"/>
        <v>36</v>
      </c>
      <c r="D42" s="153" t="s">
        <v>530</v>
      </c>
      <c r="E42" s="159" t="s">
        <v>318</v>
      </c>
      <c r="F42" s="160">
        <f>'Schedule 3'!F27</f>
        <v>0.12451988999999999</v>
      </c>
    </row>
    <row r="43" spans="1:6">
      <c r="A43" s="568">
        <f t="shared" si="0"/>
        <v>37</v>
      </c>
      <c r="D43" s="153" t="s">
        <v>496</v>
      </c>
      <c r="E43" s="204" t="s">
        <v>283</v>
      </c>
      <c r="F43" s="158">
        <f>F41*F42</f>
        <v>2884554.1804850097</v>
      </c>
    </row>
    <row r="44" spans="1:6">
      <c r="A44" s="568">
        <f t="shared" si="0"/>
        <v>38</v>
      </c>
    </row>
    <row r="45" spans="1:6">
      <c r="A45" s="568">
        <f t="shared" si="0"/>
        <v>39</v>
      </c>
    </row>
    <row r="46" spans="1:6">
      <c r="A46" s="568">
        <f t="shared" si="0"/>
        <v>40</v>
      </c>
      <c r="B46" s="157" t="s">
        <v>484</v>
      </c>
    </row>
    <row r="47" spans="1:6">
      <c r="A47" s="568">
        <f t="shared" si="0"/>
        <v>41</v>
      </c>
    </row>
    <row r="48" spans="1:6">
      <c r="A48" s="568">
        <f t="shared" si="0"/>
        <v>42</v>
      </c>
      <c r="D48" s="153" t="s">
        <v>473</v>
      </c>
      <c r="E48" s="590"/>
      <c r="F48" s="158" t="str">
        <f xml:space="preserve"> F9</f>
        <v xml:space="preserve">  </v>
      </c>
    </row>
    <row r="49" spans="1:7">
      <c r="A49" s="568">
        <f t="shared" si="0"/>
        <v>43</v>
      </c>
      <c r="D49" s="153" t="s">
        <v>474</v>
      </c>
      <c r="E49" s="159" t="s">
        <v>477</v>
      </c>
      <c r="F49" s="158">
        <f>F10</f>
        <v>451117692</v>
      </c>
    </row>
    <row r="50" spans="1:7">
      <c r="A50" s="568">
        <f t="shared" si="0"/>
        <v>44</v>
      </c>
      <c r="D50" s="153" t="s">
        <v>475</v>
      </c>
      <c r="E50" s="159" t="s">
        <v>476</v>
      </c>
      <c r="F50" s="158">
        <f xml:space="preserve"> F11</f>
        <v>177581153</v>
      </c>
    </row>
    <row r="51" spans="1:7">
      <c r="A51" s="568">
        <f t="shared" si="0"/>
        <v>45</v>
      </c>
      <c r="D51" s="153" t="s">
        <v>472</v>
      </c>
      <c r="E51" s="159" t="s">
        <v>193</v>
      </c>
      <c r="F51" s="158">
        <f xml:space="preserve"> F12</f>
        <v>-216529408</v>
      </c>
    </row>
    <row r="52" spans="1:7">
      <c r="A52" s="568">
        <f t="shared" si="0"/>
        <v>46</v>
      </c>
      <c r="D52" s="153" t="s">
        <v>479</v>
      </c>
      <c r="E52" s="161" t="s">
        <v>275</v>
      </c>
      <c r="F52" s="158">
        <f>SUM(F48:F51)</f>
        <v>412169437</v>
      </c>
    </row>
    <row r="53" spans="1:7">
      <c r="A53" s="568">
        <f t="shared" si="0"/>
        <v>47</v>
      </c>
      <c r="D53" s="153" t="s">
        <v>436</v>
      </c>
      <c r="E53" s="161" t="s">
        <v>318</v>
      </c>
      <c r="F53" s="160">
        <f>'Schedule 3'!F55</f>
        <v>9.4585699999999995E-3</v>
      </c>
    </row>
    <row r="54" spans="1:7">
      <c r="A54" s="568">
        <f t="shared" si="0"/>
        <v>48</v>
      </c>
      <c r="D54" s="153" t="s">
        <v>437</v>
      </c>
      <c r="E54" s="204" t="s">
        <v>284</v>
      </c>
      <c r="F54" s="158">
        <f>F52*F53</f>
        <v>3898533.4717250899</v>
      </c>
    </row>
    <row r="55" spans="1:7">
      <c r="A55" s="568">
        <f t="shared" si="0"/>
        <v>49</v>
      </c>
    </row>
    <row r="56" spans="1:7">
      <c r="A56" s="568">
        <f t="shared" si="0"/>
        <v>50</v>
      </c>
      <c r="E56" s="153"/>
      <c r="F56" s="153"/>
    </row>
    <row r="57" spans="1:7">
      <c r="A57" s="568">
        <f t="shared" si="0"/>
        <v>51</v>
      </c>
      <c r="B57" s="157" t="s">
        <v>355</v>
      </c>
      <c r="E57" s="153"/>
      <c r="F57" s="153"/>
    </row>
    <row r="58" spans="1:7">
      <c r="A58" s="568">
        <f t="shared" si="0"/>
        <v>52</v>
      </c>
    </row>
    <row r="59" spans="1:7">
      <c r="A59" s="568">
        <f t="shared" si="0"/>
        <v>53</v>
      </c>
      <c r="D59" s="153" t="s">
        <v>244</v>
      </c>
      <c r="E59" s="159" t="s">
        <v>1075</v>
      </c>
      <c r="F59" s="163">
        <f>'Schedule 2'!F77+'Rate Calculation'!E40+'Rate Calculation'!E41</f>
        <v>18115910.841805998</v>
      </c>
    </row>
    <row r="60" spans="1:7">
      <c r="A60" s="568">
        <f t="shared" si="0"/>
        <v>54</v>
      </c>
      <c r="D60" s="153" t="s">
        <v>396</v>
      </c>
      <c r="E60" s="161" t="s">
        <v>246</v>
      </c>
      <c r="F60" s="158">
        <f>'Schedule 2'!F28</f>
        <v>19691874.653869338</v>
      </c>
    </row>
    <row r="61" spans="1:7">
      <c r="A61" s="568">
        <f t="shared" si="0"/>
        <v>55</v>
      </c>
      <c r="D61" s="153" t="s">
        <v>397</v>
      </c>
      <c r="E61" s="161" t="s">
        <v>285</v>
      </c>
      <c r="F61" s="158">
        <f>(F59+F60)*0.125</f>
        <v>4725973.1869594175</v>
      </c>
      <c r="G61" s="209"/>
    </row>
    <row r="62" spans="1:7">
      <c r="A62" s="568">
        <f t="shared" si="0"/>
        <v>56</v>
      </c>
      <c r="F62" s="210"/>
    </row>
    <row r="63" spans="1:7">
      <c r="A63" s="568">
        <f t="shared" si="0"/>
        <v>57</v>
      </c>
    </row>
    <row r="64" spans="1:7">
      <c r="A64" s="568">
        <f t="shared" si="0"/>
        <v>58</v>
      </c>
      <c r="B64" s="157" t="s">
        <v>425</v>
      </c>
    </row>
    <row r="65" spans="1:6">
      <c r="A65" s="568">
        <f t="shared" si="0"/>
        <v>59</v>
      </c>
    </row>
    <row r="66" spans="1:6">
      <c r="A66" s="568">
        <f t="shared" si="0"/>
        <v>60</v>
      </c>
      <c r="D66" s="153" t="s">
        <v>392</v>
      </c>
      <c r="E66" s="159" t="s">
        <v>450</v>
      </c>
      <c r="F66" s="158">
        <v>18355589</v>
      </c>
    </row>
    <row r="67" spans="1:6">
      <c r="A67" s="568">
        <f t="shared" si="0"/>
        <v>61</v>
      </c>
      <c r="D67" s="153" t="s">
        <v>203</v>
      </c>
      <c r="F67" s="158">
        <v>0</v>
      </c>
    </row>
    <row r="68" spans="1:6">
      <c r="A68" s="568">
        <f t="shared" si="0"/>
        <v>62</v>
      </c>
      <c r="D68" s="153" t="s">
        <v>204</v>
      </c>
      <c r="E68" s="204" t="s">
        <v>276</v>
      </c>
      <c r="F68" s="158">
        <f>F66-F67</f>
        <v>18355589</v>
      </c>
    </row>
    <row r="69" spans="1:6">
      <c r="A69" s="568">
        <f t="shared" si="0"/>
        <v>63</v>
      </c>
      <c r="D69" s="153" t="s">
        <v>530</v>
      </c>
      <c r="E69" s="159" t="s">
        <v>318</v>
      </c>
      <c r="F69" s="160">
        <f>'Schedule 3'!F27</f>
        <v>0.12451988999999999</v>
      </c>
    </row>
    <row r="70" spans="1:6">
      <c r="A70" s="568">
        <f t="shared" si="0"/>
        <v>64</v>
      </c>
      <c r="D70" s="153" t="s">
        <v>426</v>
      </c>
      <c r="E70" s="204" t="s">
        <v>286</v>
      </c>
      <c r="F70" s="158">
        <f>F68*F69</f>
        <v>2285635.9231652101</v>
      </c>
    </row>
    <row r="71" spans="1:6">
      <c r="A71" s="568">
        <f t="shared" si="0"/>
        <v>65</v>
      </c>
    </row>
    <row r="72" spans="1:6">
      <c r="A72" s="568">
        <f t="shared" si="0"/>
        <v>66</v>
      </c>
      <c r="B72" s="157" t="s">
        <v>512</v>
      </c>
    </row>
    <row r="73" spans="1:6">
      <c r="A73" s="568">
        <f t="shared" ref="A73:A85" si="1">A72+1</f>
        <v>67</v>
      </c>
      <c r="D73" s="153" t="s">
        <v>512</v>
      </c>
      <c r="E73" s="159" t="s">
        <v>1320</v>
      </c>
      <c r="F73" s="158">
        <f>655550+2630412+72785</f>
        <v>3358747</v>
      </c>
    </row>
    <row r="74" spans="1:6">
      <c r="A74" s="568">
        <f t="shared" si="1"/>
        <v>68</v>
      </c>
      <c r="D74" s="153" t="s">
        <v>530</v>
      </c>
      <c r="E74" s="159" t="s">
        <v>318</v>
      </c>
      <c r="F74" s="160">
        <f>'Schedule 3'!F27</f>
        <v>0.12451988999999999</v>
      </c>
    </row>
    <row r="75" spans="1:6">
      <c r="A75" s="568">
        <f t="shared" si="1"/>
        <v>69</v>
      </c>
      <c r="D75" s="153" t="s">
        <v>513</v>
      </c>
      <c r="E75" s="204" t="s">
        <v>287</v>
      </c>
      <c r="F75" s="158">
        <f>F73*F74</f>
        <v>418230.80697782995</v>
      </c>
    </row>
    <row r="76" spans="1:6">
      <c r="A76" s="568">
        <f t="shared" si="1"/>
        <v>70</v>
      </c>
    </row>
    <row r="77" spans="1:6">
      <c r="A77" s="568">
        <f t="shared" si="1"/>
        <v>71</v>
      </c>
      <c r="B77" s="157" t="s">
        <v>515</v>
      </c>
    </row>
    <row r="78" spans="1:6">
      <c r="A78" s="568">
        <f t="shared" si="1"/>
        <v>72</v>
      </c>
      <c r="D78" s="153" t="s">
        <v>519</v>
      </c>
      <c r="E78" s="159" t="s">
        <v>916</v>
      </c>
      <c r="F78" s="158">
        <v>11212105</v>
      </c>
    </row>
    <row r="79" spans="1:6">
      <c r="A79" s="568">
        <f t="shared" si="1"/>
        <v>73</v>
      </c>
      <c r="D79" s="153" t="s">
        <v>520</v>
      </c>
      <c r="E79" s="159" t="s">
        <v>393</v>
      </c>
      <c r="F79" s="158">
        <v>1518495</v>
      </c>
    </row>
    <row r="80" spans="1:6">
      <c r="A80" s="568">
        <f t="shared" si="1"/>
        <v>74</v>
      </c>
      <c r="D80" s="153" t="s">
        <v>530</v>
      </c>
      <c r="E80" s="159" t="s">
        <v>318</v>
      </c>
      <c r="F80" s="160">
        <f>'Schedule 3'!F27</f>
        <v>0.12451988999999999</v>
      </c>
    </row>
    <row r="81" spans="1:6">
      <c r="A81" s="568">
        <f t="shared" si="1"/>
        <v>75</v>
      </c>
      <c r="D81" s="153" t="s">
        <v>521</v>
      </c>
      <c r="E81" s="204" t="s">
        <v>288</v>
      </c>
      <c r="F81" s="158">
        <f>F79*F80</f>
        <v>189082.83036554998</v>
      </c>
    </row>
    <row r="82" spans="1:6">
      <c r="A82" s="568">
        <f t="shared" si="1"/>
        <v>76</v>
      </c>
      <c r="D82" s="153" t="s">
        <v>863</v>
      </c>
      <c r="E82" s="159" t="s">
        <v>394</v>
      </c>
      <c r="F82" s="158">
        <v>5098760</v>
      </c>
    </row>
    <row r="83" spans="1:6">
      <c r="A83" s="568">
        <f t="shared" si="1"/>
        <v>77</v>
      </c>
      <c r="D83" s="153" t="s">
        <v>529</v>
      </c>
      <c r="E83" s="159" t="s">
        <v>318</v>
      </c>
      <c r="F83" s="160">
        <f>'Schedule 3'!F39</f>
        <v>0.19820572</v>
      </c>
    </row>
    <row r="84" spans="1:6">
      <c r="A84" s="568">
        <f t="shared" si="1"/>
        <v>78</v>
      </c>
      <c r="D84" s="153" t="s">
        <v>516</v>
      </c>
      <c r="E84" s="204" t="s">
        <v>289</v>
      </c>
      <c r="F84" s="158">
        <f>F82*F83</f>
        <v>1010603.3969072</v>
      </c>
    </row>
    <row r="85" spans="1:6">
      <c r="A85" s="568">
        <f t="shared" si="1"/>
        <v>79</v>
      </c>
      <c r="D85" s="153" t="s">
        <v>517</v>
      </c>
      <c r="E85" s="204" t="s">
        <v>277</v>
      </c>
      <c r="F85" s="158">
        <f>F78+F81+F84</f>
        <v>12411791.227272749</v>
      </c>
    </row>
  </sheetData>
  <sheetProtection formatCells="0"/>
  <mergeCells count="2">
    <mergeCell ref="A1:F1"/>
    <mergeCell ref="A2:F2"/>
  </mergeCells>
  <phoneticPr fontId="0" type="noConversion"/>
  <printOptions horizontalCentered="1"/>
  <pageMargins left="0.75" right="0.75" top="1" bottom="1" header="0.5" footer="0.5"/>
  <pageSetup scale="61" orientation="portrait" r:id="rId1"/>
  <headerFooter alignWithMargins="0">
    <oddHeader>&amp;CIDAHO POWER COMPANY
Transmission Cost of Service Rate Development
12 Months Ended 12/31/2014</oddHeader>
  </headerFooter>
</worksheet>
</file>

<file path=xl/worksheets/sheet9.xml><?xml version="1.0" encoding="utf-8"?>
<worksheet xmlns="http://schemas.openxmlformats.org/spreadsheetml/2006/main" xmlns:r="http://schemas.openxmlformats.org/officeDocument/2006/relationships">
  <sheetPr codeName="Sheet9">
    <pageSetUpPr fitToPage="1"/>
  </sheetPr>
  <dimension ref="A1:O80"/>
  <sheetViews>
    <sheetView zoomScaleNormal="100" zoomScaleSheetLayoutView="100" zoomScalePageLayoutView="75" workbookViewId="0">
      <selection sqref="A1:F1"/>
    </sheetView>
  </sheetViews>
  <sheetFormatPr defaultRowHeight="12.75"/>
  <cols>
    <col min="1" max="1" width="4.5703125" style="568" customWidth="1"/>
    <col min="2" max="2" width="4" style="153" customWidth="1"/>
    <col min="3" max="3" width="3.7109375" style="154" customWidth="1"/>
    <col min="4" max="4" width="73.7109375" style="153" customWidth="1"/>
    <col min="5" max="5" width="38.140625" style="159" bestFit="1" customWidth="1"/>
    <col min="6" max="6" width="18" style="153" customWidth="1"/>
    <col min="7" max="7" width="9.140625" style="153"/>
    <col min="8" max="8" width="11.28515625" style="153" bestFit="1" customWidth="1"/>
    <col min="9" max="16384" width="9.140625" style="153"/>
  </cols>
  <sheetData>
    <row r="1" spans="1:6">
      <c r="A1" s="645" t="s">
        <v>374</v>
      </c>
      <c r="B1" s="645"/>
      <c r="C1" s="645"/>
      <c r="D1" s="645"/>
      <c r="E1" s="645"/>
      <c r="F1" s="645"/>
    </row>
    <row r="2" spans="1:6">
      <c r="A2" s="645" t="s">
        <v>398</v>
      </c>
      <c r="B2" s="645"/>
      <c r="C2" s="645"/>
      <c r="D2" s="645"/>
      <c r="E2" s="645"/>
      <c r="F2" s="645"/>
    </row>
    <row r="6" spans="1:6">
      <c r="E6" s="155" t="s">
        <v>232</v>
      </c>
      <c r="F6" s="156" t="s">
        <v>233</v>
      </c>
    </row>
    <row r="7" spans="1:6">
      <c r="A7" s="568">
        <v>1</v>
      </c>
      <c r="B7" s="157" t="s">
        <v>399</v>
      </c>
      <c r="E7" s="155"/>
      <c r="F7" s="158"/>
    </row>
    <row r="8" spans="1:6">
      <c r="A8" s="568">
        <f>A7+1</f>
        <v>2</v>
      </c>
      <c r="E8" s="155"/>
      <c r="F8" s="158"/>
    </row>
    <row r="9" spans="1:6">
      <c r="A9" s="568">
        <f t="shared" ref="A9:A72" si="0">A8+1</f>
        <v>3</v>
      </c>
      <c r="D9" s="153" t="s">
        <v>935</v>
      </c>
      <c r="E9" s="159" t="s">
        <v>1379</v>
      </c>
      <c r="F9" s="158">
        <f>155933199-0</f>
        <v>155933199</v>
      </c>
    </row>
    <row r="10" spans="1:6">
      <c r="A10" s="568">
        <f t="shared" si="0"/>
        <v>4</v>
      </c>
      <c r="D10" s="153" t="s">
        <v>444</v>
      </c>
      <c r="E10" s="159" t="s">
        <v>4</v>
      </c>
      <c r="F10" s="158">
        <v>-3461411</v>
      </c>
    </row>
    <row r="11" spans="1:6">
      <c r="A11" s="568">
        <f t="shared" si="0"/>
        <v>5</v>
      </c>
      <c r="D11" s="153" t="s">
        <v>445</v>
      </c>
      <c r="E11" s="159" t="s">
        <v>5</v>
      </c>
      <c r="F11" s="158">
        <v>-3457838</v>
      </c>
    </row>
    <row r="12" spans="1:6">
      <c r="A12" s="568">
        <f t="shared" si="0"/>
        <v>6</v>
      </c>
      <c r="D12" s="153" t="s">
        <v>446</v>
      </c>
      <c r="E12" s="159" t="s">
        <v>6</v>
      </c>
      <c r="F12" s="158">
        <v>-453160</v>
      </c>
    </row>
    <row r="13" spans="1:6">
      <c r="A13" s="568">
        <f t="shared" si="0"/>
        <v>7</v>
      </c>
      <c r="D13" s="153" t="s">
        <v>530</v>
      </c>
      <c r="E13" s="159" t="s">
        <v>318</v>
      </c>
      <c r="F13" s="160">
        <f>'Schedule 3'!F27</f>
        <v>0.12451988999999999</v>
      </c>
    </row>
    <row r="14" spans="1:6">
      <c r="A14" s="568">
        <f t="shared" si="0"/>
        <v>8</v>
      </c>
      <c r="D14" s="153" t="s">
        <v>433</v>
      </c>
      <c r="E14" s="161" t="s">
        <v>295</v>
      </c>
      <c r="F14" s="158">
        <f>(F9+F10+F11+F12) * F13</f>
        <v>18498773.229113098</v>
      </c>
    </row>
    <row r="15" spans="1:6">
      <c r="A15" s="568">
        <f t="shared" si="0"/>
        <v>9</v>
      </c>
      <c r="E15" s="155"/>
      <c r="F15" s="158"/>
    </row>
    <row r="16" spans="1:6">
      <c r="A16" s="568">
        <f t="shared" si="0"/>
        <v>10</v>
      </c>
      <c r="D16" s="153" t="s">
        <v>427</v>
      </c>
      <c r="E16" s="159" t="s">
        <v>789</v>
      </c>
      <c r="F16" s="158">
        <f>-F10</f>
        <v>3461411</v>
      </c>
    </row>
    <row r="17" spans="1:15">
      <c r="A17" s="568">
        <f t="shared" si="0"/>
        <v>11</v>
      </c>
      <c r="D17" s="153" t="s">
        <v>529</v>
      </c>
      <c r="E17" s="159" t="s">
        <v>318</v>
      </c>
      <c r="F17" s="162">
        <f>'Schedule 3'!F39</f>
        <v>0.19820572</v>
      </c>
    </row>
    <row r="18" spans="1:15">
      <c r="A18" s="568">
        <f t="shared" si="0"/>
        <v>12</v>
      </c>
      <c r="D18" s="153" t="s">
        <v>428</v>
      </c>
      <c r="E18" s="161" t="s">
        <v>278</v>
      </c>
      <c r="F18" s="158">
        <f>F16*F17</f>
        <v>686071.45947092003</v>
      </c>
    </row>
    <row r="19" spans="1:15">
      <c r="A19" s="568">
        <f t="shared" si="0"/>
        <v>13</v>
      </c>
      <c r="E19" s="155"/>
      <c r="F19" s="158"/>
    </row>
    <row r="20" spans="1:15">
      <c r="A20" s="568">
        <f t="shared" si="0"/>
        <v>14</v>
      </c>
      <c r="D20" s="153" t="s">
        <v>429</v>
      </c>
      <c r="E20" s="159" t="s">
        <v>1077</v>
      </c>
      <c r="F20" s="158">
        <f>2598261-89330</f>
        <v>2508931</v>
      </c>
      <c r="G20" s="590"/>
      <c r="H20" s="590"/>
      <c r="I20" s="590"/>
      <c r="J20" s="590"/>
      <c r="K20" s="590"/>
      <c r="L20" s="590"/>
      <c r="M20" s="590"/>
      <c r="N20" s="590"/>
      <c r="O20" s="590"/>
    </row>
    <row r="21" spans="1:15">
      <c r="A21" s="568">
        <f t="shared" si="0"/>
        <v>15</v>
      </c>
      <c r="D21" s="153" t="s">
        <v>529</v>
      </c>
      <c r="E21" s="159" t="s">
        <v>318</v>
      </c>
      <c r="F21" s="162">
        <f>'Schedule 3'!F39</f>
        <v>0.19820572</v>
      </c>
    </row>
    <row r="22" spans="1:15">
      <c r="A22" s="568">
        <f t="shared" si="0"/>
        <v>16</v>
      </c>
      <c r="D22" s="153" t="s">
        <v>430</v>
      </c>
      <c r="E22" s="161" t="s">
        <v>280</v>
      </c>
      <c r="F22" s="158">
        <f>F20*F21</f>
        <v>497284.47528532002</v>
      </c>
    </row>
    <row r="23" spans="1:15">
      <c r="A23" s="568">
        <f t="shared" si="0"/>
        <v>17</v>
      </c>
      <c r="E23" s="155"/>
      <c r="F23" s="158"/>
    </row>
    <row r="24" spans="1:15">
      <c r="A24" s="568">
        <f t="shared" si="0"/>
        <v>18</v>
      </c>
      <c r="D24" s="153" t="s">
        <v>431</v>
      </c>
      <c r="E24" s="159" t="s">
        <v>964</v>
      </c>
      <c r="F24" s="158">
        <v>0</v>
      </c>
    </row>
    <row r="25" spans="1:15">
      <c r="A25" s="568">
        <f t="shared" si="0"/>
        <v>19</v>
      </c>
      <c r="F25" s="162"/>
    </row>
    <row r="26" spans="1:15">
      <c r="A26" s="568">
        <f t="shared" si="0"/>
        <v>20</v>
      </c>
      <c r="D26" s="153" t="s">
        <v>963</v>
      </c>
      <c r="E26" s="159" t="s">
        <v>522</v>
      </c>
      <c r="F26" s="158">
        <v>9745.49</v>
      </c>
      <c r="H26" s="163"/>
    </row>
    <row r="27" spans="1:15">
      <c r="A27" s="568">
        <f t="shared" si="0"/>
        <v>21</v>
      </c>
      <c r="E27" s="155"/>
      <c r="F27" s="158"/>
    </row>
    <row r="28" spans="1:15">
      <c r="A28" s="568">
        <f t="shared" si="0"/>
        <v>22</v>
      </c>
      <c r="D28" s="153" t="s">
        <v>432</v>
      </c>
      <c r="E28" s="161" t="s">
        <v>207</v>
      </c>
      <c r="F28" s="158">
        <f>F14+F18+F22+F24+F26</f>
        <v>19691874.653869338</v>
      </c>
    </row>
    <row r="29" spans="1:15">
      <c r="A29" s="568">
        <f t="shared" si="0"/>
        <v>23</v>
      </c>
      <c r="E29" s="155"/>
      <c r="F29" s="162"/>
    </row>
    <row r="30" spans="1:15">
      <c r="A30" s="568">
        <f t="shared" si="0"/>
        <v>24</v>
      </c>
      <c r="B30" s="157" t="s">
        <v>36</v>
      </c>
      <c r="F30" s="158"/>
    </row>
    <row r="31" spans="1:15">
      <c r="A31" s="568">
        <f t="shared" si="0"/>
        <v>25</v>
      </c>
      <c r="F31" s="158"/>
    </row>
    <row r="32" spans="1:15">
      <c r="A32" s="568">
        <f t="shared" si="0"/>
        <v>26</v>
      </c>
      <c r="D32" s="153" t="s">
        <v>523</v>
      </c>
      <c r="E32" s="159" t="s">
        <v>917</v>
      </c>
      <c r="F32" s="158">
        <v>9097851</v>
      </c>
    </row>
    <row r="33" spans="1:15">
      <c r="A33" s="568">
        <f t="shared" si="0"/>
        <v>27</v>
      </c>
      <c r="D33" s="153" t="s">
        <v>530</v>
      </c>
      <c r="E33" s="161" t="s">
        <v>318</v>
      </c>
      <c r="F33" s="160">
        <f>'Schedule 3'!F27</f>
        <v>0.12451988999999999</v>
      </c>
    </row>
    <row r="34" spans="1:15">
      <c r="A34" s="568">
        <f t="shared" si="0"/>
        <v>28</v>
      </c>
      <c r="D34" s="153" t="s">
        <v>320</v>
      </c>
      <c r="E34" s="161" t="s">
        <v>290</v>
      </c>
      <c r="F34" s="158">
        <f>F33*F32</f>
        <v>1132863.40575639</v>
      </c>
    </row>
    <row r="35" spans="1:15">
      <c r="A35" s="568">
        <f t="shared" si="0"/>
        <v>29</v>
      </c>
      <c r="F35" s="158"/>
    </row>
    <row r="36" spans="1:15">
      <c r="A36" s="568">
        <f t="shared" si="0"/>
        <v>30</v>
      </c>
      <c r="B36" s="157" t="s">
        <v>400</v>
      </c>
    </row>
    <row r="37" spans="1:15">
      <c r="A37" s="568">
        <f t="shared" si="0"/>
        <v>31</v>
      </c>
    </row>
    <row r="38" spans="1:15">
      <c r="A38" s="568">
        <f t="shared" si="0"/>
        <v>32</v>
      </c>
      <c r="D38" s="153" t="s">
        <v>453</v>
      </c>
      <c r="E38" s="159" t="s">
        <v>1025</v>
      </c>
      <c r="F38" s="93">
        <v>-3002546</v>
      </c>
      <c r="G38" s="590"/>
      <c r="H38" s="590"/>
      <c r="I38" s="590"/>
      <c r="J38" s="590"/>
      <c r="K38" s="590"/>
      <c r="L38" s="590"/>
      <c r="M38" s="590"/>
      <c r="N38" s="590"/>
      <c r="O38" s="590"/>
    </row>
    <row r="39" spans="1:15">
      <c r="A39" s="568">
        <f t="shared" si="0"/>
        <v>33</v>
      </c>
      <c r="D39" s="153" t="s">
        <v>529</v>
      </c>
      <c r="E39" s="159" t="s">
        <v>318</v>
      </c>
      <c r="F39" s="153">
        <f>'Schedule 3'!F39</f>
        <v>0.19820572</v>
      </c>
    </row>
    <row r="40" spans="1:15">
      <c r="A40" s="568">
        <f t="shared" si="0"/>
        <v>34</v>
      </c>
      <c r="D40" s="153" t="s">
        <v>401</v>
      </c>
      <c r="E40" s="161" t="s">
        <v>532</v>
      </c>
      <c r="F40" s="93">
        <f>F38*F39</f>
        <v>-595121.79176311998</v>
      </c>
    </row>
    <row r="41" spans="1:15">
      <c r="A41" s="568">
        <f t="shared" si="0"/>
        <v>35</v>
      </c>
      <c r="D41" s="153" t="s">
        <v>402</v>
      </c>
      <c r="E41" s="164">
        <v>-34</v>
      </c>
      <c r="F41" s="163">
        <f>F40</f>
        <v>-595121.79176311998</v>
      </c>
    </row>
    <row r="42" spans="1:15">
      <c r="A42" s="568">
        <f t="shared" si="0"/>
        <v>36</v>
      </c>
    </row>
    <row r="43" spans="1:15">
      <c r="A43" s="568">
        <f t="shared" si="0"/>
        <v>37</v>
      </c>
    </row>
    <row r="44" spans="1:15">
      <c r="A44" s="568">
        <f t="shared" si="0"/>
        <v>38</v>
      </c>
      <c r="B44" s="157" t="s">
        <v>403</v>
      </c>
    </row>
    <row r="45" spans="1:15">
      <c r="A45" s="568">
        <f t="shared" si="0"/>
        <v>39</v>
      </c>
    </row>
    <row r="46" spans="1:15">
      <c r="A46" s="568">
        <f t="shared" si="0"/>
        <v>40</v>
      </c>
      <c r="D46" s="153" t="s">
        <v>967</v>
      </c>
      <c r="E46" s="159" t="s">
        <v>1322</v>
      </c>
      <c r="F46" s="165">
        <f>20819856+2743535+321531+1173729+1604927</f>
        <v>26663578</v>
      </c>
    </row>
    <row r="47" spans="1:15">
      <c r="A47" s="568">
        <f t="shared" si="0"/>
        <v>41</v>
      </c>
      <c r="D47" s="153" t="s">
        <v>229</v>
      </c>
      <c r="E47" s="159" t="s">
        <v>80</v>
      </c>
      <c r="F47" s="165">
        <f>'Schedule 2 Workpaper page 3'!C12</f>
        <v>5394913.9000000004</v>
      </c>
    </row>
    <row r="48" spans="1:15">
      <c r="A48" s="568">
        <f t="shared" si="0"/>
        <v>42</v>
      </c>
      <c r="D48" s="153" t="s">
        <v>581</v>
      </c>
      <c r="E48" s="159" t="s">
        <v>965</v>
      </c>
      <c r="F48" s="93">
        <f>-(F47*'Schedule 3'!F9)</f>
        <v>-137418.05997974201</v>
      </c>
    </row>
    <row r="49" spans="1:6">
      <c r="A49" s="568">
        <f t="shared" si="0"/>
        <v>43</v>
      </c>
      <c r="D49" s="153" t="s">
        <v>582</v>
      </c>
      <c r="E49" s="159" t="s">
        <v>966</v>
      </c>
      <c r="F49" s="166">
        <f>-(F47*'Schedule 3'!F16)</f>
        <v>-5527.3050871060004</v>
      </c>
    </row>
    <row r="50" spans="1:6">
      <c r="A50" s="568">
        <f t="shared" si="0"/>
        <v>44</v>
      </c>
      <c r="D50" s="153" t="s">
        <v>230</v>
      </c>
      <c r="E50" s="159" t="s">
        <v>80</v>
      </c>
      <c r="F50" s="165">
        <f>'Schedule 2 Workpaper page 3'!C14</f>
        <v>1814236.4</v>
      </c>
    </row>
    <row r="51" spans="1:6">
      <c r="A51" s="568">
        <f t="shared" si="0"/>
        <v>45</v>
      </c>
      <c r="D51" s="153" t="s">
        <v>530</v>
      </c>
      <c r="E51" s="159" t="s">
        <v>318</v>
      </c>
      <c r="F51" s="167">
        <f>'Schedule 3'!F27</f>
        <v>0.12451988999999999</v>
      </c>
    </row>
    <row r="52" spans="1:6">
      <c r="A52" s="568">
        <f t="shared" si="0"/>
        <v>46</v>
      </c>
      <c r="D52" s="153" t="s">
        <v>447</v>
      </c>
      <c r="E52" s="159" t="s">
        <v>539</v>
      </c>
      <c r="F52" s="165">
        <f>F50*F51</f>
        <v>225908.51696199598</v>
      </c>
    </row>
    <row r="53" spans="1:6">
      <c r="A53" s="568">
        <f t="shared" si="0"/>
        <v>47</v>
      </c>
      <c r="D53" s="153" t="s">
        <v>1321</v>
      </c>
      <c r="E53" s="159" t="s">
        <v>1323</v>
      </c>
      <c r="F53" s="165">
        <f>14043578+91850+651894+51486</f>
        <v>14838808</v>
      </c>
    </row>
    <row r="54" spans="1:6">
      <c r="A54" s="568">
        <f t="shared" si="0"/>
        <v>48</v>
      </c>
      <c r="D54" s="153" t="s">
        <v>528</v>
      </c>
      <c r="E54" s="159" t="s">
        <v>538</v>
      </c>
      <c r="F54" s="166">
        <f>-F53</f>
        <v>-14838808</v>
      </c>
    </row>
    <row r="55" spans="1:6">
      <c r="A55" s="568">
        <f t="shared" si="0"/>
        <v>49</v>
      </c>
      <c r="D55" s="153" t="s">
        <v>530</v>
      </c>
      <c r="E55" s="159" t="s">
        <v>318</v>
      </c>
      <c r="F55" s="167">
        <f>'Schedule 3'!F27</f>
        <v>0.12451988999999999</v>
      </c>
    </row>
    <row r="56" spans="1:6">
      <c r="A56" s="568">
        <f t="shared" si="0"/>
        <v>50</v>
      </c>
      <c r="D56" s="153" t="s">
        <v>404</v>
      </c>
      <c r="E56" s="161" t="s">
        <v>291</v>
      </c>
      <c r="F56" s="166">
        <f>(F53+F54)*F55</f>
        <v>0</v>
      </c>
    </row>
    <row r="57" spans="1:6">
      <c r="A57" s="568">
        <f t="shared" si="0"/>
        <v>51</v>
      </c>
      <c r="F57" s="165"/>
    </row>
    <row r="58" spans="1:6">
      <c r="A58" s="568">
        <f t="shared" si="0"/>
        <v>52</v>
      </c>
      <c r="D58" s="153" t="s">
        <v>448</v>
      </c>
      <c r="E58" s="161" t="s">
        <v>292</v>
      </c>
      <c r="F58" s="165">
        <f>F47+F48+F49+F52+F56</f>
        <v>5477877.0518951472</v>
      </c>
    </row>
    <row r="59" spans="1:6">
      <c r="A59" s="568">
        <f t="shared" si="0"/>
        <v>53</v>
      </c>
    </row>
    <row r="60" spans="1:6">
      <c r="A60" s="568">
        <f t="shared" si="0"/>
        <v>54</v>
      </c>
    </row>
    <row r="61" spans="1:6">
      <c r="A61" s="568">
        <f t="shared" si="0"/>
        <v>55</v>
      </c>
      <c r="B61" s="157" t="s">
        <v>524</v>
      </c>
    </row>
    <row r="62" spans="1:6">
      <c r="A62" s="568">
        <f t="shared" si="0"/>
        <v>56</v>
      </c>
    </row>
    <row r="63" spans="1:6">
      <c r="A63" s="568">
        <f t="shared" si="0"/>
        <v>57</v>
      </c>
      <c r="D63" s="157" t="s">
        <v>524</v>
      </c>
      <c r="E63" s="159" t="s">
        <v>918</v>
      </c>
      <c r="F63" s="93">
        <v>7172382</v>
      </c>
    </row>
    <row r="64" spans="1:6">
      <c r="A64" s="568">
        <f t="shared" si="0"/>
        <v>58</v>
      </c>
      <c r="D64" s="153" t="s">
        <v>530</v>
      </c>
      <c r="E64" s="159" t="s">
        <v>318</v>
      </c>
      <c r="F64" s="153">
        <f>'Schedule 3'!F27</f>
        <v>0.12451988999999999</v>
      </c>
    </row>
    <row r="65" spans="1:6">
      <c r="A65" s="568">
        <f t="shared" si="0"/>
        <v>59</v>
      </c>
      <c r="D65" s="153" t="s">
        <v>497</v>
      </c>
      <c r="E65" s="161" t="s">
        <v>293</v>
      </c>
      <c r="F65" s="163">
        <f>F63*F64</f>
        <v>893104.21767797996</v>
      </c>
    </row>
    <row r="66" spans="1:6">
      <c r="A66" s="568">
        <f t="shared" si="0"/>
        <v>60</v>
      </c>
    </row>
    <row r="67" spans="1:6">
      <c r="A67" s="568">
        <f t="shared" si="0"/>
        <v>61</v>
      </c>
      <c r="B67" s="157" t="s">
        <v>210</v>
      </c>
    </row>
    <row r="68" spans="1:6">
      <c r="A68" s="568">
        <f t="shared" si="0"/>
        <v>62</v>
      </c>
      <c r="D68" s="154" t="s">
        <v>212</v>
      </c>
      <c r="E68" s="159" t="s">
        <v>211</v>
      </c>
      <c r="F68" s="168">
        <v>20082639</v>
      </c>
    </row>
    <row r="69" spans="1:6">
      <c r="A69" s="568">
        <f t="shared" si="0"/>
        <v>63</v>
      </c>
      <c r="D69" s="153" t="s">
        <v>213</v>
      </c>
      <c r="E69" s="159" t="s">
        <v>184</v>
      </c>
      <c r="F69" s="93">
        <f>- 'Schedule 7'!G82</f>
        <v>-491560.39000000013</v>
      </c>
    </row>
    <row r="70" spans="1:6">
      <c r="A70" s="568">
        <f t="shared" si="0"/>
        <v>64</v>
      </c>
      <c r="D70" s="153" t="s">
        <v>214</v>
      </c>
      <c r="E70" s="159" t="s">
        <v>584</v>
      </c>
      <c r="F70" s="169">
        <f>-'Schedule 8'!G17</f>
        <v>-19563.96</v>
      </c>
    </row>
    <row r="71" spans="1:6">
      <c r="A71" s="568">
        <f t="shared" si="0"/>
        <v>65</v>
      </c>
      <c r="D71" s="153" t="s">
        <v>210</v>
      </c>
      <c r="E71" s="161" t="s">
        <v>294</v>
      </c>
      <c r="F71" s="168">
        <f>SUM(F68:F70)</f>
        <v>19571514.649999999</v>
      </c>
    </row>
    <row r="72" spans="1:6">
      <c r="A72" s="568">
        <f t="shared" si="0"/>
        <v>66</v>
      </c>
    </row>
    <row r="73" spans="1:6">
      <c r="A73" s="568">
        <f>A72+1</f>
        <v>67</v>
      </c>
      <c r="B73" s="157" t="s">
        <v>215</v>
      </c>
    </row>
    <row r="74" spans="1:6">
      <c r="A74" s="568">
        <f>A73+1</f>
        <v>68</v>
      </c>
      <c r="D74" s="153" t="s">
        <v>167</v>
      </c>
      <c r="E74" s="159" t="s">
        <v>1324</v>
      </c>
      <c r="F74" s="166">
        <f>27335660-(0+14190.72)</f>
        <v>27321469.280000001</v>
      </c>
    </row>
    <row r="75" spans="1:6">
      <c r="A75" s="568">
        <f>A74+1</f>
        <v>69</v>
      </c>
      <c r="D75" s="153" t="s">
        <v>197</v>
      </c>
      <c r="E75" s="159" t="s">
        <v>487</v>
      </c>
      <c r="F75" s="166">
        <f>-'Schedule 2 Workpaper page 1'!E61</f>
        <v>-402164.43819400168</v>
      </c>
    </row>
    <row r="76" spans="1:6">
      <c r="A76" s="568">
        <f>A75+1</f>
        <v>70</v>
      </c>
      <c r="D76" s="153" t="s">
        <v>198</v>
      </c>
      <c r="E76" s="159" t="s">
        <v>488</v>
      </c>
      <c r="F76" s="170">
        <f>-'Schedule 2 Workpaper page 2'!F10</f>
        <v>-27992</v>
      </c>
    </row>
    <row r="77" spans="1:6">
      <c r="A77" s="568">
        <f>A76+1</f>
        <v>71</v>
      </c>
      <c r="D77" s="153" t="s">
        <v>216</v>
      </c>
      <c r="E77" s="161" t="s">
        <v>783</v>
      </c>
      <c r="F77" s="168">
        <f>SUM(F74:F76)</f>
        <v>26891312.841805998</v>
      </c>
    </row>
    <row r="80" spans="1:6">
      <c r="D80" s="168"/>
    </row>
  </sheetData>
  <sheetProtection formatCells="0"/>
  <mergeCells count="2">
    <mergeCell ref="A1:F1"/>
    <mergeCell ref="A2:F2"/>
  </mergeCells>
  <phoneticPr fontId="0" type="noConversion"/>
  <conditionalFormatting sqref="F75">
    <cfRule type="cellIs" dxfId="4" priority="2" operator="greaterThan">
      <formula>0</formula>
    </cfRule>
  </conditionalFormatting>
  <conditionalFormatting sqref="F47 F50">
    <cfRule type="cellIs" dxfId="3" priority="1" operator="lessThan">
      <formula>0</formula>
    </cfRule>
  </conditionalFormatting>
  <printOptions horizontalCentered="1"/>
  <pageMargins left="0.75" right="0.75" top="1" bottom="1" header="0.5" footer="0.5"/>
  <pageSetup scale="64" orientation="portrait" r:id="rId1"/>
  <headerFooter alignWithMargins="0">
    <oddHeader>&amp;CIDAHO POWER COMPANY
Transmission Cost of Service Rate Development
12 Months Ended 12/31/2014</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39</vt:i4>
      </vt:variant>
      <vt:variant>
        <vt:lpstr>Named Ranges</vt:lpstr>
      </vt:variant>
      <vt:variant>
        <vt:i4>29</vt:i4>
      </vt:variant>
    </vt:vector>
  </HeadingPairs>
  <TitlesOfParts>
    <vt:vector size="68" baseType="lpstr">
      <vt:lpstr>Title Page</vt:lpstr>
      <vt:lpstr>List of Worksheets</vt:lpstr>
      <vt:lpstr>Schedule 7, 8 and 9 Rates</vt:lpstr>
      <vt:lpstr>Calc of PTP</vt:lpstr>
      <vt:lpstr>Calc of NT Rev Req</vt:lpstr>
      <vt:lpstr>Revenue Credits</vt:lpstr>
      <vt:lpstr>Rate Calculation</vt:lpstr>
      <vt:lpstr>Schedule 1</vt:lpstr>
      <vt:lpstr>Schedule 2</vt:lpstr>
      <vt:lpstr>Schedule 3</vt:lpstr>
      <vt:lpstr>Schedule 4</vt:lpstr>
      <vt:lpstr>Schedule 5</vt:lpstr>
      <vt:lpstr>Schedule 6</vt:lpstr>
      <vt:lpstr>Schedule 7</vt:lpstr>
      <vt:lpstr>Schedule 8</vt:lpstr>
      <vt:lpstr>Schedule 9</vt:lpstr>
      <vt:lpstr>Schedule 10</vt:lpstr>
      <vt:lpstr>Schedule 11</vt:lpstr>
      <vt:lpstr>Schedule 12</vt:lpstr>
      <vt:lpstr>Schedule 13</vt:lpstr>
      <vt:lpstr>Workpapers Title Page</vt:lpstr>
      <vt:lpstr>Schedule 1 Workpaper</vt:lpstr>
      <vt:lpstr>Schedule 2 Workpaper page 1</vt:lpstr>
      <vt:lpstr>Schedule 2 Workpaper page 2</vt:lpstr>
      <vt:lpstr>Schedule 2 Workpaper page 3</vt:lpstr>
      <vt:lpstr>Schedule 2 Workpaper page 4</vt:lpstr>
      <vt:lpstr>Schedule 4 Workpaper page 1</vt:lpstr>
      <vt:lpstr>Schedule 4 Workpaper page 2</vt:lpstr>
      <vt:lpstr>Schedule 4 Workpaper page 3</vt:lpstr>
      <vt:lpstr>Schedule 4 Workpaper page 4</vt:lpstr>
      <vt:lpstr>Schedule 4 Workpaper page 5</vt:lpstr>
      <vt:lpstr>Schedule 4 Workpaper page 6</vt:lpstr>
      <vt:lpstr>Schedule 4 Workpaper page 7</vt:lpstr>
      <vt:lpstr>Schedule 5 Workpaper </vt:lpstr>
      <vt:lpstr>Schedule 6 Workpaper page 1</vt:lpstr>
      <vt:lpstr>Schedule 6 Workpaper page 2</vt:lpstr>
      <vt:lpstr>Schedule 6 Workpaper page 3</vt:lpstr>
      <vt:lpstr>Schedule 7 Workpaper</vt:lpstr>
      <vt:lpstr>Schedule 8 Workpaper</vt:lpstr>
      <vt:lpstr>'Schedule 1'!Print_Area</vt:lpstr>
      <vt:lpstr>'Schedule 1 Workpaper'!Print_Area</vt:lpstr>
      <vt:lpstr>'Schedule 10'!Print_Area</vt:lpstr>
      <vt:lpstr>'Schedule 12'!Print_Area</vt:lpstr>
      <vt:lpstr>'Schedule 13'!Print_Area</vt:lpstr>
      <vt:lpstr>'Schedule 2'!Print_Area</vt:lpstr>
      <vt:lpstr>'Schedule 2 Workpaper page 1'!Print_Area</vt:lpstr>
      <vt:lpstr>'Schedule 2 Workpaper page 4'!Print_Area</vt:lpstr>
      <vt:lpstr>'Schedule 3'!Print_Area</vt:lpstr>
      <vt:lpstr>'Schedule 4'!Print_Area</vt:lpstr>
      <vt:lpstr>'Schedule 4 Workpaper page 1'!Print_Area</vt:lpstr>
      <vt:lpstr>'Schedule 4 Workpaper page 2'!Print_Area</vt:lpstr>
      <vt:lpstr>'Schedule 4 Workpaper page 3'!Print_Area</vt:lpstr>
      <vt:lpstr>'Schedule 4 Workpaper page 4'!Print_Area</vt:lpstr>
      <vt:lpstr>'Schedule 4 Workpaper page 7'!Print_Area</vt:lpstr>
      <vt:lpstr>'Schedule 5'!Print_Area</vt:lpstr>
      <vt:lpstr>'Schedule 5 Workpaper '!Print_Area</vt:lpstr>
      <vt:lpstr>'Schedule 6 Workpaper page 3'!Print_Area</vt:lpstr>
      <vt:lpstr>'Schedule 7'!Print_Area</vt:lpstr>
      <vt:lpstr>'Schedule 7 Workpaper'!Print_Area</vt:lpstr>
      <vt:lpstr>'Schedule 7, 8 and 9 Rates'!Print_Area</vt:lpstr>
      <vt:lpstr>'Schedule 8'!Print_Area</vt:lpstr>
      <vt:lpstr>'Schedule 8 Workpaper'!Print_Area</vt:lpstr>
      <vt:lpstr>'Schedule 9'!Print_Area</vt:lpstr>
      <vt:lpstr>'Title Page'!Print_Area</vt:lpstr>
      <vt:lpstr>'Schedule 2 Workpaper page 4'!Print_Titles</vt:lpstr>
      <vt:lpstr>'Schedule 4 Workpaper page 2'!Print_Titles</vt:lpstr>
      <vt:lpstr>'Schedule 7'!Print_Titles</vt:lpstr>
      <vt:lpstr>'Schedule 7 Workpaper'!Print_Titles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2008-08-26T14:24:20Z</cp:lastPrinted>
  <dcterms:created xsi:type="dcterms:W3CDTF">1970-01-01T05:00:00Z</dcterms:created>
  <dcterms:modified xsi:type="dcterms:W3CDTF">2015-07-23T21:19:07Z</dcterms:modified>
</cp:coreProperties>
</file>