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fileSharing readOnlyRecommended="1"/>
  <workbookPr filterPrivacy="1" codeName="ThisWorkbook" defaultThemeVersion="124226"/>
  <bookViews>
    <workbookView xWindow="0" yWindow="0" windowWidth="19005" windowHeight="12240"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2 Workpaper page 5" sheetId="48" r:id="rId27"/>
    <sheet name="Schedule 4 Workpaper page 1" sheetId="19" r:id="rId28"/>
    <sheet name="Schedule 4 Workpaper page 2" sheetId="47" r:id="rId29"/>
    <sheet name="Schedule 4 Workpaper page 3" sheetId="21" r:id="rId30"/>
    <sheet name="Schedule 4 Workpaper page 4" sheetId="23" r:id="rId31"/>
    <sheet name="Schedule 4 Workpaper page 5" sheetId="20" r:id="rId32"/>
    <sheet name="Schedule 4 Workpaper page 6" sheetId="6" r:id="rId33"/>
    <sheet name="Schedule 4 Workpaper page 7" sheetId="30" r:id="rId34"/>
    <sheet name="Schedule 5 Workpaper " sheetId="8" r:id="rId35"/>
    <sheet name="Schedule 6 Workpaper page 1" sheetId="10" r:id="rId36"/>
    <sheet name="Schedule 6 Workpaper page 2" sheetId="11" r:id="rId37"/>
    <sheet name="Schedule 6 Workpaper page 3" sheetId="12" r:id="rId38"/>
    <sheet name="Schedule 7 Workpaper" sheetId="42" r:id="rId39"/>
    <sheet name="Schedule 8 Workpaper" sheetId="45" r:id="rId40"/>
  </sheets>
  <definedNames>
    <definedName name="_xlnm._FilterDatabase" localSheetId="28" hidden="1">'Schedule 4 Workpaper page 2'!$A$5:$I$645</definedName>
    <definedName name="LKUP_Func">#REF!</definedName>
    <definedName name="_xlnm.Print_Area" localSheetId="7">'Schedule 1'!$A$1:$F$85</definedName>
    <definedName name="_xlnm.Print_Area" localSheetId="21">'Schedule 1 Workpaper'!$A$1:$F$14</definedName>
    <definedName name="_xlnm.Print_Area" localSheetId="16">'Schedule 10'!$A$1:$G$65</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1'!$A$1:$E$64</definedName>
    <definedName name="_xlnm.Print_Area" localSheetId="25">'Schedule 2 Workpaper page 4'!$A$1:$H$175</definedName>
    <definedName name="_xlnm.Print_Area" localSheetId="9">'Schedule 3'!$A$1:$F$55</definedName>
    <definedName name="_xlnm.Print_Area" localSheetId="10">'Schedule 4'!$A$1:$E$31</definedName>
    <definedName name="_xlnm.Print_Area" localSheetId="27">'Schedule 4 Workpaper page 1'!$A$1:$H$38</definedName>
    <definedName name="_xlnm.Print_Area" localSheetId="28">'Schedule 4 Workpaper page 2'!$A$1:$I$645</definedName>
    <definedName name="_xlnm.Print_Area" localSheetId="29">'Schedule 4 Workpaper page 3'!$A$1:$L$88</definedName>
    <definedName name="_xlnm.Print_Area" localSheetId="30">'Schedule 4 Workpaper page 4'!$A$1:$E$20</definedName>
    <definedName name="_xlnm.Print_Area" localSheetId="33">'Schedule 4 Workpaper page 7'!$A$1:$E$14</definedName>
    <definedName name="_xlnm.Print_Area" localSheetId="11">'Schedule 5'!$A$1:$M$70</definedName>
    <definedName name="_xlnm.Print_Area" localSheetId="34">'Schedule 5 Workpaper '!$A$1:$H$58</definedName>
    <definedName name="_xlnm.Print_Area" localSheetId="37">'Schedule 6 Workpaper page 3'!$A$1:$G$18</definedName>
    <definedName name="_xlnm.Print_Area" localSheetId="13">'Schedule 7'!$A$1:$G$90</definedName>
    <definedName name="_xlnm.Print_Area" localSheetId="38">'Schedule 7 Workpaper'!$A$1:$Q$91</definedName>
    <definedName name="_xlnm.Print_Area" localSheetId="2">'Schedule 7, 8 and 9 Rates'!$A$1:$K$25</definedName>
    <definedName name="_xlnm.Print_Area" localSheetId="14">'Schedule 8'!$A$1:$G$25</definedName>
    <definedName name="_xlnm.Print_Area" localSheetId="39">'Schedule 8 Workpaper'!$A$1:$P$18</definedName>
    <definedName name="_xlnm.Print_Area" localSheetId="15">'Schedule 9'!$A$1:$J$57</definedName>
    <definedName name="_xlnm.Print_Area" localSheetId="0">'Title Page'!$A$1:$I$43</definedName>
    <definedName name="_xlnm.Print_Titles" localSheetId="25">'Schedule 2 Workpaper page 4'!$1:$2</definedName>
    <definedName name="_xlnm.Print_Titles" localSheetId="28">'Schedule 4 Workpaper page 2'!$1:$5</definedName>
    <definedName name="_xlnm.Print_Titles" localSheetId="13">'Schedule 7'!$1:$7</definedName>
    <definedName name="_xlnm.Print_Titles" localSheetId="38">'Schedule 7 Workpaper'!$A:$B,'Schedule 7 Workpaper'!$1:$7</definedName>
  </definedNames>
  <calcPr calcId="171027"/>
</workbook>
</file>

<file path=xl/calcChain.xml><?xml version="1.0" encoding="utf-8"?>
<calcChain xmlns="http://schemas.openxmlformats.org/spreadsheetml/2006/main">
  <c r="E51" i="17" l="1"/>
  <c r="G8" i="42" l="1"/>
  <c r="M9" i="42" l="1"/>
  <c r="H8" i="42" l="1"/>
  <c r="G17" i="12"/>
  <c r="F23" i="8"/>
  <c r="E23" i="8"/>
  <c r="B23" i="8"/>
  <c r="K30" i="6"/>
  <c r="E72" i="21"/>
  <c r="G9" i="20"/>
  <c r="E11" i="20"/>
  <c r="E78" i="21"/>
  <c r="E80" i="21"/>
  <c r="F72" i="21"/>
  <c r="E85" i="21"/>
  <c r="E87" i="21"/>
  <c r="E77" i="21"/>
  <c r="E74" i="21"/>
  <c r="G639" i="47"/>
  <c r="G638" i="47"/>
  <c r="G637" i="47"/>
  <c r="D35" i="19"/>
  <c r="E48" i="17"/>
  <c r="E90" i="14" l="1"/>
  <c r="B11" i="7"/>
  <c r="E9" i="14"/>
  <c r="E11" i="14"/>
  <c r="E12" i="14"/>
  <c r="E13" i="14"/>
  <c r="E14" i="14"/>
  <c r="E15" i="14"/>
  <c r="E16" i="14"/>
  <c r="E17" i="14"/>
  <c r="E18" i="14"/>
  <c r="E19" i="14"/>
  <c r="E20" i="14"/>
  <c r="E21" i="14"/>
  <c r="E22" i="14"/>
  <c r="E23" i="14"/>
  <c r="E24"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6" i="14"/>
  <c r="E67" i="14"/>
  <c r="E68" i="14"/>
  <c r="E71" i="14"/>
  <c r="E72" i="14"/>
  <c r="E74" i="14"/>
  <c r="E75" i="14"/>
  <c r="E77" i="14"/>
  <c r="E79" i="14"/>
  <c r="E81" i="14"/>
  <c r="E82" i="14"/>
  <c r="E83" i="14"/>
  <c r="E85" i="14"/>
  <c r="E87" i="14"/>
  <c r="E8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9" i="14"/>
  <c r="B70" i="14"/>
  <c r="B71" i="14"/>
  <c r="B72" i="14"/>
  <c r="B73" i="14"/>
  <c r="B74" i="14"/>
  <c r="B75" i="14"/>
  <c r="B76" i="14"/>
  <c r="B77" i="14"/>
  <c r="B78" i="14"/>
  <c r="B79" i="14"/>
  <c r="B80" i="14"/>
  <c r="B81" i="14"/>
  <c r="B82" i="14"/>
  <c r="B83" i="14"/>
  <c r="B84" i="14"/>
  <c r="B85" i="14"/>
  <c r="B86" i="14"/>
  <c r="B87" i="14"/>
  <c r="B88" i="14"/>
  <c r="B8" i="14"/>
  <c r="C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E25" i="42"/>
  <c r="E26" i="42"/>
  <c r="S25" i="42"/>
  <c r="Q25" i="42"/>
  <c r="G25" i="14" s="1"/>
  <c r="K25" i="42"/>
  <c r="G25" i="42"/>
  <c r="H25" i="42" l="1"/>
  <c r="E25" i="14"/>
  <c r="M25" i="42"/>
  <c r="N25" i="42" s="1"/>
  <c r="O25" i="42" s="1"/>
  <c r="E63" i="42"/>
  <c r="S63" i="42"/>
  <c r="G63" i="42"/>
  <c r="S74" i="42"/>
  <c r="Q74" i="42"/>
  <c r="G74" i="14" s="1"/>
  <c r="K74" i="42"/>
  <c r="G74" i="42"/>
  <c r="E52" i="17"/>
  <c r="P25" i="42" l="1"/>
  <c r="F25" i="14"/>
  <c r="Q63" i="42"/>
  <c r="G63" i="14" s="1"/>
  <c r="E63" i="14"/>
  <c r="D25" i="14"/>
  <c r="T25" i="42"/>
  <c r="U25" i="42" s="1"/>
  <c r="H63" i="42"/>
  <c r="M74" i="42"/>
  <c r="N74" i="42" s="1"/>
  <c r="H74" i="42"/>
  <c r="F12" i="40"/>
  <c r="D74" i="14" l="1"/>
  <c r="M63" i="42"/>
  <c r="T63" i="42" s="1"/>
  <c r="U63" i="42" s="1"/>
  <c r="K63" i="42"/>
  <c r="O74" i="42"/>
  <c r="T74" i="42"/>
  <c r="U74" i="42" s="1"/>
  <c r="N63" i="42" l="1"/>
  <c r="O63" i="42" s="1"/>
  <c r="D63" i="14"/>
  <c r="P74" i="42"/>
  <c r="F74" i="14"/>
  <c r="F74" i="3"/>
  <c r="F53" i="3"/>
  <c r="F46" i="3"/>
  <c r="P63" i="42" l="1"/>
  <c r="F63" i="14"/>
  <c r="F20" i="3"/>
  <c r="F38" i="4"/>
  <c r="D19" i="19" l="1"/>
  <c r="D13" i="19"/>
  <c r="E26" i="6" l="1"/>
  <c r="G26" i="6" l="1"/>
  <c r="K67" i="7" l="1"/>
  <c r="L55" i="7"/>
  <c r="L56" i="7"/>
  <c r="L57" i="7"/>
  <c r="L58" i="7"/>
  <c r="L59" i="7"/>
  <c r="L60" i="7"/>
  <c r="L61" i="7"/>
  <c r="L62" i="7"/>
  <c r="L63" i="7"/>
  <c r="L64" i="7"/>
  <c r="L65" i="7"/>
  <c r="L54" i="7"/>
  <c r="E17" i="5" l="1"/>
  <c r="F73" i="2"/>
  <c r="F27" i="2"/>
  <c r="F20" i="2"/>
  <c r="E40" i="1"/>
  <c r="E15" i="1"/>
  <c r="E7" i="1"/>
  <c r="R10" i="45" l="1"/>
  <c r="R11" i="45"/>
  <c r="R12" i="45"/>
  <c r="R13" i="45"/>
  <c r="R14" i="45"/>
  <c r="R15" i="45"/>
  <c r="R16" i="45"/>
  <c r="R9" i="45"/>
  <c r="C70" i="21" l="1"/>
  <c r="D70" i="21"/>
  <c r="E70" i="21"/>
  <c r="F70" i="21"/>
  <c r="G70" i="21"/>
  <c r="H70" i="21"/>
  <c r="I70" i="21"/>
  <c r="J70" i="21"/>
  <c r="K70" i="21"/>
  <c r="F31" i="19" l="1"/>
  <c r="A12" i="10" l="1"/>
  <c r="A13" i="10" s="1"/>
  <c r="A14" i="10" s="1"/>
  <c r="A15" i="10" s="1"/>
  <c r="A16" i="10" s="1"/>
  <c r="A17" i="10" s="1"/>
  <c r="A18" i="10" s="1"/>
  <c r="A19" i="10" s="1"/>
  <c r="A20" i="10" s="1"/>
  <c r="A21" i="10" s="1"/>
  <c r="A22" i="10" s="1"/>
  <c r="A23" i="10" s="1"/>
  <c r="A24" i="10" s="1"/>
  <c r="A25" i="10" s="1"/>
  <c r="A26" i="10" s="1"/>
  <c r="E24" i="35" l="1"/>
  <c r="E22" i="35"/>
  <c r="E20" i="35"/>
  <c r="E18" i="35"/>
  <c r="F149" i="35"/>
  <c r="F138" i="35"/>
  <c r="F151" i="35" l="1"/>
  <c r="S38" i="42"/>
  <c r="Q38" i="42"/>
  <c r="G38" i="14" s="1"/>
  <c r="G38" i="42"/>
  <c r="S26" i="42"/>
  <c r="Q26" i="42"/>
  <c r="G26" i="14" s="1"/>
  <c r="G26" i="42"/>
  <c r="S15" i="42"/>
  <c r="Q15" i="42"/>
  <c r="G15" i="14" s="1"/>
  <c r="G15" i="42"/>
  <c r="S9" i="42"/>
  <c r="G9" i="42"/>
  <c r="Q9" i="42"/>
  <c r="G9" i="14" s="1"/>
  <c r="D9" i="14" l="1"/>
  <c r="M15" i="42"/>
  <c r="D15" i="14" s="1"/>
  <c r="H26" i="42"/>
  <c r="M26" i="42"/>
  <c r="D26" i="14" s="1"/>
  <c r="J38" i="42"/>
  <c r="M38" i="42" s="1"/>
  <c r="H38" i="42"/>
  <c r="H15" i="42"/>
  <c r="H9" i="42"/>
  <c r="K9" i="42"/>
  <c r="N9" i="42" l="1"/>
  <c r="O9" i="42" s="1"/>
  <c r="F9" i="14" s="1"/>
  <c r="D38" i="14"/>
  <c r="K38" i="42"/>
  <c r="N38" i="42"/>
  <c r="O38" i="42" s="1"/>
  <c r="F38" i="14" s="1"/>
  <c r="T38" i="42"/>
  <c r="U38" i="42" s="1"/>
  <c r="N26" i="42"/>
  <c r="K26" i="42"/>
  <c r="T26" i="42"/>
  <c r="U26" i="42" s="1"/>
  <c r="K15" i="42"/>
  <c r="N15" i="42"/>
  <c r="T9" i="42"/>
  <c r="U9" i="42" s="1"/>
  <c r="O26" i="42" l="1"/>
  <c r="F26" i="14" s="1"/>
  <c r="O15" i="42"/>
  <c r="F15" i="14" s="1"/>
  <c r="P9" i="42"/>
  <c r="P38" i="42"/>
  <c r="P15" i="42"/>
  <c r="T15" i="42"/>
  <c r="U15" i="42" s="1"/>
  <c r="P26" i="42" l="1"/>
  <c r="S10" i="42"/>
  <c r="S11" i="42"/>
  <c r="S12" i="42"/>
  <c r="S13" i="42"/>
  <c r="S14" i="42"/>
  <c r="S16" i="42"/>
  <c r="S17" i="42"/>
  <c r="S18" i="42"/>
  <c r="S19" i="42"/>
  <c r="S20" i="42"/>
  <c r="S21" i="42"/>
  <c r="S22" i="42"/>
  <c r="S23" i="42"/>
  <c r="S24" i="42"/>
  <c r="S27" i="42"/>
  <c r="S28" i="42"/>
  <c r="S29" i="42"/>
  <c r="S30" i="42"/>
  <c r="S31" i="42"/>
  <c r="S32" i="42"/>
  <c r="S33" i="42"/>
  <c r="S34" i="42"/>
  <c r="S35" i="42"/>
  <c r="S36" i="42"/>
  <c r="S37" i="42"/>
  <c r="S39" i="42"/>
  <c r="S40" i="42"/>
  <c r="S41" i="42"/>
  <c r="S42" i="42"/>
  <c r="S43" i="42"/>
  <c r="S44" i="42"/>
  <c r="S45" i="42"/>
  <c r="S46" i="42"/>
  <c r="S47" i="42"/>
  <c r="S48" i="42"/>
  <c r="S49" i="42"/>
  <c r="S50" i="42"/>
  <c r="S51" i="42"/>
  <c r="S52" i="42"/>
  <c r="S53" i="42"/>
  <c r="S54" i="42"/>
  <c r="S55" i="42"/>
  <c r="S56" i="42"/>
  <c r="S57" i="42"/>
  <c r="S58" i="42"/>
  <c r="S59" i="42"/>
  <c r="S60" i="42"/>
  <c r="S61" i="42"/>
  <c r="S62" i="42"/>
  <c r="S64" i="42"/>
  <c r="S65" i="42"/>
  <c r="S66" i="42"/>
  <c r="S67" i="42"/>
  <c r="S68" i="42"/>
  <c r="S69" i="42"/>
  <c r="S70" i="42"/>
  <c r="S71" i="42"/>
  <c r="S72" i="42"/>
  <c r="S73" i="42"/>
  <c r="S75" i="42"/>
  <c r="S76" i="42"/>
  <c r="S77" i="42"/>
  <c r="S78" i="42"/>
  <c r="S79" i="42"/>
  <c r="S80" i="42"/>
  <c r="S81" i="42"/>
  <c r="S82" i="42"/>
  <c r="S83" i="42"/>
  <c r="S84" i="42"/>
  <c r="S85" i="42"/>
  <c r="S86" i="42"/>
  <c r="S87" i="42"/>
  <c r="S88" i="42"/>
  <c r="S8" i="42"/>
  <c r="G73" i="42"/>
  <c r="E73" i="42"/>
  <c r="E73" i="14" s="1"/>
  <c r="D73" i="14" l="1"/>
  <c r="Q73" i="42"/>
  <c r="G73" i="14" s="1"/>
  <c r="M73" i="42"/>
  <c r="K73" i="42"/>
  <c r="N73" i="42"/>
  <c r="H73" i="42"/>
  <c r="T73" i="42"/>
  <c r="U73" i="42" s="1"/>
  <c r="O73" i="42" l="1"/>
  <c r="F73" i="14" s="1"/>
  <c r="P73" i="42" l="1"/>
  <c r="P14" i="45"/>
  <c r="A8" i="30" l="1"/>
  <c r="A9" i="30" s="1"/>
  <c r="A10" i="30" s="1"/>
  <c r="A11" i="30" s="1"/>
  <c r="A12" i="30" s="1"/>
  <c r="A13" i="30" s="1"/>
  <c r="A14" i="30" s="1"/>
  <c r="E67" i="7" l="1"/>
  <c r="L67" i="7" l="1"/>
  <c r="A6" i="48" l="1"/>
  <c r="A7" i="48" s="1"/>
  <c r="A8" i="48" s="1"/>
  <c r="A9" i="48" s="1"/>
  <c r="A10" i="48" s="1"/>
  <c r="A11" i="48" s="1"/>
  <c r="A12" i="48" s="1"/>
  <c r="A13" i="48" s="1"/>
  <c r="A14" i="48" s="1"/>
  <c r="A15" i="48" s="1"/>
  <c r="A16" i="48" s="1"/>
  <c r="A17" i="48" s="1"/>
  <c r="A18" i="48" s="1"/>
  <c r="A19" i="48" s="1"/>
  <c r="A20" i="48" s="1"/>
  <c r="D14" i="48"/>
  <c r="D16" i="48" s="1"/>
  <c r="D19" i="48" s="1"/>
  <c r="D9" i="48"/>
  <c r="D18" i="48" s="1"/>
  <c r="D20" i="48" l="1"/>
  <c r="F26" i="3" s="1"/>
  <c r="J67" i="7" l="1"/>
  <c r="F24" i="7"/>
  <c r="H67" i="7"/>
  <c r="I67" i="7"/>
  <c r="H20" i="43" l="1"/>
  <c r="H19" i="43"/>
  <c r="H18" i="43"/>
  <c r="H17" i="43"/>
  <c r="H16" i="43"/>
  <c r="H15" i="43"/>
  <c r="H14" i="43"/>
  <c r="H13" i="43"/>
  <c r="H12" i="43"/>
  <c r="H11" i="43"/>
  <c r="H21" i="43" l="1"/>
  <c r="G20" i="43"/>
  <c r="I20" i="43" s="1"/>
  <c r="E13" i="1" l="1"/>
  <c r="G632" i="47"/>
  <c r="G631" i="47"/>
  <c r="G630" i="47"/>
  <c r="G629" i="47"/>
  <c r="G627" i="47"/>
  <c r="G634" i="47" l="1"/>
  <c r="A12" i="6" l="1"/>
  <c r="K20" i="6"/>
  <c r="K11" i="6"/>
  <c r="K21" i="6"/>
  <c r="K14" i="6"/>
  <c r="K16" i="6"/>
  <c r="K18" i="6"/>
  <c r="A13" i="6" l="1"/>
  <c r="A14" i="6" s="1"/>
  <c r="A15" i="6" s="1"/>
  <c r="A16" i="6" s="1"/>
  <c r="A17" i="6" s="1"/>
  <c r="A18" i="6" s="1"/>
  <c r="A19" i="6" s="1"/>
  <c r="A20" i="6" s="1"/>
  <c r="A21" i="6" s="1"/>
  <c r="A22" i="6" s="1"/>
  <c r="A23" i="6" s="1"/>
  <c r="A24" i="6" s="1"/>
  <c r="A25" i="6" s="1"/>
  <c r="A26" i="6" s="1"/>
  <c r="A27" i="6" s="1"/>
  <c r="A28" i="6" s="1"/>
  <c r="A29" i="6" s="1"/>
  <c r="A30" i="6" s="1"/>
  <c r="E86" i="42"/>
  <c r="E86" i="14" s="1"/>
  <c r="E80" i="42" l="1"/>
  <c r="E80" i="14" s="1"/>
  <c r="E78" i="42"/>
  <c r="E78" i="14" s="1"/>
  <c r="Q75" i="42" l="1"/>
  <c r="G75" i="14" s="1"/>
  <c r="K75" i="42"/>
  <c r="G75" i="42"/>
  <c r="M75" i="42" l="1"/>
  <c r="D75" i="14" s="1"/>
  <c r="H75" i="42"/>
  <c r="N75" i="42" l="1"/>
  <c r="O75" i="42" s="1"/>
  <c r="F75" i="14" s="1"/>
  <c r="T75" i="42"/>
  <c r="U75" i="42" s="1"/>
  <c r="P75" i="42" l="1"/>
  <c r="G19" i="43"/>
  <c r="I19" i="43" s="1"/>
  <c r="G18" i="43"/>
  <c r="I18" i="43" s="1"/>
  <c r="G17" i="43"/>
  <c r="I17" i="43" s="1"/>
  <c r="G16" i="43"/>
  <c r="I16" i="43" s="1"/>
  <c r="G15" i="43"/>
  <c r="I15" i="43" s="1"/>
  <c r="G12" i="43"/>
  <c r="I12" i="43" s="1"/>
  <c r="G11" i="43"/>
  <c r="I11" i="43" s="1"/>
  <c r="G13" i="43"/>
  <c r="I13" i="43" s="1"/>
  <c r="G14" i="43"/>
  <c r="I14" i="43" s="1"/>
  <c r="F21" i="43"/>
  <c r="E52" i="43"/>
  <c r="F28" i="43"/>
  <c r="G21" i="43" l="1"/>
  <c r="Q78" i="42"/>
  <c r="G78" i="14" s="1"/>
  <c r="K78" i="42"/>
  <c r="G78" i="42"/>
  <c r="E64" i="42"/>
  <c r="E64" i="14" s="1"/>
  <c r="E65" i="42"/>
  <c r="E65" i="14" s="1"/>
  <c r="D78" i="14" l="1"/>
  <c r="M78" i="42"/>
  <c r="N78" i="42" s="1"/>
  <c r="H78" i="42"/>
  <c r="T78" i="42"/>
  <c r="U78" i="42" s="1"/>
  <c r="O78" i="42" l="1"/>
  <c r="F78" i="14" s="1"/>
  <c r="Q71" i="42"/>
  <c r="G71" i="14" s="1"/>
  <c r="Q72" i="42"/>
  <c r="G72" i="14" s="1"/>
  <c r="K71" i="42"/>
  <c r="K72" i="42"/>
  <c r="G72" i="42"/>
  <c r="G71" i="42"/>
  <c r="F32" i="7"/>
  <c r="F33" i="7"/>
  <c r="F34" i="7"/>
  <c r="F35" i="7"/>
  <c r="F36" i="7"/>
  <c r="F37" i="7"/>
  <c r="F38" i="7"/>
  <c r="F39" i="7"/>
  <c r="F40" i="7"/>
  <c r="F41" i="7"/>
  <c r="F42" i="7"/>
  <c r="F43" i="7"/>
  <c r="F48" i="2"/>
  <c r="F49" i="2"/>
  <c r="F50" i="2"/>
  <c r="F68" i="2"/>
  <c r="E10" i="42"/>
  <c r="E10" i="14" s="1"/>
  <c r="E8" i="42"/>
  <c r="E8" i="14" s="1"/>
  <c r="Q83" i="42"/>
  <c r="G83" i="14" s="1"/>
  <c r="G83" i="42"/>
  <c r="E84" i="42"/>
  <c r="E84" i="14" s="1"/>
  <c r="E69" i="42"/>
  <c r="E69" i="14" s="1"/>
  <c r="P78" i="42" l="1"/>
  <c r="M71" i="42"/>
  <c r="D71" i="14" s="1"/>
  <c r="H83" i="42"/>
  <c r="M72" i="42"/>
  <c r="N72" i="42" s="1"/>
  <c r="N71" i="42"/>
  <c r="H71" i="42"/>
  <c r="T71" i="42"/>
  <c r="U71" i="42" s="1"/>
  <c r="H72" i="42"/>
  <c r="J83" i="42"/>
  <c r="M83" i="42" s="1"/>
  <c r="A7" i="47"/>
  <c r="A8" i="47" s="1"/>
  <c r="A9" i="47" s="1"/>
  <c r="A10" i="47" s="1"/>
  <c r="A11" i="47" s="1"/>
  <c r="A12" i="47" s="1"/>
  <c r="A13" i="47" s="1"/>
  <c r="A14" i="47" s="1"/>
  <c r="A15" i="47" s="1"/>
  <c r="A16" i="47" s="1"/>
  <c r="A17" i="47" s="1"/>
  <c r="E70" i="42"/>
  <c r="E70" i="14" s="1"/>
  <c r="D72" i="14" l="1"/>
  <c r="D83" i="14"/>
  <c r="O72" i="42"/>
  <c r="F72" i="14" s="1"/>
  <c r="T72" i="42"/>
  <c r="U72" i="42" s="1"/>
  <c r="O71" i="42"/>
  <c r="F71" i="14" s="1"/>
  <c r="A18" i="47"/>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10" i="47" s="1"/>
  <c r="A211" i="47" s="1"/>
  <c r="A212" i="47" s="1"/>
  <c r="A213" i="47" s="1"/>
  <c r="A214" i="47" s="1"/>
  <c r="A215" i="47" s="1"/>
  <c r="A216" i="47" s="1"/>
  <c r="A217" i="47" s="1"/>
  <c r="P72" i="42"/>
  <c r="N83" i="42"/>
  <c r="K83" i="42"/>
  <c r="T83" i="42"/>
  <c r="U83" i="42" s="1"/>
  <c r="P71" i="42" l="1"/>
  <c r="O83" i="42"/>
  <c r="F83" i="14" s="1"/>
  <c r="A218" i="47"/>
  <c r="A219" i="47" s="1"/>
  <c r="A220" i="47" s="1"/>
  <c r="A221" i="47" s="1"/>
  <c r="A222" i="47" s="1"/>
  <c r="A223" i="47" s="1"/>
  <c r="A224" i="47" s="1"/>
  <c r="A225" i="47" s="1"/>
  <c r="A226" i="47" s="1"/>
  <c r="A227" i="47" s="1"/>
  <c r="A228" i="47" s="1"/>
  <c r="A229" i="47" s="1"/>
  <c r="A230" i="47" s="1"/>
  <c r="A231" i="47" s="1"/>
  <c r="P83" i="42" l="1"/>
  <c r="A232" i="47"/>
  <c r="A233" i="47" s="1"/>
  <c r="A234" i="47" s="1"/>
  <c r="A235" i="47" s="1"/>
  <c r="A236" i="47" s="1"/>
  <c r="Q82" i="42"/>
  <c r="G82" i="14" s="1"/>
  <c r="G82" i="42"/>
  <c r="E14" i="16"/>
  <c r="E15" i="16"/>
  <c r="P15" i="45"/>
  <c r="G14" i="16" s="1"/>
  <c r="P16" i="45"/>
  <c r="G15" i="16" s="1"/>
  <c r="I16" i="45"/>
  <c r="I15" i="45"/>
  <c r="L15" i="45" l="1"/>
  <c r="M15" i="45" s="1"/>
  <c r="L16" i="45"/>
  <c r="S16" i="45" s="1"/>
  <c r="J16" i="45"/>
  <c r="J15" i="45"/>
  <c r="H82" i="42"/>
  <c r="J82" i="42"/>
  <c r="M82" i="42" s="1"/>
  <c r="A237" i="47"/>
  <c r="A238" i="47" s="1"/>
  <c r="A239" i="47" s="1"/>
  <c r="A240" i="47" s="1"/>
  <c r="A241" i="47" s="1"/>
  <c r="A242" i="47" s="1"/>
  <c r="A243" i="47" s="1"/>
  <c r="A244" i="47" s="1"/>
  <c r="A245" i="47" s="1"/>
  <c r="A246" i="47" s="1"/>
  <c r="A247" i="47" s="1"/>
  <c r="A248" i="47" s="1"/>
  <c r="A249" i="47" s="1"/>
  <c r="A250" i="47" s="1"/>
  <c r="A251" i="47" s="1"/>
  <c r="S15" i="45" l="1"/>
  <c r="M16" i="45"/>
  <c r="N16" i="45"/>
  <c r="F15" i="16" s="1"/>
  <c r="N15" i="45"/>
  <c r="O15" i="45" s="1"/>
  <c r="D82" i="14"/>
  <c r="F14" i="16"/>
  <c r="O16" i="45"/>
  <c r="K82" i="42"/>
  <c r="T82" i="42"/>
  <c r="U82" i="42" s="1"/>
  <c r="A252" i="47"/>
  <c r="A253" i="47" s="1"/>
  <c r="A254" i="47" s="1"/>
  <c r="A255" i="47" s="1"/>
  <c r="A256" i="47" s="1"/>
  <c r="A257" i="47" s="1"/>
  <c r="A258" i="47" s="1"/>
  <c r="A259" i="47" s="1"/>
  <c r="N82" i="42" l="1"/>
  <c r="O82" i="42" s="1"/>
  <c r="F82" i="14" s="1"/>
  <c r="A260" i="47"/>
  <c r="A261" i="47" s="1"/>
  <c r="A262" i="47" s="1"/>
  <c r="A263" i="47" s="1"/>
  <c r="A264" i="47" s="1"/>
  <c r="A265" i="47" s="1"/>
  <c r="A266" i="47" s="1"/>
  <c r="A267" i="47" s="1"/>
  <c r="A268" i="47" s="1"/>
  <c r="I14" i="45"/>
  <c r="I13" i="45"/>
  <c r="I12" i="45"/>
  <c r="I11" i="45"/>
  <c r="I10" i="45"/>
  <c r="I9" i="45"/>
  <c r="P13" i="45"/>
  <c r="P12" i="45"/>
  <c r="P11" i="45"/>
  <c r="P10" i="45"/>
  <c r="P9" i="45"/>
  <c r="Q57" i="42"/>
  <c r="G57" i="14" s="1"/>
  <c r="Q58" i="42"/>
  <c r="G58" i="14" s="1"/>
  <c r="Q59" i="42"/>
  <c r="G59" i="14" s="1"/>
  <c r="Q60" i="42"/>
  <c r="G60" i="14" s="1"/>
  <c r="Q65" i="42"/>
  <c r="G65" i="14" s="1"/>
  <c r="Q66" i="42"/>
  <c r="G66" i="14" s="1"/>
  <c r="Q67" i="42"/>
  <c r="G67" i="14" s="1"/>
  <c r="Q68" i="42"/>
  <c r="G68" i="14" s="1"/>
  <c r="Q69" i="42"/>
  <c r="G69" i="14" s="1"/>
  <c r="Q70" i="42"/>
  <c r="G70" i="14" s="1"/>
  <c r="Q77" i="42"/>
  <c r="G77" i="14" s="1"/>
  <c r="Q79" i="42"/>
  <c r="G79" i="14" s="1"/>
  <c r="Q86" i="42"/>
  <c r="G86" i="14" s="1"/>
  <c r="Q87" i="42"/>
  <c r="G87" i="14" s="1"/>
  <c r="Q88" i="42"/>
  <c r="G88" i="14" s="1"/>
  <c r="Q84" i="42"/>
  <c r="G84" i="14" s="1"/>
  <c r="Q85" i="42"/>
  <c r="G85" i="14" s="1"/>
  <c r="Q80" i="42"/>
  <c r="G80" i="14" s="1"/>
  <c r="Q81" i="42"/>
  <c r="G81" i="14" s="1"/>
  <c r="Q16" i="42"/>
  <c r="G16" i="14" s="1"/>
  <c r="Q17" i="42"/>
  <c r="G17" i="14" s="1"/>
  <c r="Q18" i="42"/>
  <c r="G18" i="14" s="1"/>
  <c r="Q19" i="42"/>
  <c r="G19" i="14" s="1"/>
  <c r="Q20" i="42"/>
  <c r="G20" i="14" s="1"/>
  <c r="Q21" i="42"/>
  <c r="G21" i="14" s="1"/>
  <c r="Q22" i="42"/>
  <c r="G22" i="14" s="1"/>
  <c r="Q23" i="42"/>
  <c r="G23" i="14" s="1"/>
  <c r="Q24" i="42"/>
  <c r="G24" i="14" s="1"/>
  <c r="Q27" i="42"/>
  <c r="G27" i="14" s="1"/>
  <c r="Q28" i="42"/>
  <c r="G28" i="14" s="1"/>
  <c r="Q29" i="42"/>
  <c r="G29" i="14" s="1"/>
  <c r="Q30" i="42"/>
  <c r="G30" i="14" s="1"/>
  <c r="Q31" i="42"/>
  <c r="G31" i="14" s="1"/>
  <c r="Q32" i="42"/>
  <c r="G32" i="14" s="1"/>
  <c r="Q33" i="42"/>
  <c r="G33" i="14" s="1"/>
  <c r="Q34" i="42"/>
  <c r="G34" i="14" s="1"/>
  <c r="Q35" i="42"/>
  <c r="G35" i="14" s="1"/>
  <c r="Q36" i="42"/>
  <c r="G36" i="14" s="1"/>
  <c r="Q37" i="42"/>
  <c r="G37" i="14" s="1"/>
  <c r="Q39" i="42"/>
  <c r="G39" i="14" s="1"/>
  <c r="Q40" i="42"/>
  <c r="G40" i="14" s="1"/>
  <c r="Q41" i="42"/>
  <c r="G41" i="14" s="1"/>
  <c r="Q42" i="42"/>
  <c r="G42" i="14" s="1"/>
  <c r="Q43" i="42"/>
  <c r="G43" i="14" s="1"/>
  <c r="Q44" i="42"/>
  <c r="G44" i="14" s="1"/>
  <c r="Q45" i="42"/>
  <c r="G45" i="14" s="1"/>
  <c r="Q46" i="42"/>
  <c r="G46" i="14" s="1"/>
  <c r="Q47" i="42"/>
  <c r="G47" i="14" s="1"/>
  <c r="Q48" i="42"/>
  <c r="G48" i="14" s="1"/>
  <c r="Q49" i="42"/>
  <c r="G49" i="14" s="1"/>
  <c r="Q50" i="42"/>
  <c r="G50" i="14" s="1"/>
  <c r="Q51" i="42"/>
  <c r="G51" i="14" s="1"/>
  <c r="Q52" i="42"/>
  <c r="G52" i="14" s="1"/>
  <c r="Q53" i="42"/>
  <c r="G53" i="14" s="1"/>
  <c r="Q54" i="42"/>
  <c r="G54" i="14" s="1"/>
  <c r="Q55" i="42"/>
  <c r="G55" i="14" s="1"/>
  <c r="Q56" i="42"/>
  <c r="G56" i="14" s="1"/>
  <c r="Q14" i="42"/>
  <c r="G14" i="14" s="1"/>
  <c r="Q12" i="42"/>
  <c r="G12" i="14" s="1"/>
  <c r="Q13" i="42"/>
  <c r="G13" i="14" s="1"/>
  <c r="Q10" i="42"/>
  <c r="G10" i="14" s="1"/>
  <c r="Q11" i="42"/>
  <c r="G11" i="14" s="1"/>
  <c r="Q8" i="42"/>
  <c r="G8" i="14" s="1"/>
  <c r="A8" i="38"/>
  <c r="A9" i="38" s="1"/>
  <c r="A10" i="38" s="1"/>
  <c r="A11" i="38" s="1"/>
  <c r="A12" i="38" s="1"/>
  <c r="A13" i="38" s="1"/>
  <c r="A14" i="38" s="1"/>
  <c r="A15" i="38" s="1"/>
  <c r="A16" i="38" l="1"/>
  <c r="A17" i="38" s="1"/>
  <c r="A18" i="38" s="1"/>
  <c r="A19" i="38" s="1"/>
  <c r="A20" i="38" s="1"/>
  <c r="A21" i="38" s="1"/>
  <c r="A22" i="38" s="1"/>
  <c r="A23" i="38" s="1"/>
  <c r="A24" i="38" s="1"/>
  <c r="A25" i="38" s="1"/>
  <c r="A26" i="38" s="1"/>
  <c r="A27" i="38" s="1"/>
  <c r="A28" i="38" s="1"/>
  <c r="A29" i="38" s="1"/>
  <c r="A30" i="38" s="1"/>
  <c r="A31" i="38" s="1"/>
  <c r="A32" i="38" s="1"/>
  <c r="A33" i="38" s="1"/>
  <c r="A34" i="38" s="1"/>
  <c r="A35" i="38" s="1"/>
  <c r="P82" i="42"/>
  <c r="A269" i="47"/>
  <c r="A270" i="47" s="1"/>
  <c r="A271" i="47" s="1"/>
  <c r="A272" i="47" s="1"/>
  <c r="A273" i="47" s="1"/>
  <c r="A274" i="47" s="1"/>
  <c r="A275" i="47" s="1"/>
  <c r="A276" i="47" s="1"/>
  <c r="A277" i="47" s="1"/>
  <c r="G14" i="42"/>
  <c r="A278" i="47" l="1"/>
  <c r="A279" i="47" s="1"/>
  <c r="A280" i="47" s="1"/>
  <c r="A281" i="47" s="1"/>
  <c r="A282" i="47" s="1"/>
  <c r="A283" i="47" s="1"/>
  <c r="A284" i="47" s="1"/>
  <c r="A285" i="47" s="1"/>
  <c r="A286" i="47" s="1"/>
  <c r="A287" i="47" s="1"/>
  <c r="A288" i="47" s="1"/>
  <c r="A289" i="47" s="1"/>
  <c r="A290" i="47" s="1"/>
  <c r="A291" i="47" s="1"/>
  <c r="A292" i="47" s="1"/>
  <c r="A293" i="47" s="1"/>
  <c r="A294" i="47" s="1"/>
  <c r="A295" i="47" s="1"/>
  <c r="A296" i="47" s="1"/>
  <c r="A297" i="47" s="1"/>
  <c r="A298" i="47" s="1"/>
  <c r="A299" i="47" s="1"/>
  <c r="A300" i="47" s="1"/>
  <c r="A301" i="47" s="1"/>
  <c r="A302" i="47" s="1"/>
  <c r="A303" i="47" s="1"/>
  <c r="A304" i="47" s="1"/>
  <c r="A305" i="47" s="1"/>
  <c r="A306" i="47" s="1"/>
  <c r="A307" i="47" s="1"/>
  <c r="A308" i="47" s="1"/>
  <c r="A309" i="47" s="1"/>
  <c r="A310" i="47" s="1"/>
  <c r="A311" i="47" s="1"/>
  <c r="A312" i="47" s="1"/>
  <c r="A313" i="47" s="1"/>
  <c r="A314" i="47" s="1"/>
  <c r="A315" i="47" s="1"/>
  <c r="A316" i="47" s="1"/>
  <c r="A317" i="47" s="1"/>
  <c r="A318" i="47" s="1"/>
  <c r="A319" i="47" s="1"/>
  <c r="A320" i="47" s="1"/>
  <c r="A321" i="47" s="1"/>
  <c r="A322" i="47" s="1"/>
  <c r="A323" i="47" s="1"/>
  <c r="A324" i="47" s="1"/>
  <c r="A325" i="47" s="1"/>
  <c r="A326" i="47" s="1"/>
  <c r="A327" i="47" s="1"/>
  <c r="A328" i="47" s="1"/>
  <c r="A329" i="47" s="1"/>
  <c r="A330" i="47" s="1"/>
  <c r="A331" i="47" s="1"/>
  <c r="A332" i="47" s="1"/>
  <c r="A333" i="47" s="1"/>
  <c r="A334" i="47" s="1"/>
  <c r="A335" i="47" s="1"/>
  <c r="A336" i="47" s="1"/>
  <c r="A337" i="47" s="1"/>
  <c r="A338" i="47" s="1"/>
  <c r="A339" i="47" s="1"/>
  <c r="A340" i="47" s="1"/>
  <c r="A341" i="47" s="1"/>
  <c r="A342" i="47" s="1"/>
  <c r="A343" i="47" s="1"/>
  <c r="A344" i="47" s="1"/>
  <c r="A345" i="47" s="1"/>
  <c r="A346" i="47" s="1"/>
  <c r="A347" i="47" s="1"/>
  <c r="A348" i="47" s="1"/>
  <c r="A349" i="47" s="1"/>
  <c r="A350" i="47" s="1"/>
  <c r="A351" i="47" s="1"/>
  <c r="A352" i="47" s="1"/>
  <c r="A353" i="47" s="1"/>
  <c r="A354" i="47" s="1"/>
  <c r="A355" i="47" s="1"/>
  <c r="A356" i="47" s="1"/>
  <c r="A357" i="47" s="1"/>
  <c r="A358" i="47" s="1"/>
  <c r="A359" i="47" s="1"/>
  <c r="A360" i="47" s="1"/>
  <c r="A361" i="47" s="1"/>
  <c r="A362" i="47" s="1"/>
  <c r="A363" i="47" s="1"/>
  <c r="A364" i="47" s="1"/>
  <c r="A365" i="47" s="1"/>
  <c r="A366" i="47" s="1"/>
  <c r="A367" i="47" s="1"/>
  <c r="A368" i="47" s="1"/>
  <c r="A369" i="47" s="1"/>
  <c r="A370" i="47" s="1"/>
  <c r="A371" i="47" s="1"/>
  <c r="A372" i="47" s="1"/>
  <c r="A373" i="47" s="1"/>
  <c r="A374" i="47" s="1"/>
  <c r="A375" i="47" s="1"/>
  <c r="A376" i="47" s="1"/>
  <c r="A377" i="47" s="1"/>
  <c r="A378" i="47" s="1"/>
  <c r="A379" i="47" s="1"/>
  <c r="A380" i="47" s="1"/>
  <c r="A381" i="47" s="1"/>
  <c r="A382" i="47" s="1"/>
  <c r="A383" i="47" s="1"/>
  <c r="A384" i="47" s="1"/>
  <c r="A385" i="47" s="1"/>
  <c r="A386" i="47" s="1"/>
  <c r="A387" i="47" s="1"/>
  <c r="A388" i="47" s="1"/>
  <c r="A389" i="47" s="1"/>
  <c r="A390" i="47" s="1"/>
  <c r="A391" i="47" s="1"/>
  <c r="A392" i="47" s="1"/>
  <c r="A393" i="47" s="1"/>
  <c r="A394" i="47" s="1"/>
  <c r="A395" i="47" s="1"/>
  <c r="A396" i="47" s="1"/>
  <c r="A397" i="47" s="1"/>
  <c r="A398" i="47" s="1"/>
  <c r="A399" i="47" s="1"/>
  <c r="A400" i="47" s="1"/>
  <c r="A401" i="47" s="1"/>
  <c r="A402" i="47" s="1"/>
  <c r="A403" i="47" s="1"/>
  <c r="A404" i="47" s="1"/>
  <c r="A405" i="47" s="1"/>
  <c r="A406" i="47" s="1"/>
  <c r="A407" i="47" s="1"/>
  <c r="A408" i="47" s="1"/>
  <c r="A409" i="47" s="1"/>
  <c r="A410" i="47" s="1"/>
  <c r="A411" i="47" s="1"/>
  <c r="A412" i="47" s="1"/>
  <c r="A413" i="47" s="1"/>
  <c r="A414" i="47" s="1"/>
  <c r="A415" i="47" s="1"/>
  <c r="A416" i="47" s="1"/>
  <c r="A417" i="47" s="1"/>
  <c r="A418" i="47" s="1"/>
  <c r="A419" i="47" s="1"/>
  <c r="A420" i="47" s="1"/>
  <c r="A421" i="47" s="1"/>
  <c r="A422" i="47" s="1"/>
  <c r="A423" i="47" s="1"/>
  <c r="A424" i="47" s="1"/>
  <c r="A425" i="47" s="1"/>
  <c r="A426" i="47" s="1"/>
  <c r="A427" i="47" s="1"/>
  <c r="A428" i="47" s="1"/>
  <c r="A429" i="47" s="1"/>
  <c r="A430" i="47" s="1"/>
  <c r="A431" i="47" s="1"/>
  <c r="A432" i="47" s="1"/>
  <c r="A433" i="47" s="1"/>
  <c r="A434" i="47" s="1"/>
  <c r="A435" i="47" s="1"/>
  <c r="A436" i="47" s="1"/>
  <c r="A437" i="47" s="1"/>
  <c r="A438" i="47" s="1"/>
  <c r="A439" i="47" s="1"/>
  <c r="A440" i="47" s="1"/>
  <c r="A441" i="47" s="1"/>
  <c r="A442" i="47" s="1"/>
  <c r="A443" i="47" s="1"/>
  <c r="A444" i="47" s="1"/>
  <c r="A445" i="47" s="1"/>
  <c r="A446" i="47" s="1"/>
  <c r="A447" i="47" s="1"/>
  <c r="A448" i="47" s="1"/>
  <c r="A449" i="47" s="1"/>
  <c r="A450" i="47" s="1"/>
  <c r="A451" i="47" s="1"/>
  <c r="A452" i="47" s="1"/>
  <c r="A453" i="47" s="1"/>
  <c r="A454" i="47" s="1"/>
  <c r="A455" i="47" s="1"/>
  <c r="A456" i="47" s="1"/>
  <c r="A457" i="47" s="1"/>
  <c r="A458" i="47" s="1"/>
  <c r="A459" i="47" s="1"/>
  <c r="A460" i="47" s="1"/>
  <c r="A461" i="47" s="1"/>
  <c r="A462" i="47" s="1"/>
  <c r="A463" i="47" s="1"/>
  <c r="A464" i="47" s="1"/>
  <c r="A465" i="47" s="1"/>
  <c r="A466" i="47" s="1"/>
  <c r="A467" i="47" s="1"/>
  <c r="A468" i="47" s="1"/>
  <c r="A469" i="47" s="1"/>
  <c r="A470" i="47" s="1"/>
  <c r="A471" i="47" s="1"/>
  <c r="A472" i="47" s="1"/>
  <c r="A473" i="47" s="1"/>
  <c r="A474" i="47" s="1"/>
  <c r="A475" i="47" s="1"/>
  <c r="A476" i="47" s="1"/>
  <c r="A477" i="47" s="1"/>
  <c r="A478" i="47" s="1"/>
  <c r="A479" i="47" s="1"/>
  <c r="A480" i="47" s="1"/>
  <c r="A481" i="47" s="1"/>
  <c r="A482" i="47" s="1"/>
  <c r="A483" i="47" s="1"/>
  <c r="A484" i="47" s="1"/>
  <c r="A485" i="47" s="1"/>
  <c r="A486" i="47" s="1"/>
  <c r="A487" i="47" s="1"/>
  <c r="A488" i="47" s="1"/>
  <c r="A489" i="47" s="1"/>
  <c r="A490" i="47" s="1"/>
  <c r="A491" i="47" s="1"/>
  <c r="A492" i="47" s="1"/>
  <c r="A493" i="47" s="1"/>
  <c r="A494" i="47" s="1"/>
  <c r="A495" i="47" s="1"/>
  <c r="A496" i="47" s="1"/>
  <c r="A497" i="47" s="1"/>
  <c r="A498" i="47" s="1"/>
  <c r="A499" i="47" s="1"/>
  <c r="A500" i="47" s="1"/>
  <c r="A501" i="47" s="1"/>
  <c r="A502" i="47" s="1"/>
  <c r="A503" i="47" s="1"/>
  <c r="A504" i="47" s="1"/>
  <c r="A505" i="47" s="1"/>
  <c r="A506" i="47" s="1"/>
  <c r="A507" i="47" s="1"/>
  <c r="A508" i="47" s="1"/>
  <c r="A509" i="47" s="1"/>
  <c r="A510" i="47" s="1"/>
  <c r="A511" i="47" s="1"/>
  <c r="A512" i="47" s="1"/>
  <c r="A513" i="47" s="1"/>
  <c r="A514" i="47" s="1"/>
  <c r="A515" i="47" s="1"/>
  <c r="A516" i="47" s="1"/>
  <c r="A517" i="47" s="1"/>
  <c r="A518" i="47" s="1"/>
  <c r="A519" i="47" s="1"/>
  <c r="A520" i="47" s="1"/>
  <c r="A521" i="47" s="1"/>
  <c r="A522" i="47" s="1"/>
  <c r="A523" i="47" s="1"/>
  <c r="A524" i="47" s="1"/>
  <c r="A525" i="47" s="1"/>
  <c r="A526" i="47" s="1"/>
  <c r="A527" i="47" s="1"/>
  <c r="A528" i="47" s="1"/>
  <c r="A529" i="47" s="1"/>
  <c r="A530" i="47" s="1"/>
  <c r="A531" i="47" s="1"/>
  <c r="A532" i="47" s="1"/>
  <c r="A533" i="47" s="1"/>
  <c r="A534" i="47" s="1"/>
  <c r="A535" i="47" s="1"/>
  <c r="A536" i="47" s="1"/>
  <c r="A537" i="47" s="1"/>
  <c r="A538" i="47" s="1"/>
  <c r="A539" i="47" s="1"/>
  <c r="A540" i="47" s="1"/>
  <c r="A541" i="47" s="1"/>
  <c r="A542" i="47" s="1"/>
  <c r="A543" i="47" s="1"/>
  <c r="A544" i="47" s="1"/>
  <c r="A545" i="47" s="1"/>
  <c r="A546" i="47" s="1"/>
  <c r="A547" i="47" s="1"/>
  <c r="A548" i="47" s="1"/>
  <c r="A549" i="47" s="1"/>
  <c r="A550" i="47" s="1"/>
  <c r="A551" i="47" s="1"/>
  <c r="A552" i="47" s="1"/>
  <c r="A553" i="47" s="1"/>
  <c r="A554" i="47" s="1"/>
  <c r="A555" i="47" s="1"/>
  <c r="A556" i="47" s="1"/>
  <c r="A557" i="47" s="1"/>
  <c r="A558" i="47" s="1"/>
  <c r="A559" i="47" s="1"/>
  <c r="A560" i="47" s="1"/>
  <c r="A561" i="47" s="1"/>
  <c r="A562" i="47" s="1"/>
  <c r="A563" i="47" s="1"/>
  <c r="A564" i="47" s="1"/>
  <c r="A565" i="47" s="1"/>
  <c r="A566" i="47" s="1"/>
  <c r="A567" i="47" s="1"/>
  <c r="A568" i="47" s="1"/>
  <c r="A569" i="47" s="1"/>
  <c r="A570" i="47" s="1"/>
  <c r="A571" i="47" s="1"/>
  <c r="A572" i="47" s="1"/>
  <c r="A573" i="47" s="1"/>
  <c r="A574" i="47" s="1"/>
  <c r="A575" i="47" s="1"/>
  <c r="A576" i="47" s="1"/>
  <c r="A577" i="47" s="1"/>
  <c r="A578" i="47" s="1"/>
  <c r="A579" i="47" s="1"/>
  <c r="A580" i="47" s="1"/>
  <c r="A581" i="47" s="1"/>
  <c r="A582" i="47" s="1"/>
  <c r="A583" i="47" s="1"/>
  <c r="A584" i="47" s="1"/>
  <c r="A585" i="47" s="1"/>
  <c r="A586" i="47" s="1"/>
  <c r="A587" i="47" s="1"/>
  <c r="A588" i="47" s="1"/>
  <c r="A589" i="47" s="1"/>
  <c r="A590" i="47" s="1"/>
  <c r="A591" i="47" s="1"/>
  <c r="A592" i="47" s="1"/>
  <c r="A593" i="47" s="1"/>
  <c r="A594" i="47" s="1"/>
  <c r="A595" i="47" s="1"/>
  <c r="A596" i="47" s="1"/>
  <c r="A597" i="47" s="1"/>
  <c r="A598" i="47" s="1"/>
  <c r="A599" i="47" s="1"/>
  <c r="A600" i="47" s="1"/>
  <c r="A601" i="47" s="1"/>
  <c r="A602" i="47" s="1"/>
  <c r="A603" i="47" s="1"/>
  <c r="A604" i="47" s="1"/>
  <c r="A605" i="47" s="1"/>
  <c r="A606" i="47" s="1"/>
  <c r="A607" i="47" s="1"/>
  <c r="A608" i="47" s="1"/>
  <c r="A609" i="47" s="1"/>
  <c r="A610" i="47" s="1"/>
  <c r="A611" i="47" s="1"/>
  <c r="A612" i="47" s="1"/>
  <c r="A613" i="47" s="1"/>
  <c r="A614" i="47" s="1"/>
  <c r="A615" i="47" s="1"/>
  <c r="A616" i="47" s="1"/>
  <c r="A617" i="47" s="1"/>
  <c r="A618" i="47" s="1"/>
  <c r="A619" i="47" s="1"/>
  <c r="A620" i="47" s="1"/>
  <c r="A621" i="47" s="1"/>
  <c r="A622" i="47" s="1"/>
  <c r="A623" i="47" s="1"/>
  <c r="A624" i="47" s="1"/>
  <c r="A625" i="47" s="1"/>
  <c r="A626" i="47" s="1"/>
  <c r="A627" i="47" s="1"/>
  <c r="A628" i="47" s="1"/>
  <c r="A629" i="47" s="1"/>
  <c r="A630" i="47" s="1"/>
  <c r="A631" i="47" s="1"/>
  <c r="A632" i="47" s="1"/>
  <c r="H14" i="42"/>
  <c r="J14" i="42"/>
  <c r="M14" i="42" s="1"/>
  <c r="Q64" i="42"/>
  <c r="G64" i="14" s="1"/>
  <c r="G88" i="42"/>
  <c r="G77" i="42"/>
  <c r="E76" i="42"/>
  <c r="E76" i="14" s="1"/>
  <c r="D14" i="14" l="1"/>
  <c r="Q76" i="42"/>
  <c r="G76" i="14" s="1"/>
  <c r="J88" i="42"/>
  <c r="M88" i="42" s="1"/>
  <c r="J77" i="42"/>
  <c r="M77" i="42" s="1"/>
  <c r="K14" i="42"/>
  <c r="N14" i="42"/>
  <c r="H88" i="42"/>
  <c r="H77" i="42"/>
  <c r="D88" i="14" l="1"/>
  <c r="D77" i="14"/>
  <c r="A633" i="47"/>
  <c r="A634" i="47" s="1"/>
  <c r="A635" i="47" s="1"/>
  <c r="A636" i="47" s="1"/>
  <c r="A637" i="47" s="1"/>
  <c r="A638" i="47" s="1"/>
  <c r="A639" i="47" s="1"/>
  <c r="A640" i="47" s="1"/>
  <c r="A641" i="47" s="1"/>
  <c r="A642" i="47" s="1"/>
  <c r="A643" i="47" s="1"/>
  <c r="A644" i="47" s="1"/>
  <c r="A645" i="47" s="1"/>
  <c r="N88" i="42"/>
  <c r="N77" i="42"/>
  <c r="K88" i="42"/>
  <c r="K77" i="42"/>
  <c r="O14" i="42"/>
  <c r="F14" i="14" s="1"/>
  <c r="T88" i="42"/>
  <c r="U88" i="42" s="1"/>
  <c r="T14" i="42"/>
  <c r="U14" i="42" s="1"/>
  <c r="O88" i="42" l="1"/>
  <c r="F88" i="14" s="1"/>
  <c r="T77" i="42"/>
  <c r="U77" i="42" s="1"/>
  <c r="O77" i="42"/>
  <c r="F77" i="14" s="1"/>
  <c r="P14" i="42"/>
  <c r="P88" i="42" l="1"/>
  <c r="P77" i="42"/>
  <c r="G21" i="42"/>
  <c r="J21" i="42" l="1"/>
  <c r="M21" i="42" s="1"/>
  <c r="H21" i="42"/>
  <c r="D21" i="14" l="1"/>
  <c r="N21" i="42"/>
  <c r="K21" i="42"/>
  <c r="T21" i="42"/>
  <c r="U21" i="42" s="1"/>
  <c r="O21" i="42" l="1"/>
  <c r="F21" i="14" s="1"/>
  <c r="E9" i="16"/>
  <c r="E10" i="16"/>
  <c r="E11" i="16"/>
  <c r="E12" i="16"/>
  <c r="E13" i="16"/>
  <c r="E8" i="16"/>
  <c r="P21" i="42" l="1"/>
  <c r="E37" i="43"/>
  <c r="G70" i="42" l="1"/>
  <c r="J70" i="42" l="1"/>
  <c r="M70" i="42" s="1"/>
  <c r="H70" i="42"/>
  <c r="D70" i="14" l="1"/>
  <c r="N70" i="42"/>
  <c r="K70" i="42"/>
  <c r="T70" i="42"/>
  <c r="U70" i="42" s="1"/>
  <c r="E11" i="35"/>
  <c r="E13" i="35"/>
  <c r="E9" i="35"/>
  <c r="F39" i="35"/>
  <c r="O70" i="42" l="1"/>
  <c r="F70" i="14" s="1"/>
  <c r="P70" i="42" l="1"/>
  <c r="A4" i="30" l="1"/>
  <c r="F32" i="19" l="1"/>
  <c r="K12" i="6" l="1"/>
  <c r="K13" i="6"/>
  <c r="K15" i="6"/>
  <c r="K17" i="6"/>
  <c r="K19" i="6"/>
  <c r="K22" i="6"/>
  <c r="K23" i="6"/>
  <c r="K24" i="6"/>
  <c r="K25" i="6"/>
  <c r="G28" i="6"/>
  <c r="E28" i="6"/>
  <c r="I28" i="6"/>
  <c r="K26" i="6"/>
  <c r="B18" i="23" l="1"/>
  <c r="F33" i="19"/>
  <c r="E12" i="5" s="1"/>
  <c r="D33" i="19"/>
  <c r="E10" i="12"/>
  <c r="G34" i="10"/>
  <c r="F34" i="10"/>
  <c r="K34" i="10"/>
  <c r="I34" i="10"/>
  <c r="G27" i="10"/>
  <c r="F27" i="10"/>
  <c r="F38" i="10" s="1"/>
  <c r="J27" i="10"/>
  <c r="N27" i="10"/>
  <c r="K27" i="10"/>
  <c r="I27" i="10"/>
  <c r="I38" i="10" s="1"/>
  <c r="K38" i="10" l="1"/>
  <c r="E9" i="20"/>
  <c r="G38" i="10"/>
  <c r="E11" i="9" s="1"/>
  <c r="J34" i="10"/>
  <c r="J38" i="10" s="1"/>
  <c r="N34" i="10"/>
  <c r="N38" i="10" s="1"/>
  <c r="L34" i="10" l="1"/>
  <c r="O34" i="10" s="1"/>
  <c r="L27" i="10"/>
  <c r="L38" i="10" l="1"/>
  <c r="O38" i="10" s="1"/>
  <c r="H11" i="9" s="1"/>
  <c r="O27" i="10"/>
  <c r="G10" i="42" l="1"/>
  <c r="G11" i="42"/>
  <c r="G12" i="42"/>
  <c r="G13" i="42"/>
  <c r="G16" i="42"/>
  <c r="G17" i="42"/>
  <c r="G18" i="42"/>
  <c r="G19" i="42"/>
  <c r="G20" i="42"/>
  <c r="G22" i="42"/>
  <c r="G23" i="42"/>
  <c r="G24" i="42"/>
  <c r="G27" i="42"/>
  <c r="G28" i="42"/>
  <c r="G29" i="42"/>
  <c r="G30" i="42"/>
  <c r="G31" i="42"/>
  <c r="G32" i="42"/>
  <c r="G33" i="42"/>
  <c r="G34" i="42"/>
  <c r="G35" i="42"/>
  <c r="G36" i="42"/>
  <c r="G37" i="42"/>
  <c r="G39" i="42"/>
  <c r="G40" i="42"/>
  <c r="G41" i="42"/>
  <c r="G42" i="42"/>
  <c r="G43" i="42"/>
  <c r="G44" i="42"/>
  <c r="G45" i="42"/>
  <c r="G46" i="42"/>
  <c r="G47" i="42"/>
  <c r="G48" i="42"/>
  <c r="G49" i="42"/>
  <c r="G50" i="42"/>
  <c r="G51" i="42"/>
  <c r="G52" i="42"/>
  <c r="G53" i="42"/>
  <c r="G54" i="42"/>
  <c r="G55" i="42"/>
  <c r="G56" i="42"/>
  <c r="G57" i="42"/>
  <c r="G58" i="42"/>
  <c r="G59" i="42"/>
  <c r="G60" i="42"/>
  <c r="G61" i="42"/>
  <c r="G62" i="42"/>
  <c r="G64" i="42"/>
  <c r="G65" i="42"/>
  <c r="G66" i="42"/>
  <c r="G67" i="42"/>
  <c r="G68" i="42"/>
  <c r="G69" i="42"/>
  <c r="G76" i="42"/>
  <c r="G79" i="42"/>
  <c r="G86" i="42"/>
  <c r="G84" i="42"/>
  <c r="G87" i="42"/>
  <c r="G85" i="42"/>
  <c r="G80" i="42"/>
  <c r="G81" i="42"/>
  <c r="H55" i="42" l="1"/>
  <c r="M39" i="42"/>
  <c r="D39" i="14" s="1"/>
  <c r="J87" i="42"/>
  <c r="M87" i="42" s="1"/>
  <c r="J86" i="42"/>
  <c r="M86" i="42" s="1"/>
  <c r="J69" i="42"/>
  <c r="M69" i="42" s="1"/>
  <c r="J62" i="42"/>
  <c r="M62" i="42" s="1"/>
  <c r="J59" i="42"/>
  <c r="M59" i="42" s="1"/>
  <c r="J56" i="42"/>
  <c r="M56" i="42" s="1"/>
  <c r="J54" i="42"/>
  <c r="M54" i="42" s="1"/>
  <c r="J50" i="42"/>
  <c r="M50" i="42" s="1"/>
  <c r="J46" i="42"/>
  <c r="M46" i="42" s="1"/>
  <c r="J42" i="42"/>
  <c r="M42" i="42" s="1"/>
  <c r="J81" i="42"/>
  <c r="M81" i="42" s="1"/>
  <c r="J85" i="42"/>
  <c r="M85" i="42" s="1"/>
  <c r="J84" i="42"/>
  <c r="M84" i="42" s="1"/>
  <c r="J79" i="42"/>
  <c r="M79" i="42" s="1"/>
  <c r="J68" i="42"/>
  <c r="M68" i="42" s="1"/>
  <c r="J66" i="42"/>
  <c r="M66" i="42" s="1"/>
  <c r="J65" i="42"/>
  <c r="M65" i="42" s="1"/>
  <c r="J61" i="42"/>
  <c r="M61" i="42" s="1"/>
  <c r="J60" i="42"/>
  <c r="M60" i="42" s="1"/>
  <c r="J57" i="42"/>
  <c r="M57" i="42" s="1"/>
  <c r="J55" i="42"/>
  <c r="M55" i="42" s="1"/>
  <c r="J53" i="42"/>
  <c r="M53" i="42" s="1"/>
  <c r="J51" i="42"/>
  <c r="M51" i="42" s="1"/>
  <c r="J49" i="42"/>
  <c r="M49" i="42" s="1"/>
  <c r="J47" i="42"/>
  <c r="M47" i="42" s="1"/>
  <c r="J45" i="42"/>
  <c r="M45" i="42" s="1"/>
  <c r="J43" i="42"/>
  <c r="M43" i="42" s="1"/>
  <c r="J41" i="42"/>
  <c r="M41" i="42" s="1"/>
  <c r="J36" i="42"/>
  <c r="M36" i="42" s="1"/>
  <c r="J34" i="42"/>
  <c r="M34" i="42" s="1"/>
  <c r="J32" i="42"/>
  <c r="M32" i="42" s="1"/>
  <c r="J30" i="42"/>
  <c r="M30" i="42" s="1"/>
  <c r="J28" i="42"/>
  <c r="M28" i="42" s="1"/>
  <c r="J23" i="42"/>
  <c r="M23" i="42" s="1"/>
  <c r="J20" i="42"/>
  <c r="M20" i="42" s="1"/>
  <c r="J18" i="42"/>
  <c r="M18" i="42" s="1"/>
  <c r="J16" i="42"/>
  <c r="M16" i="42" s="1"/>
  <c r="J12" i="42"/>
  <c r="M12" i="42" s="1"/>
  <c r="J11" i="42"/>
  <c r="M11" i="42" s="1"/>
  <c r="J10" i="42"/>
  <c r="M10" i="42" s="1"/>
  <c r="J8" i="42"/>
  <c r="M8" i="42" s="1"/>
  <c r="J80" i="42"/>
  <c r="M80" i="42" s="1"/>
  <c r="J76" i="42"/>
  <c r="M76" i="42" s="1"/>
  <c r="J67" i="42"/>
  <c r="M67" i="42" s="1"/>
  <c r="J64" i="42"/>
  <c r="M64" i="42" s="1"/>
  <c r="J58" i="42"/>
  <c r="M58" i="42" s="1"/>
  <c r="J52" i="42"/>
  <c r="M52" i="42" s="1"/>
  <c r="J48" i="42"/>
  <c r="M48" i="42" s="1"/>
  <c r="J44" i="42"/>
  <c r="M44" i="42" s="1"/>
  <c r="J40" i="42"/>
  <c r="M40" i="42" s="1"/>
  <c r="J37" i="42"/>
  <c r="M37" i="42" s="1"/>
  <c r="J35" i="42"/>
  <c r="M35" i="42" s="1"/>
  <c r="J33" i="42"/>
  <c r="M33" i="42" s="1"/>
  <c r="J31" i="42"/>
  <c r="M31" i="42" s="1"/>
  <c r="J29" i="42"/>
  <c r="M29" i="42" s="1"/>
  <c r="J27" i="42"/>
  <c r="M27" i="42" s="1"/>
  <c r="J24" i="42"/>
  <c r="M24" i="42" s="1"/>
  <c r="J22" i="42"/>
  <c r="M22" i="42" s="1"/>
  <c r="J19" i="42"/>
  <c r="M19" i="42" s="1"/>
  <c r="J17" i="42"/>
  <c r="M17" i="42" s="1"/>
  <c r="J13" i="42"/>
  <c r="M13" i="42" s="1"/>
  <c r="H22" i="42"/>
  <c r="K76" i="42"/>
  <c r="K51" i="42"/>
  <c r="K84" i="42"/>
  <c r="K56" i="42"/>
  <c r="K54" i="42"/>
  <c r="K50" i="42"/>
  <c r="K47" i="42"/>
  <c r="K39" i="42"/>
  <c r="K30" i="42"/>
  <c r="K28" i="42"/>
  <c r="K12" i="42"/>
  <c r="K37" i="42"/>
  <c r="H51" i="42"/>
  <c r="H46" i="42"/>
  <c r="H42" i="42"/>
  <c r="H37" i="42"/>
  <c r="H31" i="42"/>
  <c r="H56" i="42"/>
  <c r="H54" i="42"/>
  <c r="H52" i="42"/>
  <c r="H50" i="42"/>
  <c r="H49" i="42"/>
  <c r="H47" i="42"/>
  <c r="H45" i="42"/>
  <c r="H43" i="42"/>
  <c r="H41" i="42"/>
  <c r="H39" i="42"/>
  <c r="H36" i="42"/>
  <c r="H34" i="42"/>
  <c r="H32" i="42"/>
  <c r="H30" i="42"/>
  <c r="H28" i="42"/>
  <c r="H23" i="42"/>
  <c r="H20" i="42"/>
  <c r="H18" i="42"/>
  <c r="H16" i="42"/>
  <c r="H12" i="42"/>
  <c r="H11" i="42"/>
  <c r="H10" i="42"/>
  <c r="H53" i="42"/>
  <c r="H48" i="42"/>
  <c r="H44" i="42"/>
  <c r="H40" i="42"/>
  <c r="H35" i="42"/>
  <c r="H33" i="42"/>
  <c r="H29" i="42"/>
  <c r="H27" i="42"/>
  <c r="H24" i="42"/>
  <c r="H19" i="42"/>
  <c r="H17" i="42"/>
  <c r="H13" i="42"/>
  <c r="D19" i="14" l="1"/>
  <c r="D55" i="14"/>
  <c r="D86" i="14"/>
  <c r="D20" i="14"/>
  <c r="D40" i="14"/>
  <c r="D56" i="14"/>
  <c r="D84" i="14"/>
  <c r="D22" i="14"/>
  <c r="D41" i="14"/>
  <c r="D57" i="14"/>
  <c r="D87" i="14"/>
  <c r="D29" i="14"/>
  <c r="D46" i="14"/>
  <c r="D62" i="14"/>
  <c r="D24" i="14"/>
  <c r="D43" i="14"/>
  <c r="D59" i="14"/>
  <c r="D80" i="14"/>
  <c r="D27" i="14"/>
  <c r="D44" i="14"/>
  <c r="D60" i="14"/>
  <c r="D81" i="14"/>
  <c r="D28" i="14"/>
  <c r="D45" i="14"/>
  <c r="D61" i="14"/>
  <c r="D12" i="14"/>
  <c r="D33" i="14"/>
  <c r="D50" i="14"/>
  <c r="D67" i="14"/>
  <c r="D8" i="14"/>
  <c r="D30" i="14"/>
  <c r="D47" i="14"/>
  <c r="D64" i="14"/>
  <c r="D10" i="14"/>
  <c r="D31" i="14"/>
  <c r="D48" i="14"/>
  <c r="D65" i="14"/>
  <c r="D11" i="14"/>
  <c r="D32" i="14"/>
  <c r="D49" i="14"/>
  <c r="D66" i="14"/>
  <c r="D18" i="14"/>
  <c r="D37" i="14"/>
  <c r="D54" i="14"/>
  <c r="D79" i="14"/>
  <c r="D13" i="14"/>
  <c r="D34" i="14"/>
  <c r="D51" i="14"/>
  <c r="D68" i="14"/>
  <c r="D16" i="14"/>
  <c r="D35" i="14"/>
  <c r="D52" i="14"/>
  <c r="D69" i="14"/>
  <c r="D17" i="14"/>
  <c r="D36" i="14"/>
  <c r="D53" i="14"/>
  <c r="D76" i="14"/>
  <c r="D23" i="14"/>
  <c r="D42" i="14"/>
  <c r="D58" i="14"/>
  <c r="D85" i="14"/>
  <c r="K22" i="42"/>
  <c r="K23" i="42"/>
  <c r="K86" i="42"/>
  <c r="K31" i="42"/>
  <c r="K46" i="42"/>
  <c r="K10" i="42"/>
  <c r="K18" i="42"/>
  <c r="K34" i="42"/>
  <c r="K43" i="42"/>
  <c r="K81" i="42"/>
  <c r="N17" i="42"/>
  <c r="N22" i="42"/>
  <c r="N27" i="42"/>
  <c r="N31" i="42"/>
  <c r="O31" i="42" s="1"/>
  <c r="F31" i="14" s="1"/>
  <c r="N35" i="42"/>
  <c r="N40" i="42"/>
  <c r="N48" i="42"/>
  <c r="N58" i="42"/>
  <c r="N67" i="42"/>
  <c r="N80" i="42"/>
  <c r="N12" i="42"/>
  <c r="O12" i="42" s="1"/>
  <c r="F12" i="14" s="1"/>
  <c r="N18" i="42"/>
  <c r="O18" i="42" s="1"/>
  <c r="F18" i="14" s="1"/>
  <c r="N23" i="42"/>
  <c r="O23" i="42" s="1"/>
  <c r="F23" i="14" s="1"/>
  <c r="N30" i="42"/>
  <c r="O30" i="42" s="1"/>
  <c r="F30" i="14" s="1"/>
  <c r="N34" i="42"/>
  <c r="N39" i="42"/>
  <c r="O39" i="42" s="1"/>
  <c r="F39" i="14" s="1"/>
  <c r="N43" i="42"/>
  <c r="O43" i="42" s="1"/>
  <c r="F43" i="14" s="1"/>
  <c r="N47" i="42"/>
  <c r="O47" i="42" s="1"/>
  <c r="F47" i="14" s="1"/>
  <c r="N51" i="42"/>
  <c r="O51" i="42" s="1"/>
  <c r="F51" i="14" s="1"/>
  <c r="N55" i="42"/>
  <c r="N60" i="42"/>
  <c r="N66" i="42"/>
  <c r="N79" i="42"/>
  <c r="N85" i="42"/>
  <c r="N42" i="42"/>
  <c r="N50" i="42"/>
  <c r="O50" i="42" s="1"/>
  <c r="F50" i="14" s="1"/>
  <c r="N56" i="42"/>
  <c r="O56" i="42" s="1"/>
  <c r="F56" i="14" s="1"/>
  <c r="N69" i="42"/>
  <c r="N87" i="42"/>
  <c r="N13" i="42"/>
  <c r="N19" i="42"/>
  <c r="N24" i="42"/>
  <c r="N29" i="42"/>
  <c r="N33" i="42"/>
  <c r="N37" i="42"/>
  <c r="O37" i="42" s="1"/>
  <c r="F37" i="14" s="1"/>
  <c r="N44" i="42"/>
  <c r="N52" i="42"/>
  <c r="N64" i="42"/>
  <c r="N76" i="42"/>
  <c r="K8" i="42"/>
  <c r="K11" i="42"/>
  <c r="N16" i="42"/>
  <c r="N20" i="42"/>
  <c r="N28" i="42"/>
  <c r="O28" i="42" s="1"/>
  <c r="F28" i="14" s="1"/>
  <c r="N32" i="42"/>
  <c r="N36" i="42"/>
  <c r="N41" i="42"/>
  <c r="N45" i="42"/>
  <c r="N49" i="42"/>
  <c r="N53" i="42"/>
  <c r="N57" i="42"/>
  <c r="N65" i="42"/>
  <c r="N68" i="42"/>
  <c r="N84" i="42"/>
  <c r="N81" i="42"/>
  <c r="N46" i="42"/>
  <c r="O46" i="42" s="1"/>
  <c r="F46" i="14" s="1"/>
  <c r="N54" i="42"/>
  <c r="O54" i="42" s="1"/>
  <c r="F54" i="14" s="1"/>
  <c r="N59" i="42"/>
  <c r="N86" i="42"/>
  <c r="K17" i="42"/>
  <c r="K27" i="42"/>
  <c r="K36" i="42"/>
  <c r="K41" i="42"/>
  <c r="K45" i="42"/>
  <c r="K49" i="42"/>
  <c r="K79" i="42"/>
  <c r="K85" i="42"/>
  <c r="K35" i="42"/>
  <c r="K53" i="42"/>
  <c r="K87" i="42"/>
  <c r="T45" i="42"/>
  <c r="U45" i="42" s="1"/>
  <c r="T54" i="42"/>
  <c r="U54" i="42" s="1"/>
  <c r="K29" i="42"/>
  <c r="K80" i="42"/>
  <c r="T23" i="42"/>
  <c r="U23" i="42" s="1"/>
  <c r="T28" i="42"/>
  <c r="U28" i="42" s="1"/>
  <c r="T36" i="42"/>
  <c r="U36" i="42" s="1"/>
  <c r="T47" i="42"/>
  <c r="U47" i="42" s="1"/>
  <c r="T49" i="42"/>
  <c r="U49" i="42" s="1"/>
  <c r="T57" i="42"/>
  <c r="U57" i="42" s="1"/>
  <c r="T56" i="42"/>
  <c r="U56" i="42" s="1"/>
  <c r="T87" i="42"/>
  <c r="U87" i="42" s="1"/>
  <c r="K13" i="42"/>
  <c r="K42" i="42"/>
  <c r="K55" i="42"/>
  <c r="K16" i="42"/>
  <c r="K20" i="42"/>
  <c r="K32" i="42"/>
  <c r="K52" i="42"/>
  <c r="T29" i="42"/>
  <c r="U29" i="42" s="1"/>
  <c r="T52" i="42"/>
  <c r="U52" i="42" s="1"/>
  <c r="T32" i="42"/>
  <c r="U32" i="42" s="1"/>
  <c r="T67" i="42"/>
  <c r="U67" i="42" s="1"/>
  <c r="K19" i="42"/>
  <c r="T19" i="42"/>
  <c r="U19" i="42" s="1"/>
  <c r="T37" i="42"/>
  <c r="U37" i="42" s="1"/>
  <c r="T76" i="42"/>
  <c r="U76" i="42" s="1"/>
  <c r="T12" i="42"/>
  <c r="U12" i="42" s="1"/>
  <c r="T41" i="42"/>
  <c r="U41" i="42" s="1"/>
  <c r="T46" i="42"/>
  <c r="U46" i="42" s="1"/>
  <c r="T69" i="42"/>
  <c r="U69" i="42" s="1"/>
  <c r="K24" i="42"/>
  <c r="K33" i="42"/>
  <c r="K44" i="42"/>
  <c r="T13" i="42"/>
  <c r="U13" i="42" s="1"/>
  <c r="T24" i="42"/>
  <c r="U24" i="42" s="1"/>
  <c r="T33" i="42"/>
  <c r="U33" i="42" s="1"/>
  <c r="T44" i="42"/>
  <c r="U44" i="42" s="1"/>
  <c r="T64" i="42"/>
  <c r="U64" i="42" s="1"/>
  <c r="T80" i="42"/>
  <c r="U80" i="42" s="1"/>
  <c r="T18" i="42"/>
  <c r="U18" i="42" s="1"/>
  <c r="T30" i="42"/>
  <c r="U30" i="42" s="1"/>
  <c r="T43" i="42"/>
  <c r="U43" i="42" s="1"/>
  <c r="T53" i="42"/>
  <c r="U53" i="42" s="1"/>
  <c r="T60" i="42"/>
  <c r="U60" i="42" s="1"/>
  <c r="T66" i="42"/>
  <c r="U66" i="42" s="1"/>
  <c r="T79" i="42"/>
  <c r="U79" i="42" s="1"/>
  <c r="T81" i="42"/>
  <c r="U81" i="42" s="1"/>
  <c r="T50" i="42"/>
  <c r="U50" i="42" s="1"/>
  <c r="T59" i="42"/>
  <c r="U59" i="42" s="1"/>
  <c r="T86" i="42"/>
  <c r="U86" i="42" s="1"/>
  <c r="N8" i="42"/>
  <c r="O8" i="42" s="1"/>
  <c r="F8" i="14" s="1"/>
  <c r="N11" i="42"/>
  <c r="K40" i="42"/>
  <c r="K48" i="42"/>
  <c r="T17" i="42"/>
  <c r="U17" i="42" s="1"/>
  <c r="T22" i="42"/>
  <c r="U22" i="42" s="1"/>
  <c r="T27" i="42"/>
  <c r="U27" i="42" s="1"/>
  <c r="T31" i="42"/>
  <c r="U31" i="42" s="1"/>
  <c r="T35" i="42"/>
  <c r="U35" i="42" s="1"/>
  <c r="T40" i="42"/>
  <c r="U40" i="42" s="1"/>
  <c r="T48" i="42"/>
  <c r="U48" i="42" s="1"/>
  <c r="T58" i="42"/>
  <c r="U58" i="42" s="1"/>
  <c r="T16" i="42"/>
  <c r="U16" i="42" s="1"/>
  <c r="T20" i="42"/>
  <c r="U20" i="42" s="1"/>
  <c r="T34" i="42"/>
  <c r="U34" i="42" s="1"/>
  <c r="T39" i="42"/>
  <c r="U39" i="42" s="1"/>
  <c r="T51" i="42"/>
  <c r="U51" i="42" s="1"/>
  <c r="T55" i="42"/>
  <c r="U55" i="42" s="1"/>
  <c r="T61" i="42"/>
  <c r="U61" i="42" s="1"/>
  <c r="T65" i="42"/>
  <c r="U65" i="42" s="1"/>
  <c r="T68" i="42"/>
  <c r="U68" i="42" s="1"/>
  <c r="T84" i="42"/>
  <c r="U84" i="42" s="1"/>
  <c r="T85" i="42"/>
  <c r="U85" i="42" s="1"/>
  <c r="T42" i="42"/>
  <c r="U42" i="42" s="1"/>
  <c r="T62" i="42"/>
  <c r="U62" i="42" s="1"/>
  <c r="H76" i="42"/>
  <c r="H67" i="42"/>
  <c r="Q62" i="42"/>
  <c r="G62" i="14" s="1"/>
  <c r="H81" i="42"/>
  <c r="H80" i="42"/>
  <c r="H85" i="42"/>
  <c r="H66" i="42"/>
  <c r="H87" i="42"/>
  <c r="H84" i="42"/>
  <c r="H86" i="42"/>
  <c r="H79" i="42"/>
  <c r="H69" i="42"/>
  <c r="H68" i="42"/>
  <c r="H65" i="42"/>
  <c r="H64" i="42"/>
  <c r="H57" i="42"/>
  <c r="O11" i="42" l="1"/>
  <c r="F11" i="14" s="1"/>
  <c r="O34" i="42"/>
  <c r="F34" i="14" s="1"/>
  <c r="O22" i="42"/>
  <c r="F22" i="14" s="1"/>
  <c r="P50" i="42"/>
  <c r="P30" i="42"/>
  <c r="P11" i="42"/>
  <c r="P37" i="42"/>
  <c r="P56" i="42"/>
  <c r="P34" i="42"/>
  <c r="P12" i="42"/>
  <c r="P46" i="42"/>
  <c r="P28" i="42"/>
  <c r="P39" i="42"/>
  <c r="P18" i="42"/>
  <c r="P31" i="42"/>
  <c r="P54" i="42"/>
  <c r="O53" i="42"/>
  <c r="F53" i="14" s="1"/>
  <c r="O36" i="42"/>
  <c r="F36" i="14" s="1"/>
  <c r="O44" i="42"/>
  <c r="F44" i="14" s="1"/>
  <c r="O33" i="42"/>
  <c r="F33" i="14" s="1"/>
  <c r="O13" i="42"/>
  <c r="F13" i="14" s="1"/>
  <c r="O35" i="42"/>
  <c r="F35" i="14" s="1"/>
  <c r="O27" i="42"/>
  <c r="F27" i="14" s="1"/>
  <c r="O17" i="42"/>
  <c r="F17" i="14" s="1"/>
  <c r="O41" i="42"/>
  <c r="F41" i="14" s="1"/>
  <c r="O32" i="42"/>
  <c r="F32" i="14" s="1"/>
  <c r="O20" i="42"/>
  <c r="F20" i="14" s="1"/>
  <c r="O29" i="42"/>
  <c r="F29" i="14" s="1"/>
  <c r="O19" i="42"/>
  <c r="F19" i="14" s="1"/>
  <c r="O55" i="42"/>
  <c r="F55" i="14" s="1"/>
  <c r="P51" i="42"/>
  <c r="P43" i="42"/>
  <c r="P23" i="42"/>
  <c r="P47" i="42"/>
  <c r="O85" i="42"/>
  <c r="F85" i="14" s="1"/>
  <c r="O76" i="42"/>
  <c r="F76" i="14" s="1"/>
  <c r="O40" i="42"/>
  <c r="F40" i="14" s="1"/>
  <c r="O52" i="42"/>
  <c r="F52" i="14" s="1"/>
  <c r="O49" i="42"/>
  <c r="F49" i="14" s="1"/>
  <c r="O48" i="42"/>
  <c r="F48" i="14" s="1"/>
  <c r="O24" i="42"/>
  <c r="F24" i="14" s="1"/>
  <c r="O16" i="42"/>
  <c r="F16" i="14" s="1"/>
  <c r="O42" i="42"/>
  <c r="F42" i="14" s="1"/>
  <c r="O45" i="42"/>
  <c r="F45" i="14" s="1"/>
  <c r="T8" i="42"/>
  <c r="U8" i="42" s="1"/>
  <c r="N10" i="42"/>
  <c r="O10" i="42" s="1"/>
  <c r="F10" i="14" s="1"/>
  <c r="T10" i="42"/>
  <c r="U10" i="42" s="1"/>
  <c r="N62" i="42"/>
  <c r="T11" i="42"/>
  <c r="U11" i="42" s="1"/>
  <c r="Q61" i="42"/>
  <c r="G61" i="14" s="1"/>
  <c r="N61" i="42"/>
  <c r="O84" i="42"/>
  <c r="F84" i="14" s="1"/>
  <c r="O87" i="42"/>
  <c r="F87" i="14" s="1"/>
  <c r="O86" i="42"/>
  <c r="F86" i="14" s="1"/>
  <c r="O79" i="42"/>
  <c r="F79" i="14" s="1"/>
  <c r="O81" i="42"/>
  <c r="F81" i="14" s="1"/>
  <c r="O80" i="42"/>
  <c r="F80" i="14" s="1"/>
  <c r="K57" i="42"/>
  <c r="O57" i="42" s="1"/>
  <c r="F57" i="14" s="1"/>
  <c r="E90" i="42"/>
  <c r="E92" i="14" s="1"/>
  <c r="P53" i="42" l="1"/>
  <c r="P76" i="42"/>
  <c r="P22" i="42"/>
  <c r="P40" i="42"/>
  <c r="P20" i="42"/>
  <c r="P27" i="42"/>
  <c r="P44" i="42"/>
  <c r="P86" i="42"/>
  <c r="P10" i="42"/>
  <c r="P16" i="42"/>
  <c r="P52" i="42"/>
  <c r="P29" i="42"/>
  <c r="P17" i="42"/>
  <c r="P33" i="42"/>
  <c r="P87" i="42"/>
  <c r="P79" i="42"/>
  <c r="P42" i="42"/>
  <c r="P49" i="42"/>
  <c r="P85" i="42"/>
  <c r="P41" i="42"/>
  <c r="P13" i="42"/>
  <c r="P80" i="42"/>
  <c r="P81" i="42"/>
  <c r="P84" i="42"/>
  <c r="P45" i="42"/>
  <c r="P48" i="42"/>
  <c r="P55" i="42"/>
  <c r="P32" i="42"/>
  <c r="P35" i="42"/>
  <c r="P36" i="42"/>
  <c r="P24" i="42"/>
  <c r="P19" i="42"/>
  <c r="N90" i="42"/>
  <c r="P57" i="42"/>
  <c r="K58" i="42"/>
  <c r="H58" i="42"/>
  <c r="P8" i="42"/>
  <c r="J28" i="6"/>
  <c r="O58" i="42" l="1"/>
  <c r="F58" i="14" s="1"/>
  <c r="P58" i="42" l="1"/>
  <c r="K59" i="42"/>
  <c r="H59" i="42"/>
  <c r="O59" i="42" l="1"/>
  <c r="F59" i="14" s="1"/>
  <c r="K60" i="42"/>
  <c r="H60" i="42"/>
  <c r="E10" i="20"/>
  <c r="G10" i="20" s="1"/>
  <c r="P59" i="42" l="1"/>
  <c r="O60" i="42"/>
  <c r="F60" i="14" s="1"/>
  <c r="C68" i="42"/>
  <c r="B68" i="14" s="1"/>
  <c r="P60" i="42" l="1"/>
  <c r="K61" i="42"/>
  <c r="H62" i="42"/>
  <c r="H61" i="42"/>
  <c r="C12" i="7"/>
  <c r="C13" i="7"/>
  <c r="C14" i="7"/>
  <c r="C15" i="7"/>
  <c r="C16" i="7"/>
  <c r="C17" i="7"/>
  <c r="C18" i="7"/>
  <c r="C19" i="7"/>
  <c r="C20" i="7"/>
  <c r="C21" i="7"/>
  <c r="C22" i="7"/>
  <c r="C11" i="7"/>
  <c r="O61" i="42" l="1"/>
  <c r="F61" i="14" s="1"/>
  <c r="K62" i="42"/>
  <c r="O62" i="42" s="1"/>
  <c r="F62" i="14" s="1"/>
  <c r="H90" i="42"/>
  <c r="F67" i="7"/>
  <c r="G67" i="7"/>
  <c r="B67" i="7"/>
  <c r="C67" i="7"/>
  <c r="D67" i="7"/>
  <c r="P61" i="42" l="1"/>
  <c r="P62" i="42"/>
  <c r="K64" i="42"/>
  <c r="D11" i="7"/>
  <c r="O64" i="42" l="1"/>
  <c r="F64" i="14" s="1"/>
  <c r="K65" i="42"/>
  <c r="D24" i="7"/>
  <c r="E35" i="32"/>
  <c r="P64" i="42" l="1"/>
  <c r="O65" i="42"/>
  <c r="F65" i="14" s="1"/>
  <c r="P65" i="42" l="1"/>
  <c r="K66" i="42"/>
  <c r="O66" i="42" l="1"/>
  <c r="F66" i="14" s="1"/>
  <c r="K67" i="42"/>
  <c r="P66" i="42" l="1"/>
  <c r="O67" i="42"/>
  <c r="F67" i="14" s="1"/>
  <c r="K68" i="42"/>
  <c r="P67" i="42" l="1"/>
  <c r="O68" i="42"/>
  <c r="F68" i="14" s="1"/>
  <c r="K69" i="42"/>
  <c r="K90" i="42" s="1"/>
  <c r="Q90" i="42"/>
  <c r="G92" i="14" s="1"/>
  <c r="O69" i="42" l="1"/>
  <c r="F69" i="14" s="1"/>
  <c r="P68" i="42"/>
  <c r="J9" i="45"/>
  <c r="G9" i="16"/>
  <c r="G10" i="16"/>
  <c r="G11" i="16"/>
  <c r="G12" i="16"/>
  <c r="G13" i="16"/>
  <c r="G8" i="16"/>
  <c r="D18" i="45"/>
  <c r="F14" i="45"/>
  <c r="L14" i="45" s="1"/>
  <c r="F13" i="45"/>
  <c r="L13" i="45" s="1"/>
  <c r="F12" i="45"/>
  <c r="L12" i="45" s="1"/>
  <c r="F11" i="45"/>
  <c r="L11" i="45" s="1"/>
  <c r="J10" i="45"/>
  <c r="F10" i="45"/>
  <c r="L10" i="45" s="1"/>
  <c r="F9" i="45"/>
  <c r="L9" i="45" s="1"/>
  <c r="E17" i="16"/>
  <c r="A9" i="43"/>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D12" i="7"/>
  <c r="D13" i="7"/>
  <c r="D14" i="7"/>
  <c r="D15" i="7"/>
  <c r="D39" i="8" s="1"/>
  <c r="D16" i="7"/>
  <c r="D17" i="7"/>
  <c r="D18" i="7"/>
  <c r="D42" i="8" s="1"/>
  <c r="D19" i="7"/>
  <c r="D43" i="8" s="1"/>
  <c r="D20" i="7"/>
  <c r="D21" i="7"/>
  <c r="D22" i="7"/>
  <c r="D46" i="8" s="1"/>
  <c r="E17" i="9"/>
  <c r="A8" i="14"/>
  <c r="G90" i="14"/>
  <c r="F10" i="8"/>
  <c r="E11" i="7" s="1"/>
  <c r="F11" i="8"/>
  <c r="P18" i="45"/>
  <c r="F54" i="3"/>
  <c r="A7" i="5"/>
  <c r="A8" i="5" s="1"/>
  <c r="A9" i="5" s="1"/>
  <c r="A10" i="5" s="1"/>
  <c r="A11" i="5" s="1"/>
  <c r="A12" i="5" s="1"/>
  <c r="A13" i="5" s="1"/>
  <c r="A14" i="5" s="1"/>
  <c r="A15" i="5" s="1"/>
  <c r="A16" i="5" s="1"/>
  <c r="A17" i="5" s="1"/>
  <c r="F36" i="8"/>
  <c r="F37" i="8"/>
  <c r="F38" i="8"/>
  <c r="F39" i="8"/>
  <c r="F40" i="8"/>
  <c r="F41" i="8"/>
  <c r="F42" i="8"/>
  <c r="F43" i="8"/>
  <c r="F44" i="8"/>
  <c r="F45" i="8"/>
  <c r="F46" i="8"/>
  <c r="C36" i="8"/>
  <c r="C41" i="8"/>
  <c r="C44" i="8"/>
  <c r="C45" i="8"/>
  <c r="G35" i="8"/>
  <c r="G36" i="8"/>
  <c r="G37" i="8"/>
  <c r="G38" i="8"/>
  <c r="G39" i="8"/>
  <c r="G40" i="8"/>
  <c r="G41" i="8"/>
  <c r="G42" i="8"/>
  <c r="G43" i="8"/>
  <c r="G44" i="8"/>
  <c r="G45" i="8"/>
  <c r="G46" i="8"/>
  <c r="F35" i="8"/>
  <c r="E17" i="12"/>
  <c r="E6" i="23"/>
  <c r="E7" i="23"/>
  <c r="E8" i="23"/>
  <c r="E9" i="23"/>
  <c r="E10" i="23"/>
  <c r="E11" i="23"/>
  <c r="E12" i="23"/>
  <c r="E13" i="23"/>
  <c r="E14" i="23"/>
  <c r="E15" i="23"/>
  <c r="E16" i="23"/>
  <c r="E17" i="23"/>
  <c r="A5" i="17"/>
  <c r="A6" i="17" s="1"/>
  <c r="A7" i="17" s="1"/>
  <c r="A8" i="17" s="1"/>
  <c r="A9" i="17" s="1"/>
  <c r="A10" i="17" s="1"/>
  <c r="A11" i="17" s="1"/>
  <c r="A12" i="17" s="1"/>
  <c r="A13" i="17" s="1"/>
  <c r="A14" i="17" s="1"/>
  <c r="A15" i="17" s="1"/>
  <c r="A16" i="17" s="1"/>
  <c r="F8" i="4"/>
  <c r="A8" i="1"/>
  <c r="A9" i="1" s="1"/>
  <c r="A10" i="1" s="1"/>
  <c r="A11" i="1" s="1"/>
  <c r="A12" i="1" s="1"/>
  <c r="A13" i="1" s="1"/>
  <c r="A14" i="1" s="1"/>
  <c r="A15" i="1" s="1"/>
  <c r="A16" i="1" s="1"/>
  <c r="A17" i="1" s="1"/>
  <c r="F10" i="15"/>
  <c r="F12" i="2" s="1"/>
  <c r="F33" i="4"/>
  <c r="F45" i="4"/>
  <c r="F54" i="4"/>
  <c r="E58" i="17"/>
  <c r="E60" i="17" s="1"/>
  <c r="F7" i="18"/>
  <c r="F16" i="3"/>
  <c r="C17" i="12"/>
  <c r="E38" i="9" s="1"/>
  <c r="F9" i="11"/>
  <c r="E25" i="9" s="1"/>
  <c r="C18" i="23"/>
  <c r="G11" i="20"/>
  <c r="E16" i="5" s="1"/>
  <c r="G24" i="7"/>
  <c r="E45" i="7"/>
  <c r="D45" i="7"/>
  <c r="C45" i="7"/>
  <c r="B45" i="7"/>
  <c r="A10" i="40"/>
  <c r="A11" i="40" s="1"/>
  <c r="A12" i="40" s="1"/>
  <c r="A13" i="40" s="1"/>
  <c r="A14" i="40" s="1"/>
  <c r="A15" i="40" s="1"/>
  <c r="A16" i="40" s="1"/>
  <c r="A17" i="40" s="1"/>
  <c r="F13" i="40"/>
  <c r="F41" i="32"/>
  <c r="A9" i="16"/>
  <c r="A10" i="16" s="1"/>
  <c r="A11" i="16" s="1"/>
  <c r="A12" i="16" s="1"/>
  <c r="A13" i="16" s="1"/>
  <c r="A14" i="16" s="1"/>
  <c r="A15" i="16" s="1"/>
  <c r="A16" i="16" s="1"/>
  <c r="A17" i="16" s="1"/>
  <c r="A6" i="15"/>
  <c r="A7" i="15" s="1"/>
  <c r="A8" i="15" s="1"/>
  <c r="A9" i="15" s="1"/>
  <c r="A10" i="15" s="1"/>
  <c r="A9" i="20"/>
  <c r="A10" i="20" s="1"/>
  <c r="A11" i="20" s="1"/>
  <c r="D14" i="30"/>
  <c r="D18" i="23"/>
  <c r="D23" i="19"/>
  <c r="F162" i="35"/>
  <c r="F173" i="35"/>
  <c r="F113" i="35"/>
  <c r="F89" i="35"/>
  <c r="F100" i="35"/>
  <c r="F64" i="35"/>
  <c r="F76" i="35"/>
  <c r="F51" i="35"/>
  <c r="F15" i="35"/>
  <c r="A8" i="3"/>
  <c r="A9" i="3" s="1"/>
  <c r="A10" i="3" s="1"/>
  <c r="A11" i="3" s="1"/>
  <c r="A12" i="3" s="1"/>
  <c r="A13" i="3" s="1"/>
  <c r="A14" i="3" s="1"/>
  <c r="A15" i="3" s="1"/>
  <c r="A16" i="3" s="1"/>
  <c r="A17" i="3" s="1"/>
  <c r="F23" i="19"/>
  <c r="F19" i="19"/>
  <c r="B8" i="18"/>
  <c r="B9" i="18" s="1"/>
  <c r="A6" i="4"/>
  <c r="A7" i="4" s="1"/>
  <c r="A8" i="4" s="1"/>
  <c r="A9" i="4" s="1"/>
  <c r="A10" i="4" s="1"/>
  <c r="A11" i="4" s="1"/>
  <c r="A12" i="4" s="1"/>
  <c r="A13" i="4" s="1"/>
  <c r="A14" i="4" s="1"/>
  <c r="A15" i="4" s="1"/>
  <c r="A16" i="4" s="1"/>
  <c r="A17" i="4" s="1"/>
  <c r="A8" i="2"/>
  <c r="A9" i="2" s="1"/>
  <c r="A10" i="2" s="1"/>
  <c r="A11" i="2" s="1"/>
  <c r="A12" i="2" s="1"/>
  <c r="A13" i="2" s="1"/>
  <c r="A14" i="2" s="1"/>
  <c r="A15" i="2" s="1"/>
  <c r="A16" i="2" s="1"/>
  <c r="A17" i="2" s="1"/>
  <c r="A7" i="9"/>
  <c r="A8" i="9" s="1"/>
  <c r="A9" i="9" s="1"/>
  <c r="A10" i="9" s="1"/>
  <c r="A11" i="9" s="1"/>
  <c r="A12" i="9" s="1"/>
  <c r="A13" i="9" s="1"/>
  <c r="A14" i="9" s="1"/>
  <c r="A15" i="9" s="1"/>
  <c r="A16" i="9" s="1"/>
  <c r="A17" i="9" s="1"/>
  <c r="F12" i="8"/>
  <c r="F13" i="8"/>
  <c r="F14" i="8"/>
  <c r="F15" i="8"/>
  <c r="F16" i="8"/>
  <c r="F17" i="8"/>
  <c r="F18" i="8"/>
  <c r="F19" i="8"/>
  <c r="F20" i="8"/>
  <c r="F21" i="8"/>
  <c r="C23" i="8"/>
  <c r="D23" i="8"/>
  <c r="C35" i="8"/>
  <c r="C43" i="8"/>
  <c r="F15" i="4"/>
  <c r="E18" i="5"/>
  <c r="C40" i="8"/>
  <c r="C37" i="8"/>
  <c r="C38" i="8"/>
  <c r="C13" i="29"/>
  <c r="F50" i="3" s="1"/>
  <c r="F125" i="35"/>
  <c r="C11" i="29"/>
  <c r="F47" i="3" s="1"/>
  <c r="F26" i="35"/>
  <c r="A18" i="9" l="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18" i="40"/>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18" i="2"/>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18" i="5"/>
  <c r="A19" i="5" s="1"/>
  <c r="A20" i="5" s="1"/>
  <c r="A21" i="5" s="1"/>
  <c r="A22" i="5" s="1"/>
  <c r="A23" i="5" s="1"/>
  <c r="A18" i="4"/>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18" i="3"/>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G9" i="45"/>
  <c r="M9" i="45"/>
  <c r="N9" i="45" s="1"/>
  <c r="G12" i="45"/>
  <c r="M12" i="45"/>
  <c r="G11" i="45"/>
  <c r="M11" i="45"/>
  <c r="G14" i="45"/>
  <c r="M14" i="45"/>
  <c r="G10" i="45"/>
  <c r="M10" i="45"/>
  <c r="N10" i="45" s="1"/>
  <c r="G13" i="45"/>
  <c r="S13" i="45"/>
  <c r="M13" i="45"/>
  <c r="F27" i="35"/>
  <c r="G26" i="35" s="1"/>
  <c r="P69" i="42"/>
  <c r="O90" i="42"/>
  <c r="F92" i="14" s="1"/>
  <c r="E22" i="7"/>
  <c r="H22" i="7" s="1"/>
  <c r="E21" i="7"/>
  <c r="H21" i="7" s="1"/>
  <c r="E20" i="7"/>
  <c r="H20" i="7" s="1"/>
  <c r="E19" i="7"/>
  <c r="H19" i="7" s="1"/>
  <c r="E18" i="7"/>
  <c r="H18" i="7" s="1"/>
  <c r="E17" i="7"/>
  <c r="H17" i="7" s="1"/>
  <c r="E16" i="7"/>
  <c r="H16" i="7" s="1"/>
  <c r="E15" i="7"/>
  <c r="H15" i="7" s="1"/>
  <c r="E14" i="7"/>
  <c r="H14" i="7" s="1"/>
  <c r="E13" i="7"/>
  <c r="H13" i="7" s="1"/>
  <c r="E12" i="7"/>
  <c r="H12" i="7" s="1"/>
  <c r="H11" i="7"/>
  <c r="E9" i="1"/>
  <c r="A17" i="17"/>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F16" i="35"/>
  <c r="G15" i="35" s="1"/>
  <c r="F13" i="2"/>
  <c r="F51" i="2"/>
  <c r="F52" i="2" s="1"/>
  <c r="F35" i="4"/>
  <c r="P90" i="42"/>
  <c r="G93" i="14"/>
  <c r="G94" i="14" s="1"/>
  <c r="F14" i="4"/>
  <c r="F16" i="4" s="1"/>
  <c r="F23" i="4" s="1"/>
  <c r="F45" i="7"/>
  <c r="C24" i="7" s="1"/>
  <c r="E18" i="23"/>
  <c r="F53" i="35"/>
  <c r="F28" i="35"/>
  <c r="F48" i="8"/>
  <c r="E54" i="43"/>
  <c r="E45" i="1" s="1"/>
  <c r="F12" i="19"/>
  <c r="E11" i="5" s="1"/>
  <c r="J11" i="45"/>
  <c r="N11" i="45" s="1"/>
  <c r="G48" i="8"/>
  <c r="D45" i="8"/>
  <c r="D41" i="8"/>
  <c r="D37" i="8"/>
  <c r="D44" i="8"/>
  <c r="D40" i="8"/>
  <c r="D38" i="8"/>
  <c r="D36" i="8"/>
  <c r="F11" i="9"/>
  <c r="F15" i="9"/>
  <c r="I15" i="9" s="1"/>
  <c r="F13" i="9"/>
  <c r="I13" i="9" s="1"/>
  <c r="F175" i="35"/>
  <c r="F102" i="35"/>
  <c r="F127" i="35"/>
  <c r="E19" i="5"/>
  <c r="D16" i="31" s="1"/>
  <c r="C42" i="8"/>
  <c r="C46" i="8"/>
  <c r="C39" i="8"/>
  <c r="F78" i="35"/>
  <c r="F75" i="3"/>
  <c r="G17" i="16"/>
  <c r="F70" i="3" s="1"/>
  <c r="G18" i="45"/>
  <c r="F9" i="16" l="1"/>
  <c r="O10" i="45"/>
  <c r="S12" i="45"/>
  <c r="M18" i="45"/>
  <c r="S9" i="45"/>
  <c r="S10" i="45"/>
  <c r="S14" i="45"/>
  <c r="S11" i="45"/>
  <c r="F29" i="35"/>
  <c r="G28" i="35" s="1"/>
  <c r="A46" i="17"/>
  <c r="A47" i="17" s="1"/>
  <c r="A48" i="17" s="1"/>
  <c r="A49" i="17" s="1"/>
  <c r="A50" i="17" s="1"/>
  <c r="A51" i="17" s="1"/>
  <c r="A52" i="17" s="1"/>
  <c r="A53" i="17" s="1"/>
  <c r="A54" i="17" s="1"/>
  <c r="A55" i="17" s="1"/>
  <c r="A56" i="17" s="1"/>
  <c r="A57" i="17" s="1"/>
  <c r="A58" i="17" s="1"/>
  <c r="A59" i="17" s="1"/>
  <c r="A60" i="17" s="1"/>
  <c r="A61" i="17" s="1"/>
  <c r="A62" i="17" s="1"/>
  <c r="A63" i="17" s="1"/>
  <c r="A64" i="17" s="1"/>
  <c r="E93" i="14"/>
  <c r="E94" i="14" s="1"/>
  <c r="C48" i="8"/>
  <c r="E8" i="1"/>
  <c r="F90" i="14"/>
  <c r="F8" i="18"/>
  <c r="F9" i="18" s="1"/>
  <c r="F76" i="3" s="1"/>
  <c r="F77" i="3" s="1"/>
  <c r="F49" i="3"/>
  <c r="F11" i="19"/>
  <c r="E9" i="5" s="1"/>
  <c r="F34" i="4"/>
  <c r="F36" i="4" s="1"/>
  <c r="F44" i="4" s="1"/>
  <c r="F46" i="4" s="1"/>
  <c r="F17" i="9"/>
  <c r="D35" i="8"/>
  <c r="D48" i="8" s="1"/>
  <c r="C41" i="32"/>
  <c r="E42" i="32"/>
  <c r="F8" i="16"/>
  <c r="O9" i="45"/>
  <c r="J12" i="45"/>
  <c r="N12" i="45" s="1"/>
  <c r="I11" i="9"/>
  <c r="I17" i="9" s="1"/>
  <c r="I20" i="9" s="1"/>
  <c r="O11" i="45"/>
  <c r="F10" i="16"/>
  <c r="F93" i="14" l="1"/>
  <c r="F94" i="14" s="1"/>
  <c r="F7" i="4"/>
  <c r="F9" i="4" s="1"/>
  <c r="E39" i="1"/>
  <c r="F59" i="2"/>
  <c r="F14" i="2"/>
  <c r="F15" i="2" s="1"/>
  <c r="J13" i="45"/>
  <c r="N13" i="45" s="1"/>
  <c r="J14" i="45"/>
  <c r="N14" i="45" s="1"/>
  <c r="E29" i="1"/>
  <c r="F24" i="40"/>
  <c r="E20" i="1" l="1"/>
  <c r="F22" i="4"/>
  <c r="F24" i="4" s="1"/>
  <c r="F27" i="4" s="1"/>
  <c r="F16" i="40" s="1"/>
  <c r="F17" i="40" s="1"/>
  <c r="F21" i="40" s="1"/>
  <c r="F48" i="3"/>
  <c r="J18" i="45"/>
  <c r="O13" i="45"/>
  <c r="F12" i="16"/>
  <c r="O12" i="45"/>
  <c r="F11" i="16"/>
  <c r="N18" i="45"/>
  <c r="F13" i="16"/>
  <c r="O14" i="45"/>
  <c r="A34" i="43" l="1"/>
  <c r="A35" i="43" s="1"/>
  <c r="A36" i="43" s="1"/>
  <c r="A37" i="43" s="1"/>
  <c r="A38" i="43" s="1"/>
  <c r="A39" i="43" s="1"/>
  <c r="A40" i="43" s="1"/>
  <c r="F21" i="2"/>
  <c r="F22" i="2" s="1"/>
  <c r="F51" i="4" s="1"/>
  <c r="F638" i="47"/>
  <c r="F10" i="19" s="1"/>
  <c r="F14" i="19" s="1"/>
  <c r="F37" i="19" s="1"/>
  <c r="F69" i="2"/>
  <c r="F70" i="2" s="1"/>
  <c r="F64" i="3"/>
  <c r="F65" i="3" s="1"/>
  <c r="F51" i="3"/>
  <c r="F52" i="3" s="1"/>
  <c r="F35" i="2"/>
  <c r="F36" i="2" s="1"/>
  <c r="F28" i="2"/>
  <c r="F29" i="2" s="1"/>
  <c r="F55" i="3"/>
  <c r="F56" i="3" s="1"/>
  <c r="F13" i="3"/>
  <c r="F14" i="3" s="1"/>
  <c r="F33" i="3"/>
  <c r="F34" i="3" s="1"/>
  <c r="F74" i="2"/>
  <c r="F75" i="2" s="1"/>
  <c r="F80" i="2"/>
  <c r="F81" i="2" s="1"/>
  <c r="F42" i="2"/>
  <c r="F43" i="2" s="1"/>
  <c r="F17" i="16"/>
  <c r="O18" i="45"/>
  <c r="F58" i="3" l="1"/>
  <c r="E43" i="1" s="1"/>
  <c r="E10" i="5"/>
  <c r="E13" i="5" s="1"/>
  <c r="E23" i="5" s="1"/>
  <c r="F16" i="31" s="1"/>
  <c r="A41" i="43"/>
  <c r="A42" i="43" s="1"/>
  <c r="A43" i="43" s="1"/>
  <c r="A44" i="43" s="1"/>
  <c r="A45" i="43" s="1"/>
  <c r="A46" i="43" s="1"/>
  <c r="A47" i="43" s="1"/>
  <c r="A48" i="43" s="1"/>
  <c r="A49" i="43" s="1"/>
  <c r="A50" i="43" s="1"/>
  <c r="A51" i="43" s="1"/>
  <c r="A52" i="43" s="1"/>
  <c r="A53" i="43" s="1"/>
  <c r="A54" i="43" s="1"/>
  <c r="A55" i="43" s="1"/>
  <c r="A56" i="43" s="1"/>
  <c r="A57" i="43" s="1"/>
  <c r="E17" i="1"/>
  <c r="E36" i="1"/>
  <c r="E18" i="1"/>
  <c r="E22" i="1"/>
  <c r="E19" i="1"/>
  <c r="E14" i="1"/>
  <c r="F52" i="4"/>
  <c r="F53" i="4" s="1"/>
  <c r="E37" i="1"/>
  <c r="E11" i="1"/>
  <c r="E12" i="1"/>
  <c r="F35" i="19"/>
  <c r="C15" i="33" l="1"/>
  <c r="B16" i="31"/>
  <c r="E49" i="1"/>
  <c r="I12" i="32" s="1"/>
  <c r="F55" i="4"/>
  <c r="F37" i="4"/>
  <c r="F39" i="4" s="1"/>
  <c r="F83" i="2" s="1"/>
  <c r="F84" i="2" s="1"/>
  <c r="F85" i="2" s="1"/>
  <c r="E9" i="26" l="1"/>
  <c r="E24" i="26"/>
  <c r="F53" i="2"/>
  <c r="F54" i="2" s="1"/>
  <c r="F17" i="3"/>
  <c r="F18" i="3" s="1"/>
  <c r="F39" i="3"/>
  <c r="F21" i="3"/>
  <c r="F22" i="3" s="1"/>
  <c r="E23" i="1"/>
  <c r="F40" i="3" l="1"/>
  <c r="F41" i="3" s="1"/>
  <c r="E38" i="1" s="1"/>
  <c r="E39" i="9" s="1"/>
  <c r="E21" i="1"/>
  <c r="F28" i="3"/>
  <c r="F69" i="3"/>
  <c r="F71" i="3" s="1"/>
  <c r="E35" i="1" l="1"/>
  <c r="F60" i="2"/>
  <c r="F61" i="2" s="1"/>
  <c r="E24" i="1" s="1"/>
  <c r="E42" i="1"/>
  <c r="E16" i="1"/>
  <c r="E46" i="1" l="1"/>
  <c r="L70" i="21" l="1"/>
  <c r="D14" i="19" l="1"/>
  <c r="B12" i="7"/>
  <c r="B36" i="8" s="1"/>
  <c r="H36" i="8"/>
  <c r="B13" i="7"/>
  <c r="B37" i="8" s="1"/>
  <c r="H37" i="8"/>
  <c r="B14" i="7"/>
  <c r="B38" i="8" s="1"/>
  <c r="H38" i="8"/>
  <c r="B15" i="7"/>
  <c r="B39" i="8" s="1"/>
  <c r="H39" i="8"/>
  <c r="B16" i="7"/>
  <c r="B40" i="8" s="1"/>
  <c r="H40" i="8"/>
  <c r="B17" i="7"/>
  <c r="B41" i="8" s="1"/>
  <c r="H41" i="8"/>
  <c r="B18" i="7"/>
  <c r="B42" i="8" s="1"/>
  <c r="B19" i="7"/>
  <c r="B43" i="8" s="1"/>
  <c r="B20" i="7"/>
  <c r="B44" i="8" s="1"/>
  <c r="H44" i="8"/>
  <c r="B21" i="7"/>
  <c r="B45" i="8" s="1"/>
  <c r="H45" i="8"/>
  <c r="B22" i="7"/>
  <c r="B46" i="8" s="1"/>
  <c r="H46" i="8"/>
  <c r="E36" i="8"/>
  <c r="E37" i="8"/>
  <c r="E38" i="8"/>
  <c r="E39" i="8"/>
  <c r="E40" i="8"/>
  <c r="E41" i="8"/>
  <c r="E42" i="8"/>
  <c r="H42" i="8"/>
  <c r="E43" i="8"/>
  <c r="H43" i="8"/>
  <c r="E44" i="8"/>
  <c r="E45" i="8"/>
  <c r="E46" i="8"/>
  <c r="H35" i="8"/>
  <c r="E24" i="7"/>
  <c r="E36" i="32" s="1"/>
  <c r="E35" i="8"/>
  <c r="E82" i="21" l="1"/>
  <c r="B24" i="7"/>
  <c r="B35" i="8"/>
  <c r="B48" i="8" s="1"/>
  <c r="D42" i="32"/>
  <c r="H24" i="7"/>
  <c r="E48" i="8"/>
  <c r="D41" i="32"/>
  <c r="F51" i="40" l="1"/>
  <c r="E53" i="1"/>
  <c r="F42" i="40"/>
  <c r="H48" i="8"/>
  <c r="G15" i="33" l="1"/>
  <c r="H9" i="26"/>
  <c r="I21" i="43" l="1"/>
  <c r="H28" i="43"/>
  <c r="E43" i="43" l="1"/>
  <c r="E10" i="1" s="1"/>
  <c r="E26" i="1" s="1"/>
  <c r="I28" i="9" s="1"/>
  <c r="G28" i="43"/>
  <c r="I31" i="9" l="1"/>
  <c r="I34" i="9" s="1"/>
  <c r="F25" i="40" l="1"/>
  <c r="F26" i="40" s="1"/>
  <c r="F28" i="40" s="1"/>
  <c r="F30" i="40" s="1"/>
  <c r="E30" i="1"/>
  <c r="E31" i="1" s="1"/>
  <c r="E47" i="1" s="1"/>
  <c r="A15" i="33" l="1"/>
  <c r="E15" i="33" s="1"/>
  <c r="H15" i="33" s="1"/>
  <c r="E51" i="1"/>
  <c r="I10" i="32"/>
  <c r="C9" i="26"/>
  <c r="C24" i="26"/>
  <c r="I14" i="32" l="1"/>
  <c r="F40" i="40"/>
  <c r="E37" i="32"/>
  <c r="E55" i="1"/>
  <c r="H22" i="33"/>
  <c r="H26" i="33"/>
  <c r="H21" i="33"/>
  <c r="H25" i="33"/>
  <c r="E38" i="32" l="1"/>
  <c r="G41" i="32" s="1"/>
  <c r="E56" i="1"/>
  <c r="C10" i="26" s="1"/>
  <c r="C16" i="26" s="1"/>
  <c r="E60" i="1"/>
  <c r="C20" i="26" s="1"/>
  <c r="J9" i="26"/>
  <c r="E57" i="1"/>
  <c r="E61" i="1"/>
  <c r="C21" i="26" s="1"/>
  <c r="F44" i="40"/>
  <c r="F45" i="40" s="1"/>
  <c r="F49" i="40"/>
  <c r="F53" i="40" s="1"/>
  <c r="F54" i="40" s="1"/>
  <c r="H24" i="33"/>
  <c r="H23" i="33"/>
  <c r="E41" i="32"/>
  <c r="C44" i="32" l="1"/>
  <c r="I16" i="32" s="1"/>
  <c r="H24" i="26" s="1"/>
  <c r="E58" i="1"/>
  <c r="C12" i="26" s="1"/>
  <c r="C18" i="26" s="1"/>
  <c r="C11" i="26"/>
  <c r="C17" i="26" s="1"/>
  <c r="E59" i="1"/>
  <c r="C13" i="26" s="1"/>
  <c r="C19" i="26" s="1"/>
  <c r="F57" i="40"/>
  <c r="F58" i="40" s="1"/>
  <c r="I18" i="32" l="1"/>
  <c r="J24" i="26" s="1"/>
  <c r="C25" i="26" s="1"/>
</calcChain>
</file>

<file path=xl/sharedStrings.xml><?xml version="1.0" encoding="utf-8"?>
<sst xmlns="http://schemas.openxmlformats.org/spreadsheetml/2006/main" count="4633" uniqueCount="1334">
  <si>
    <t>Century Tel-Bruneau,ID</t>
  </si>
  <si>
    <t>Century Tel-Richfield,ID</t>
  </si>
  <si>
    <t>JR. Simplot</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</si>
  <si>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</si>
  <si>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</si>
  <si>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</si>
  <si>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</si>
  <si>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</si>
  <si>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</si>
  <si>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</si>
  <si>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</si>
  <si>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</si>
  <si>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</si>
  <si>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</si>
  <si>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</si>
  <si>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</si>
  <si>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</si>
  <si>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</si>
  <si>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</si>
  <si>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</si>
  <si>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</si>
  <si>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</si>
  <si>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</si>
  <si>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</si>
  <si>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</si>
  <si>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</si>
  <si>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</si>
  <si>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</si>
  <si>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</si>
  <si>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</si>
  <si>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</si>
  <si>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</si>
  <si>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</si>
  <si>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</si>
  <si>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</si>
  <si>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</si>
  <si>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</si>
  <si>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</si>
  <si>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</si>
  <si>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</si>
  <si>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</si>
  <si>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</si>
  <si>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</si>
  <si>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</si>
  <si>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</si>
  <si>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</si>
  <si>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</si>
  <si>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</si>
  <si>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</si>
  <si>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</si>
  <si>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</si>
  <si>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</si>
  <si>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</si>
  <si>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</si>
  <si>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</si>
  <si>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</si>
  <si>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</si>
  <si>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</si>
  <si>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</si>
  <si>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</si>
  <si>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</si>
  <si>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</si>
  <si>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</si>
  <si>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</si>
  <si>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</si>
  <si>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</si>
  <si>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</si>
  <si>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</si>
  <si>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</si>
  <si>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</si>
  <si>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</si>
  <si>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</si>
  <si>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</si>
  <si>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</si>
  <si>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</si>
  <si>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</si>
  <si>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</si>
  <si>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</si>
  <si>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</si>
  <si>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</si>
  <si>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</si>
  <si>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</si>
  <si>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</si>
  <si>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</si>
  <si>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</si>
  <si>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</si>
  <si>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</si>
  <si>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</si>
  <si>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</si>
  <si>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</si>
  <si>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</si>
  <si>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</si>
  <si>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</si>
  <si>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</si>
  <si>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</si>
  <si>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</si>
  <si>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</si>
  <si>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</si>
  <si>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</si>
  <si>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</si>
  <si>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</si>
  <si>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</si>
  <si>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</si>
  <si>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</si>
  <si>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</si>
  <si>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</si>
  <si>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</si>
  <si>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</si>
  <si>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</si>
  <si>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</si>
  <si>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</si>
  <si>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</si>
  <si>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</si>
  <si>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</si>
  <si>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</si>
  <si>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</si>
  <si>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</si>
  <si>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</si>
  <si>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</si>
  <si>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</si>
  <si>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</si>
  <si>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</si>
  <si>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</si>
  <si>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</si>
  <si>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</si>
  <si>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</si>
  <si>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</si>
  <si>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</si>
  <si>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</si>
  <si>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</si>
  <si>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</si>
  <si>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</si>
  <si>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</si>
  <si>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</si>
  <si>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</si>
  <si>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</si>
  <si>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</si>
  <si>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</si>
  <si>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</si>
  <si>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</si>
  <si>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</si>
  <si>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</si>
  <si>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</si>
  <si>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</si>
  <si>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</si>
  <si>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</si>
  <si>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</si>
  <si>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</si>
  <si>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</si>
  <si>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</si>
  <si>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</si>
  <si>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</si>
  <si>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</si>
  <si>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</si>
  <si>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</si>
  <si>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</si>
  <si>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</si>
  <si>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</si>
  <si>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</si>
  <si>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</si>
  <si>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</si>
  <si>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</si>
  <si>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</si>
  <si>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</si>
  <si>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</si>
  <si>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Clear Lake Power Plant</t>
  </si>
  <si>
    <t>Danskin Power Plant</t>
  </si>
  <si>
    <t>Hells Canyon Power Plant Wallo</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</si>
  <si>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</si>
  <si>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</si>
  <si>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</si>
  <si>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</si>
  <si>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</si>
  <si>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</si>
  <si>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</si>
  <si>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</si>
  <si>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</si>
  <si>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</si>
  <si>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</si>
  <si>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</si>
  <si>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</si>
  <si>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</si>
  <si>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</si>
  <si>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</si>
  <si>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</si>
  <si>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</si>
  <si>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</si>
  <si>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</si>
  <si>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</si>
  <si>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</si>
  <si>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</si>
  <si>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</si>
  <si>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</si>
  <si>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</si>
  <si>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</si>
  <si>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</si>
  <si>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</si>
  <si>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</si>
  <si>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</si>
  <si>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</si>
  <si>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</si>
  <si>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</si>
  <si>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</si>
  <si>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</si>
  <si>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</si>
  <si>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</si>
  <si>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</si>
  <si>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</si>
  <si>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</si>
  <si>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</si>
  <si>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</si>
  <si>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</si>
  <si>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</si>
  <si>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</si>
  <si>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</si>
  <si>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</si>
  <si>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</si>
  <si>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</si>
  <si>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</si>
  <si>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</si>
  <si>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</si>
  <si>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</si>
  <si>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</si>
  <si>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</si>
  <si>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</si>
  <si>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</si>
  <si>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</si>
  <si>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</si>
  <si>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</si>
  <si>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</si>
  <si>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</si>
  <si>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</si>
  <si>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</si>
  <si>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</si>
  <si>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</si>
  <si>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</si>
  <si>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</si>
  <si>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</si>
  <si>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</si>
  <si>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</si>
  <si>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</si>
  <si>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</si>
  <si>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</si>
  <si>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</si>
  <si>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</si>
  <si>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</si>
  <si>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</si>
  <si>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</si>
  <si>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</si>
  <si>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</si>
  <si>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</si>
  <si>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</si>
  <si>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</si>
  <si>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</si>
  <si>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</si>
  <si>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</si>
  <si>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</si>
  <si>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</si>
  <si>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</si>
  <si>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</si>
  <si>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</si>
  <si>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</si>
  <si>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</si>
  <si>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</si>
  <si>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</si>
  <si>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</si>
  <si>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</si>
  <si>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</si>
  <si>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</si>
  <si>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</si>
  <si>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</si>
  <si>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</si>
  <si>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</si>
  <si>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</si>
  <si>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</si>
  <si>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</si>
  <si>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</si>
  <si>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</si>
  <si>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</si>
  <si>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</si>
  <si>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</si>
  <si>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</si>
  <si>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</si>
  <si>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</si>
  <si>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</si>
  <si>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</si>
  <si>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</si>
  <si>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</si>
  <si>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</si>
  <si>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</si>
  <si>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</si>
  <si>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</si>
  <si>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</si>
  <si>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</si>
  <si>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</si>
  <si>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</si>
  <si>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</si>
  <si>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</si>
  <si>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</si>
  <si>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</si>
  <si>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</si>
  <si>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</si>
  <si>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</si>
  <si>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</si>
  <si>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</si>
  <si>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</si>
  <si>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</si>
  <si>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</si>
  <si>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</si>
  <si>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</si>
  <si>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</si>
  <si>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</si>
  <si>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</si>
  <si>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</si>
  <si>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</si>
  <si>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</si>
  <si>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</si>
  <si>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</si>
  <si>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</si>
  <si>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</si>
  <si>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</si>
  <si>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</si>
  <si>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</si>
  <si>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</si>
  <si>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</si>
  <si>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</si>
  <si>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</si>
  <si>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</si>
  <si>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</si>
  <si>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</si>
  <si>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</si>
  <si>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</si>
  <si>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</si>
  <si>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</si>
  <si>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</si>
  <si>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</si>
  <si>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</si>
  <si>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</si>
  <si>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</si>
  <si>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</si>
  <si>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</si>
  <si>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</si>
  <si>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</si>
  <si>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</si>
  <si>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</si>
  <si>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</si>
  <si>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</si>
  <si>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</si>
  <si>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</si>
  <si>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</si>
  <si>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</si>
  <si>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</si>
  <si>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State of Idaho Public TV</t>
  </si>
  <si>
    <t>Integra</t>
  </si>
  <si>
    <t>Level III</t>
  </si>
  <si>
    <t>T-Mobile</t>
  </si>
  <si>
    <t>Transmission Poles</t>
  </si>
  <si>
    <t>Distribution Poles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</si>
  <si>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</si>
  <si>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</si>
  <si>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</si>
  <si>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</si>
  <si>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</si>
  <si>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</si>
  <si>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</si>
  <si>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</si>
  <si>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</si>
  <si>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</si>
  <si>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</si>
  <si>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</si>
  <si>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</si>
  <si>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</si>
  <si>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</si>
  <si>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</si>
  <si>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</si>
  <si>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</si>
  <si>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</si>
  <si>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</si>
  <si>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</si>
  <si>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</si>
  <si>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</si>
  <si>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</si>
  <si>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</si>
  <si>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</si>
  <si>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</si>
  <si>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</si>
  <si>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</si>
  <si>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</si>
  <si>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</si>
  <si>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</si>
  <si>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</si>
  <si>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</si>
  <si>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</si>
  <si>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</si>
  <si>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</si>
  <si>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</si>
  <si>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</si>
  <si>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</si>
  <si>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</si>
  <si>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</si>
  <si>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</si>
  <si>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</si>
  <si>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</si>
  <si>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</si>
  <si>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</si>
  <si>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</si>
  <si>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</si>
  <si>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</si>
  <si>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</si>
  <si>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</si>
  <si>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</si>
  <si>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</si>
  <si>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</si>
  <si>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</si>
  <si>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</si>
  <si>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</si>
  <si>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</si>
  <si>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</si>
  <si>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</si>
  <si>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</si>
  <si>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</si>
  <si>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</si>
  <si>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</si>
  <si>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</si>
  <si>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</si>
  <si>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</si>
  <si>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</si>
  <si>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</si>
  <si>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</si>
  <si>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</si>
  <si>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</si>
  <si>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</si>
  <si>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</si>
  <si>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</si>
  <si>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</si>
  <si>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</si>
  <si>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</si>
  <si>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</si>
  <si>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</si>
  <si>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</si>
  <si>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</si>
  <si>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Effective Cost </t>
  </si>
  <si>
    <t>Amortized ITC - Electric (Account 411.4)</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</si>
  <si>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</si>
  <si>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</si>
  <si>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</si>
  <si>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</si>
  <si>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</si>
  <si>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</si>
  <si>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</si>
  <si>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</si>
  <si>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</si>
  <si>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</si>
  <si>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</si>
  <si>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</si>
  <si>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</si>
  <si>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</si>
  <si>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</si>
  <si>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</si>
  <si>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</si>
  <si>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</si>
  <si>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</si>
  <si>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</si>
  <si>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</si>
  <si>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</si>
  <si>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</si>
  <si>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</si>
  <si>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</si>
  <si>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</si>
  <si>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</si>
  <si>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</si>
  <si>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</si>
  <si>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</si>
  <si>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</si>
  <si>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</si>
  <si>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</si>
  <si>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</si>
  <si>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</si>
  <si>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</si>
  <si>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</si>
  <si>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</si>
  <si>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</si>
  <si>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</si>
  <si>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</si>
  <si>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</si>
  <si>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</si>
  <si>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</si>
  <si>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</si>
  <si>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</si>
  <si>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</si>
  <si>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</si>
  <si>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</si>
  <si>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</si>
  <si>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</si>
  <si>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</si>
  <si>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</si>
  <si>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</si>
  <si>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</si>
  <si>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</si>
  <si>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</si>
  <si>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</si>
  <si>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</si>
  <si>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</si>
  <si>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</si>
  <si>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</si>
  <si>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</si>
  <si>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</si>
  <si>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</si>
  <si>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</si>
  <si>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</si>
  <si>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</si>
  <si>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</si>
  <si>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</si>
  <si>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</si>
  <si>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</si>
  <si>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</si>
  <si>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</si>
  <si>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</si>
  <si>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</si>
  <si>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</si>
  <si>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</si>
  <si>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</si>
  <si>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</si>
  <si>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</si>
  <si>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</si>
  <si>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</si>
  <si>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</si>
  <si>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</si>
  <si>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</si>
  <si>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</si>
  <si>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</si>
  <si>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</si>
  <si>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</si>
  <si>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</si>
  <si>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</si>
  <si>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</si>
  <si>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</si>
  <si>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</si>
  <si>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</si>
  <si>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</si>
  <si>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</si>
  <si>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</si>
  <si>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</si>
  <si>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</si>
  <si>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</si>
  <si>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</si>
  <si>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</si>
  <si>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</si>
  <si>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</si>
  <si>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</si>
  <si>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</si>
  <si>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</si>
  <si>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</si>
  <si>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</si>
  <si>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</si>
  <si>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</si>
  <si>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</si>
  <si>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</si>
  <si>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</si>
  <si>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</si>
  <si>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</si>
  <si>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</si>
  <si>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</si>
  <si>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</si>
  <si>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</si>
  <si>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</si>
  <si>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</si>
  <si>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</si>
  <si>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</si>
  <si>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</si>
  <si>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</si>
  <si>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</si>
  <si>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</si>
  <si>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</si>
  <si>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</si>
  <si>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</si>
  <si>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</si>
  <si>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</si>
  <si>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</si>
  <si>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</si>
  <si>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</si>
  <si>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</si>
  <si>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</si>
  <si>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</si>
  <si>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</si>
  <si>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</si>
  <si>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</si>
  <si>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</si>
  <si>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</si>
  <si>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</si>
  <si>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</si>
  <si>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</si>
  <si>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</si>
  <si>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</si>
  <si>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</si>
  <si>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</si>
  <si>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</si>
  <si>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</si>
  <si>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</si>
  <si>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</si>
  <si>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</si>
  <si>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</si>
  <si>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</si>
  <si>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</si>
  <si>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</si>
  <si>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</si>
  <si>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</si>
  <si>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</si>
  <si>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</si>
  <si>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</si>
  <si>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</si>
  <si>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</si>
  <si>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</si>
  <si>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</si>
  <si>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</si>
  <si>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</si>
  <si>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</si>
  <si>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</si>
  <si>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</si>
  <si>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</si>
  <si>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</si>
  <si>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</si>
  <si>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</si>
  <si>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</si>
  <si>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</si>
  <si>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</si>
  <si>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</si>
  <si>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</si>
  <si>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</si>
  <si>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</si>
  <si>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</si>
  <si>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</si>
  <si>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</si>
  <si>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</si>
  <si>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</si>
  <si>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</si>
  <si>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</si>
  <si>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</si>
  <si>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</si>
  <si>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</si>
  <si>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</si>
  <si>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</si>
  <si>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</si>
  <si>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</si>
  <si>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</si>
  <si>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</si>
  <si>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</si>
  <si>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</si>
  <si>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</si>
  <si>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</si>
  <si>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</si>
  <si>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</si>
  <si>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</si>
  <si>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</si>
  <si>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</si>
  <si>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</si>
  <si>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</si>
  <si>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</si>
  <si>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</si>
  <si>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</si>
  <si>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Tele</t>
  </si>
  <si>
    <t>Century Tel-Grandview,ID</t>
  </si>
  <si>
    <t>Century Tel-Salmon,ID</t>
  </si>
  <si>
    <t>Farmer's</t>
  </si>
  <si>
    <t>Filer</t>
  </si>
  <si>
    <t xml:space="preserve">Midvale </t>
  </si>
  <si>
    <t>Project Mutual</t>
  </si>
  <si>
    <t>Amalgamated Sugar</t>
  </si>
  <si>
    <t>Misc.</t>
  </si>
  <si>
    <t>American Red Cross</t>
  </si>
  <si>
    <t>Barger Mattson</t>
  </si>
  <si>
    <t>Boise State</t>
  </si>
  <si>
    <t>City of Weiser</t>
  </si>
  <si>
    <t>Kinross Delamar</t>
  </si>
  <si>
    <t>Oregon Trail Electirc</t>
  </si>
  <si>
    <t>St. Lukes</t>
  </si>
  <si>
    <t>CATV</t>
  </si>
  <si>
    <t>Cable One</t>
  </si>
  <si>
    <t>Cambridge</t>
  </si>
  <si>
    <t>Cox</t>
  </si>
  <si>
    <t>CLEC</t>
  </si>
  <si>
    <t>Cricket</t>
  </si>
  <si>
    <t>PCS</t>
  </si>
  <si>
    <t>Totals</t>
  </si>
  <si>
    <t>Clearwire</t>
  </si>
  <si>
    <t>SCHEDULE 4 WORKPAPER, PAGE 3</t>
  </si>
  <si>
    <t>DB2DATE</t>
  </si>
  <si>
    <t>Voucher</t>
  </si>
  <si>
    <t>DISTDESC</t>
  </si>
  <si>
    <t>Sum TOTAMT</t>
  </si>
  <si>
    <t>CC</t>
  </si>
  <si>
    <t>Descr</t>
  </si>
  <si>
    <t>010034</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</si>
  <si>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</si>
  <si>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</si>
  <si>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</si>
  <si>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</si>
  <si>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</si>
  <si>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</si>
  <si>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</si>
  <si>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</si>
  <si>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</si>
  <si>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</si>
  <si>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</si>
  <si>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</si>
  <si>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</si>
  <si>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</si>
  <si>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</si>
  <si>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</si>
  <si>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</si>
  <si>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</si>
  <si>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</si>
  <si>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</si>
  <si>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</si>
  <si>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</si>
  <si>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</si>
  <si>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</si>
  <si>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</si>
  <si>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</si>
  <si>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</si>
  <si>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</si>
  <si>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</si>
  <si>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</si>
  <si>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</si>
  <si>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</si>
  <si>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</si>
  <si>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</si>
  <si>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</si>
  <si>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</si>
  <si>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</si>
  <si>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</si>
  <si>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</si>
  <si>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</si>
  <si>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</si>
  <si>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</si>
  <si>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</si>
  <si>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</si>
  <si>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</si>
  <si>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</si>
  <si>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</si>
  <si>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</si>
  <si>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</si>
  <si>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</si>
  <si>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</si>
  <si>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</si>
  <si>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</si>
  <si>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</si>
  <si>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</si>
  <si>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</si>
  <si>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</si>
  <si>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</si>
  <si>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</si>
  <si>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</si>
  <si>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</si>
  <si>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</si>
  <si>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</si>
  <si>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</si>
  <si>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</si>
  <si>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</si>
  <si>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</si>
  <si>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</si>
  <si>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</si>
  <si>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</si>
  <si>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</si>
  <si>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</si>
  <si>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</si>
  <si>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</si>
  <si>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</si>
  <si>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010157</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</si>
  <si>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</si>
  <si>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</si>
  <si>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</si>
  <si>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</si>
  <si>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</si>
  <si>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</si>
  <si>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</si>
  <si>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</si>
  <si>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</si>
  <si>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</si>
  <si>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</si>
  <si>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</si>
  <si>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</si>
  <si>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</si>
  <si>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</si>
  <si>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</si>
  <si>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</si>
  <si>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</si>
  <si>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</si>
  <si>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</si>
  <si>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</si>
  <si>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</si>
  <si>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</si>
  <si>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</si>
  <si>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Monthly Peak</t>
  </si>
  <si>
    <t>MW Total</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</si>
  <si>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</si>
  <si>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</si>
  <si>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</si>
  <si>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</si>
  <si>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</si>
  <si>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</si>
  <si>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</si>
  <si>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</si>
  <si>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</si>
  <si>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</si>
  <si>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Category</t>
  </si>
  <si>
    <t>Vin Year</t>
  </si>
  <si>
    <t>Sum Cost</t>
  </si>
  <si>
    <t>Depreciation Rate</t>
  </si>
  <si>
    <t>Total Accumulated Depreciation</t>
  </si>
  <si>
    <t>Net Plant</t>
  </si>
  <si>
    <t>Annual Accrual</t>
  </si>
  <si>
    <t>GPBLPR01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</si>
  <si>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</si>
  <si>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</si>
  <si>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</si>
  <si>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</si>
  <si>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</si>
  <si>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</si>
  <si>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</si>
  <si>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</si>
  <si>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</si>
  <si>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</si>
  <si>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</si>
  <si>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</si>
  <si>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</si>
  <si>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</si>
  <si>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</si>
  <si>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</si>
  <si>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</si>
  <si>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</si>
  <si>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</si>
  <si>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</si>
  <si>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SCL</t>
  </si>
  <si>
    <t>PAC</t>
  </si>
  <si>
    <t>LYPK/LGBP</t>
  </si>
  <si>
    <t>Morgan Stanley Capital Group</t>
  </si>
  <si>
    <t>Portland General Electric</t>
  </si>
  <si>
    <t>Account 163 - Stores Expense Undistributed</t>
  </si>
  <si>
    <t xml:space="preserve">  6.30% Series, due 2037…</t>
  </si>
  <si>
    <t xml:space="preserve">  6.25% Series, due 2037…</t>
  </si>
  <si>
    <t xml:space="preserve">(a) - </t>
  </si>
  <si>
    <t>IV. Total Unreimbursed Portion of Network Upgrade Prepayments (Account 252) Net of Accumulated Depreciation and Interest Expense Accrued:</t>
  </si>
  <si>
    <t xml:space="preserve"> Net of Accumulated Depreciaion</t>
  </si>
  <si>
    <t>Unreimbursed Prepayments</t>
  </si>
  <si>
    <t>II.  Unreimbursed Portion of Network Upgrade Prepayments (Account 252) Net of Accumulated Depreciation</t>
  </si>
  <si>
    <t>Plant Balance</t>
  </si>
  <si>
    <t>I.  Plant Balance and Depreciation</t>
  </si>
  <si>
    <t xml:space="preserve">  6.00% Series, due 2032 .…             </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</si>
  <si>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</si>
  <si>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</si>
  <si>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</si>
  <si>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</si>
  <si>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</si>
  <si>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</si>
  <si>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</si>
  <si>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</si>
  <si>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</si>
  <si>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</si>
  <si>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</si>
  <si>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</si>
  <si>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</si>
  <si>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</si>
  <si>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</si>
  <si>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</si>
  <si>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</si>
  <si>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</si>
  <si>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</si>
  <si>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</si>
  <si>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</si>
  <si>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</si>
  <si>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</si>
  <si>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</si>
  <si>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</si>
  <si>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</si>
  <si>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</si>
  <si>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</si>
  <si>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</si>
  <si>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</si>
  <si>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</si>
  <si>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</si>
  <si>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</si>
  <si>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</si>
  <si>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Less:  non-454 revenue</t>
  </si>
  <si>
    <t>Loss on grounding shield wire in account 456101</t>
  </si>
  <si>
    <t>Application fees booked into accounts 415101 &amp; 415102</t>
  </si>
  <si>
    <t>FF1 p205 5g</t>
  </si>
  <si>
    <t>FF1 p 227 8c</t>
  </si>
  <si>
    <t>FF1 p 336 10b</t>
  </si>
  <si>
    <t>FF1 p336 1d</t>
  </si>
  <si>
    <t>638</t>
  </si>
  <si>
    <t>OBBLPR/LGBP</t>
  </si>
  <si>
    <t>Form 1p400(b) less Legacy Agreements 1/ 2/</t>
  </si>
  <si>
    <t>Jointly Owned Plants (Idaho Power's Share 1/)</t>
  </si>
  <si>
    <t xml:space="preserve">1/ The revenue credits associated with Idaho Power Company are not included in the Account 456 balance but are </t>
  </si>
  <si>
    <t>OATT Short Term Firm and Non Firm 1/</t>
  </si>
  <si>
    <t>Total Account 454</t>
  </si>
  <si>
    <t>Substantive Charges to Accounting Policies, Practices and Procedures that could Affect Changes Under the Formula Rate</t>
  </si>
  <si>
    <t>Total A&amp;G Related O&amp;M (Less EPRI dues recorded in Account 930.2)</t>
  </si>
  <si>
    <t>000's</t>
  </si>
  <si>
    <t xml:space="preserve">  3.40% Series due 2020…</t>
  </si>
  <si>
    <t xml:space="preserve">  4.85% Series due 2040…</t>
  </si>
  <si>
    <t>107000 Total</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</si>
  <si>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</si>
  <si>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</si>
  <si>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</si>
  <si>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</si>
  <si>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</si>
  <si>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</si>
  <si>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</si>
  <si>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</si>
  <si>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</si>
  <si>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</si>
  <si>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020034</t>
  </si>
  <si>
    <t>040034</t>
  </si>
  <si>
    <t>620</t>
  </si>
  <si>
    <t>Out-of-Period Adjustments</t>
  </si>
  <si>
    <t>T</t>
  </si>
  <si>
    <t>PP</t>
  </si>
  <si>
    <t>Hemmingway JOOA</t>
  </si>
  <si>
    <t>Rate Calculation, ln 49</t>
  </si>
  <si>
    <t>FF1 p200 21c</t>
  </si>
  <si>
    <t>General Advertising Expense - Transmission Related</t>
  </si>
  <si>
    <t>Line 41 x GSU Allocator (Sch 3)</t>
  </si>
  <si>
    <t>Line 41 x LGI Allocator (Sch 3)</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</si>
  <si>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</si>
  <si>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</si>
  <si>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</si>
  <si>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</si>
  <si>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</si>
  <si>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</si>
  <si>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</si>
  <si>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</si>
  <si>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</si>
  <si>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</si>
  <si>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</si>
  <si>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To Schedule 4, line 8</t>
  </si>
  <si>
    <t>Joint Use Pole Attachment Application Fees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</si>
  <si>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</si>
  <si>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</si>
  <si>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</si>
  <si>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</si>
  <si>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</si>
  <si>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</si>
  <si>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</si>
  <si>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INFORMATIONAL FILING</t>
  </si>
  <si>
    <t xml:space="preserve">1/   </t>
  </si>
  <si>
    <t>Idaho Power Share of Bridger 33.33%</t>
  </si>
  <si>
    <t>Idaho Power Share of Valmy 50%</t>
  </si>
  <si>
    <t>Idaho Power Share of Boardman 10%</t>
  </si>
  <si>
    <t>Bonneville Power Administration</t>
  </si>
  <si>
    <t>Utah Associated Municipal Power</t>
  </si>
  <si>
    <t>Sorance Bean</t>
  </si>
  <si>
    <t>LS Networks</t>
  </si>
  <si>
    <t>Windwave</t>
  </si>
  <si>
    <t>FF1 p214 4d + 5d + 10d + 23d</t>
  </si>
  <si>
    <t>OATT Attach H, 3.1.1.11(f)</t>
  </si>
  <si>
    <t>FF1 p234 450.1 line 7 note 2</t>
  </si>
  <si>
    <t>FF1 p 207 104g, less p 205 15g, 24g ,34g, 44g, less p 207 57g, 74g, 83g, 98g</t>
  </si>
  <si>
    <t xml:space="preserve">     There were no substantive changes to accounting policies, practices, and procedures that could affect charges under the formula rate.</t>
  </si>
  <si>
    <t>050132</t>
  </si>
  <si>
    <t>070132</t>
  </si>
  <si>
    <t>080132</t>
  </si>
  <si>
    <t>090132</t>
  </si>
  <si>
    <t>100132</t>
  </si>
  <si>
    <t>854</t>
  </si>
  <si>
    <t>FF1  p207 58(g) less 57(g)</t>
  </si>
  <si>
    <t>FF1 p 219 25(b) less 108.100 = 0</t>
  </si>
  <si>
    <t>FF1 p266 8f</t>
  </si>
  <si>
    <t>FF1 p354 21b</t>
  </si>
  <si>
    <t>FF1 p354 27b</t>
  </si>
  <si>
    <t>FF1 p354 28b</t>
  </si>
  <si>
    <t>415101 &amp; 415102:</t>
  </si>
  <si>
    <t>Joint Use Application Fees are recorded in accounts 415101 and 415102</t>
  </si>
  <si>
    <t>Valmy #1 &amp; Common Non-Steam</t>
  </si>
  <si>
    <t>Valmy #2 Substation</t>
  </si>
  <si>
    <t>Valmy Unit #1 and Common</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</si>
  <si>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</si>
  <si>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</si>
  <si>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</si>
  <si>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</si>
  <si>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</si>
  <si>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</si>
  <si>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</si>
  <si>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</si>
  <si>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 xml:space="preserve"> Functionalization of Joint Use Rental Fees Recorded in Account 454</t>
  </si>
  <si>
    <t>IPCL</t>
  </si>
  <si>
    <t>76866224 (Full Transfer from IPCM 74110957)</t>
  </si>
  <si>
    <t>Century Link-Idaho(Capital)</t>
  </si>
  <si>
    <t>Century Link-Oregon(Malhuer)</t>
  </si>
  <si>
    <t>BPA-PF NITSA</t>
  </si>
  <si>
    <t>Pre August 1, 2008 Rates</t>
  </si>
  <si>
    <t>August 1, 2008 - May 31, 2012 Rates</t>
  </si>
  <si>
    <t>Post May 31, 2012 Rates</t>
  </si>
  <si>
    <t xml:space="preserve">  2.95% Series due 2022…</t>
  </si>
  <si>
    <t xml:space="preserve">  4.30% Series due 2042…</t>
  </si>
  <si>
    <t>Langley Gulch Power Plant</t>
  </si>
  <si>
    <t>010132</t>
  </si>
  <si>
    <t>020132</t>
  </si>
  <si>
    <t>030132</t>
  </si>
  <si>
    <t>040132</t>
  </si>
  <si>
    <t>060034</t>
  </si>
  <si>
    <t>060132</t>
  </si>
  <si>
    <t>070034</t>
  </si>
  <si>
    <t>110133</t>
  </si>
  <si>
    <t>120133</t>
  </si>
  <si>
    <t>Schedule 2 less (Accounts 561 and 565 from Rate Calculation tab)</t>
  </si>
  <si>
    <t>Total 2012</t>
  </si>
  <si>
    <t>TW Telecom</t>
  </si>
  <si>
    <t>Zayo</t>
  </si>
  <si>
    <t>Optix Media</t>
  </si>
  <si>
    <t>Wtechlink</t>
  </si>
  <si>
    <t>Carl Bond</t>
  </si>
  <si>
    <t>Dana Rasmussen</t>
  </si>
  <si>
    <t>Meadow Outdoor Advertising</t>
  </si>
  <si>
    <t>Motive Power</t>
  </si>
  <si>
    <t>Sam Rosti</t>
  </si>
  <si>
    <t>Snake River PCS</t>
  </si>
  <si>
    <t>US Air Force</t>
  </si>
  <si>
    <t>Verizon Wireless</t>
  </si>
  <si>
    <t>Byrl &amp; Tiz Landers</t>
  </si>
  <si>
    <t>Will Rowe</t>
  </si>
  <si>
    <t>Kenneth &amp; Julie Tew</t>
  </si>
  <si>
    <t>TCP Income</t>
  </si>
  <si>
    <t>Mike &amp; Sarita Raney</t>
  </si>
  <si>
    <t>Bart 4 LLC</t>
  </si>
  <si>
    <t>Eastwind Community Church</t>
  </si>
  <si>
    <t>LSP Income</t>
  </si>
  <si>
    <t xml:space="preserve">  2.50% Series due 2023...</t>
  </si>
  <si>
    <t xml:space="preserve">  4.00% Series due 2043...</t>
  </si>
  <si>
    <t>5/1/2012-1/1/2021</t>
  </si>
  <si>
    <t>27351266 - LGSY PREVENTATIVE MAINTENANCE</t>
  </si>
  <si>
    <t>27351267 - LGSY CORRECTIVE MAINTENANCE</t>
  </si>
  <si>
    <t>Valmy Substation</t>
  </si>
  <si>
    <t>Depreciation Jan 1 - Dec 31</t>
  </si>
  <si>
    <t>Difference</t>
  </si>
  <si>
    <t>Misc. difference</t>
  </si>
  <si>
    <t>Application fees:</t>
  </si>
  <si>
    <t>Total invoiced:</t>
  </si>
  <si>
    <t>Recorded to 454 revenue in error:</t>
  </si>
  <si>
    <t>27351266 - LGSY PREVENTIVE MAINTENANCE</t>
  </si>
  <si>
    <t>Pacificorp Inc.</t>
  </si>
  <si>
    <t>Powerex Corporation</t>
  </si>
  <si>
    <t>Nevada Power Company</t>
  </si>
  <si>
    <t>Shell Energy North America (US), LP</t>
  </si>
  <si>
    <t xml:space="preserve">included on this Schedule 4 Workpaper, page 6, on line 28 and in the totals on lines 30 and 32.  </t>
  </si>
  <si>
    <t>Albion Telephone</t>
  </si>
  <si>
    <t>Distribution Power Boxes</t>
  </si>
  <si>
    <t>Vale School District</t>
  </si>
  <si>
    <t>Zito Media</t>
  </si>
  <si>
    <t>Involta</t>
  </si>
  <si>
    <t>Pacificorp, Inc.</t>
  </si>
  <si>
    <t>454151</t>
  </si>
  <si>
    <t>Bob Watkins Homedale House</t>
  </si>
  <si>
    <t>T-Mobile CHQ Pent (SL02106A)</t>
  </si>
  <si>
    <t>624</t>
  </si>
  <si>
    <t>MONTHLY LAND LEASE</t>
  </si>
  <si>
    <t>ANNUAL LAND LEASE</t>
  </si>
  <si>
    <t>Diamond Livestock-Jay Faulkner</t>
  </si>
  <si>
    <t>FF1 p 321  85b to 92b</t>
  </si>
  <si>
    <t>FF1 p 112 3c</t>
  </si>
  <si>
    <t>FF1  p 112 16c</t>
  </si>
  <si>
    <t>General Plant Accum Depr (excluding Asset Retirement Costs)</t>
  </si>
  <si>
    <t>Trans Related General Plant Depr</t>
  </si>
  <si>
    <t>FF1 p214 2d + 9d + 22d</t>
  </si>
  <si>
    <t>FOAB (Soc Sec) and Unemp Tax</t>
  </si>
  <si>
    <t>FF1 pp262-263 3i, 4i, 12i, 22i</t>
  </si>
  <si>
    <t>BORA/LGBP</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</si>
  <si>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t>
  </si>
  <si>
    <t xml:space="preserve">  </t>
  </si>
  <si>
    <t>Reservations 1/</t>
  </si>
  <si>
    <t>Transmission Power Boxes</t>
  </si>
  <si>
    <t xml:space="preserve"> FF1 p 350</t>
  </si>
  <si>
    <t>Overhead Line Safety Campaign</t>
  </si>
  <si>
    <t>Radio Ads</t>
  </si>
  <si>
    <t>Print Ads</t>
  </si>
  <si>
    <t>Transmission %</t>
  </si>
  <si>
    <t>Total Advertising</t>
  </si>
  <si>
    <t>Trans Alloc %</t>
  </si>
  <si>
    <t>Trans Amount</t>
  </si>
  <si>
    <t>Schedule 2 Workpaper, page 5</t>
  </si>
  <si>
    <t>FF1 p207 58g</t>
  </si>
  <si>
    <t>FF1 p207 75g</t>
  </si>
  <si>
    <t>SCHEDULE 2 WORKPAPER, PAGE 5</t>
  </si>
  <si>
    <t>Total Transmission O&amp;M less Retail Jurisdictional RTO Development Costs Amortized to Account 566</t>
  </si>
  <si>
    <t>1/ Excludes Other Long-Term Debt.  Other Long-Term Debt includes the American Falls Dam Bond and Milner Dam Note guarantees. These instruments are excluded in rate making calculations and therefore are omitted from this schedule.</t>
  </si>
  <si>
    <t>Transmission Projects Only</t>
  </si>
  <si>
    <t>2/  FF1 p 112 18c</t>
  </si>
  <si>
    <t>Long Term Debt  1/ 2/</t>
  </si>
  <si>
    <t>Changes in Plant Balance</t>
  </si>
  <si>
    <t>1/1/2014-1/1/2019</t>
  </si>
  <si>
    <t>11/04/2015 -7/1/2020</t>
  </si>
  <si>
    <t>81071569 (Redirect billed to 81071569)</t>
  </si>
  <si>
    <t>81825283 (Redirect billed to 78385690)</t>
  </si>
  <si>
    <t>80381490 (Redirect billed to 78385690)</t>
  </si>
  <si>
    <t>11/04/2015 -7/1/2019</t>
  </si>
  <si>
    <t>KPRT/HURR</t>
  </si>
  <si>
    <t>BORA/HURR</t>
  </si>
  <si>
    <t>Washington</t>
  </si>
  <si>
    <t>TOTAL WASHINGTON AD VALOREM TAXES</t>
  </si>
  <si>
    <t>Steam Electric Plants in Washington:</t>
  </si>
  <si>
    <t>TOTAL MONTANA AD VALOREM TAXES</t>
  </si>
  <si>
    <t xml:space="preserve">  3.65% Series due 2045...</t>
  </si>
  <si>
    <t>1/ On October 30, 2015, PacifiCorp and Idaho Power closed a Joint Purchase and Sale Agreement and a Termination Agreement that resulted in the elimination of the Legacy Agreements included in Monthly Peak MW Totals on FORM 1, p400(b).  Upon closing, three new LT Firm PTP reservations of PacifiCorp's became effective.</t>
  </si>
  <si>
    <t>Joint Ownership and Operating Agreement with PacifiCorp for the Asset Exchange dated October 30, 2015</t>
  </si>
  <si>
    <t>Reimbursement for O&amp;M under Hemingway joint ownership and operating agreement with Pacificorp. To Schedule 4, line 7</t>
  </si>
  <si>
    <t>Reimbursement for O&amp;M charge under the asset exchange joint ownership and operating agreement with Pacificorp. To Schedule 4, line 7</t>
  </si>
  <si>
    <t xml:space="preserve">Distribution-related faciliites charges under Sch 66-(optional distribution services) such as devices for off-site meter reading; Schedules 9, 19, Street Lighting, Dusk to Dawn, etc  </t>
  </si>
  <si>
    <t>Iberdrola Renewables LLC</t>
  </si>
  <si>
    <t>Tenaska Power Services Co.</t>
  </si>
  <si>
    <t>The Energy Authority, Inc.</t>
  </si>
  <si>
    <t>Transalta Energy Marketing Inc.</t>
  </si>
  <si>
    <t>Black Hills Power</t>
  </si>
  <si>
    <t>Talen Energy</t>
  </si>
  <si>
    <t>Oregon Idaho Utilities</t>
  </si>
  <si>
    <t>POWER</t>
  </si>
  <si>
    <t>United Electric Co-Op</t>
  </si>
  <si>
    <t>Pole attachment write-offs</t>
  </si>
  <si>
    <t>Barrett &amp; Clay Walker</t>
  </si>
  <si>
    <t>CASCADE HOUSE RENTAL 841</t>
  </si>
  <si>
    <t>CASCADE HOUSE RENTAL 842</t>
  </si>
  <si>
    <t>MONTHLY LAND LEASE-ADJ</t>
  </si>
  <si>
    <t>Lloyd &amp; Darlene Stockton</t>
  </si>
  <si>
    <t>MCFARLAND</t>
  </si>
  <si>
    <t>090034</t>
  </si>
  <si>
    <t>080034</t>
  </si>
  <si>
    <t>100034</t>
  </si>
  <si>
    <t>NIELSEN GROUP</t>
  </si>
  <si>
    <t>MONTHLY OFFICE LEASE</t>
  </si>
  <si>
    <t>SPRINT NEXTEL</t>
  </si>
  <si>
    <t>STATE OF IDAHO</t>
  </si>
  <si>
    <t>TMOBILE</t>
  </si>
  <si>
    <t xml:space="preserve">USPS Oxbow </t>
  </si>
  <si>
    <t>Wallowa-Whitman Nat'l Forest</t>
  </si>
  <si>
    <t>FF1 p350-351  2h + 5h</t>
  </si>
  <si>
    <t>FF1 pp262-263 8i, 18i, 27i, 31i, 36i, pp262.1-263.1 2i</t>
  </si>
  <si>
    <t>Property Taxes (ID,OR,MT,NV,WY,WA)</t>
  </si>
  <si>
    <t>Using 2015 PBOP</t>
  </si>
  <si>
    <t>V.  Interest Expense Reimbursed 1/</t>
  </si>
  <si>
    <t>1/ Interest expense reimbursed is a component of FERC Account 431 - Other Interest Expense.  Idaho Power queries Account 431 to determine interest amounts associated with network upgrade customer payments to be reported on Schedule 9.</t>
  </si>
  <si>
    <t>FOR THE TWELVE MONTHS ENDED DECEMBER 31, 2016</t>
  </si>
  <si>
    <t>FOR RATES EFFECTIVE OCTOBER 1, 2017 - SEPTEMBER 30, 2018</t>
  </si>
  <si>
    <t>FF1 p 330 5n x 35%</t>
  </si>
  <si>
    <t xml:space="preserve">2/ On October 30, 2015, PacifiCorp and Idaho Power closed a Joint Purchase and Sale Agreement and a Termination Agreement that resulted in the elimination of the Legacy Agreements included in Monthly Peak MW Totals on FORM 1, p400(b). </t>
  </si>
  <si>
    <t>Contract Term</t>
  </si>
  <si>
    <t>1/1/2016 - 1/1/2021</t>
  </si>
  <si>
    <t>BPAP</t>
  </si>
  <si>
    <t>81841610 (Redirect billed to 788710967)</t>
  </si>
  <si>
    <t>81841623 (Redirect billed to 80678257)</t>
  </si>
  <si>
    <t>7/1/16 - 7/1/2021</t>
  </si>
  <si>
    <t>SMLK/KPRT</t>
  </si>
  <si>
    <t>M500/KPRT</t>
  </si>
  <si>
    <t xml:space="preserve">Cogeneration O&amp;M Charges Under Idaho Power's </t>
  </si>
  <si>
    <t>Retail Schedule 72 Recorded in Account 454</t>
  </si>
  <si>
    <t>Account 415 Joint Use Revenues that are included as Revenue Credits</t>
  </si>
  <si>
    <t>454152</t>
  </si>
  <si>
    <t>Blinsman</t>
  </si>
  <si>
    <t>Colyer Cattle</t>
  </si>
  <si>
    <t>Dale Meeks (Mayfield Sub)</t>
  </si>
  <si>
    <t>Dan Forsea (1200 Pasture)</t>
  </si>
  <si>
    <t>Dan Forsea (Upper/Lower Pastures)</t>
  </si>
  <si>
    <t>Deven Thompson - 44 Cattle</t>
  </si>
  <si>
    <t>DIVOTZ</t>
  </si>
  <si>
    <t>Divotz Quarterly Sales</t>
  </si>
  <si>
    <t>Gary Holmstead - Brownlee</t>
  </si>
  <si>
    <t>Gary Holmstead - Daly Creek</t>
  </si>
  <si>
    <t>IPTV Picabo Communication Site</t>
  </si>
  <si>
    <t>Jeanne Warnock</t>
  </si>
  <si>
    <t>Jentzsch-Kearl - Paul Sub</t>
  </si>
  <si>
    <t>Kittleson</t>
  </si>
  <si>
    <t>Lamar Advertising - Boise Bench</t>
  </si>
  <si>
    <t>Lamar Advertising - Cloverdale Sub</t>
  </si>
  <si>
    <t>Lamar Advertising - Shoreline</t>
  </si>
  <si>
    <t>Lamar Outdoor (Divotz 01662)</t>
  </si>
  <si>
    <t>Lamar Outdoor (Divotz 01663)</t>
  </si>
  <si>
    <t>Lamar Outdoor Adv@Cloverdale Sub 2</t>
  </si>
  <si>
    <t>Lamar Outdoor Advertising - Prj</t>
  </si>
  <si>
    <t>Lamar Outdoor Refund</t>
  </si>
  <si>
    <t>LamarOutdoor Shoreline</t>
  </si>
  <si>
    <t>Level 3 Communication</t>
  </si>
  <si>
    <t>Lloyd Deakins</t>
  </si>
  <si>
    <t>Misc Cash Acctg ID 0000342106</t>
  </si>
  <si>
    <t>Misc Cash Acctg ID 0000346323</t>
  </si>
  <si>
    <t>Marlin Mussmann Hunt Sub Prj</t>
  </si>
  <si>
    <t>McKim Lease</t>
  </si>
  <si>
    <t>Meadow Outdoor Adv - COC Prj</t>
  </si>
  <si>
    <t>MISC PMT ADJUSTMENT</t>
  </si>
  <si>
    <t>MITCH BUNN-COTTAGE RENTS</t>
  </si>
  <si>
    <t>Misc Cash Acctg ID 0000334255</t>
  </si>
  <si>
    <t>Misc Cash Acctg ID 0000335371</t>
  </si>
  <si>
    <t>Misc Cash Acctg ID 0000339015</t>
  </si>
  <si>
    <t>635</t>
  </si>
  <si>
    <t>050034</t>
  </si>
  <si>
    <t>Misc Cash Acctg ID 0000340219</t>
  </si>
  <si>
    <t>Misc Cash Acctg ID 0000343612</t>
  </si>
  <si>
    <t>Misc Cash Acctg ID 0000345456</t>
  </si>
  <si>
    <t>Misc Cash Acctg ID 0000348155</t>
  </si>
  <si>
    <t>MLP Income</t>
  </si>
  <si>
    <t>Oxbow Christian Fellowship - Oxbow</t>
  </si>
  <si>
    <t>Philip Bradley - Dry Crk Sub Prj</t>
  </si>
  <si>
    <t>R Gingerich - CJ Strike</t>
  </si>
  <si>
    <t>Ralph Hewett</t>
  </si>
  <si>
    <t>Rick Wagstaff</t>
  </si>
  <si>
    <t>S Guthrie - Brownlee Cabin - Or</t>
  </si>
  <si>
    <t>Salmon Falls Land &amp; Cattle Co - Prj</t>
  </si>
  <si>
    <t>Salmon Falls Land &amp; Cattle Nonprj</t>
  </si>
  <si>
    <t>State of Idaho - Dept of Adm</t>
  </si>
  <si>
    <t>State of Idaho - Microwave Services</t>
  </si>
  <si>
    <t>T&amp;K Farms - Homedale OFfice</t>
  </si>
  <si>
    <t>Tara Farms - Brwnl Prj Lands</t>
  </si>
  <si>
    <t>T-Mobile CHQ Pent (SL01868A)</t>
  </si>
  <si>
    <t>Vanderwalker</t>
  </si>
  <si>
    <t>W Rowe - Am Fls Lands</t>
  </si>
  <si>
    <t>Williams Northwest Pipeline</t>
  </si>
  <si>
    <t>WilTel Comm - Prj T Lines (Level 3)</t>
  </si>
  <si>
    <t>City of Nampa</t>
  </si>
  <si>
    <t>United Water Idaho</t>
  </si>
  <si>
    <t>Rural Telephone</t>
  </si>
  <si>
    <t>Fatbeam</t>
  </si>
  <si>
    <t>Unite Private Networks</t>
  </si>
  <si>
    <t>LXI-CLEC</t>
  </si>
  <si>
    <t>Small Cell</t>
  </si>
  <si>
    <t>Total Fees for 2016</t>
  </si>
  <si>
    <t>454101 &amp; 454102 - G/L balance 12/31/16</t>
  </si>
  <si>
    <t>Recorded in Account 456 that are included as Revenue Credits</t>
  </si>
  <si>
    <t>ID Solar I</t>
  </si>
  <si>
    <t>Transactions are included in the Rate Divisor (Demand-Only Revenue)</t>
  </si>
  <si>
    <t>454001, 454003, 454004, 464161, 454702</t>
  </si>
  <si>
    <t>Water Lease</t>
  </si>
  <si>
    <t>Water leases</t>
  </si>
  <si>
    <t>FF1 p 323 197 b - ($0 for 2016)</t>
  </si>
  <si>
    <t>(-1)(32) * (33)</t>
  </si>
  <si>
    <t>FF1 p 321 112b - (0+0)</t>
  </si>
  <si>
    <t xml:space="preserve">multiplied by Idaho Power's state apportionment factor for each.  </t>
  </si>
  <si>
    <t>Due to the immaterial amount of tax normally due the other states, the rate is simply an</t>
  </si>
  <si>
    <t>estimate based on history.</t>
  </si>
  <si>
    <t xml:space="preserve">  4.05% Series due 2046...</t>
  </si>
  <si>
    <t>This is the average rate for 2016.</t>
  </si>
  <si>
    <t>Equity AFUDC Charged to CWIP</t>
  </si>
  <si>
    <t>-Substitute 2015 PBOPs for 2016 PBOPs in the 2016 formula rate</t>
  </si>
  <si>
    <t>-Use 2016 formula rate as the base</t>
  </si>
  <si>
    <t>Using 2016 PBOP</t>
  </si>
  <si>
    <t>2016 Monthly Rate minus 2016 Monthly Rate using 2015 PBOP</t>
  </si>
  <si>
    <t>BRADY REPLACE T232 DIFFERENTIA</t>
  </si>
  <si>
    <t>SHSH REPLACE IRV/IRQ RELAYS ON</t>
  </si>
  <si>
    <t>FRMT-REPLACE FRMT-BRDY-DONN RE</t>
  </si>
  <si>
    <t>MNJ1140001 - REPLACE NON-REDUN</t>
  </si>
  <si>
    <t>MPSN T501 - REPLACE FAILED 500</t>
  </si>
  <si>
    <t>GARY150001 - ADD BOBN-DYCK 138</t>
  </si>
  <si>
    <t>T4331001-UPGRADE T433 TO 230KV</t>
  </si>
  <si>
    <t>T601130001-LIDAR GOSHEN-STATE</t>
  </si>
  <si>
    <t>HEMINGWAY 500 KV IN AND OUT RE</t>
  </si>
  <si>
    <t>LINE 210, BOISE BENCH-ELMORE-M</t>
  </si>
  <si>
    <t>T912140001 LIDAR BOBN-MIDPOINT</t>
  </si>
  <si>
    <t>T902140001 LIDAR BOBN-MIDPOINT</t>
  </si>
  <si>
    <t>T423120001 2014 LIDAR ONTO QUT</t>
  </si>
  <si>
    <t>T253130002  MTN HOME-CANYON CR</t>
  </si>
  <si>
    <t>T216 7.1 MILES OF 69KV LINE FR</t>
  </si>
  <si>
    <t>T238150001, BANNOCK-SALMON 69K</t>
  </si>
  <si>
    <t>JOINT ASSET -T951140001 MIDPOI</t>
  </si>
  <si>
    <t>T701150001 QUARTZ-NORTH POWDER</t>
  </si>
  <si>
    <t>T903150001 MAINT BROWNLEE - QU</t>
  </si>
  <si>
    <t>T602 REPLACE 138KV AB SWITCHES</t>
  </si>
  <si>
    <t>T912130002 - BOISE BENCH - MID</t>
  </si>
  <si>
    <t>T601130001 LIDAR BIG GRASSY-ST</t>
  </si>
  <si>
    <t>T601130001 LIDAR JEFFERSON - B</t>
  </si>
  <si>
    <t>T426 - PRIORITY 2 REPAIRS, KIN</t>
  </si>
  <si>
    <t>T423-PRIORITY 2 REPAIRS, ONTAR</t>
  </si>
  <si>
    <t>T906-PRIORITY 2 REPAIRS, BOISE</t>
  </si>
  <si>
    <t>T945-PRIORITY 2 REPAIRS, PINE</t>
  </si>
  <si>
    <t>T906150002 - ADD 3 CONTAINMENT</t>
  </si>
  <si>
    <t>JOOA TL802 JB-GSHN-3M KNOLL TR</t>
  </si>
  <si>
    <t>27365496</t>
  </si>
  <si>
    <t>27390514</t>
  </si>
  <si>
    <t>27406849</t>
  </si>
  <si>
    <t>27408939</t>
  </si>
  <si>
    <t>27424319</t>
  </si>
  <si>
    <t>27425142</t>
  </si>
  <si>
    <t>27324626</t>
  </si>
  <si>
    <t>27387463</t>
  </si>
  <si>
    <t>27389979</t>
  </si>
  <si>
    <t>27396512</t>
  </si>
  <si>
    <t>27396701</t>
  </si>
  <si>
    <t>27396813</t>
  </si>
  <si>
    <t>27399582</t>
  </si>
  <si>
    <t>27409056</t>
  </si>
  <si>
    <t>27410834</t>
  </si>
  <si>
    <t>27414798</t>
  </si>
  <si>
    <t>27415961</t>
  </si>
  <si>
    <t>27419984</t>
  </si>
  <si>
    <t>27423379</t>
  </si>
  <si>
    <t>27426375</t>
  </si>
  <si>
    <t>27426641</t>
  </si>
  <si>
    <t>27430644</t>
  </si>
  <si>
    <t>27430648</t>
  </si>
  <si>
    <t>27436712</t>
  </si>
  <si>
    <t>27436736</t>
  </si>
  <si>
    <t>27436739</t>
  </si>
  <si>
    <t>27436741</t>
  </si>
  <si>
    <t>27440719</t>
  </si>
  <si>
    <t>27457906</t>
  </si>
  <si>
    <t>Year 1</t>
  </si>
  <si>
    <t>Year 2</t>
  </si>
  <si>
    <r>
      <t>Less</t>
    </r>
    <r>
      <rPr>
        <sz val="10"/>
        <color rgb="FFFF0000"/>
        <rFont val="Arial"/>
        <family val="2"/>
      </rPr>
      <t xml:space="preserve"> 2015</t>
    </r>
    <r>
      <rPr>
        <sz val="10"/>
        <rFont val="Arial"/>
        <family val="2"/>
      </rPr>
      <t xml:space="preserve"> Amount in Account 926</t>
    </r>
  </si>
  <si>
    <r>
      <rPr>
        <sz val="10"/>
        <color rgb="FFFF0000"/>
        <rFont val="Arial"/>
        <family val="2"/>
      </rPr>
      <t>2016</t>
    </r>
    <r>
      <rPr>
        <sz val="10"/>
        <rFont val="Arial"/>
        <family val="2"/>
      </rPr>
      <t xml:space="preserve"> Amount in Account 926</t>
    </r>
  </si>
  <si>
    <t>Replacement of Brady T232 transformer protection.</t>
  </si>
  <si>
    <t>Replacement of Shoshone-Shoshone Falls Power 46kV line protection.</t>
  </si>
  <si>
    <t>Replacement of Freemont-Brady-Don 138kV line protection and circuit breaker.</t>
  </si>
  <si>
    <t>Replacement of failed 500/345kV single phase transformer.</t>
  </si>
  <si>
    <t>Addition of 138kV line breakers at Gary.</t>
  </si>
  <si>
    <t>Rebuild of the King to Wood River 138kV transmission line.</t>
  </si>
  <si>
    <t>Capitalized maintenance on Goshen to State Line 161kV line.</t>
  </si>
  <si>
    <t>Rebuild of Hemingway 500kV line in and out.</t>
  </si>
  <si>
    <t>Capitalized maintenance on Boise Bench to Midpoint #3 230kV line.</t>
  </si>
  <si>
    <t>Capitalized maintenance on Boise Bench to Midpoint #1 230kV line.</t>
  </si>
  <si>
    <t>Capitalized maintenance on Mountain Home to Canyon Creek 69kV line.</t>
  </si>
  <si>
    <t>Rebuild of Oxbow to Halfway 69kV line.</t>
  </si>
  <si>
    <t>Capitalized maintenance on Bannock to Salmon 69kV line.</t>
  </si>
  <si>
    <t>Replacement of air break swithes on Don-Pingree-Blackfoot 138kV line.</t>
  </si>
  <si>
    <t>Rebuild of Big Grassy to State Line 161kV line.</t>
  </si>
  <si>
    <t>Rebuild of Jefferson to Big Grassy 161kV line.</t>
  </si>
  <si>
    <t>Repairs of King to American Falls 138kV line.</t>
  </si>
  <si>
    <t>Repairs of Ontario to Quartz 138kV line.</t>
  </si>
  <si>
    <t>Repairs of Boise Bench to Midpoint #2 230kV line.</t>
  </si>
  <si>
    <t>Add new dead end structures for Boise Bench to Midpoint #2 230kV line.</t>
  </si>
  <si>
    <t>Replacement of Mountain Home Junction to High Mesa 138kV line protection.</t>
  </si>
  <si>
    <t>Capitalized maintenance on Boise Bench to Mountain Home 69kV line.</t>
  </si>
  <si>
    <t>Capitalized maintenance on Ontario to Quartz 138kV line.</t>
  </si>
  <si>
    <t>Replacement of structures for Midpoint to Borah #2 345kV line.</t>
  </si>
  <si>
    <t>Capitalized maintenance on Quartz - North Powder - LaGrande 230kV line.</t>
  </si>
  <si>
    <t>Capitalized maintenance on Brownlee to Quartz 230kV line.</t>
  </si>
  <si>
    <t>Repairs of Pine Creek to Hells Canyon 69kV line.</t>
  </si>
  <si>
    <t>Capitalized maintenance of Jim Bridger to Goshen 345kV line.</t>
  </si>
  <si>
    <t>Idaho Power Company Informational Filing For Rates Effective October 1, 2017 through September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</si>
</sst>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0.0"/>
    <numFmt numFmtId="172" formatCode="#,##0.000000000"/>
    <numFmt numFmtId="173" formatCode="_(* #,##0.0000_);_(* \(#,##0.0000\);_(* &quot;-&quot;_);_(@_)"/>
    <numFmt numFmtId="174" formatCode="_(* #,##0.0000000000_);_(* \(#,##0.0000000000\);_(* &quot;-&quot;??_);_(@_)"/>
    <numFmt numFmtId="175" formatCode="&quot;$&quot;#,##0"/>
    <numFmt numFmtId="176" formatCode="0.000"/>
    <numFmt numFmtId="177" formatCode="&quot;$&quot;#,##0.0"/>
    <numFmt numFmtId="178" formatCode="&quot;$&quot;#,##0.0_);\(&quot;$&quot;#,##0.0\)"/>
    <numFmt numFmtId="179" formatCode="0.000%"/>
    <numFmt numFmtId="180" formatCode="General_)"/>
    <numFmt numFmtId="181" formatCode="#,##0.0_);\(#,##0.0\)"/>
    <numFmt numFmtId="182" formatCode="0.000_)"/>
    <numFmt numFmtId="183" formatCode="_(* #,##0.0000_);_(* \(#,##0.0000\);_(* &quot;-&quot;??_);_(@_)"/>
    <numFmt numFmtId="184" formatCode="0.0000"/>
    <numFmt numFmtId="185" formatCode="&quot;$&quot;#,##0.00"/>
    <numFmt numFmtId="186" formatCode="m/d/yy"/>
    <numFmt numFmtId="187" formatCode="[$-409]mmmm\ d\,\ yyyy;@"/>
    <numFmt numFmtId="188" formatCode="&quot;$&quot;#,##0.0000"/>
    <numFmt numFmtId="189" formatCode="mm/dd/yy;@"/>
    <numFmt numFmtId="190" formatCode="dd\-mmm\-yy_)"/>
    <numFmt numFmtId="191" formatCode="0_);\(0\)"/>
    <numFmt numFmtId="192" formatCode="_(* #,##0.000_);_(* \(#,##0.000\);_(* &quot;-&quot;??_);_(@_)"/>
    <numFmt numFmtId="193" formatCode="0.0"/>
    <numFmt numFmtId="194" formatCode="_([$€-2]* #,##0.00_);_([$€-2]* \(#,##0.00\);_([$€-2]* &quot;-&quot;??_)"/>
    <numFmt numFmtId="195" formatCode="_(* #,##0.000000000000_);_(* \(#,##0.000000000000\);_(* &quot;-&quot;??_);_(@_)"/>
    <numFmt numFmtId="196" formatCode="_(* #,##0.00000_);_(* \(#,##0.00000\);_(* &quot;-&quot;_);_(@_)"/>
    <numFmt numFmtId="197" formatCode="mmmm\ d\,\ yyyy"/>
    <numFmt numFmtId="198" formatCode="&quot;$&quot;#,##0\ ;\(&quot;$&quot;#,##0\)"/>
    <numFmt numFmtId="199" formatCode="0.00_);\(0.00\)"/>
  </numFmts>
  <fonts count="1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name val="MS Sans Serif"/>
      <family val="2"/>
    </font>
    <font>
      <sz val="10"/>
      <color theme="1"/>
      <name val="Arial"/>
      <family val="2"/>
    </font>
    <font>
      <sz val="11"/>
      <color theme="1"/>
      <name val="Calibri"/>
      <family val="2"/>
    </font>
    <font>
      <sz val="12"/>
      <name val="Arial"/>
      <family val="2"/>
    </font>
    <font>
      <sz val="11"/>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Helv"/>
    </font>
    <font>
      <sz val="10"/>
      <color indexed="8"/>
      <name val="Arial"/>
      <family val="2"/>
    </font>
    <font>
      <sz val="8"/>
      <color indexed="8"/>
      <name val="Arial"/>
      <family val="2"/>
    </font>
    <font>
      <sz val="18"/>
      <name val="Times New Roman"/>
      <family val="1"/>
    </font>
    <font>
      <sz val="8"/>
      <name val="Times New Roman"/>
      <family val="1"/>
    </font>
    <font>
      <i/>
      <sz val="12"/>
      <name val="Times New Roman"/>
      <family val="1"/>
    </font>
    <font>
      <sz val="18"/>
      <name val="Arial"/>
      <family val="2"/>
    </font>
    <font>
      <i/>
      <sz val="12"/>
      <name val="Arial"/>
      <family val="2"/>
    </font>
    <font>
      <sz val="10"/>
      <name val="Tahoma"/>
      <family val="2"/>
    </font>
    <font>
      <sz val="10"/>
      <color rgb="FF0070C0"/>
      <name val="Arial"/>
      <family val="2"/>
    </font>
    <font>
      <sz val="10"/>
      <name val="Arial Unicode MS"/>
      <family val="2"/>
    </font>
    <font>
      <sz val="10"/>
      <name val="MS Sans Serif"/>
    </font>
    <font>
      <sz val="10"/>
      <name val="Arial Unicode MS"/>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711">
    <xf numFmtId="0" fontId="0" fillId="0" borderId="0"/>
    <xf numFmtId="43" fontId="13" fillId="0" borderId="0" applyFont="0" applyFill="0" applyBorder="0" applyAlignment="0" applyProtection="0"/>
    <xf numFmtId="40" fontId="21"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13" fillId="0" borderId="0" applyFont="0" applyFill="0" applyBorder="0" applyAlignment="0" applyProtection="0"/>
    <xf numFmtId="44" fontId="28" fillId="0" borderId="0" applyFont="0" applyFill="0" applyBorder="0" applyAlignment="0" applyProtection="0"/>
    <xf numFmtId="0" fontId="21" fillId="0" borderId="0"/>
    <xf numFmtId="0" fontId="13" fillId="0" borderId="0"/>
    <xf numFmtId="0" fontId="31" fillId="0" borderId="0"/>
    <xf numFmtId="0" fontId="13" fillId="0" borderId="0"/>
    <xf numFmtId="0" fontId="13" fillId="0" borderId="0"/>
    <xf numFmtId="0" fontId="29" fillId="0" borderId="0"/>
    <xf numFmtId="180" fontId="19" fillId="0" borderId="0"/>
    <xf numFmtId="0" fontId="21" fillId="0" borderId="0"/>
    <xf numFmtId="0" fontId="24" fillId="0" borderId="0"/>
    <xf numFmtId="0" fontId="21" fillId="0" borderId="0"/>
    <xf numFmtId="9" fontId="13" fillId="0" borderId="0" applyFont="0" applyFill="0" applyBorder="0" applyAlignment="0" applyProtection="0"/>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21" fillId="0" borderId="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0" fillId="0" borderId="1">
      <alignment horizontal="center"/>
    </xf>
    <xf numFmtId="0" fontId="20" fillId="0" borderId="1">
      <alignment horizontal="center"/>
    </xf>
    <xf numFmtId="3" fontId="21" fillId="0" borderId="0" applyFont="0" applyFill="0" applyBorder="0" applyAlignment="0" applyProtection="0"/>
    <xf numFmtId="3" fontId="21" fillId="0" borderId="0" applyFont="0" applyFill="0" applyBorder="0" applyAlignment="0" applyProtection="0"/>
    <xf numFmtId="0" fontId="21" fillId="2" borderId="0" applyNumberFormat="0" applyFont="0" applyBorder="0" applyAlignment="0" applyProtection="0"/>
    <xf numFmtId="0" fontId="21" fillId="2" borderId="0" applyNumberFormat="0" applyFont="0" applyBorder="0" applyAlignment="0" applyProtection="0"/>
    <xf numFmtId="0" fontId="1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94" fontId="13" fillId="0" borderId="0" applyFont="0" applyFill="0" applyBorder="0" applyAlignment="0" applyProtection="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33" fillId="0" borderId="0"/>
    <xf numFmtId="0" fontId="11" fillId="0" borderId="0"/>
    <xf numFmtId="43" fontId="11" fillId="0" borderId="0" applyFont="0" applyFill="0" applyBorder="0" applyAlignment="0" applyProtection="0"/>
    <xf numFmtId="0" fontId="10" fillId="0" borderId="0"/>
    <xf numFmtId="0" fontId="24" fillId="0" borderId="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43" fontId="13" fillId="0" borderId="0" applyFont="0" applyFill="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44" fontId="13" fillId="0" borderId="0" applyFont="0" applyFill="0" applyBorder="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alignment vertical="top"/>
      <protection locked="0"/>
    </xf>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88" fillId="52" borderId="38" applyNumberFormat="0" applyAlignment="0" applyProtection="0"/>
    <xf numFmtId="0" fontId="89" fillId="0" borderId="39" applyNumberFormat="0" applyFill="0" applyAlignment="0" applyProtection="0"/>
    <xf numFmtId="0" fontId="90" fillId="0" borderId="0" applyNumberFormat="0" applyFill="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44" fontId="13" fillId="0" borderId="0" applyFont="0" applyFill="0" applyBorder="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88" fillId="52" borderId="38" applyNumberFormat="0" applyAlignment="0" applyProtection="0"/>
    <xf numFmtId="0" fontId="89" fillId="0" borderId="39" applyNumberFormat="0" applyFill="0" applyAlignment="0" applyProtection="0"/>
    <xf numFmtId="0" fontId="90" fillId="0" borderId="0" applyNumberFormat="0" applyFill="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9" fillId="11" borderId="0" applyNumberFormat="0" applyBorder="0" applyAlignment="0" applyProtection="0"/>
    <xf numFmtId="0" fontId="75" fillId="34"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9" fillId="15" borderId="0" applyNumberFormat="0" applyBorder="0" applyAlignment="0" applyProtection="0"/>
    <xf numFmtId="0" fontId="75" fillId="35"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9" fillId="19" borderId="0" applyNumberFormat="0" applyBorder="0" applyAlignment="0" applyProtection="0"/>
    <xf numFmtId="0" fontId="75" fillId="36"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9" fillId="23" borderId="0" applyNumberFormat="0" applyBorder="0" applyAlignment="0" applyProtection="0"/>
    <xf numFmtId="0" fontId="75" fillId="3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9" fillId="27" borderId="0" applyNumberFormat="0" applyBorder="0" applyAlignment="0" applyProtection="0"/>
    <xf numFmtId="0" fontId="75" fillId="38"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9" fillId="31" borderId="0" applyNumberFormat="0" applyBorder="0" applyAlignment="0" applyProtection="0"/>
    <xf numFmtId="0" fontId="75" fillId="39"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9" fillId="12" borderId="0" applyNumberFormat="0" applyBorder="0" applyAlignment="0" applyProtection="0"/>
    <xf numFmtId="0" fontId="75" fillId="40"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9" fillId="16" borderId="0" applyNumberFormat="0" applyBorder="0" applyAlignment="0" applyProtection="0"/>
    <xf numFmtId="0" fontId="75" fillId="41" borderId="0" applyNumberFormat="0" applyBorder="0" applyAlignment="0" applyProtection="0"/>
    <xf numFmtId="0" fontId="73" fillId="20" borderId="0" applyNumberFormat="0" applyBorder="0" applyAlignment="0" applyProtection="0"/>
    <xf numFmtId="0" fontId="75" fillId="42" borderId="0" applyNumberFormat="0" applyBorder="0" applyAlignment="0" applyProtection="0"/>
    <xf numFmtId="0" fontId="9" fillId="20" borderId="0" applyNumberFormat="0" applyBorder="0" applyAlignment="0" applyProtection="0"/>
    <xf numFmtId="0" fontId="75" fillId="42" borderId="0" applyNumberFormat="0" applyBorder="0" applyAlignment="0" applyProtection="0"/>
    <xf numFmtId="0" fontId="73" fillId="24" borderId="0" applyNumberFormat="0" applyBorder="0" applyAlignment="0" applyProtection="0"/>
    <xf numFmtId="0" fontId="75" fillId="37" borderId="0" applyNumberFormat="0" applyBorder="0" applyAlignment="0" applyProtection="0"/>
    <xf numFmtId="0" fontId="9" fillId="24" borderId="0" applyNumberFormat="0" applyBorder="0" applyAlignment="0" applyProtection="0"/>
    <xf numFmtId="0" fontId="75" fillId="37" borderId="0" applyNumberFormat="0" applyBorder="0" applyAlignment="0" applyProtection="0"/>
    <xf numFmtId="0" fontId="73" fillId="28" borderId="0" applyNumberFormat="0" applyBorder="0" applyAlignment="0" applyProtection="0"/>
    <xf numFmtId="0" fontId="75" fillId="40" borderId="0" applyNumberFormat="0" applyBorder="0" applyAlignment="0" applyProtection="0"/>
    <xf numFmtId="0" fontId="9" fillId="28" borderId="0" applyNumberFormat="0" applyBorder="0" applyAlignment="0" applyProtection="0"/>
    <xf numFmtId="0" fontId="75" fillId="40" borderId="0" applyNumberFormat="0" applyBorder="0" applyAlignment="0" applyProtection="0"/>
    <xf numFmtId="0" fontId="73" fillId="32" borderId="0" applyNumberFormat="0" applyBorder="0" applyAlignment="0" applyProtection="0"/>
    <xf numFmtId="0" fontId="75" fillId="43" borderId="0" applyNumberFormat="0" applyBorder="0" applyAlignment="0" applyProtection="0"/>
    <xf numFmtId="0" fontId="9" fillId="32" borderId="0" applyNumberFormat="0" applyBorder="0" applyAlignment="0" applyProtection="0"/>
    <xf numFmtId="0" fontId="75" fillId="43" borderId="0" applyNumberFormat="0" applyBorder="0" applyAlignment="0" applyProtection="0"/>
    <xf numFmtId="0" fontId="105" fillId="13" borderId="0" applyNumberFormat="0" applyBorder="0" applyAlignment="0" applyProtection="0"/>
    <xf numFmtId="0" fontId="76" fillId="44" borderId="0" applyNumberFormat="0" applyBorder="0" applyAlignment="0" applyProtection="0"/>
    <xf numFmtId="0" fontId="54" fillId="13" borderId="0" applyNumberFormat="0" applyBorder="0" applyAlignment="0" applyProtection="0"/>
    <xf numFmtId="0" fontId="76" fillId="44" borderId="0" applyNumberFormat="0" applyBorder="0" applyAlignment="0" applyProtection="0"/>
    <xf numFmtId="0" fontId="105" fillId="17" borderId="0" applyNumberFormat="0" applyBorder="0" applyAlignment="0" applyProtection="0"/>
    <xf numFmtId="0" fontId="76" fillId="41" borderId="0" applyNumberFormat="0" applyBorder="0" applyAlignment="0" applyProtection="0"/>
    <xf numFmtId="0" fontId="54" fillId="17" borderId="0" applyNumberFormat="0" applyBorder="0" applyAlignment="0" applyProtection="0"/>
    <xf numFmtId="0" fontId="76" fillId="41" borderId="0" applyNumberFormat="0" applyBorder="0" applyAlignment="0" applyProtection="0"/>
    <xf numFmtId="0" fontId="105" fillId="21" borderId="0" applyNumberFormat="0" applyBorder="0" applyAlignment="0" applyProtection="0"/>
    <xf numFmtId="0" fontId="76" fillId="42" borderId="0" applyNumberFormat="0" applyBorder="0" applyAlignment="0" applyProtection="0"/>
    <xf numFmtId="0" fontId="54" fillId="21" borderId="0" applyNumberFormat="0" applyBorder="0" applyAlignment="0" applyProtection="0"/>
    <xf numFmtId="0" fontId="76" fillId="42" borderId="0" applyNumberFormat="0" applyBorder="0" applyAlignment="0" applyProtection="0"/>
    <xf numFmtId="0" fontId="105" fillId="25" borderId="0" applyNumberFormat="0" applyBorder="0" applyAlignment="0" applyProtection="0"/>
    <xf numFmtId="0" fontId="76" fillId="45" borderId="0" applyNumberFormat="0" applyBorder="0" applyAlignment="0" applyProtection="0"/>
    <xf numFmtId="0" fontId="54" fillId="25" borderId="0" applyNumberFormat="0" applyBorder="0" applyAlignment="0" applyProtection="0"/>
    <xf numFmtId="0" fontId="76" fillId="45" borderId="0" applyNumberFormat="0" applyBorder="0" applyAlignment="0" applyProtection="0"/>
    <xf numFmtId="0" fontId="105" fillId="29" borderId="0" applyNumberFormat="0" applyBorder="0" applyAlignment="0" applyProtection="0"/>
    <xf numFmtId="0" fontId="76" fillId="46" borderId="0" applyNumberFormat="0" applyBorder="0" applyAlignment="0" applyProtection="0"/>
    <xf numFmtId="0" fontId="54" fillId="29" borderId="0" applyNumberFormat="0" applyBorder="0" applyAlignment="0" applyProtection="0"/>
    <xf numFmtId="0" fontId="76" fillId="46" borderId="0" applyNumberFormat="0" applyBorder="0" applyAlignment="0" applyProtection="0"/>
    <xf numFmtId="0" fontId="105" fillId="33" borderId="0" applyNumberFormat="0" applyBorder="0" applyAlignment="0" applyProtection="0"/>
    <xf numFmtId="0" fontId="76" fillId="47" borderId="0" applyNumberFormat="0" applyBorder="0" applyAlignment="0" applyProtection="0"/>
    <xf numFmtId="0" fontId="54" fillId="33" borderId="0" applyNumberFormat="0" applyBorder="0" applyAlignment="0" applyProtection="0"/>
    <xf numFmtId="0" fontId="76" fillId="47" borderId="0" applyNumberFormat="0" applyBorder="0" applyAlignment="0" applyProtection="0"/>
    <xf numFmtId="0" fontId="105" fillId="10" borderId="0" applyNumberFormat="0" applyBorder="0" applyAlignment="0" applyProtection="0"/>
    <xf numFmtId="0" fontId="76" fillId="48" borderId="0" applyNumberFormat="0" applyBorder="0" applyAlignment="0" applyProtection="0"/>
    <xf numFmtId="0" fontId="54" fillId="10" borderId="0" applyNumberFormat="0" applyBorder="0" applyAlignment="0" applyProtection="0"/>
    <xf numFmtId="0" fontId="76" fillId="48" borderId="0" applyNumberFormat="0" applyBorder="0" applyAlignment="0" applyProtection="0"/>
    <xf numFmtId="0" fontId="105" fillId="14" borderId="0" applyNumberFormat="0" applyBorder="0" applyAlignment="0" applyProtection="0"/>
    <xf numFmtId="0" fontId="76" fillId="49" borderId="0" applyNumberFormat="0" applyBorder="0" applyAlignment="0" applyProtection="0"/>
    <xf numFmtId="0" fontId="54" fillId="14" borderId="0" applyNumberFormat="0" applyBorder="0" applyAlignment="0" applyProtection="0"/>
    <xf numFmtId="0" fontId="76" fillId="49" borderId="0" applyNumberFormat="0" applyBorder="0" applyAlignment="0" applyProtection="0"/>
    <xf numFmtId="0" fontId="105" fillId="18" borderId="0" applyNumberFormat="0" applyBorder="0" applyAlignment="0" applyProtection="0"/>
    <xf numFmtId="0" fontId="76" fillId="50" borderId="0" applyNumberFormat="0" applyBorder="0" applyAlignment="0" applyProtection="0"/>
    <xf numFmtId="0" fontId="54" fillId="18" borderId="0" applyNumberFormat="0" applyBorder="0" applyAlignment="0" applyProtection="0"/>
    <xf numFmtId="0" fontId="76" fillId="50" borderId="0" applyNumberFormat="0" applyBorder="0" applyAlignment="0" applyProtection="0"/>
    <xf numFmtId="0" fontId="105" fillId="22" borderId="0" applyNumberFormat="0" applyBorder="0" applyAlignment="0" applyProtection="0"/>
    <xf numFmtId="0" fontId="76" fillId="45" borderId="0" applyNumberFormat="0" applyBorder="0" applyAlignment="0" applyProtection="0"/>
    <xf numFmtId="0" fontId="54" fillId="22" borderId="0" applyNumberFormat="0" applyBorder="0" applyAlignment="0" applyProtection="0"/>
    <xf numFmtId="0" fontId="76" fillId="45" borderId="0" applyNumberFormat="0" applyBorder="0" applyAlignment="0" applyProtection="0"/>
    <xf numFmtId="0" fontId="105" fillId="26" borderId="0" applyNumberFormat="0" applyBorder="0" applyAlignment="0" applyProtection="0"/>
    <xf numFmtId="0" fontId="76" fillId="46" borderId="0" applyNumberFormat="0" applyBorder="0" applyAlignment="0" applyProtection="0"/>
    <xf numFmtId="0" fontId="54" fillId="26" borderId="0" applyNumberFormat="0" applyBorder="0" applyAlignment="0" applyProtection="0"/>
    <xf numFmtId="0" fontId="76" fillId="46" borderId="0" applyNumberFormat="0" applyBorder="0" applyAlignment="0" applyProtection="0"/>
    <xf numFmtId="0" fontId="105" fillId="30" borderId="0" applyNumberFormat="0" applyBorder="0" applyAlignment="0" applyProtection="0"/>
    <xf numFmtId="0" fontId="76" fillId="51" borderId="0" applyNumberFormat="0" applyBorder="0" applyAlignment="0" applyProtection="0"/>
    <xf numFmtId="0" fontId="54" fillId="30" borderId="0" applyNumberFormat="0" applyBorder="0" applyAlignment="0" applyProtection="0"/>
    <xf numFmtId="0" fontId="76" fillId="51" borderId="0" applyNumberFormat="0" applyBorder="0" applyAlignment="0" applyProtection="0"/>
    <xf numFmtId="0" fontId="95" fillId="4" borderId="0" applyNumberFormat="0" applyBorder="0" applyAlignment="0" applyProtection="0"/>
    <xf numFmtId="0" fontId="77" fillId="35" borderId="0" applyNumberFormat="0" applyBorder="0" applyAlignment="0" applyProtection="0"/>
    <xf numFmtId="0" fontId="44" fillId="4" borderId="0" applyNumberFormat="0" applyBorder="0" applyAlignment="0" applyProtection="0"/>
    <xf numFmtId="0" fontId="77" fillId="35" borderId="0" applyNumberFormat="0" applyBorder="0" applyAlignment="0" applyProtection="0"/>
    <xf numFmtId="0" fontId="99" fillId="7" borderId="25" applyNumberFormat="0" applyAlignment="0" applyProtection="0"/>
    <xf numFmtId="0" fontId="78" fillId="52" borderId="31" applyNumberFormat="0" applyAlignment="0" applyProtection="0"/>
    <xf numFmtId="0" fontId="48" fillId="7" borderId="25" applyNumberFormat="0" applyAlignment="0" applyProtection="0"/>
    <xf numFmtId="0" fontId="78" fillId="52" borderId="31" applyNumberFormat="0" applyAlignment="0" applyProtection="0"/>
    <xf numFmtId="0" fontId="101" fillId="8" borderId="28" applyNumberFormat="0" applyAlignment="0" applyProtection="0"/>
    <xf numFmtId="0" fontId="79" fillId="53" borderId="32" applyNumberFormat="0" applyAlignment="0" applyProtection="0"/>
    <xf numFmtId="0" fontId="50" fillId="8" borderId="28" applyNumberFormat="0" applyAlignment="0" applyProtection="0"/>
    <xf numFmtId="0" fontId="79" fillId="53" borderId="32" applyNumberFormat="0" applyAlignment="0" applyProtection="0"/>
    <xf numFmtId="0" fontId="103" fillId="0" borderId="0" applyNumberFormat="0" applyFill="0" applyBorder="0" applyAlignment="0" applyProtection="0"/>
    <xf numFmtId="0" fontId="80"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0" fontId="94" fillId="3" borderId="0" applyNumberFormat="0" applyBorder="0" applyAlignment="0" applyProtection="0"/>
    <xf numFmtId="0" fontId="81" fillId="36" borderId="0" applyNumberFormat="0" applyBorder="0" applyAlignment="0" applyProtection="0"/>
    <xf numFmtId="0" fontId="43" fillId="3" borderId="0" applyNumberFormat="0" applyBorder="0" applyAlignment="0" applyProtection="0"/>
    <xf numFmtId="0" fontId="81" fillId="36" borderId="0" applyNumberFormat="0" applyBorder="0" applyAlignment="0" applyProtection="0"/>
    <xf numFmtId="0" fontId="91" fillId="0" borderId="22" applyNumberFormat="0" applyFill="0" applyAlignment="0" applyProtection="0"/>
    <xf numFmtId="0" fontId="82" fillId="0" borderId="33" applyNumberFormat="0" applyFill="0" applyAlignment="0" applyProtection="0"/>
    <xf numFmtId="0" fontId="40" fillId="0" borderId="22" applyNumberFormat="0" applyFill="0" applyAlignment="0" applyProtection="0"/>
    <xf numFmtId="0" fontId="82" fillId="0" borderId="33" applyNumberFormat="0" applyFill="0" applyAlignment="0" applyProtection="0"/>
    <xf numFmtId="0" fontId="92" fillId="0" borderId="23" applyNumberFormat="0" applyFill="0" applyAlignment="0" applyProtection="0"/>
    <xf numFmtId="0" fontId="83" fillId="0" borderId="34" applyNumberFormat="0" applyFill="0" applyAlignment="0" applyProtection="0"/>
    <xf numFmtId="0" fontId="41" fillId="0" borderId="23" applyNumberFormat="0" applyFill="0" applyAlignment="0" applyProtection="0"/>
    <xf numFmtId="0" fontId="83" fillId="0" borderId="34" applyNumberFormat="0" applyFill="0" applyAlignment="0" applyProtection="0"/>
    <xf numFmtId="0" fontId="93" fillId="0" borderId="24" applyNumberFormat="0" applyFill="0" applyAlignment="0" applyProtection="0"/>
    <xf numFmtId="0" fontId="84" fillId="0" borderId="35" applyNumberFormat="0" applyFill="0" applyAlignment="0" applyProtection="0"/>
    <xf numFmtId="0" fontId="42" fillId="0" borderId="24" applyNumberFormat="0" applyFill="0" applyAlignment="0" applyProtection="0"/>
    <xf numFmtId="0" fontId="84" fillId="0" borderId="35" applyNumberFormat="0" applyFill="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42" fillId="0" borderId="0" applyNumberFormat="0" applyFill="0" applyBorder="0" applyAlignment="0" applyProtection="0"/>
    <xf numFmtId="0" fontId="84" fillId="0" borderId="0" applyNumberFormat="0" applyFill="0" applyBorder="0" applyAlignment="0" applyProtection="0"/>
    <xf numFmtId="0" fontId="97" fillId="6" borderId="25" applyNumberFormat="0" applyAlignment="0" applyProtection="0"/>
    <xf numFmtId="0" fontId="85" fillId="39" borderId="31" applyNumberFormat="0" applyAlignment="0" applyProtection="0"/>
    <xf numFmtId="0" fontId="46" fillId="6" borderId="25" applyNumberFormat="0" applyAlignment="0" applyProtection="0"/>
    <xf numFmtId="0" fontId="85" fillId="39" borderId="31" applyNumberFormat="0" applyAlignment="0" applyProtection="0"/>
    <xf numFmtId="0" fontId="100" fillId="0" borderId="27" applyNumberFormat="0" applyFill="0" applyAlignment="0" applyProtection="0"/>
    <xf numFmtId="0" fontId="86" fillId="0" borderId="36" applyNumberFormat="0" applyFill="0" applyAlignment="0" applyProtection="0"/>
    <xf numFmtId="0" fontId="49" fillId="0" borderId="27" applyNumberFormat="0" applyFill="0" applyAlignment="0" applyProtection="0"/>
    <xf numFmtId="0" fontId="86" fillId="0" borderId="36" applyNumberFormat="0" applyFill="0" applyAlignment="0" applyProtection="0"/>
    <xf numFmtId="0" fontId="96" fillId="5" borderId="0" applyNumberFormat="0" applyBorder="0" applyAlignment="0" applyProtection="0"/>
    <xf numFmtId="0" fontId="87" fillId="54" borderId="0" applyNumberFormat="0" applyBorder="0" applyAlignment="0" applyProtection="0"/>
    <xf numFmtId="0" fontId="45" fillId="5" borderId="0" applyNumberFormat="0" applyBorder="0" applyAlignment="0" applyProtection="0"/>
    <xf numFmtId="0" fontId="87" fillId="54" borderId="0" applyNumberFormat="0" applyBorder="0" applyAlignment="0" applyProtection="0"/>
    <xf numFmtId="0" fontId="9" fillId="0" borderId="0"/>
    <xf numFmtId="0" fontId="13" fillId="55" borderId="37" applyNumberFormat="0" applyFont="0" applyAlignment="0" applyProtection="0"/>
    <xf numFmtId="0" fontId="9" fillId="9" borderId="29" applyNumberFormat="0" applyFont="0" applyAlignment="0" applyProtection="0"/>
    <xf numFmtId="0" fontId="13" fillId="55" borderId="37" applyNumberFormat="0" applyFont="0" applyAlignment="0" applyProtection="0"/>
    <xf numFmtId="0" fontId="98" fillId="7" borderId="26" applyNumberFormat="0" applyAlignment="0" applyProtection="0"/>
    <xf numFmtId="0" fontId="88" fillId="52" borderId="38" applyNumberFormat="0" applyAlignment="0" applyProtection="0"/>
    <xf numFmtId="0" fontId="47" fillId="7" borderId="26" applyNumberFormat="0" applyAlignment="0" applyProtection="0"/>
    <xf numFmtId="0" fontId="88" fillId="52" borderId="38" applyNumberFormat="0" applyAlignment="0" applyProtection="0"/>
    <xf numFmtId="0" fontId="39" fillId="0" borderId="0" applyNumberFormat="0" applyFill="0" applyBorder="0" applyAlignment="0" applyProtection="0"/>
    <xf numFmtId="0" fontId="104" fillId="0" borderId="30" applyNumberFormat="0" applyFill="0" applyAlignment="0" applyProtection="0"/>
    <xf numFmtId="0" fontId="89" fillId="0" borderId="39" applyNumberFormat="0" applyFill="0" applyAlignment="0" applyProtection="0"/>
    <xf numFmtId="0" fontId="53" fillId="0" borderId="30" applyNumberFormat="0" applyFill="0" applyAlignment="0" applyProtection="0"/>
    <xf numFmtId="0" fontId="89" fillId="0" borderId="39" applyNumberFormat="0" applyFill="0" applyAlignment="0" applyProtection="0"/>
    <xf numFmtId="0" fontId="102" fillId="0" borderId="0" applyNumberFormat="0" applyFill="0" applyBorder="0" applyAlignment="0" applyProtection="0"/>
    <xf numFmtId="0" fontId="90" fillId="0" borderId="0" applyNumberFormat="0" applyFill="0" applyBorder="0" applyAlignment="0" applyProtection="0"/>
    <xf numFmtId="0" fontId="51" fillId="0" borderId="0" applyNumberFormat="0" applyFill="0" applyBorder="0" applyAlignment="0" applyProtection="0"/>
    <xf numFmtId="0" fontId="90" fillId="0" borderId="0" applyNumberFormat="0" applyFill="0" applyBorder="0" applyAlignment="0" applyProtection="0"/>
    <xf numFmtId="0" fontId="73" fillId="11" borderId="0" applyNumberFormat="0" applyBorder="0" applyAlignment="0" applyProtection="0"/>
    <xf numFmtId="0" fontId="9" fillId="11" borderId="0" applyNumberFormat="0" applyBorder="0" applyAlignment="0" applyProtection="0"/>
    <xf numFmtId="0" fontId="75" fillId="34" borderId="0" applyNumberFormat="0" applyBorder="0" applyAlignment="0" applyProtection="0"/>
    <xf numFmtId="0" fontId="73" fillId="15" borderId="0" applyNumberFormat="0" applyBorder="0" applyAlignment="0" applyProtection="0"/>
    <xf numFmtId="0" fontId="9" fillId="15" borderId="0" applyNumberFormat="0" applyBorder="0" applyAlignment="0" applyProtection="0"/>
    <xf numFmtId="0" fontId="75" fillId="35" borderId="0" applyNumberFormat="0" applyBorder="0" applyAlignment="0" applyProtection="0"/>
    <xf numFmtId="0" fontId="73" fillId="19" borderId="0" applyNumberFormat="0" applyBorder="0" applyAlignment="0" applyProtection="0"/>
    <xf numFmtId="0" fontId="9" fillId="19" borderId="0" applyNumberFormat="0" applyBorder="0" applyAlignment="0" applyProtection="0"/>
    <xf numFmtId="0" fontId="75" fillId="36" borderId="0" applyNumberFormat="0" applyBorder="0" applyAlignment="0" applyProtection="0"/>
    <xf numFmtId="0" fontId="73" fillId="23" borderId="0" applyNumberFormat="0" applyBorder="0" applyAlignment="0" applyProtection="0"/>
    <xf numFmtId="0" fontId="9" fillId="23" borderId="0" applyNumberFormat="0" applyBorder="0" applyAlignment="0" applyProtection="0"/>
    <xf numFmtId="0" fontId="75" fillId="37" borderId="0" applyNumberFormat="0" applyBorder="0" applyAlignment="0" applyProtection="0"/>
    <xf numFmtId="0" fontId="73" fillId="27" borderId="0" applyNumberFormat="0" applyBorder="0" applyAlignment="0" applyProtection="0"/>
    <xf numFmtId="0" fontId="9" fillId="27" borderId="0" applyNumberFormat="0" applyBorder="0" applyAlignment="0" applyProtection="0"/>
    <xf numFmtId="0" fontId="75" fillId="38" borderId="0" applyNumberFormat="0" applyBorder="0" applyAlignment="0" applyProtection="0"/>
    <xf numFmtId="0" fontId="73" fillId="31" borderId="0" applyNumberFormat="0" applyBorder="0" applyAlignment="0" applyProtection="0"/>
    <xf numFmtId="0" fontId="9" fillId="31" borderId="0" applyNumberFormat="0" applyBorder="0" applyAlignment="0" applyProtection="0"/>
    <xf numFmtId="0" fontId="75" fillId="39" borderId="0" applyNumberFormat="0" applyBorder="0" applyAlignment="0" applyProtection="0"/>
    <xf numFmtId="0" fontId="73" fillId="12" borderId="0" applyNumberFormat="0" applyBorder="0" applyAlignment="0" applyProtection="0"/>
    <xf numFmtId="0" fontId="9" fillId="12" borderId="0" applyNumberFormat="0" applyBorder="0" applyAlignment="0" applyProtection="0"/>
    <xf numFmtId="0" fontId="75" fillId="40" borderId="0" applyNumberFormat="0" applyBorder="0" applyAlignment="0" applyProtection="0"/>
    <xf numFmtId="0" fontId="73" fillId="16" borderId="0" applyNumberFormat="0" applyBorder="0" applyAlignment="0" applyProtection="0"/>
    <xf numFmtId="0" fontId="9" fillId="16" borderId="0" applyNumberFormat="0" applyBorder="0" applyAlignment="0" applyProtection="0"/>
    <xf numFmtId="0" fontId="75" fillId="41" borderId="0" applyNumberFormat="0" applyBorder="0" applyAlignment="0" applyProtection="0"/>
    <xf numFmtId="0" fontId="73" fillId="20" borderId="0" applyNumberFormat="0" applyBorder="0" applyAlignment="0" applyProtection="0"/>
    <xf numFmtId="0" fontId="9" fillId="20" borderId="0" applyNumberFormat="0" applyBorder="0" applyAlignment="0" applyProtection="0"/>
    <xf numFmtId="0" fontId="75" fillId="42" borderId="0" applyNumberFormat="0" applyBorder="0" applyAlignment="0" applyProtection="0"/>
    <xf numFmtId="0" fontId="73" fillId="24" borderId="0" applyNumberFormat="0" applyBorder="0" applyAlignment="0" applyProtection="0"/>
    <xf numFmtId="0" fontId="9" fillId="24" borderId="0" applyNumberFormat="0" applyBorder="0" applyAlignment="0" applyProtection="0"/>
    <xf numFmtId="0" fontId="75" fillId="37" borderId="0" applyNumberFormat="0" applyBorder="0" applyAlignment="0" applyProtection="0"/>
    <xf numFmtId="0" fontId="73" fillId="28" borderId="0" applyNumberFormat="0" applyBorder="0" applyAlignment="0" applyProtection="0"/>
    <xf numFmtId="0" fontId="9" fillId="28" borderId="0" applyNumberFormat="0" applyBorder="0" applyAlignment="0" applyProtection="0"/>
    <xf numFmtId="0" fontId="75" fillId="40" borderId="0" applyNumberFormat="0" applyBorder="0" applyAlignment="0" applyProtection="0"/>
    <xf numFmtId="0" fontId="73" fillId="32" borderId="0" applyNumberFormat="0" applyBorder="0" applyAlignment="0" applyProtection="0"/>
    <xf numFmtId="0" fontId="9" fillId="32" borderId="0" applyNumberFormat="0" applyBorder="0" applyAlignment="0" applyProtection="0"/>
    <xf numFmtId="0" fontId="75" fillId="43" borderId="0" applyNumberFormat="0" applyBorder="0" applyAlignment="0" applyProtection="0"/>
    <xf numFmtId="0" fontId="105" fillId="13" borderId="0" applyNumberFormat="0" applyBorder="0" applyAlignment="0" applyProtection="0"/>
    <xf numFmtId="0" fontId="54" fillId="13" borderId="0" applyNumberFormat="0" applyBorder="0" applyAlignment="0" applyProtection="0"/>
    <xf numFmtId="0" fontId="76" fillId="44" borderId="0" applyNumberFormat="0" applyBorder="0" applyAlignment="0" applyProtection="0"/>
    <xf numFmtId="0" fontId="105" fillId="17" borderId="0" applyNumberFormat="0" applyBorder="0" applyAlignment="0" applyProtection="0"/>
    <xf numFmtId="0" fontId="54" fillId="17" borderId="0" applyNumberFormat="0" applyBorder="0" applyAlignment="0" applyProtection="0"/>
    <xf numFmtId="0" fontId="76" fillId="41" borderId="0" applyNumberFormat="0" applyBorder="0" applyAlignment="0" applyProtection="0"/>
    <xf numFmtId="0" fontId="105" fillId="21" borderId="0" applyNumberFormat="0" applyBorder="0" applyAlignment="0" applyProtection="0"/>
    <xf numFmtId="0" fontId="54" fillId="21" borderId="0" applyNumberFormat="0" applyBorder="0" applyAlignment="0" applyProtection="0"/>
    <xf numFmtId="0" fontId="76" fillId="42" borderId="0" applyNumberFormat="0" applyBorder="0" applyAlignment="0" applyProtection="0"/>
    <xf numFmtId="0" fontId="105" fillId="25" borderId="0" applyNumberFormat="0" applyBorder="0" applyAlignment="0" applyProtection="0"/>
    <xf numFmtId="0" fontId="54" fillId="25" borderId="0" applyNumberFormat="0" applyBorder="0" applyAlignment="0" applyProtection="0"/>
    <xf numFmtId="0" fontId="76" fillId="45" borderId="0" applyNumberFormat="0" applyBorder="0" applyAlignment="0" applyProtection="0"/>
    <xf numFmtId="0" fontId="105" fillId="29" borderId="0" applyNumberFormat="0" applyBorder="0" applyAlignment="0" applyProtection="0"/>
    <xf numFmtId="0" fontId="54" fillId="29" borderId="0" applyNumberFormat="0" applyBorder="0" applyAlignment="0" applyProtection="0"/>
    <xf numFmtId="0" fontId="76" fillId="46" borderId="0" applyNumberFormat="0" applyBorder="0" applyAlignment="0" applyProtection="0"/>
    <xf numFmtId="0" fontId="105" fillId="33" borderId="0" applyNumberFormat="0" applyBorder="0" applyAlignment="0" applyProtection="0"/>
    <xf numFmtId="0" fontId="54" fillId="33" borderId="0" applyNumberFormat="0" applyBorder="0" applyAlignment="0" applyProtection="0"/>
    <xf numFmtId="0" fontId="76" fillId="47" borderId="0" applyNumberFormat="0" applyBorder="0" applyAlignment="0" applyProtection="0"/>
    <xf numFmtId="0" fontId="105" fillId="10" borderId="0" applyNumberFormat="0" applyBorder="0" applyAlignment="0" applyProtection="0"/>
    <xf numFmtId="0" fontId="54" fillId="10" borderId="0" applyNumberFormat="0" applyBorder="0" applyAlignment="0" applyProtection="0"/>
    <xf numFmtId="0" fontId="76" fillId="48" borderId="0" applyNumberFormat="0" applyBorder="0" applyAlignment="0" applyProtection="0"/>
    <xf numFmtId="0" fontId="105" fillId="14" borderId="0" applyNumberFormat="0" applyBorder="0" applyAlignment="0" applyProtection="0"/>
    <xf numFmtId="0" fontId="54" fillId="14" borderId="0" applyNumberFormat="0" applyBorder="0" applyAlignment="0" applyProtection="0"/>
    <xf numFmtId="0" fontId="76" fillId="49" borderId="0" applyNumberFormat="0" applyBorder="0" applyAlignment="0" applyProtection="0"/>
    <xf numFmtId="0" fontId="105" fillId="18" borderId="0" applyNumberFormat="0" applyBorder="0" applyAlignment="0" applyProtection="0"/>
    <xf numFmtId="0" fontId="54" fillId="18" borderId="0" applyNumberFormat="0" applyBorder="0" applyAlignment="0" applyProtection="0"/>
    <xf numFmtId="0" fontId="76" fillId="50" borderId="0" applyNumberFormat="0" applyBorder="0" applyAlignment="0" applyProtection="0"/>
    <xf numFmtId="0" fontId="105" fillId="22" borderId="0" applyNumberFormat="0" applyBorder="0" applyAlignment="0" applyProtection="0"/>
    <xf numFmtId="0" fontId="54" fillId="22" borderId="0" applyNumberFormat="0" applyBorder="0" applyAlignment="0" applyProtection="0"/>
    <xf numFmtId="0" fontId="76" fillId="45" borderId="0" applyNumberFormat="0" applyBorder="0" applyAlignment="0" applyProtection="0"/>
    <xf numFmtId="0" fontId="105" fillId="26" borderId="0" applyNumberFormat="0" applyBorder="0" applyAlignment="0" applyProtection="0"/>
    <xf numFmtId="0" fontId="54" fillId="26" borderId="0" applyNumberFormat="0" applyBorder="0" applyAlignment="0" applyProtection="0"/>
    <xf numFmtId="0" fontId="76" fillId="46" borderId="0" applyNumberFormat="0" applyBorder="0" applyAlignment="0" applyProtection="0"/>
    <xf numFmtId="0" fontId="105" fillId="30" borderId="0" applyNumberFormat="0" applyBorder="0" applyAlignment="0" applyProtection="0"/>
    <xf numFmtId="0" fontId="54" fillId="30" borderId="0" applyNumberFormat="0" applyBorder="0" applyAlignment="0" applyProtection="0"/>
    <xf numFmtId="0" fontId="76" fillId="51" borderId="0" applyNumberFormat="0" applyBorder="0" applyAlignment="0" applyProtection="0"/>
    <xf numFmtId="0" fontId="95" fillId="4" borderId="0" applyNumberFormat="0" applyBorder="0" applyAlignment="0" applyProtection="0"/>
    <xf numFmtId="0" fontId="44" fillId="4" borderId="0" applyNumberFormat="0" applyBorder="0" applyAlignment="0" applyProtection="0"/>
    <xf numFmtId="0" fontId="77" fillId="35" borderId="0" applyNumberFormat="0" applyBorder="0" applyAlignment="0" applyProtection="0"/>
    <xf numFmtId="0" fontId="99" fillId="7" borderId="25" applyNumberFormat="0" applyAlignment="0" applyProtection="0"/>
    <xf numFmtId="0" fontId="48" fillId="7" borderId="25" applyNumberFormat="0" applyAlignment="0" applyProtection="0"/>
    <xf numFmtId="0" fontId="78" fillId="52" borderId="31" applyNumberFormat="0" applyAlignment="0" applyProtection="0"/>
    <xf numFmtId="0" fontId="101" fillId="8" borderId="28" applyNumberFormat="0" applyAlignment="0" applyProtection="0"/>
    <xf numFmtId="0" fontId="50" fillId="8" borderId="28" applyNumberFormat="0" applyAlignment="0" applyProtection="0"/>
    <xf numFmtId="0" fontId="79" fillId="53" borderId="32" applyNumberFormat="0" applyAlignment="0" applyProtection="0"/>
    <xf numFmtId="0" fontId="103"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0" fontId="94" fillId="3" borderId="0" applyNumberFormat="0" applyBorder="0" applyAlignment="0" applyProtection="0"/>
    <xf numFmtId="0" fontId="43" fillId="3" borderId="0" applyNumberFormat="0" applyBorder="0" applyAlignment="0" applyProtection="0"/>
    <xf numFmtId="0" fontId="81" fillId="36" borderId="0" applyNumberFormat="0" applyBorder="0" applyAlignment="0" applyProtection="0"/>
    <xf numFmtId="0" fontId="91" fillId="0" borderId="22" applyNumberFormat="0" applyFill="0" applyAlignment="0" applyProtection="0"/>
    <xf numFmtId="0" fontId="40" fillId="0" borderId="22" applyNumberFormat="0" applyFill="0" applyAlignment="0" applyProtection="0"/>
    <xf numFmtId="0" fontId="82" fillId="0" borderId="33" applyNumberFormat="0" applyFill="0" applyAlignment="0" applyProtection="0"/>
    <xf numFmtId="0" fontId="92" fillId="0" borderId="23" applyNumberFormat="0" applyFill="0" applyAlignment="0" applyProtection="0"/>
    <xf numFmtId="0" fontId="41" fillId="0" borderId="23" applyNumberFormat="0" applyFill="0" applyAlignment="0" applyProtection="0"/>
    <xf numFmtId="0" fontId="83" fillId="0" borderId="34" applyNumberFormat="0" applyFill="0" applyAlignment="0" applyProtection="0"/>
    <xf numFmtId="0" fontId="93" fillId="0" borderId="24" applyNumberFormat="0" applyFill="0" applyAlignment="0" applyProtection="0"/>
    <xf numFmtId="0" fontId="42" fillId="0" borderId="24" applyNumberFormat="0" applyFill="0" applyAlignment="0" applyProtection="0"/>
    <xf numFmtId="0" fontId="84" fillId="0" borderId="35" applyNumberFormat="0" applyFill="0" applyAlignment="0" applyProtection="0"/>
    <xf numFmtId="0" fontId="93" fillId="0" borderId="0" applyNumberFormat="0" applyFill="0" applyBorder="0" applyAlignment="0" applyProtection="0"/>
    <xf numFmtId="0" fontId="42" fillId="0" borderId="0" applyNumberFormat="0" applyFill="0" applyBorder="0" applyAlignment="0" applyProtection="0"/>
    <xf numFmtId="0" fontId="84" fillId="0" borderId="0" applyNumberFormat="0" applyFill="0" applyBorder="0" applyAlignment="0" applyProtection="0"/>
    <xf numFmtId="0" fontId="97" fillId="6" borderId="25" applyNumberFormat="0" applyAlignment="0" applyProtection="0"/>
    <xf numFmtId="0" fontId="46" fillId="6" borderId="25" applyNumberFormat="0" applyAlignment="0" applyProtection="0"/>
    <xf numFmtId="0" fontId="85" fillId="39" borderId="31" applyNumberFormat="0" applyAlignment="0" applyProtection="0"/>
    <xf numFmtId="0" fontId="100" fillId="0" borderId="27" applyNumberFormat="0" applyFill="0" applyAlignment="0" applyProtection="0"/>
    <xf numFmtId="0" fontId="49" fillId="0" borderId="27" applyNumberFormat="0" applyFill="0" applyAlignment="0" applyProtection="0"/>
    <xf numFmtId="0" fontId="86" fillId="0" borderId="36" applyNumberFormat="0" applyFill="0" applyAlignment="0" applyProtection="0"/>
    <xf numFmtId="0" fontId="96" fillId="5" borderId="0" applyNumberFormat="0" applyBorder="0" applyAlignment="0" applyProtection="0"/>
    <xf numFmtId="0" fontId="45" fillId="5" borderId="0" applyNumberFormat="0" applyBorder="0" applyAlignment="0" applyProtection="0"/>
    <xf numFmtId="0" fontId="87" fillId="54" borderId="0" applyNumberFormat="0" applyBorder="0" applyAlignment="0" applyProtection="0"/>
    <xf numFmtId="0" fontId="9" fillId="0" borderId="0"/>
    <xf numFmtId="0" fontId="9" fillId="9" borderId="29" applyNumberFormat="0" applyFont="0" applyAlignment="0" applyProtection="0"/>
    <xf numFmtId="0" fontId="13" fillId="55" borderId="37" applyNumberFormat="0" applyFont="0" applyAlignment="0" applyProtection="0"/>
    <xf numFmtId="0" fontId="98" fillId="7" borderId="26" applyNumberFormat="0" applyAlignment="0" applyProtection="0"/>
    <xf numFmtId="0" fontId="47" fillId="7" borderId="26" applyNumberFormat="0" applyAlignment="0" applyProtection="0"/>
    <xf numFmtId="0" fontId="88" fillId="52" borderId="38" applyNumberFormat="0" applyAlignment="0" applyProtection="0"/>
    <xf numFmtId="0" fontId="39" fillId="0" borderId="0" applyNumberFormat="0" applyFill="0" applyBorder="0" applyAlignment="0" applyProtection="0"/>
    <xf numFmtId="0" fontId="104" fillId="0" borderId="30" applyNumberFormat="0" applyFill="0" applyAlignment="0" applyProtection="0"/>
    <xf numFmtId="0" fontId="53" fillId="0" borderId="30" applyNumberFormat="0" applyFill="0" applyAlignment="0" applyProtection="0"/>
    <xf numFmtId="0" fontId="89" fillId="0" borderId="39" applyNumberFormat="0" applyFill="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90" fillId="0" borderId="0" applyNumberFormat="0" applyFill="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105" fillId="13" borderId="0" applyNumberFormat="0" applyBorder="0" applyAlignment="0" applyProtection="0"/>
    <xf numFmtId="0" fontId="105" fillId="13"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105" fillId="10" borderId="0" applyNumberFormat="0" applyBorder="0" applyAlignment="0" applyProtection="0"/>
    <xf numFmtId="0" fontId="105" fillId="10"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105" fillId="26" borderId="0" applyNumberFormat="0" applyBorder="0" applyAlignment="0" applyProtection="0"/>
    <xf numFmtId="0" fontId="105" fillId="26"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05" fillId="30" borderId="0" applyNumberFormat="0" applyBorder="0" applyAlignment="0" applyProtection="0"/>
    <xf numFmtId="0" fontId="105" fillId="3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78" fillId="52" borderId="31" applyNumberFormat="0" applyAlignment="0" applyProtection="0"/>
    <xf numFmtId="0" fontId="78" fillId="52" borderId="31" applyNumberFormat="0" applyAlignment="0" applyProtection="0"/>
    <xf numFmtId="0" fontId="99" fillId="7" borderId="25" applyNumberFormat="0" applyAlignment="0" applyProtection="0"/>
    <xf numFmtId="0" fontId="99" fillId="7" borderId="25" applyNumberFormat="0" applyAlignment="0" applyProtection="0"/>
    <xf numFmtId="0" fontId="79" fillId="53" borderId="32" applyNumberFormat="0" applyAlignment="0" applyProtection="0"/>
    <xf numFmtId="0" fontId="79" fillId="53" borderId="32" applyNumberFormat="0" applyAlignment="0" applyProtection="0"/>
    <xf numFmtId="0" fontId="101" fillId="8" borderId="28" applyNumberFormat="0" applyAlignment="0" applyProtection="0"/>
    <xf numFmtId="0" fontId="101" fillId="8" borderId="28"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1" fillId="36" borderId="0" applyNumberFormat="0" applyBorder="0" applyAlignment="0" applyProtection="0"/>
    <xf numFmtId="0" fontId="81" fillId="36"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82" fillId="0" borderId="33" applyNumberFormat="0" applyFill="0" applyAlignment="0" applyProtection="0"/>
    <xf numFmtId="0" fontId="82" fillId="0" borderId="33" applyNumberFormat="0" applyFill="0" applyAlignment="0" applyProtection="0"/>
    <xf numFmtId="0" fontId="91" fillId="0" borderId="22" applyNumberFormat="0" applyFill="0" applyAlignment="0" applyProtection="0"/>
    <xf numFmtId="0" fontId="91" fillId="0" borderId="22" applyNumberFormat="0" applyFill="0" applyAlignment="0" applyProtection="0"/>
    <xf numFmtId="0" fontId="83" fillId="0" borderId="34" applyNumberFormat="0" applyFill="0" applyAlignment="0" applyProtection="0"/>
    <xf numFmtId="0" fontId="83" fillId="0" borderId="34" applyNumberFormat="0" applyFill="0" applyAlignment="0" applyProtection="0"/>
    <xf numFmtId="0" fontId="92" fillId="0" borderId="23" applyNumberFormat="0" applyFill="0" applyAlignment="0" applyProtection="0"/>
    <xf numFmtId="0" fontId="92" fillId="0" borderId="23"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0" fontId="93" fillId="0" borderId="24" applyNumberFormat="0" applyFill="0" applyAlignment="0" applyProtection="0"/>
    <xf numFmtId="0" fontId="93" fillId="0" borderId="2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5" fillId="39" borderId="31" applyNumberFormat="0" applyAlignment="0" applyProtection="0"/>
    <xf numFmtId="0" fontId="85" fillId="39" borderId="31" applyNumberFormat="0" applyAlignment="0" applyProtection="0"/>
    <xf numFmtId="0" fontId="97" fillId="6" borderId="25" applyNumberFormat="0" applyAlignment="0" applyProtection="0"/>
    <xf numFmtId="0" fontId="97" fillId="6" borderId="25" applyNumberFormat="0" applyAlignment="0" applyProtection="0"/>
    <xf numFmtId="0" fontId="86" fillId="0" borderId="36" applyNumberFormat="0" applyFill="0" applyAlignment="0" applyProtection="0"/>
    <xf numFmtId="0" fontId="86" fillId="0" borderId="36"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87" fillId="54" borderId="0" applyNumberFormat="0" applyBorder="0" applyAlignment="0" applyProtection="0"/>
    <xf numFmtId="0" fontId="87" fillId="5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13" fillId="55" borderId="37" applyNumberFormat="0" applyFont="0" applyAlignment="0" applyProtection="0"/>
    <xf numFmtId="0" fontId="13" fillId="55" borderId="37" applyNumberFormat="0" applyFont="0" applyAlignment="0" applyProtection="0"/>
    <xf numFmtId="0" fontId="88" fillId="52" borderId="38" applyNumberFormat="0" applyAlignment="0" applyProtection="0"/>
    <xf numFmtId="0" fontId="88" fillId="52" borderId="38" applyNumberFormat="0" applyAlignment="0" applyProtection="0"/>
    <xf numFmtId="0" fontId="98" fillId="7" borderId="26" applyNumberFormat="0" applyAlignment="0" applyProtection="0"/>
    <xf numFmtId="0" fontId="98" fillId="7" borderId="26" applyNumberFormat="0" applyAlignment="0" applyProtection="0"/>
    <xf numFmtId="0" fontId="89" fillId="0" borderId="39" applyNumberFormat="0" applyFill="0" applyAlignment="0" applyProtection="0"/>
    <xf numFmtId="0" fontId="89" fillId="0" borderId="3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5" fillId="34" borderId="0" applyNumberFormat="0" applyBorder="0" applyAlignment="0" applyProtection="0"/>
    <xf numFmtId="0" fontId="9" fillId="11" borderId="0" applyNumberFormat="0" applyBorder="0" applyAlignment="0" applyProtection="0"/>
    <xf numFmtId="0" fontId="73" fillId="11" borderId="0" applyNumberFormat="0" applyBorder="0" applyAlignment="0" applyProtection="0"/>
    <xf numFmtId="0" fontId="75" fillId="35" borderId="0" applyNumberFormat="0" applyBorder="0" applyAlignment="0" applyProtection="0"/>
    <xf numFmtId="0" fontId="9" fillId="15" borderId="0" applyNumberFormat="0" applyBorder="0" applyAlignment="0" applyProtection="0"/>
    <xf numFmtId="0" fontId="73" fillId="15" borderId="0" applyNumberFormat="0" applyBorder="0" applyAlignment="0" applyProtection="0"/>
    <xf numFmtId="0" fontId="75" fillId="36" borderId="0" applyNumberFormat="0" applyBorder="0" applyAlignment="0" applyProtection="0"/>
    <xf numFmtId="0" fontId="9" fillId="19" borderId="0" applyNumberFormat="0" applyBorder="0" applyAlignment="0" applyProtection="0"/>
    <xf numFmtId="0" fontId="73" fillId="19" borderId="0" applyNumberFormat="0" applyBorder="0" applyAlignment="0" applyProtection="0"/>
    <xf numFmtId="0" fontId="75" fillId="37" borderId="0" applyNumberFormat="0" applyBorder="0" applyAlignment="0" applyProtection="0"/>
    <xf numFmtId="0" fontId="9" fillId="23" borderId="0" applyNumberFormat="0" applyBorder="0" applyAlignment="0" applyProtection="0"/>
    <xf numFmtId="0" fontId="73" fillId="23" borderId="0" applyNumberFormat="0" applyBorder="0" applyAlignment="0" applyProtection="0"/>
    <xf numFmtId="0" fontId="75" fillId="38" borderId="0" applyNumberFormat="0" applyBorder="0" applyAlignment="0" applyProtection="0"/>
    <xf numFmtId="0" fontId="9" fillId="27" borderId="0" applyNumberFormat="0" applyBorder="0" applyAlignment="0" applyProtection="0"/>
    <xf numFmtId="0" fontId="73" fillId="27" borderId="0" applyNumberFormat="0" applyBorder="0" applyAlignment="0" applyProtection="0"/>
    <xf numFmtId="0" fontId="75" fillId="39" borderId="0" applyNumberFormat="0" applyBorder="0" applyAlignment="0" applyProtection="0"/>
    <xf numFmtId="0" fontId="9" fillId="31" borderId="0" applyNumberFormat="0" applyBorder="0" applyAlignment="0" applyProtection="0"/>
    <xf numFmtId="0" fontId="73" fillId="31" borderId="0" applyNumberFormat="0" applyBorder="0" applyAlignment="0" applyProtection="0"/>
    <xf numFmtId="0" fontId="75" fillId="40" borderId="0" applyNumberFormat="0" applyBorder="0" applyAlignment="0" applyProtection="0"/>
    <xf numFmtId="0" fontId="9" fillId="12" borderId="0" applyNumberFormat="0" applyBorder="0" applyAlignment="0" applyProtection="0"/>
    <xf numFmtId="0" fontId="73" fillId="12" borderId="0" applyNumberFormat="0" applyBorder="0" applyAlignment="0" applyProtection="0"/>
    <xf numFmtId="0" fontId="75" fillId="41" borderId="0" applyNumberFormat="0" applyBorder="0" applyAlignment="0" applyProtection="0"/>
    <xf numFmtId="0" fontId="9" fillId="16" borderId="0" applyNumberFormat="0" applyBorder="0" applyAlignment="0" applyProtection="0"/>
    <xf numFmtId="0" fontId="73" fillId="16" borderId="0" applyNumberFormat="0" applyBorder="0" applyAlignment="0" applyProtection="0"/>
    <xf numFmtId="0" fontId="75" fillId="42" borderId="0" applyNumberFormat="0" applyBorder="0" applyAlignment="0" applyProtection="0"/>
    <xf numFmtId="0" fontId="9" fillId="20" borderId="0" applyNumberFormat="0" applyBorder="0" applyAlignment="0" applyProtection="0"/>
    <xf numFmtId="0" fontId="73" fillId="20" borderId="0" applyNumberFormat="0" applyBorder="0" applyAlignment="0" applyProtection="0"/>
    <xf numFmtId="0" fontId="75" fillId="37" borderId="0" applyNumberFormat="0" applyBorder="0" applyAlignment="0" applyProtection="0"/>
    <xf numFmtId="0" fontId="9" fillId="24" borderId="0" applyNumberFormat="0" applyBorder="0" applyAlignment="0" applyProtection="0"/>
    <xf numFmtId="0" fontId="73" fillId="24" borderId="0" applyNumberFormat="0" applyBorder="0" applyAlignment="0" applyProtection="0"/>
    <xf numFmtId="0" fontId="75" fillId="40" borderId="0" applyNumberFormat="0" applyBorder="0" applyAlignment="0" applyProtection="0"/>
    <xf numFmtId="0" fontId="9" fillId="28" borderId="0" applyNumberFormat="0" applyBorder="0" applyAlignment="0" applyProtection="0"/>
    <xf numFmtId="0" fontId="73" fillId="28" borderId="0" applyNumberFormat="0" applyBorder="0" applyAlignment="0" applyProtection="0"/>
    <xf numFmtId="0" fontId="75" fillId="43" borderId="0" applyNumberFormat="0" applyBorder="0" applyAlignment="0" applyProtection="0"/>
    <xf numFmtId="0" fontId="9" fillId="32" borderId="0" applyNumberFormat="0" applyBorder="0" applyAlignment="0" applyProtection="0"/>
    <xf numFmtId="0" fontId="73" fillId="32" borderId="0" applyNumberFormat="0" applyBorder="0" applyAlignment="0" applyProtection="0"/>
    <xf numFmtId="0" fontId="76" fillId="44" borderId="0" applyNumberFormat="0" applyBorder="0" applyAlignment="0" applyProtection="0"/>
    <xf numFmtId="0" fontId="54" fillId="13" borderId="0" applyNumberFormat="0" applyBorder="0" applyAlignment="0" applyProtection="0"/>
    <xf numFmtId="0" fontId="105" fillId="13" borderId="0" applyNumberFormat="0" applyBorder="0" applyAlignment="0" applyProtection="0"/>
    <xf numFmtId="0" fontId="76" fillId="41" borderId="0" applyNumberFormat="0" applyBorder="0" applyAlignment="0" applyProtection="0"/>
    <xf numFmtId="0" fontId="54" fillId="17" borderId="0" applyNumberFormat="0" applyBorder="0" applyAlignment="0" applyProtection="0"/>
    <xf numFmtId="0" fontId="105" fillId="17" borderId="0" applyNumberFormat="0" applyBorder="0" applyAlignment="0" applyProtection="0"/>
    <xf numFmtId="0" fontId="76" fillId="42" borderId="0" applyNumberFormat="0" applyBorder="0" applyAlignment="0" applyProtection="0"/>
    <xf numFmtId="0" fontId="54" fillId="21" borderId="0" applyNumberFormat="0" applyBorder="0" applyAlignment="0" applyProtection="0"/>
    <xf numFmtId="0" fontId="105" fillId="21" borderId="0" applyNumberFormat="0" applyBorder="0" applyAlignment="0" applyProtection="0"/>
    <xf numFmtId="0" fontId="76" fillId="45" borderId="0" applyNumberFormat="0" applyBorder="0" applyAlignment="0" applyProtection="0"/>
    <xf numFmtId="0" fontId="54" fillId="25" borderId="0" applyNumberFormat="0" applyBorder="0" applyAlignment="0" applyProtection="0"/>
    <xf numFmtId="0" fontId="105" fillId="25" borderId="0" applyNumberFormat="0" applyBorder="0" applyAlignment="0" applyProtection="0"/>
    <xf numFmtId="0" fontId="76" fillId="46" borderId="0" applyNumberFormat="0" applyBorder="0" applyAlignment="0" applyProtection="0"/>
    <xf numFmtId="0" fontId="54" fillId="29" borderId="0" applyNumberFormat="0" applyBorder="0" applyAlignment="0" applyProtection="0"/>
    <xf numFmtId="0" fontId="105" fillId="29" borderId="0" applyNumberFormat="0" applyBorder="0" applyAlignment="0" applyProtection="0"/>
    <xf numFmtId="0" fontId="76" fillId="47" borderId="0" applyNumberFormat="0" applyBorder="0" applyAlignment="0" applyProtection="0"/>
    <xf numFmtId="0" fontId="54" fillId="33" borderId="0" applyNumberFormat="0" applyBorder="0" applyAlignment="0" applyProtection="0"/>
    <xf numFmtId="0" fontId="105" fillId="33" borderId="0" applyNumberFormat="0" applyBorder="0" applyAlignment="0" applyProtection="0"/>
    <xf numFmtId="0" fontId="76" fillId="48" borderId="0" applyNumberFormat="0" applyBorder="0" applyAlignment="0" applyProtection="0"/>
    <xf numFmtId="0" fontId="54" fillId="10" borderId="0" applyNumberFormat="0" applyBorder="0" applyAlignment="0" applyProtection="0"/>
    <xf numFmtId="0" fontId="105" fillId="10" borderId="0" applyNumberFormat="0" applyBorder="0" applyAlignment="0" applyProtection="0"/>
    <xf numFmtId="0" fontId="76" fillId="49" borderId="0" applyNumberFormat="0" applyBorder="0" applyAlignment="0" applyProtection="0"/>
    <xf numFmtId="0" fontId="54" fillId="14" borderId="0" applyNumberFormat="0" applyBorder="0" applyAlignment="0" applyProtection="0"/>
    <xf numFmtId="0" fontId="105" fillId="14" borderId="0" applyNumberFormat="0" applyBorder="0" applyAlignment="0" applyProtection="0"/>
    <xf numFmtId="0" fontId="76" fillId="50" borderId="0" applyNumberFormat="0" applyBorder="0" applyAlignment="0" applyProtection="0"/>
    <xf numFmtId="0" fontId="54" fillId="18" borderId="0" applyNumberFormat="0" applyBorder="0" applyAlignment="0" applyProtection="0"/>
    <xf numFmtId="0" fontId="105" fillId="18" borderId="0" applyNumberFormat="0" applyBorder="0" applyAlignment="0" applyProtection="0"/>
    <xf numFmtId="0" fontId="76" fillId="45" borderId="0" applyNumberFormat="0" applyBorder="0" applyAlignment="0" applyProtection="0"/>
    <xf numFmtId="0" fontId="54" fillId="22" borderId="0" applyNumberFormat="0" applyBorder="0" applyAlignment="0" applyProtection="0"/>
    <xf numFmtId="0" fontId="105" fillId="22" borderId="0" applyNumberFormat="0" applyBorder="0" applyAlignment="0" applyProtection="0"/>
    <xf numFmtId="0" fontId="76" fillId="46" borderId="0" applyNumberFormat="0" applyBorder="0" applyAlignment="0" applyProtection="0"/>
    <xf numFmtId="0" fontId="54" fillId="26" borderId="0" applyNumberFormat="0" applyBorder="0" applyAlignment="0" applyProtection="0"/>
    <xf numFmtId="0" fontId="105" fillId="26" borderId="0" applyNumberFormat="0" applyBorder="0" applyAlignment="0" applyProtection="0"/>
    <xf numFmtId="0" fontId="76" fillId="51" borderId="0" applyNumberFormat="0" applyBorder="0" applyAlignment="0" applyProtection="0"/>
    <xf numFmtId="0" fontId="54" fillId="30" borderId="0" applyNumberFormat="0" applyBorder="0" applyAlignment="0" applyProtection="0"/>
    <xf numFmtId="0" fontId="105" fillId="30" borderId="0" applyNumberFormat="0" applyBorder="0" applyAlignment="0" applyProtection="0"/>
    <xf numFmtId="0" fontId="77" fillId="35" borderId="0" applyNumberFormat="0" applyBorder="0" applyAlignment="0" applyProtection="0"/>
    <xf numFmtId="0" fontId="44" fillId="4" borderId="0" applyNumberFormat="0" applyBorder="0" applyAlignment="0" applyProtection="0"/>
    <xf numFmtId="0" fontId="95" fillId="4" borderId="0" applyNumberFormat="0" applyBorder="0" applyAlignment="0" applyProtection="0"/>
    <xf numFmtId="0" fontId="78" fillId="52" borderId="31" applyNumberFormat="0" applyAlignment="0" applyProtection="0"/>
    <xf numFmtId="0" fontId="48" fillId="7" borderId="25" applyNumberFormat="0" applyAlignment="0" applyProtection="0"/>
    <xf numFmtId="0" fontId="99" fillId="7" borderId="25" applyNumberFormat="0" applyAlignment="0" applyProtection="0"/>
    <xf numFmtId="0" fontId="79" fillId="53" borderId="32" applyNumberFormat="0" applyAlignment="0" applyProtection="0"/>
    <xf numFmtId="0" fontId="50" fillId="8" borderId="28" applyNumberFormat="0" applyAlignment="0" applyProtection="0"/>
    <xf numFmtId="0" fontId="101" fillId="8" borderId="28" applyNumberFormat="0" applyAlignment="0" applyProtection="0"/>
    <xf numFmtId="0" fontId="80"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81" fillId="36" borderId="0" applyNumberFormat="0" applyBorder="0" applyAlignment="0" applyProtection="0"/>
    <xf numFmtId="0" fontId="43" fillId="3" borderId="0" applyNumberFormat="0" applyBorder="0" applyAlignment="0" applyProtection="0"/>
    <xf numFmtId="0" fontId="94" fillId="3" borderId="0" applyNumberFormat="0" applyBorder="0" applyAlignment="0" applyProtection="0"/>
    <xf numFmtId="0" fontId="82" fillId="0" borderId="33" applyNumberFormat="0" applyFill="0" applyAlignment="0" applyProtection="0"/>
    <xf numFmtId="0" fontId="40" fillId="0" borderId="22" applyNumberFormat="0" applyFill="0" applyAlignment="0" applyProtection="0"/>
    <xf numFmtId="0" fontId="91" fillId="0" borderId="22" applyNumberFormat="0" applyFill="0" applyAlignment="0" applyProtection="0"/>
    <xf numFmtId="0" fontId="83" fillId="0" borderId="34" applyNumberFormat="0" applyFill="0" applyAlignment="0" applyProtection="0"/>
    <xf numFmtId="0" fontId="41" fillId="0" borderId="23" applyNumberFormat="0" applyFill="0" applyAlignment="0" applyProtection="0"/>
    <xf numFmtId="0" fontId="92" fillId="0" borderId="23" applyNumberFormat="0" applyFill="0" applyAlignment="0" applyProtection="0"/>
    <xf numFmtId="0" fontId="84" fillId="0" borderId="35" applyNumberFormat="0" applyFill="0" applyAlignment="0" applyProtection="0"/>
    <xf numFmtId="0" fontId="42" fillId="0" borderId="24" applyNumberFormat="0" applyFill="0" applyAlignment="0" applyProtection="0"/>
    <xf numFmtId="0" fontId="93" fillId="0" borderId="24" applyNumberFormat="0" applyFill="0" applyAlignment="0" applyProtection="0"/>
    <xf numFmtId="0" fontId="84" fillId="0" borderId="0" applyNumberFormat="0" applyFill="0" applyBorder="0" applyAlignment="0" applyProtection="0"/>
    <xf numFmtId="0" fontId="42" fillId="0" borderId="0" applyNumberFormat="0" applyFill="0" applyBorder="0" applyAlignment="0" applyProtection="0"/>
    <xf numFmtId="0" fontId="93" fillId="0" borderId="0" applyNumberFormat="0" applyFill="0" applyBorder="0" applyAlignment="0" applyProtection="0"/>
    <xf numFmtId="0" fontId="85" fillId="39" borderId="31" applyNumberFormat="0" applyAlignment="0" applyProtection="0"/>
    <xf numFmtId="0" fontId="46" fillId="6" borderId="25" applyNumberFormat="0" applyAlignment="0" applyProtection="0"/>
    <xf numFmtId="0" fontId="97" fillId="6" borderId="25" applyNumberFormat="0" applyAlignment="0" applyProtection="0"/>
    <xf numFmtId="0" fontId="86" fillId="0" borderId="36" applyNumberFormat="0" applyFill="0" applyAlignment="0" applyProtection="0"/>
    <xf numFmtId="0" fontId="49" fillId="0" borderId="27" applyNumberFormat="0" applyFill="0" applyAlignment="0" applyProtection="0"/>
    <xf numFmtId="0" fontId="100" fillId="0" borderId="27" applyNumberFormat="0" applyFill="0" applyAlignment="0" applyProtection="0"/>
    <xf numFmtId="0" fontId="87" fillId="54" borderId="0" applyNumberFormat="0" applyBorder="0" applyAlignment="0" applyProtection="0"/>
    <xf numFmtId="0" fontId="45" fillId="5" borderId="0" applyNumberFormat="0" applyBorder="0" applyAlignment="0" applyProtection="0"/>
    <xf numFmtId="0" fontId="96" fillId="5" borderId="0" applyNumberFormat="0" applyBorder="0" applyAlignment="0" applyProtection="0"/>
    <xf numFmtId="0" fontId="13" fillId="0" borderId="0"/>
    <xf numFmtId="0" fontId="13" fillId="0" borderId="0"/>
    <xf numFmtId="0" fontId="13" fillId="0" borderId="0"/>
    <xf numFmtId="0" fontId="13" fillId="55" borderId="37" applyNumberFormat="0" applyFont="0" applyAlignment="0" applyProtection="0"/>
    <xf numFmtId="0" fontId="9" fillId="9" borderId="29" applyNumberFormat="0" applyFont="0" applyAlignment="0" applyProtection="0"/>
    <xf numFmtId="0" fontId="88" fillId="52" borderId="38" applyNumberFormat="0" applyAlignment="0" applyProtection="0"/>
    <xf numFmtId="0" fontId="47" fillId="7" borderId="26" applyNumberFormat="0" applyAlignment="0" applyProtection="0"/>
    <xf numFmtId="0" fontId="98" fillId="7" borderId="26" applyNumberFormat="0" applyAlignment="0" applyProtection="0"/>
    <xf numFmtId="0" fontId="39" fillId="0" borderId="0" applyNumberFormat="0" applyFill="0" applyBorder="0" applyAlignment="0" applyProtection="0"/>
    <xf numFmtId="0" fontId="89" fillId="0" borderId="39" applyNumberFormat="0" applyFill="0" applyAlignment="0" applyProtection="0"/>
    <xf numFmtId="0" fontId="53" fillId="0" borderId="30" applyNumberFormat="0" applyFill="0" applyAlignment="0" applyProtection="0"/>
    <xf numFmtId="0" fontId="104" fillId="0" borderId="30" applyNumberFormat="0" applyFill="0" applyAlignment="0" applyProtection="0"/>
    <xf numFmtId="0" fontId="90"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5" fillId="42" borderId="0" applyNumberFormat="0" applyBorder="0" applyAlignment="0" applyProtection="0"/>
    <xf numFmtId="0" fontId="73" fillId="20" borderId="0" applyNumberFormat="0" applyBorder="0" applyAlignment="0" applyProtection="0"/>
    <xf numFmtId="0" fontId="75" fillId="37" borderId="0" applyNumberFormat="0" applyBorder="0" applyAlignment="0" applyProtection="0"/>
    <xf numFmtId="0" fontId="73" fillId="24" borderId="0" applyNumberFormat="0" applyBorder="0" applyAlignment="0" applyProtection="0"/>
    <xf numFmtId="0" fontId="75" fillId="40" borderId="0" applyNumberFormat="0" applyBorder="0" applyAlignment="0" applyProtection="0"/>
    <xf numFmtId="0" fontId="73" fillId="28" borderId="0" applyNumberFormat="0" applyBorder="0" applyAlignment="0" applyProtection="0"/>
    <xf numFmtId="0" fontId="75" fillId="43" borderId="0" applyNumberFormat="0" applyBorder="0" applyAlignment="0" applyProtection="0"/>
    <xf numFmtId="0" fontId="73" fillId="32" borderId="0" applyNumberFormat="0" applyBorder="0" applyAlignment="0" applyProtection="0"/>
    <xf numFmtId="0" fontId="76" fillId="44" borderId="0" applyNumberFormat="0" applyBorder="0" applyAlignment="0" applyProtection="0"/>
    <xf numFmtId="0" fontId="105" fillId="13" borderId="0" applyNumberFormat="0" applyBorder="0" applyAlignment="0" applyProtection="0"/>
    <xf numFmtId="0" fontId="76" fillId="41" borderId="0" applyNumberFormat="0" applyBorder="0" applyAlignment="0" applyProtection="0"/>
    <xf numFmtId="0" fontId="105" fillId="17" borderId="0" applyNumberFormat="0" applyBorder="0" applyAlignment="0" applyProtection="0"/>
    <xf numFmtId="0" fontId="76" fillId="42" borderId="0" applyNumberFormat="0" applyBorder="0" applyAlignment="0" applyProtection="0"/>
    <xf numFmtId="0" fontId="105" fillId="21" borderId="0" applyNumberFormat="0" applyBorder="0" applyAlignment="0" applyProtection="0"/>
    <xf numFmtId="0" fontId="76" fillId="45" borderId="0" applyNumberFormat="0" applyBorder="0" applyAlignment="0" applyProtection="0"/>
    <xf numFmtId="0" fontId="105" fillId="25" borderId="0" applyNumberFormat="0" applyBorder="0" applyAlignment="0" applyProtection="0"/>
    <xf numFmtId="0" fontId="76" fillId="46" borderId="0" applyNumberFormat="0" applyBorder="0" applyAlignment="0" applyProtection="0"/>
    <xf numFmtId="0" fontId="105" fillId="29" borderId="0" applyNumberFormat="0" applyBorder="0" applyAlignment="0" applyProtection="0"/>
    <xf numFmtId="0" fontId="76" fillId="47" borderId="0" applyNumberFormat="0" applyBorder="0" applyAlignment="0" applyProtection="0"/>
    <xf numFmtId="0" fontId="105" fillId="33" borderId="0" applyNumberFormat="0" applyBorder="0" applyAlignment="0" applyProtection="0"/>
    <xf numFmtId="0" fontId="76" fillId="48" borderId="0" applyNumberFormat="0" applyBorder="0" applyAlignment="0" applyProtection="0"/>
    <xf numFmtId="0" fontId="105" fillId="10" borderId="0" applyNumberFormat="0" applyBorder="0" applyAlignment="0" applyProtection="0"/>
    <xf numFmtId="0" fontId="76" fillId="49" borderId="0" applyNumberFormat="0" applyBorder="0" applyAlignment="0" applyProtection="0"/>
    <xf numFmtId="0" fontId="105" fillId="14" borderId="0" applyNumberFormat="0" applyBorder="0" applyAlignment="0" applyProtection="0"/>
    <xf numFmtId="0" fontId="76" fillId="50" borderId="0" applyNumberFormat="0" applyBorder="0" applyAlignment="0" applyProtection="0"/>
    <xf numFmtId="0" fontId="105" fillId="18" borderId="0" applyNumberFormat="0" applyBorder="0" applyAlignment="0" applyProtection="0"/>
    <xf numFmtId="0" fontId="76" fillId="45" borderId="0" applyNumberFormat="0" applyBorder="0" applyAlignment="0" applyProtection="0"/>
    <xf numFmtId="0" fontId="105" fillId="22" borderId="0" applyNumberFormat="0" applyBorder="0" applyAlignment="0" applyProtection="0"/>
    <xf numFmtId="0" fontId="76" fillId="46" borderId="0" applyNumberFormat="0" applyBorder="0" applyAlignment="0" applyProtection="0"/>
    <xf numFmtId="0" fontId="105" fillId="26" borderId="0" applyNumberFormat="0" applyBorder="0" applyAlignment="0" applyProtection="0"/>
    <xf numFmtId="0" fontId="76" fillId="51" borderId="0" applyNumberFormat="0" applyBorder="0" applyAlignment="0" applyProtection="0"/>
    <xf numFmtId="0" fontId="105" fillId="30" borderId="0" applyNumberFormat="0" applyBorder="0" applyAlignment="0" applyProtection="0"/>
    <xf numFmtId="0" fontId="77" fillId="35" borderId="0" applyNumberFormat="0" applyBorder="0" applyAlignment="0" applyProtection="0"/>
    <xf numFmtId="0" fontId="95" fillId="4" borderId="0" applyNumberFormat="0" applyBorder="0" applyAlignment="0" applyProtection="0"/>
    <xf numFmtId="0" fontId="78" fillId="52" borderId="31" applyNumberFormat="0" applyAlignment="0" applyProtection="0"/>
    <xf numFmtId="0" fontId="99" fillId="7" borderId="25" applyNumberFormat="0" applyAlignment="0" applyProtection="0"/>
    <xf numFmtId="0" fontId="79" fillId="53" borderId="32" applyNumberFormat="0" applyAlignment="0" applyProtection="0"/>
    <xf numFmtId="0" fontId="101" fillId="8" borderId="28" applyNumberFormat="0" applyAlignment="0" applyProtection="0"/>
    <xf numFmtId="0" fontId="80" fillId="0" borderId="0" applyNumberFormat="0" applyFill="0" applyBorder="0" applyAlignment="0" applyProtection="0"/>
    <xf numFmtId="0" fontId="103" fillId="0" borderId="0" applyNumberFormat="0" applyFill="0" applyBorder="0" applyAlignment="0" applyProtection="0"/>
    <xf numFmtId="0" fontId="81" fillId="36" borderId="0" applyNumberFormat="0" applyBorder="0" applyAlignment="0" applyProtection="0"/>
    <xf numFmtId="0" fontId="94" fillId="3" borderId="0" applyNumberFormat="0" applyBorder="0" applyAlignment="0" applyProtection="0"/>
    <xf numFmtId="0" fontId="82" fillId="0" borderId="33" applyNumberFormat="0" applyFill="0" applyAlignment="0" applyProtection="0"/>
    <xf numFmtId="0" fontId="91" fillId="0" borderId="22" applyNumberFormat="0" applyFill="0" applyAlignment="0" applyProtection="0"/>
    <xf numFmtId="0" fontId="83" fillId="0" borderId="34" applyNumberFormat="0" applyFill="0" applyAlignment="0" applyProtection="0"/>
    <xf numFmtId="0" fontId="92" fillId="0" borderId="23" applyNumberFormat="0" applyFill="0" applyAlignment="0" applyProtection="0"/>
    <xf numFmtId="0" fontId="84" fillId="0" borderId="35" applyNumberFormat="0" applyFill="0" applyAlignment="0" applyProtection="0"/>
    <xf numFmtId="0" fontId="93" fillId="0" borderId="24" applyNumberFormat="0" applyFill="0" applyAlignment="0" applyProtection="0"/>
    <xf numFmtId="0" fontId="84" fillId="0" borderId="0" applyNumberFormat="0" applyFill="0" applyBorder="0" applyAlignment="0" applyProtection="0"/>
    <xf numFmtId="0" fontId="93" fillId="0" borderId="0" applyNumberFormat="0" applyFill="0" applyBorder="0" applyAlignment="0" applyProtection="0"/>
    <xf numFmtId="0" fontId="85" fillId="39" borderId="31" applyNumberFormat="0" applyAlignment="0" applyProtection="0"/>
    <xf numFmtId="0" fontId="97" fillId="6" borderId="25" applyNumberFormat="0" applyAlignment="0" applyProtection="0"/>
    <xf numFmtId="0" fontId="86" fillId="0" borderId="36" applyNumberFormat="0" applyFill="0" applyAlignment="0" applyProtection="0"/>
    <xf numFmtId="0" fontId="100" fillId="0" borderId="27" applyNumberFormat="0" applyFill="0" applyAlignment="0" applyProtection="0"/>
    <xf numFmtId="0" fontId="87" fillId="54" borderId="0" applyNumberFormat="0" applyBorder="0" applyAlignment="0" applyProtection="0"/>
    <xf numFmtId="0" fontId="96" fillId="5" borderId="0" applyNumberFormat="0" applyBorder="0" applyAlignment="0" applyProtection="0"/>
    <xf numFmtId="0" fontId="13" fillId="0" borderId="0"/>
    <xf numFmtId="0" fontId="13" fillId="55" borderId="37" applyNumberFormat="0" applyFont="0" applyAlignment="0" applyProtection="0"/>
    <xf numFmtId="0" fontId="88" fillId="52" borderId="38" applyNumberFormat="0" applyAlignment="0" applyProtection="0"/>
    <xf numFmtId="0" fontId="98" fillId="7" borderId="26" applyNumberFormat="0" applyAlignment="0" applyProtection="0"/>
    <xf numFmtId="0" fontId="89" fillId="0" borderId="39" applyNumberFormat="0" applyFill="0" applyAlignment="0" applyProtection="0"/>
    <xf numFmtId="0" fontId="104" fillId="0" borderId="30" applyNumberFormat="0" applyFill="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44" fontId="33" fillId="0" borderId="0" applyFont="0" applyFill="0" applyBorder="0" applyAlignment="0" applyProtection="0"/>
    <xf numFmtId="43" fontId="13" fillId="0" borderId="0" applyFont="0" applyFill="0" applyBorder="0" applyAlignment="0" applyProtection="0"/>
    <xf numFmtId="0" fontId="13" fillId="0" borderId="0"/>
    <xf numFmtId="0" fontId="9" fillId="0" borderId="0"/>
    <xf numFmtId="0" fontId="39" fillId="0" borderId="0"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42" fillId="0" borderId="24" applyNumberFormat="0" applyFill="0" applyAlignment="0" applyProtection="0"/>
    <xf numFmtId="0" fontId="42" fillId="0" borderId="0" applyNumberFormat="0" applyFill="0" applyBorder="0" applyAlignment="0" applyProtection="0"/>
    <xf numFmtId="0" fontId="43" fillId="3" borderId="0" applyNumberFormat="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25" applyNumberFormat="0" applyAlignment="0" applyProtection="0"/>
    <xf numFmtId="0" fontId="47" fillId="7" borderId="26" applyNumberFormat="0" applyAlignment="0" applyProtection="0"/>
    <xf numFmtId="0" fontId="48" fillId="7" borderId="25" applyNumberFormat="0" applyAlignment="0" applyProtection="0"/>
    <xf numFmtId="0" fontId="49" fillId="0" borderId="27" applyNumberFormat="0" applyFill="0" applyAlignment="0" applyProtection="0"/>
    <xf numFmtId="0" fontId="50" fillId="8" borderId="28" applyNumberFormat="0" applyAlignment="0" applyProtection="0"/>
    <xf numFmtId="0" fontId="51" fillId="0" borderId="0" applyNumberFormat="0" applyFill="0" applyBorder="0" applyAlignment="0" applyProtection="0"/>
    <xf numFmtId="0" fontId="9" fillId="9" borderId="29" applyNumberFormat="0" applyFont="0" applyAlignment="0" applyProtection="0"/>
    <xf numFmtId="0" fontId="52" fillId="0" borderId="0" applyNumberFormat="0" applyFill="0" applyBorder="0" applyAlignment="0" applyProtection="0"/>
    <xf numFmtId="0" fontId="53" fillId="0" borderId="30" applyNumberFormat="0" applyFill="0" applyAlignment="0" applyProtection="0"/>
    <xf numFmtId="0" fontId="5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54" fillId="33"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9" borderId="29" applyNumberFormat="0" applyFont="0" applyAlignment="0" applyProtection="0"/>
    <xf numFmtId="0" fontId="9" fillId="19" borderId="0" applyNumberFormat="0" applyBorder="0" applyAlignment="0" applyProtection="0"/>
    <xf numFmtId="0" fontId="9" fillId="0" borderId="0"/>
    <xf numFmtId="0" fontId="9" fillId="16"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0" borderId="0"/>
    <xf numFmtId="0" fontId="9" fillId="9" borderId="29"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3" fillId="0" borderId="0"/>
    <xf numFmtId="0" fontId="13" fillId="0" borderId="0"/>
    <xf numFmtId="0" fontId="13" fillId="0" borderId="0"/>
    <xf numFmtId="0" fontId="75" fillId="34" borderId="0" applyNumberFormat="0" applyBorder="0" applyAlignment="0" applyProtection="0"/>
    <xf numFmtId="0" fontId="13" fillId="0" borderId="0"/>
    <xf numFmtId="0" fontId="13" fillId="0" borderId="0"/>
    <xf numFmtId="0" fontId="76" fillId="46" borderId="0" applyNumberFormat="0" applyBorder="0" applyAlignment="0" applyProtection="0"/>
    <xf numFmtId="0" fontId="13" fillId="0" borderId="0"/>
    <xf numFmtId="0" fontId="75" fillId="35" borderId="0" applyNumberFormat="0" applyBorder="0" applyAlignment="0" applyProtection="0"/>
    <xf numFmtId="0" fontId="13" fillId="0" borderId="0"/>
    <xf numFmtId="0" fontId="13" fillId="0" borderId="0"/>
    <xf numFmtId="0" fontId="75" fillId="40"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6" fillId="44" borderId="0" applyNumberFormat="0" applyBorder="0" applyAlignment="0" applyProtection="0"/>
    <xf numFmtId="0" fontId="9" fillId="0" borderId="0"/>
    <xf numFmtId="0" fontId="75" fillId="43" borderId="0" applyNumberFormat="0" applyBorder="0" applyAlignment="0" applyProtection="0"/>
    <xf numFmtId="0" fontId="75" fillId="38" borderId="0" applyNumberFormat="0" applyBorder="0" applyAlignment="0" applyProtection="0"/>
    <xf numFmtId="0" fontId="75" fillId="40" borderId="0" applyNumberFormat="0" applyBorder="0" applyAlignment="0" applyProtection="0"/>
    <xf numFmtId="0" fontId="75" fillId="37" borderId="0" applyNumberFormat="0" applyBorder="0" applyAlignment="0" applyProtection="0"/>
    <xf numFmtId="0" fontId="9" fillId="0" borderId="0"/>
    <xf numFmtId="0" fontId="75" fillId="42" borderId="0" applyNumberFormat="0" applyBorder="0" applyAlignment="0" applyProtection="0"/>
    <xf numFmtId="0" fontId="75" fillId="41" borderId="0" applyNumberFormat="0" applyBorder="0" applyAlignment="0" applyProtection="0"/>
    <xf numFmtId="0" fontId="75" fillId="37"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39" borderId="0" applyNumberFormat="0" applyBorder="0" applyAlignment="0" applyProtection="0"/>
    <xf numFmtId="0" fontId="9" fillId="0" borderId="0"/>
    <xf numFmtId="0" fontId="75" fillId="36"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9" fillId="0" borderId="0"/>
    <xf numFmtId="0" fontId="9" fillId="0" borderId="0"/>
    <xf numFmtId="0" fontId="9" fillId="0" borderId="0"/>
    <xf numFmtId="43" fontId="13" fillId="0" borderId="0" applyFont="0" applyFill="0" applyBorder="0" applyAlignment="0" applyProtection="0"/>
    <xf numFmtId="0" fontId="90" fillId="0" borderId="0" applyNumberFormat="0" applyFill="0" applyBorder="0" applyAlignment="0" applyProtection="0"/>
    <xf numFmtId="0" fontId="89" fillId="0" borderId="39" applyNumberFormat="0" applyFill="0" applyAlignment="0" applyProtection="0"/>
    <xf numFmtId="0" fontId="70" fillId="0" borderId="0" applyNumberFormat="0" applyFill="0" applyBorder="0" applyAlignment="0" applyProtection="0"/>
    <xf numFmtId="0" fontId="13" fillId="0" borderId="0"/>
    <xf numFmtId="0" fontId="13" fillId="0" borderId="0"/>
    <xf numFmtId="0" fontId="88" fillId="52" borderId="38" applyNumberFormat="0" applyAlignment="0" applyProtection="0"/>
    <xf numFmtId="0" fontId="13" fillId="55" borderId="37" applyNumberFormat="0" applyFont="0" applyAlignment="0" applyProtection="0"/>
    <xf numFmtId="0" fontId="87" fillId="54" borderId="0" applyNumberFormat="0" applyBorder="0" applyAlignment="0" applyProtection="0"/>
    <xf numFmtId="0" fontId="86" fillId="0" borderId="36" applyNumberFormat="0" applyFill="0" applyAlignment="0" applyProtection="0"/>
    <xf numFmtId="0" fontId="85" fillId="39" borderId="31" applyNumberFormat="0" applyAlignment="0" applyProtection="0"/>
    <xf numFmtId="0" fontId="84" fillId="0" borderId="0" applyNumberFormat="0" applyFill="0" applyBorder="0" applyAlignment="0" applyProtection="0"/>
    <xf numFmtId="0" fontId="84" fillId="0" borderId="35" applyNumberFormat="0" applyFill="0" applyAlignment="0" applyProtection="0"/>
    <xf numFmtId="0" fontId="83" fillId="0" borderId="34" applyNumberFormat="0" applyFill="0" applyAlignment="0" applyProtection="0"/>
    <xf numFmtId="0" fontId="82" fillId="0" borderId="33" applyNumberFormat="0" applyFill="0" applyAlignment="0" applyProtection="0"/>
    <xf numFmtId="0" fontId="81" fillId="36" borderId="0" applyNumberFormat="0" applyBorder="0" applyAlignment="0" applyProtection="0"/>
    <xf numFmtId="0" fontId="80" fillId="0" borderId="0" applyNumberFormat="0" applyFill="0" applyBorder="0" applyAlignment="0" applyProtection="0"/>
    <xf numFmtId="0" fontId="79" fillId="53" borderId="32" applyNumberFormat="0" applyAlignment="0" applyProtection="0"/>
    <xf numFmtId="0" fontId="78" fillId="52" borderId="31" applyNumberFormat="0" applyAlignment="0" applyProtection="0"/>
    <xf numFmtId="0" fontId="77" fillId="3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45" borderId="0" applyNumberFormat="0" applyBorder="0" applyAlignment="0" applyProtection="0"/>
    <xf numFmtId="0" fontId="76" fillId="50" borderId="0" applyNumberFormat="0" applyBorder="0" applyAlignment="0" applyProtection="0"/>
    <xf numFmtId="0" fontId="76" fillId="49" borderId="0" applyNumberFormat="0" applyBorder="0" applyAlignment="0" applyProtection="0"/>
    <xf numFmtId="0" fontId="76" fillId="48" borderId="0" applyNumberFormat="0" applyBorder="0" applyAlignment="0" applyProtection="0"/>
    <xf numFmtId="0" fontId="76" fillId="47" borderId="0" applyNumberFormat="0" applyBorder="0" applyAlignment="0" applyProtection="0"/>
    <xf numFmtId="0" fontId="76" fillId="45" borderId="0" applyNumberFormat="0" applyBorder="0" applyAlignment="0" applyProtection="0"/>
    <xf numFmtId="0" fontId="76" fillId="42" borderId="0" applyNumberFormat="0" applyBorder="0" applyAlignment="0" applyProtection="0"/>
    <xf numFmtId="0" fontId="76" fillId="41" borderId="0" applyNumberFormat="0" applyBorder="0" applyAlignment="0" applyProtection="0"/>
    <xf numFmtId="0" fontId="13" fillId="0" borderId="0"/>
    <xf numFmtId="0" fontId="70" fillId="0" borderId="0" applyNumberFormat="0" applyFill="0" applyBorder="0" applyAlignment="0" applyProtection="0"/>
    <xf numFmtId="0" fontId="9" fillId="0" borderId="0"/>
    <xf numFmtId="0" fontId="9" fillId="0" borderId="0"/>
    <xf numFmtId="0" fontId="9" fillId="0" borderId="0"/>
    <xf numFmtId="0" fontId="9" fillId="0" borderId="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13" fillId="0" borderId="0"/>
    <xf numFmtId="0" fontId="70" fillId="0" borderId="0" applyNumberFormat="0" applyFill="0" applyBorder="0" applyAlignment="0" applyProtection="0"/>
    <xf numFmtId="0" fontId="9" fillId="0" borderId="0"/>
    <xf numFmtId="0" fontId="75" fillId="41" borderId="0" applyNumberFormat="0" applyBorder="0" applyAlignment="0" applyProtection="0"/>
    <xf numFmtId="0" fontId="75" fillId="36" borderId="0" applyNumberFormat="0" applyBorder="0" applyAlignment="0" applyProtection="0"/>
    <xf numFmtId="0" fontId="75" fillId="35"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42" borderId="0" applyNumberFormat="0" applyBorder="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57" fillId="46" borderId="0" applyNumberFormat="0" applyBorder="0" applyAlignment="0" applyProtection="0"/>
    <xf numFmtId="0" fontId="57" fillId="45" borderId="0" applyNumberFormat="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57" fillId="42" borderId="0" applyNumberFormat="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56" fillId="40" borderId="0" applyNumberFormat="0" applyBorder="0" applyAlignment="0" applyProtection="0"/>
    <xf numFmtId="0" fontId="56" fillId="37"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56" fillId="41" borderId="0" applyNumberFormat="0" applyBorder="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4" borderId="0" applyNumberFormat="0" applyBorder="0" applyAlignment="0" applyProtection="0"/>
    <xf numFmtId="0" fontId="67" fillId="0" borderId="36" applyNumberFormat="0" applyFill="0" applyAlignment="0" applyProtection="0"/>
    <xf numFmtId="0" fontId="72" fillId="0" borderId="0" applyNumberFormat="0" applyFill="0" applyBorder="0" applyAlignment="0" applyProtection="0"/>
    <xf numFmtId="0" fontId="71" fillId="0" borderId="39" applyNumberFormat="0" applyFill="0" applyAlignment="0" applyProtection="0"/>
    <xf numFmtId="0" fontId="70" fillId="0" borderId="0" applyNumberFormat="0" applyFill="0" applyBorder="0" applyAlignment="0" applyProtection="0"/>
    <xf numFmtId="0" fontId="56" fillId="37" borderId="0" applyNumberFormat="0" applyBorder="0" applyAlignment="0" applyProtection="0"/>
    <xf numFmtId="0" fontId="69" fillId="52" borderId="38" applyNumberFormat="0" applyAlignment="0" applyProtection="0"/>
    <xf numFmtId="0" fontId="13" fillId="55" borderId="37" applyNumberFormat="0" applyFont="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68" fillId="54" borderId="0" applyNumberFormat="0" applyBorder="0" applyAlignment="0" applyProtection="0"/>
    <xf numFmtId="0" fontId="67" fillId="0" borderId="36" applyNumberFormat="0" applyFill="0" applyAlignment="0" applyProtection="0"/>
    <xf numFmtId="0" fontId="66" fillId="39" borderId="31" applyNumberFormat="0" applyAlignment="0" applyProtection="0"/>
    <xf numFmtId="0" fontId="57" fillId="46" borderId="0" applyNumberFormat="0" applyBorder="0" applyAlignment="0" applyProtection="0"/>
    <xf numFmtId="0" fontId="65" fillId="0" borderId="0" applyNumberFormat="0" applyFill="0" applyBorder="0" applyAlignment="0" applyProtection="0"/>
    <xf numFmtId="0" fontId="65" fillId="0" borderId="35" applyNumberFormat="0" applyFill="0" applyAlignment="0" applyProtection="0"/>
    <xf numFmtId="0" fontId="64" fillId="0" borderId="34" applyNumberFormat="0" applyFill="0" applyAlignment="0" applyProtection="0"/>
    <xf numFmtId="0" fontId="63" fillId="0" borderId="33" applyNumberFormat="0" applyFill="0" applyAlignment="0" applyProtection="0"/>
    <xf numFmtId="0" fontId="62" fillId="36" borderId="0" applyNumberFormat="0" applyBorder="0" applyAlignment="0" applyProtection="0"/>
    <xf numFmtId="0" fontId="61" fillId="0" borderId="0" applyNumberFormat="0" applyFill="0" applyBorder="0" applyAlignment="0" applyProtection="0"/>
    <xf numFmtId="0" fontId="66" fillId="39" borderId="31" applyNumberFormat="0" applyAlignment="0" applyProtection="0"/>
    <xf numFmtId="0" fontId="60" fillId="53" borderId="32" applyNumberFormat="0" applyAlignment="0" applyProtection="0"/>
    <xf numFmtId="0" fontId="59" fillId="52" borderId="31" applyNumberFormat="0" applyAlignment="0" applyProtection="0"/>
    <xf numFmtId="0" fontId="58" fillId="35" borderId="0" applyNumberFormat="0" applyBorder="0" applyAlignment="0" applyProtection="0"/>
    <xf numFmtId="0" fontId="57" fillId="51" borderId="0" applyNumberFormat="0" applyBorder="0" applyAlignment="0" applyProtection="0"/>
    <xf numFmtId="0" fontId="57" fillId="50" borderId="0" applyNumberFormat="0" applyBorder="0" applyAlignment="0" applyProtection="0"/>
    <xf numFmtId="0" fontId="57" fillId="49" borderId="0" applyNumberFormat="0" applyBorder="0" applyAlignment="0" applyProtection="0"/>
    <xf numFmtId="0" fontId="57" fillId="48" borderId="0" applyNumberFormat="0" applyBorder="0" applyAlignment="0" applyProtection="0"/>
    <xf numFmtId="0" fontId="57" fillId="47"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75"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9" borderId="0" applyNumberFormat="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69" fillId="52" borderId="38" applyNumberFormat="0" applyAlignment="0" applyProtection="0"/>
    <xf numFmtId="0" fontId="65" fillId="0" borderId="0" applyNumberFormat="0" applyFill="0" applyBorder="0" applyAlignment="0" applyProtection="0"/>
    <xf numFmtId="0" fontId="64" fillId="0" borderId="34" applyNumberFormat="0" applyFill="0" applyAlignment="0" applyProtection="0"/>
    <xf numFmtId="0" fontId="62" fillId="36" borderId="0" applyNumberFormat="0" applyBorder="0" applyAlignment="0" applyProtection="0"/>
    <xf numFmtId="0" fontId="60" fillId="53" borderId="32" applyNumberFormat="0" applyAlignment="0" applyProtection="0"/>
    <xf numFmtId="0" fontId="58" fillId="35"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9" fillId="52" borderId="31" applyNumberFormat="0" applyAlignment="0" applyProtection="0"/>
    <xf numFmtId="0" fontId="57" fillId="51" borderId="0" applyNumberFormat="0" applyBorder="0" applyAlignment="0" applyProtection="0"/>
    <xf numFmtId="0" fontId="63" fillId="0" borderId="33" applyNumberFormat="0" applyFill="0" applyAlignment="0" applyProtection="0"/>
    <xf numFmtId="0" fontId="57" fillId="45" borderId="0" applyNumberFormat="0" applyBorder="0" applyAlignment="0" applyProtection="0"/>
    <xf numFmtId="0" fontId="57" fillId="49" borderId="0" applyNumberFormat="0" applyBorder="0" applyAlignment="0" applyProtection="0"/>
    <xf numFmtId="0" fontId="56" fillId="40" borderId="0" applyNumberFormat="0" applyBorder="0" applyAlignment="0" applyProtection="0"/>
    <xf numFmtId="0" fontId="75" fillId="34" borderId="0" applyNumberFormat="0" applyBorder="0" applyAlignment="0" applyProtection="0"/>
    <xf numFmtId="0" fontId="57" fillId="47" borderId="0" applyNumberFormat="0" applyBorder="0" applyAlignment="0" applyProtection="0"/>
    <xf numFmtId="0" fontId="73" fillId="9" borderId="29" applyNumberFormat="0" applyFont="0" applyAlignment="0" applyProtection="0"/>
    <xf numFmtId="0" fontId="65" fillId="0" borderId="35" applyNumberFormat="0" applyFill="0" applyAlignment="0" applyProtection="0"/>
    <xf numFmtId="0" fontId="56" fillId="35" borderId="0" applyNumberFormat="0" applyBorder="0" applyAlignment="0" applyProtection="0"/>
    <xf numFmtId="0" fontId="71" fillId="0" borderId="39" applyNumberFormat="0" applyFill="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8" borderId="0" applyNumberFormat="0" applyBorder="0" applyAlignment="0" applyProtection="0"/>
    <xf numFmtId="0" fontId="39" fillId="0" borderId="0" applyNumberFormat="0" applyFill="0" applyBorder="0" applyAlignment="0" applyProtection="0"/>
    <xf numFmtId="0" fontId="73" fillId="9" borderId="29" applyNumberFormat="0" applyFont="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7"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42" borderId="0" applyNumberFormat="0" applyBorder="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57" fillId="46" borderId="0" applyNumberFormat="0" applyBorder="0" applyAlignment="0" applyProtection="0"/>
    <xf numFmtId="0" fontId="57" fillId="45" borderId="0" applyNumberFormat="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57" fillId="42" borderId="0" applyNumberFormat="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56" fillId="40" borderId="0" applyNumberFormat="0" applyBorder="0" applyAlignment="0" applyProtection="0"/>
    <xf numFmtId="0" fontId="56" fillId="37"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56" fillId="41" borderId="0" applyNumberFormat="0" applyBorder="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4" borderId="0" applyNumberFormat="0" applyBorder="0" applyAlignment="0" applyProtection="0"/>
    <xf numFmtId="0" fontId="67" fillId="0" borderId="36" applyNumberFormat="0" applyFill="0" applyAlignment="0" applyProtection="0"/>
    <xf numFmtId="0" fontId="72" fillId="0" borderId="0" applyNumberFormat="0" applyFill="0" applyBorder="0" applyAlignment="0" applyProtection="0"/>
    <xf numFmtId="0" fontId="71" fillId="0" borderId="39" applyNumberFormat="0" applyFill="0" applyAlignment="0" applyProtection="0"/>
    <xf numFmtId="0" fontId="70" fillId="0" borderId="0" applyNumberFormat="0" applyFill="0" applyBorder="0" applyAlignment="0" applyProtection="0"/>
    <xf numFmtId="0" fontId="56" fillId="37" borderId="0" applyNumberFormat="0" applyBorder="0" applyAlignment="0" applyProtection="0"/>
    <xf numFmtId="0" fontId="69" fillId="52" borderId="38" applyNumberFormat="0" applyAlignment="0" applyProtection="0"/>
    <xf numFmtId="0" fontId="13" fillId="55" borderId="37" applyNumberFormat="0" applyFont="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68" fillId="54" borderId="0" applyNumberFormat="0" applyBorder="0" applyAlignment="0" applyProtection="0"/>
    <xf numFmtId="0" fontId="67" fillId="0" borderId="36" applyNumberFormat="0" applyFill="0" applyAlignment="0" applyProtection="0"/>
    <xf numFmtId="0" fontId="66" fillId="39" borderId="31" applyNumberFormat="0" applyAlignment="0" applyProtection="0"/>
    <xf numFmtId="0" fontId="57" fillId="46" borderId="0" applyNumberFormat="0" applyBorder="0" applyAlignment="0" applyProtection="0"/>
    <xf numFmtId="0" fontId="65" fillId="0" borderId="0" applyNumberFormat="0" applyFill="0" applyBorder="0" applyAlignment="0" applyProtection="0"/>
    <xf numFmtId="0" fontId="65" fillId="0" borderId="35" applyNumberFormat="0" applyFill="0" applyAlignment="0" applyProtection="0"/>
    <xf numFmtId="0" fontId="64" fillId="0" borderId="34" applyNumberFormat="0" applyFill="0" applyAlignment="0" applyProtection="0"/>
    <xf numFmtId="0" fontId="63" fillId="0" borderId="33" applyNumberFormat="0" applyFill="0" applyAlignment="0" applyProtection="0"/>
    <xf numFmtId="0" fontId="62" fillId="36" borderId="0" applyNumberFormat="0" applyBorder="0" applyAlignment="0" applyProtection="0"/>
    <xf numFmtId="0" fontId="61" fillId="0" borderId="0" applyNumberFormat="0" applyFill="0" applyBorder="0" applyAlignment="0" applyProtection="0"/>
    <xf numFmtId="0" fontId="66" fillId="39" borderId="31" applyNumberFormat="0" applyAlignment="0" applyProtection="0"/>
    <xf numFmtId="0" fontId="60" fillId="53" borderId="32" applyNumberFormat="0" applyAlignment="0" applyProtection="0"/>
    <xf numFmtId="0" fontId="59" fillId="52" borderId="31" applyNumberFormat="0" applyAlignment="0" applyProtection="0"/>
    <xf numFmtId="0" fontId="58" fillId="35" borderId="0" applyNumberFormat="0" applyBorder="0" applyAlignment="0" applyProtection="0"/>
    <xf numFmtId="0" fontId="57" fillId="51" borderId="0" applyNumberFormat="0" applyBorder="0" applyAlignment="0" applyProtection="0"/>
    <xf numFmtId="44" fontId="13" fillId="0" borderId="0" applyFont="0" applyFill="0" applyBorder="0" applyAlignment="0" applyProtection="0"/>
    <xf numFmtId="0" fontId="57" fillId="50" borderId="0" applyNumberFormat="0" applyBorder="0" applyAlignment="0" applyProtection="0"/>
    <xf numFmtId="0" fontId="57" fillId="49" borderId="0" applyNumberFormat="0" applyBorder="0" applyAlignment="0" applyProtection="0"/>
    <xf numFmtId="0" fontId="57" fillId="48" borderId="0" applyNumberFormat="0" applyBorder="0" applyAlignment="0" applyProtection="0"/>
    <xf numFmtId="0" fontId="57" fillId="47"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75" fillId="41"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4"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40" borderId="0" applyNumberFormat="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69" fillId="52" borderId="38" applyNumberFormat="0" applyAlignment="0" applyProtection="0"/>
    <xf numFmtId="0" fontId="65" fillId="0" borderId="0" applyNumberFormat="0" applyFill="0" applyBorder="0" applyAlignment="0" applyProtection="0"/>
    <xf numFmtId="0" fontId="64" fillId="0" borderId="34" applyNumberFormat="0" applyFill="0" applyAlignment="0" applyProtection="0"/>
    <xf numFmtId="0" fontId="62" fillId="36" borderId="0" applyNumberFormat="0" applyBorder="0" applyAlignment="0" applyProtection="0"/>
    <xf numFmtId="0" fontId="60" fillId="53" borderId="32" applyNumberFormat="0" applyAlignment="0" applyProtection="0"/>
    <xf numFmtId="0" fontId="58" fillId="35"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9" fillId="52" borderId="31" applyNumberFormat="0" applyAlignment="0" applyProtection="0"/>
    <xf numFmtId="0" fontId="57" fillId="51" borderId="0" applyNumberFormat="0" applyBorder="0" applyAlignment="0" applyProtection="0"/>
    <xf numFmtId="0" fontId="63" fillId="0" borderId="33" applyNumberFormat="0" applyFill="0" applyAlignment="0" applyProtection="0"/>
    <xf numFmtId="0" fontId="57" fillId="45" borderId="0" applyNumberFormat="0" applyBorder="0" applyAlignment="0" applyProtection="0"/>
    <xf numFmtId="0" fontId="57" fillId="49" borderId="0" applyNumberFormat="0" applyBorder="0" applyAlignment="0" applyProtection="0"/>
    <xf numFmtId="0" fontId="56" fillId="40" borderId="0" applyNumberFormat="0" applyBorder="0" applyAlignment="0" applyProtection="0"/>
    <xf numFmtId="0" fontId="75" fillId="34" borderId="0" applyNumberFormat="0" applyBorder="0" applyAlignment="0" applyProtection="0"/>
    <xf numFmtId="0" fontId="57" fillId="47" borderId="0" applyNumberFormat="0" applyBorder="0" applyAlignment="0" applyProtection="0"/>
    <xf numFmtId="0" fontId="73" fillId="9" borderId="29" applyNumberFormat="0" applyFont="0" applyAlignment="0" applyProtection="0"/>
    <xf numFmtId="0" fontId="65" fillId="0" borderId="35" applyNumberFormat="0" applyFill="0" applyAlignment="0" applyProtection="0"/>
    <xf numFmtId="0" fontId="56" fillId="35" borderId="0" applyNumberFormat="0" applyBorder="0" applyAlignment="0" applyProtection="0"/>
    <xf numFmtId="0" fontId="71" fillId="0" borderId="39" applyNumberFormat="0" applyFill="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9" borderId="0" applyNumberFormat="0" applyBorder="0" applyAlignment="0" applyProtection="0"/>
    <xf numFmtId="0" fontId="39" fillId="0" borderId="0" applyNumberFormat="0" applyFill="0" applyBorder="0" applyAlignment="0" applyProtection="0"/>
    <xf numFmtId="0" fontId="73" fillId="9" borderId="29" applyNumberFormat="0" applyFont="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8"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41" borderId="0" applyNumberFormat="0" applyBorder="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57" fillId="46" borderId="0" applyNumberFormat="0" applyBorder="0" applyAlignment="0" applyProtection="0"/>
    <xf numFmtId="0" fontId="57" fillId="45" borderId="0" applyNumberFormat="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57" fillId="42" borderId="0" applyNumberFormat="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56" fillId="40" borderId="0" applyNumberFormat="0" applyBorder="0" applyAlignment="0" applyProtection="0"/>
    <xf numFmtId="0" fontId="56" fillId="37"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56" fillId="41" borderId="0" applyNumberFormat="0" applyBorder="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4" borderId="0" applyNumberFormat="0" applyBorder="0" applyAlignment="0" applyProtection="0"/>
    <xf numFmtId="0" fontId="67" fillId="0" borderId="36" applyNumberFormat="0" applyFill="0" applyAlignment="0" applyProtection="0"/>
    <xf numFmtId="0" fontId="72" fillId="0" borderId="0" applyNumberFormat="0" applyFill="0" applyBorder="0" applyAlignment="0" applyProtection="0"/>
    <xf numFmtId="0" fontId="71" fillId="0" borderId="39" applyNumberFormat="0" applyFill="0" applyAlignment="0" applyProtection="0"/>
    <xf numFmtId="0" fontId="70" fillId="0" borderId="0" applyNumberFormat="0" applyFill="0" applyBorder="0" applyAlignment="0" applyProtection="0"/>
    <xf numFmtId="0" fontId="56" fillId="37" borderId="0" applyNumberFormat="0" applyBorder="0" applyAlignment="0" applyProtection="0"/>
    <xf numFmtId="0" fontId="69" fillId="52" borderId="38" applyNumberFormat="0" applyAlignment="0" applyProtection="0"/>
    <xf numFmtId="0" fontId="13" fillId="55" borderId="37" applyNumberFormat="0" applyFont="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68" fillId="54" borderId="0" applyNumberFormat="0" applyBorder="0" applyAlignment="0" applyProtection="0"/>
    <xf numFmtId="0" fontId="67" fillId="0" borderId="36" applyNumberFormat="0" applyFill="0" applyAlignment="0" applyProtection="0"/>
    <xf numFmtId="0" fontId="66" fillId="39" borderId="31" applyNumberFormat="0" applyAlignment="0" applyProtection="0"/>
    <xf numFmtId="0" fontId="57" fillId="46" borderId="0" applyNumberFormat="0" applyBorder="0" applyAlignment="0" applyProtection="0"/>
    <xf numFmtId="0" fontId="65" fillId="0" borderId="0" applyNumberFormat="0" applyFill="0" applyBorder="0" applyAlignment="0" applyProtection="0"/>
    <xf numFmtId="0" fontId="65" fillId="0" borderId="35" applyNumberFormat="0" applyFill="0" applyAlignment="0" applyProtection="0"/>
    <xf numFmtId="0" fontId="64" fillId="0" borderId="34" applyNumberFormat="0" applyFill="0" applyAlignment="0" applyProtection="0"/>
    <xf numFmtId="0" fontId="63" fillId="0" borderId="33" applyNumberFormat="0" applyFill="0" applyAlignment="0" applyProtection="0"/>
    <xf numFmtId="0" fontId="62" fillId="36" borderId="0" applyNumberFormat="0" applyBorder="0" applyAlignment="0" applyProtection="0"/>
    <xf numFmtId="0" fontId="61" fillId="0" borderId="0" applyNumberFormat="0" applyFill="0" applyBorder="0" applyAlignment="0" applyProtection="0"/>
    <xf numFmtId="0" fontId="66" fillId="39" borderId="31" applyNumberFormat="0" applyAlignment="0" applyProtection="0"/>
    <xf numFmtId="0" fontId="60" fillId="53" borderId="32" applyNumberFormat="0" applyAlignment="0" applyProtection="0"/>
    <xf numFmtId="0" fontId="59" fillId="52" borderId="31" applyNumberFormat="0" applyAlignment="0" applyProtection="0"/>
    <xf numFmtId="0" fontId="58" fillId="35" borderId="0" applyNumberFormat="0" applyBorder="0" applyAlignment="0" applyProtection="0"/>
    <xf numFmtId="0" fontId="57" fillId="51" borderId="0" applyNumberFormat="0" applyBorder="0" applyAlignment="0" applyProtection="0"/>
    <xf numFmtId="44" fontId="13" fillId="0" borderId="0" applyFont="0" applyFill="0" applyBorder="0" applyAlignment="0" applyProtection="0"/>
    <xf numFmtId="0" fontId="57" fillId="50" borderId="0" applyNumberFormat="0" applyBorder="0" applyAlignment="0" applyProtection="0"/>
    <xf numFmtId="0" fontId="57" fillId="49" borderId="0" applyNumberFormat="0" applyBorder="0" applyAlignment="0" applyProtection="0"/>
    <xf numFmtId="0" fontId="57" fillId="48" borderId="0" applyNumberFormat="0" applyBorder="0" applyAlignment="0" applyProtection="0"/>
    <xf numFmtId="0" fontId="57" fillId="47"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75" fillId="41"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4"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40" borderId="0" applyNumberFormat="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69" fillId="52" borderId="38" applyNumberFormat="0" applyAlignment="0" applyProtection="0"/>
    <xf numFmtId="0" fontId="65" fillId="0" borderId="0" applyNumberFormat="0" applyFill="0" applyBorder="0" applyAlignment="0" applyProtection="0"/>
    <xf numFmtId="0" fontId="64" fillId="0" borderId="34" applyNumberFormat="0" applyFill="0" applyAlignment="0" applyProtection="0"/>
    <xf numFmtId="0" fontId="62" fillId="36" borderId="0" applyNumberFormat="0" applyBorder="0" applyAlignment="0" applyProtection="0"/>
    <xf numFmtId="0" fontId="60" fillId="53" borderId="32" applyNumberFormat="0" applyAlignment="0" applyProtection="0"/>
    <xf numFmtId="0" fontId="58" fillId="35"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9" fillId="52" borderId="31" applyNumberFormat="0" applyAlignment="0" applyProtection="0"/>
    <xf numFmtId="0" fontId="57" fillId="51" borderId="0" applyNumberFormat="0" applyBorder="0" applyAlignment="0" applyProtection="0"/>
    <xf numFmtId="0" fontId="63" fillId="0" borderId="33" applyNumberFormat="0" applyFill="0" applyAlignment="0" applyProtection="0"/>
    <xf numFmtId="0" fontId="57" fillId="45" borderId="0" applyNumberFormat="0" applyBorder="0" applyAlignment="0" applyProtection="0"/>
    <xf numFmtId="0" fontId="57" fillId="49" borderId="0" applyNumberFormat="0" applyBorder="0" applyAlignment="0" applyProtection="0"/>
    <xf numFmtId="0" fontId="56" fillId="40" borderId="0" applyNumberFormat="0" applyBorder="0" applyAlignment="0" applyProtection="0"/>
    <xf numFmtId="0" fontId="57" fillId="47" borderId="0" applyNumberFormat="0" applyBorder="0" applyAlignment="0" applyProtection="0"/>
    <xf numFmtId="0" fontId="73" fillId="9" borderId="29" applyNumberFormat="0" applyFont="0" applyAlignment="0" applyProtection="0"/>
    <xf numFmtId="0" fontId="65" fillId="0" borderId="35" applyNumberFormat="0" applyFill="0" applyAlignment="0" applyProtection="0"/>
    <xf numFmtId="0" fontId="56" fillId="35" borderId="0" applyNumberFormat="0" applyBorder="0" applyAlignment="0" applyProtection="0"/>
    <xf numFmtId="0" fontId="71" fillId="0" borderId="39" applyNumberFormat="0" applyFill="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9" borderId="0" applyNumberFormat="0" applyBorder="0" applyAlignment="0" applyProtection="0"/>
    <xf numFmtId="0" fontId="39" fillId="0" borderId="0" applyNumberFormat="0" applyFill="0" applyBorder="0" applyAlignment="0" applyProtection="0"/>
    <xf numFmtId="0" fontId="73" fillId="9" borderId="29" applyNumberFormat="0" applyFont="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8"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5" fillId="35" borderId="0" applyNumberFormat="0" applyBorder="0" applyAlignment="0" applyProtection="0"/>
    <xf numFmtId="0" fontId="75" fillId="36" borderId="0" applyNumberFormat="0" applyBorder="0" applyAlignment="0" applyProtection="0"/>
    <xf numFmtId="0" fontId="75" fillId="41" borderId="0" applyNumberFormat="0" applyBorder="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57" fillId="46" borderId="0" applyNumberFormat="0" applyBorder="0" applyAlignment="0" applyProtection="0"/>
    <xf numFmtId="0" fontId="57" fillId="45" borderId="0" applyNumberFormat="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57" fillId="42" borderId="0" applyNumberFormat="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56" fillId="40" borderId="0" applyNumberFormat="0" applyBorder="0" applyAlignment="0" applyProtection="0"/>
    <xf numFmtId="0" fontId="56" fillId="37"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56" fillId="41" borderId="0" applyNumberFormat="0" applyBorder="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4" borderId="0" applyNumberFormat="0" applyBorder="0" applyAlignment="0" applyProtection="0"/>
    <xf numFmtId="0" fontId="67" fillId="0" borderId="36" applyNumberFormat="0" applyFill="0" applyAlignment="0" applyProtection="0"/>
    <xf numFmtId="0" fontId="72" fillId="0" borderId="0" applyNumberFormat="0" applyFill="0" applyBorder="0" applyAlignment="0" applyProtection="0"/>
    <xf numFmtId="0" fontId="71" fillId="0" borderId="39" applyNumberFormat="0" applyFill="0" applyAlignment="0" applyProtection="0"/>
    <xf numFmtId="0" fontId="70" fillId="0" borderId="0" applyNumberFormat="0" applyFill="0" applyBorder="0" applyAlignment="0" applyProtection="0"/>
    <xf numFmtId="0" fontId="56" fillId="37" borderId="0" applyNumberFormat="0" applyBorder="0" applyAlignment="0" applyProtection="0"/>
    <xf numFmtId="0" fontId="69" fillId="52" borderId="38" applyNumberFormat="0" applyAlignment="0" applyProtection="0"/>
    <xf numFmtId="0" fontId="13" fillId="55" borderId="37" applyNumberFormat="0" applyFont="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68" fillId="54" borderId="0" applyNumberFormat="0" applyBorder="0" applyAlignment="0" applyProtection="0"/>
    <xf numFmtId="0" fontId="67" fillId="0" borderId="36" applyNumberFormat="0" applyFill="0" applyAlignment="0" applyProtection="0"/>
    <xf numFmtId="0" fontId="66" fillId="39" borderId="31" applyNumberFormat="0" applyAlignment="0" applyProtection="0"/>
    <xf numFmtId="0" fontId="57" fillId="46" borderId="0" applyNumberFormat="0" applyBorder="0" applyAlignment="0" applyProtection="0"/>
    <xf numFmtId="0" fontId="65" fillId="0" borderId="0" applyNumberFormat="0" applyFill="0" applyBorder="0" applyAlignment="0" applyProtection="0"/>
    <xf numFmtId="0" fontId="65" fillId="0" borderId="35" applyNumberFormat="0" applyFill="0" applyAlignment="0" applyProtection="0"/>
    <xf numFmtId="0" fontId="64" fillId="0" borderId="34" applyNumberFormat="0" applyFill="0" applyAlignment="0" applyProtection="0"/>
    <xf numFmtId="0" fontId="63" fillId="0" borderId="33" applyNumberFormat="0" applyFill="0" applyAlignment="0" applyProtection="0"/>
    <xf numFmtId="0" fontId="62" fillId="36" borderId="0" applyNumberFormat="0" applyBorder="0" applyAlignment="0" applyProtection="0"/>
    <xf numFmtId="0" fontId="61" fillId="0" borderId="0" applyNumberFormat="0" applyFill="0" applyBorder="0" applyAlignment="0" applyProtection="0"/>
    <xf numFmtId="0" fontId="66" fillId="39" borderId="31" applyNumberFormat="0" applyAlignment="0" applyProtection="0"/>
    <xf numFmtId="0" fontId="60" fillId="53" borderId="32" applyNumberFormat="0" applyAlignment="0" applyProtection="0"/>
    <xf numFmtId="0" fontId="59" fillId="52" borderId="31" applyNumberFormat="0" applyAlignment="0" applyProtection="0"/>
    <xf numFmtId="0" fontId="58" fillId="35" borderId="0" applyNumberFormat="0" applyBorder="0" applyAlignment="0" applyProtection="0"/>
    <xf numFmtId="0" fontId="57" fillId="51" borderId="0" applyNumberFormat="0" applyBorder="0" applyAlignment="0" applyProtection="0"/>
    <xf numFmtId="44" fontId="13" fillId="0" borderId="0" applyFont="0" applyFill="0" applyBorder="0" applyAlignment="0" applyProtection="0"/>
    <xf numFmtId="0" fontId="57" fillId="50" borderId="0" applyNumberFormat="0" applyBorder="0" applyAlignment="0" applyProtection="0"/>
    <xf numFmtId="0" fontId="57" fillId="49" borderId="0" applyNumberFormat="0" applyBorder="0" applyAlignment="0" applyProtection="0"/>
    <xf numFmtId="0" fontId="57" fillId="48" borderId="0" applyNumberFormat="0" applyBorder="0" applyAlignment="0" applyProtection="0"/>
    <xf numFmtId="0" fontId="57" fillId="47"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75"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4"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9" borderId="0" applyNumberFormat="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69" fillId="52" borderId="38" applyNumberFormat="0" applyAlignment="0" applyProtection="0"/>
    <xf numFmtId="0" fontId="65" fillId="0" borderId="0" applyNumberFormat="0" applyFill="0" applyBorder="0" applyAlignment="0" applyProtection="0"/>
    <xf numFmtId="0" fontId="64" fillId="0" borderId="34" applyNumberFormat="0" applyFill="0" applyAlignment="0" applyProtection="0"/>
    <xf numFmtId="0" fontId="62" fillId="36" borderId="0" applyNumberFormat="0" applyBorder="0" applyAlignment="0" applyProtection="0"/>
    <xf numFmtId="0" fontId="60" fillId="53" borderId="32" applyNumberFormat="0" applyAlignment="0" applyProtection="0"/>
    <xf numFmtId="0" fontId="58" fillId="35"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9" fillId="52" borderId="31" applyNumberFormat="0" applyAlignment="0" applyProtection="0"/>
    <xf numFmtId="0" fontId="57" fillId="51" borderId="0" applyNumberFormat="0" applyBorder="0" applyAlignment="0" applyProtection="0"/>
    <xf numFmtId="0" fontId="63" fillId="0" borderId="33" applyNumberFormat="0" applyFill="0" applyAlignment="0" applyProtection="0"/>
    <xf numFmtId="0" fontId="57" fillId="45" borderId="0" applyNumberFormat="0" applyBorder="0" applyAlignment="0" applyProtection="0"/>
    <xf numFmtId="0" fontId="57" fillId="49" borderId="0" applyNumberFormat="0" applyBorder="0" applyAlignment="0" applyProtection="0"/>
    <xf numFmtId="0" fontId="56" fillId="40" borderId="0" applyNumberFormat="0" applyBorder="0" applyAlignment="0" applyProtection="0"/>
    <xf numFmtId="0" fontId="75" fillId="34" borderId="0" applyNumberFormat="0" applyBorder="0" applyAlignment="0" applyProtection="0"/>
    <xf numFmtId="0" fontId="57" fillId="47" borderId="0" applyNumberFormat="0" applyBorder="0" applyAlignment="0" applyProtection="0"/>
    <xf numFmtId="0" fontId="73" fillId="9" borderId="29" applyNumberFormat="0" applyFont="0" applyAlignment="0" applyProtection="0"/>
    <xf numFmtId="0" fontId="65" fillId="0" borderId="35" applyNumberFormat="0" applyFill="0" applyAlignment="0" applyProtection="0"/>
    <xf numFmtId="0" fontId="56" fillId="35" borderId="0" applyNumberFormat="0" applyBorder="0" applyAlignment="0" applyProtection="0"/>
    <xf numFmtId="0" fontId="71" fillId="0" borderId="39" applyNumberFormat="0" applyFill="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8" borderId="0" applyNumberFormat="0" applyBorder="0" applyAlignment="0" applyProtection="0"/>
    <xf numFmtId="0" fontId="39" fillId="0" borderId="0" applyNumberFormat="0" applyFill="0" applyBorder="0" applyAlignment="0" applyProtection="0"/>
    <xf numFmtId="0" fontId="73" fillId="9" borderId="29" applyNumberFormat="0" applyFont="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7"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58" fillId="35" borderId="0" applyNumberFormat="0" applyBorder="0" applyAlignment="0" applyProtection="0"/>
    <xf numFmtId="0" fontId="59" fillId="52" borderId="31" applyNumberFormat="0" applyAlignment="0" applyProtection="0"/>
    <xf numFmtId="0" fontId="60" fillId="53" borderId="32" applyNumberFormat="0" applyAlignment="0" applyProtection="0"/>
    <xf numFmtId="0" fontId="57" fillId="46" borderId="0" applyNumberFormat="0" applyBorder="0" applyAlignment="0" applyProtection="0"/>
    <xf numFmtId="0" fontId="57" fillId="45" borderId="0" applyNumberFormat="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57" fillId="42" borderId="0" applyNumberFormat="0" applyBorder="0" applyAlignment="0" applyProtection="0"/>
    <xf numFmtId="0" fontId="66" fillId="39" borderId="31" applyNumberFormat="0" applyAlignment="0" applyProtection="0"/>
    <xf numFmtId="0" fontId="67" fillId="0" borderId="36" applyNumberFormat="0" applyFill="0" applyAlignment="0" applyProtection="0"/>
    <xf numFmtId="0" fontId="68" fillId="54" borderId="0" applyNumberFormat="0" applyBorder="0" applyAlignment="0" applyProtection="0"/>
    <xf numFmtId="0" fontId="56" fillId="40" borderId="0" applyNumberFormat="0" applyBorder="0" applyAlignment="0" applyProtection="0"/>
    <xf numFmtId="0" fontId="56" fillId="37" borderId="0" applyNumberFormat="0" applyBorder="0" applyAlignment="0" applyProtection="0"/>
    <xf numFmtId="0" fontId="13" fillId="55" borderId="37" applyNumberFormat="0" applyFont="0" applyAlignment="0" applyProtection="0"/>
    <xf numFmtId="0" fontId="69" fillId="52" borderId="38" applyNumberFormat="0" applyAlignment="0" applyProtection="0"/>
    <xf numFmtId="0" fontId="56" fillId="41" borderId="0" applyNumberFormat="0" applyBorder="0" applyAlignment="0" applyProtection="0"/>
    <xf numFmtId="0" fontId="70" fillId="0" borderId="0" applyNumberFormat="0" applyFill="0" applyBorder="0" applyAlignment="0" applyProtection="0"/>
    <xf numFmtId="0" fontId="71" fillId="0" borderId="39" applyNumberFormat="0" applyFill="0" applyAlignment="0" applyProtection="0"/>
    <xf numFmtId="0" fontId="72"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8" fillId="54" borderId="0" applyNumberFormat="0" applyBorder="0" applyAlignment="0" applyProtection="0"/>
    <xf numFmtId="0" fontId="67" fillId="0" borderId="36" applyNumberFormat="0" applyFill="0" applyAlignment="0" applyProtection="0"/>
    <xf numFmtId="0" fontId="72" fillId="0" borderId="0" applyNumberFormat="0" applyFill="0" applyBorder="0" applyAlignment="0" applyProtection="0"/>
    <xf numFmtId="0" fontId="71" fillId="0" borderId="39" applyNumberFormat="0" applyFill="0" applyAlignment="0" applyProtection="0"/>
    <xf numFmtId="0" fontId="70" fillId="0" borderId="0" applyNumberFormat="0" applyFill="0" applyBorder="0" applyAlignment="0" applyProtection="0"/>
    <xf numFmtId="0" fontId="56" fillId="37" borderId="0" applyNumberFormat="0" applyBorder="0" applyAlignment="0" applyProtection="0"/>
    <xf numFmtId="0" fontId="69" fillId="52" borderId="38" applyNumberFormat="0" applyAlignment="0" applyProtection="0"/>
    <xf numFmtId="0" fontId="13" fillId="55" borderId="37" applyNumberFormat="0" applyFont="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68" fillId="54" borderId="0" applyNumberFormat="0" applyBorder="0" applyAlignment="0" applyProtection="0"/>
    <xf numFmtId="0" fontId="67" fillId="0" borderId="36" applyNumberFormat="0" applyFill="0" applyAlignment="0" applyProtection="0"/>
    <xf numFmtId="0" fontId="66" fillId="39" borderId="31" applyNumberFormat="0" applyAlignment="0" applyProtection="0"/>
    <xf numFmtId="0" fontId="57" fillId="46" borderId="0" applyNumberFormat="0" applyBorder="0" applyAlignment="0" applyProtection="0"/>
    <xf numFmtId="0" fontId="65" fillId="0" borderId="0" applyNumberFormat="0" applyFill="0" applyBorder="0" applyAlignment="0" applyProtection="0"/>
    <xf numFmtId="0" fontId="65" fillId="0" borderId="35" applyNumberFormat="0" applyFill="0" applyAlignment="0" applyProtection="0"/>
    <xf numFmtId="0" fontId="64" fillId="0" borderId="34" applyNumberFormat="0" applyFill="0" applyAlignment="0" applyProtection="0"/>
    <xf numFmtId="0" fontId="63" fillId="0" borderId="33" applyNumberFormat="0" applyFill="0" applyAlignment="0" applyProtection="0"/>
    <xf numFmtId="0" fontId="62" fillId="36" borderId="0" applyNumberFormat="0" applyBorder="0" applyAlignment="0" applyProtection="0"/>
    <xf numFmtId="0" fontId="61" fillId="0" borderId="0" applyNumberFormat="0" applyFill="0" applyBorder="0" applyAlignment="0" applyProtection="0"/>
    <xf numFmtId="0" fontId="66" fillId="39" borderId="31" applyNumberFormat="0" applyAlignment="0" applyProtection="0"/>
    <xf numFmtId="0" fontId="60" fillId="53" borderId="32" applyNumberFormat="0" applyAlignment="0" applyProtection="0"/>
    <xf numFmtId="0" fontId="59" fillId="52" borderId="31" applyNumberFormat="0" applyAlignment="0" applyProtection="0"/>
    <xf numFmtId="0" fontId="58" fillId="35" borderId="0" applyNumberFormat="0" applyBorder="0" applyAlignment="0" applyProtection="0"/>
    <xf numFmtId="0" fontId="57" fillId="51" borderId="0" applyNumberFormat="0" applyBorder="0" applyAlignment="0" applyProtection="0"/>
    <xf numFmtId="44" fontId="13" fillId="0" borderId="0" applyFont="0" applyFill="0" applyBorder="0" applyAlignment="0" applyProtection="0"/>
    <xf numFmtId="0" fontId="57" fillId="50" borderId="0" applyNumberFormat="0" applyBorder="0" applyAlignment="0" applyProtection="0"/>
    <xf numFmtId="0" fontId="57" fillId="49" borderId="0" applyNumberFormat="0" applyBorder="0" applyAlignment="0" applyProtection="0"/>
    <xf numFmtId="0" fontId="57" fillId="48" borderId="0" applyNumberFormat="0" applyBorder="0" applyAlignment="0" applyProtection="0"/>
    <xf numFmtId="0" fontId="57" fillId="47" borderId="0" applyNumberFormat="0" applyBorder="0" applyAlignment="0" applyProtection="0"/>
    <xf numFmtId="0" fontId="57" fillId="46" borderId="0" applyNumberFormat="0" applyBorder="0" applyAlignment="0" applyProtection="0"/>
    <xf numFmtId="0" fontId="57" fillId="45" borderId="0" applyNumberFormat="0" applyBorder="0" applyAlignment="0" applyProtection="0"/>
    <xf numFmtId="0" fontId="75"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4"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13" fillId="0" borderId="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9" borderId="0" applyNumberFormat="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69" fillId="52" borderId="38" applyNumberFormat="0" applyAlignment="0" applyProtection="0"/>
    <xf numFmtId="0" fontId="65" fillId="0" borderId="0" applyNumberFormat="0" applyFill="0" applyBorder="0" applyAlignment="0" applyProtection="0"/>
    <xf numFmtId="0" fontId="64" fillId="0" borderId="34" applyNumberFormat="0" applyFill="0" applyAlignment="0" applyProtection="0"/>
    <xf numFmtId="0" fontId="62" fillId="36" borderId="0" applyNumberFormat="0" applyBorder="0" applyAlignment="0" applyProtection="0"/>
    <xf numFmtId="0" fontId="60" fillId="53" borderId="32" applyNumberFormat="0" applyAlignment="0" applyProtection="0"/>
    <xf numFmtId="0" fontId="58" fillId="35"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7" fillId="48" borderId="0" applyNumberFormat="0" applyBorder="0" applyAlignment="0" applyProtection="0"/>
    <xf numFmtId="0" fontId="57" fillId="46"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6" borderId="0" applyNumberFormat="0" applyBorder="0" applyAlignment="0" applyProtection="0"/>
    <xf numFmtId="0" fontId="56" fillId="34" borderId="0" applyNumberFormat="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9" fillId="52" borderId="31" applyNumberFormat="0" applyAlignment="0" applyProtection="0"/>
    <xf numFmtId="0" fontId="57" fillId="51" borderId="0" applyNumberFormat="0" applyBorder="0" applyAlignment="0" applyProtection="0"/>
    <xf numFmtId="0" fontId="63" fillId="0" borderId="33" applyNumberFormat="0" applyFill="0" applyAlignment="0" applyProtection="0"/>
    <xf numFmtId="0" fontId="57" fillId="45" borderId="0" applyNumberFormat="0" applyBorder="0" applyAlignment="0" applyProtection="0"/>
    <xf numFmtId="0" fontId="57" fillId="49" borderId="0" applyNumberFormat="0" applyBorder="0" applyAlignment="0" applyProtection="0"/>
    <xf numFmtId="0" fontId="56" fillId="40" borderId="0" applyNumberFormat="0" applyBorder="0" applyAlignment="0" applyProtection="0"/>
    <xf numFmtId="0" fontId="57" fillId="47" borderId="0" applyNumberFormat="0" applyBorder="0" applyAlignment="0" applyProtection="0"/>
    <xf numFmtId="0" fontId="73" fillId="9" borderId="29" applyNumberFormat="0" applyFont="0" applyAlignment="0" applyProtection="0"/>
    <xf numFmtId="0" fontId="65" fillId="0" borderId="35" applyNumberFormat="0" applyFill="0" applyAlignment="0" applyProtection="0"/>
    <xf numFmtId="0" fontId="56" fillId="35" borderId="0" applyNumberFormat="0" applyBorder="0" applyAlignment="0" applyProtection="0"/>
    <xf numFmtId="0" fontId="71" fillId="0" borderId="39" applyNumberFormat="0" applyFill="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8" borderId="0" applyNumberFormat="0" applyBorder="0" applyAlignment="0" applyProtection="0"/>
    <xf numFmtId="0" fontId="39" fillId="0" borderId="0" applyNumberFormat="0" applyFill="0" applyBorder="0" applyAlignment="0" applyProtection="0"/>
    <xf numFmtId="0" fontId="73" fillId="9" borderId="29" applyNumberFormat="0" applyFont="0" applyAlignment="0" applyProtection="0"/>
    <xf numFmtId="0" fontId="39" fillId="0" borderId="0" applyNumberFormat="0" applyFill="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25" applyNumberFormat="0" applyAlignment="0" applyProtection="0"/>
    <xf numFmtId="0" fontId="98" fillId="7" borderId="26" applyNumberFormat="0" applyAlignment="0" applyProtection="0"/>
    <xf numFmtId="0" fontId="99" fillId="7" borderId="25" applyNumberFormat="0" applyAlignment="0" applyProtection="0"/>
    <xf numFmtId="0" fontId="100" fillId="0" borderId="27" applyNumberFormat="0" applyFill="0" applyAlignment="0" applyProtection="0"/>
    <xf numFmtId="0" fontId="101" fillId="8" borderId="28" applyNumberFormat="0" applyAlignment="0" applyProtection="0"/>
    <xf numFmtId="0" fontId="102" fillId="0" borderId="0" applyNumberFormat="0" applyFill="0" applyBorder="0" applyAlignment="0" applyProtection="0"/>
    <xf numFmtId="0" fontId="73" fillId="9" borderId="29" applyNumberFormat="0" applyFont="0" applyAlignment="0" applyProtection="0"/>
    <xf numFmtId="0" fontId="103" fillId="0" borderId="0" applyNumberFormat="0" applyFill="0" applyBorder="0" applyAlignment="0" applyProtection="0"/>
    <xf numFmtId="0" fontId="104" fillId="0" borderId="30" applyNumberFormat="0" applyFill="0" applyAlignment="0" applyProtection="0"/>
    <xf numFmtId="0" fontId="105"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05" fillId="33" borderId="0" applyNumberFormat="0" applyBorder="0" applyAlignment="0" applyProtection="0"/>
    <xf numFmtId="0" fontId="75" fillId="37" borderId="0" applyNumberFormat="0" applyBorder="0" applyAlignment="0" applyProtection="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43" fontId="13" fillId="0" borderId="0" applyFont="0" applyFill="0" applyBorder="0" applyAlignment="0" applyProtection="0"/>
    <xf numFmtId="0" fontId="9" fillId="0" borderId="0"/>
    <xf numFmtId="0" fontId="9" fillId="0" borderId="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70" fillId="0" borderId="0" applyNumberFormat="0" applyFill="0" applyBorder="0" applyAlignment="0" applyProtection="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88" fillId="52" borderId="38" applyNumberFormat="0" applyAlignment="0" applyProtection="0"/>
    <xf numFmtId="0" fontId="89" fillId="0" borderId="39" applyNumberFormat="0" applyFill="0" applyAlignment="0" applyProtection="0"/>
    <xf numFmtId="0" fontId="90" fillId="0" borderId="0" applyNumberFormat="0" applyFill="0" applyBorder="0" applyAlignment="0" applyProtection="0"/>
    <xf numFmtId="43" fontId="13" fillId="0" borderId="0" applyFont="0" applyFill="0" applyBorder="0" applyAlignment="0" applyProtection="0"/>
    <xf numFmtId="0" fontId="9" fillId="0" borderId="0"/>
    <xf numFmtId="0" fontId="9" fillId="0" borderId="0"/>
    <xf numFmtId="0" fontId="9"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9" fillId="0" borderId="0"/>
    <xf numFmtId="0" fontId="9"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9" fillId="0" borderId="0"/>
    <xf numFmtId="0" fontId="9" fillId="0" borderId="0"/>
    <xf numFmtId="0" fontId="70" fillId="0" borderId="0" applyNumberFormat="0" applyFill="0" applyBorder="0" applyAlignment="0" applyProtection="0"/>
    <xf numFmtId="0" fontId="9" fillId="0" borderId="0"/>
    <xf numFmtId="0" fontId="9" fillId="0" borderId="0"/>
    <xf numFmtId="0" fontId="9" fillId="0" borderId="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6" fillId="44"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51" borderId="0" applyNumberFormat="0" applyBorder="0" applyAlignment="0" applyProtection="0"/>
    <xf numFmtId="0" fontId="77" fillId="35" borderId="0" applyNumberFormat="0" applyBorder="0" applyAlignment="0" applyProtection="0"/>
    <xf numFmtId="0" fontId="78" fillId="52" borderId="31" applyNumberFormat="0" applyAlignment="0" applyProtection="0"/>
    <xf numFmtId="0" fontId="79" fillId="53" borderId="32" applyNumberFormat="0" applyAlignment="0" applyProtection="0"/>
    <xf numFmtId="0" fontId="80" fillId="0" borderId="0" applyNumberFormat="0" applyFill="0" applyBorder="0" applyAlignment="0" applyProtection="0"/>
    <xf numFmtId="0" fontId="81" fillId="36" borderId="0" applyNumberFormat="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39" borderId="31" applyNumberFormat="0" applyAlignment="0" applyProtection="0"/>
    <xf numFmtId="0" fontId="86" fillId="0" borderId="36" applyNumberFormat="0" applyFill="0" applyAlignment="0" applyProtection="0"/>
    <xf numFmtId="0" fontId="87" fillId="54" borderId="0" applyNumberFormat="0" applyBorder="0" applyAlignment="0" applyProtection="0"/>
    <xf numFmtId="0" fontId="13" fillId="55" borderId="37" applyNumberFormat="0" applyFont="0" applyAlignment="0" applyProtection="0"/>
    <xf numFmtId="0" fontId="88" fillId="52" borderId="38" applyNumberFormat="0" applyAlignment="0" applyProtection="0"/>
    <xf numFmtId="0" fontId="70" fillId="0" borderId="0" applyNumberForma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0" fontId="9" fillId="0" borderId="0"/>
    <xf numFmtId="0" fontId="9" fillId="0" borderId="0"/>
    <xf numFmtId="0" fontId="9" fillId="0" borderId="0"/>
    <xf numFmtId="0" fontId="13" fillId="0" borderId="0"/>
    <xf numFmtId="0" fontId="70" fillId="0" borderId="0" applyNumberFormat="0" applyFill="0" applyBorder="0" applyAlignment="0" applyProtection="0"/>
    <xf numFmtId="0" fontId="9" fillId="0" borderId="0"/>
    <xf numFmtId="0" fontId="9" fillId="0" borderId="0"/>
    <xf numFmtId="0" fontId="9" fillId="0" borderId="0"/>
    <xf numFmtId="0" fontId="33" fillId="0" borderId="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9" borderId="29"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9" borderId="29"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2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9" fillId="0" borderId="0"/>
    <xf numFmtId="0" fontId="9" fillId="9" borderId="29"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9" borderId="29" applyNumberFormat="0" applyFont="0" applyAlignment="0" applyProtection="0"/>
    <xf numFmtId="0" fontId="9" fillId="19" borderId="0" applyNumberFormat="0" applyBorder="0" applyAlignment="0" applyProtection="0"/>
    <xf numFmtId="0" fontId="9" fillId="0" borderId="0"/>
    <xf numFmtId="0" fontId="9" fillId="16"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0" borderId="0"/>
    <xf numFmtId="0" fontId="9" fillId="9" borderId="29"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8" fillId="11" borderId="0" applyNumberFormat="0" applyBorder="0" applyAlignment="0" applyProtection="0"/>
    <xf numFmtId="0" fontId="75"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8" fillId="11"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5"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8" fillId="15" borderId="0" applyNumberFormat="0" applyBorder="0" applyAlignment="0" applyProtection="0"/>
    <xf numFmtId="0" fontId="75"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8" fillId="1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5"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8" fillId="19" borderId="0" applyNumberFormat="0" applyBorder="0" applyAlignment="0" applyProtection="0"/>
    <xf numFmtId="0" fontId="75"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8" fillId="19"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5"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3" borderId="0" applyNumberFormat="0" applyBorder="0" applyAlignment="0" applyProtection="0"/>
    <xf numFmtId="0" fontId="75"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3"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75"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8" fillId="27" borderId="0" applyNumberFormat="0" applyBorder="0" applyAlignment="0" applyProtection="0"/>
    <xf numFmtId="0" fontId="75" fillId="3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8" fillId="27"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5" fillId="3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8" fillId="31" borderId="0" applyNumberFormat="0" applyBorder="0" applyAlignment="0" applyProtection="0"/>
    <xf numFmtId="0" fontId="75" fillId="3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8" fillId="31"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75" fillId="3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12" borderId="0" applyNumberFormat="0" applyBorder="0" applyAlignment="0" applyProtection="0"/>
    <xf numFmtId="0" fontId="75"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1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5" fillId="4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8" fillId="16" borderId="0" applyNumberFormat="0" applyBorder="0" applyAlignment="0" applyProtection="0"/>
    <xf numFmtId="0" fontId="75" fillId="4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8" fillId="16"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5" fillId="4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8" fillId="20" borderId="0" applyNumberFormat="0" applyBorder="0" applyAlignment="0" applyProtection="0"/>
    <xf numFmtId="0" fontId="75"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8" fillId="20"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5"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5" fillId="4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4" borderId="0" applyNumberFormat="0" applyBorder="0" applyAlignment="0" applyProtection="0"/>
    <xf numFmtId="0" fontId="75" fillId="3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4"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75" fillId="3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75" fillId="37"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28" borderId="0" applyNumberFormat="0" applyBorder="0" applyAlignment="0" applyProtection="0"/>
    <xf numFmtId="0" fontId="75" fillId="4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2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5" fillId="4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5" fillId="40"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8" fillId="32" borderId="0" applyNumberFormat="0" applyBorder="0" applyAlignment="0" applyProtection="0"/>
    <xf numFmtId="0" fontId="75"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8" fillId="3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5"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5" fillId="43" borderId="0" applyNumberFormat="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0" fontId="13" fillId="0" borderId="0"/>
    <xf numFmtId="0" fontId="13" fillId="0" borderId="0"/>
    <xf numFmtId="0" fontId="13" fillId="0" borderId="0"/>
    <xf numFmtId="0" fontId="24" fillId="0" borderId="0"/>
    <xf numFmtId="0" fontId="33"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75"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0" fontId="28" fillId="9" borderId="29" applyNumberFormat="0" applyFont="0" applyAlignment="0" applyProtection="0"/>
    <xf numFmtId="9" fontId="3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9" fillId="0" borderId="39" applyNumberFormat="0" applyFill="0" applyAlignment="0" applyProtection="0"/>
    <xf numFmtId="0" fontId="89"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53" fillId="0" borderId="30"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89" fillId="0" borderId="39" applyNumberFormat="0" applyFill="0" applyAlignment="0" applyProtection="0"/>
    <xf numFmtId="0" fontId="53" fillId="0" borderId="30" applyNumberFormat="0" applyFill="0" applyAlignment="0" applyProtection="0"/>
    <xf numFmtId="0" fontId="89" fillId="0" borderId="3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1" fillId="0" borderId="0" applyNumberFormat="0" applyFill="0" applyBorder="0" applyAlignment="0" applyProtection="0"/>
    <xf numFmtId="0" fontId="9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7" fillId="9" borderId="29" applyNumberFormat="0" applyFont="0" applyAlignment="0" applyProtection="0"/>
    <xf numFmtId="0" fontId="106" fillId="0" borderId="0"/>
    <xf numFmtId="43" fontId="107" fillId="0" borderId="0" applyFont="0" applyFill="0" applyBorder="0" applyAlignment="0" applyProtection="0"/>
    <xf numFmtId="0" fontId="108" fillId="0" borderId="0"/>
    <xf numFmtId="8" fontId="21" fillId="0" borderId="0" applyFont="0" applyFill="0" applyBorder="0" applyAlignment="0" applyProtection="0"/>
    <xf numFmtId="9" fontId="21" fillId="0" borderId="0" applyFont="0" applyFill="0" applyBorder="0" applyAlignment="0" applyProtection="0"/>
    <xf numFmtId="0" fontId="21" fillId="0" borderId="0"/>
    <xf numFmtId="9" fontId="24"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13" fillId="0" borderId="0"/>
    <xf numFmtId="0" fontId="24" fillId="0" borderId="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10"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5" fillId="3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10"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5" fillId="35"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0"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5" fillId="36"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10"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5" fillId="3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10"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5" fillId="38"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10"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5" fillId="39"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10"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5" fillId="40"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5" fillId="4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6" fillId="53" borderId="3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40"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1" fillId="2" borderId="0" applyNumberFormat="0" applyFont="0" applyBorder="0" applyAlignment="0" applyProtection="0"/>
    <xf numFmtId="3" fontId="21" fillId="0" borderId="0" applyFont="0" applyFill="0" applyBorder="0" applyAlignment="0" applyProtection="0"/>
    <xf numFmtId="0" fontId="20" fillId="0" borderId="1">
      <alignment horizontal="center"/>
    </xf>
    <xf numFmtId="4" fontId="21" fillId="0" borderId="0" applyFont="0" applyFill="0" applyBorder="0" applyAlignment="0" applyProtection="0"/>
    <xf numFmtId="15" fontId="21" fillId="0" borderId="0" applyFont="0" applyFill="0" applyBorder="0" applyAlignment="0" applyProtection="0"/>
    <xf numFmtId="0" fontId="21" fillId="0" borderId="0" applyNumberFormat="0" applyFont="0" applyFill="0" applyBorder="0" applyAlignment="0" applyProtection="0">
      <alignment horizontal="left"/>
    </xf>
    <xf numFmtId="0" fontId="24" fillId="0" borderId="0"/>
    <xf numFmtId="0" fontId="112" fillId="0" borderId="0"/>
    <xf numFmtId="43" fontId="112" fillId="0" borderId="0" applyFont="0" applyFill="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43" borderId="0" applyNumberFormat="0" applyBorder="0" applyAlignment="0" applyProtection="0"/>
    <xf numFmtId="0" fontId="113" fillId="44" borderId="0" applyNumberFormat="0" applyBorder="0" applyAlignment="0" applyProtection="0"/>
    <xf numFmtId="0" fontId="113" fillId="41" borderId="0" applyNumberFormat="0" applyBorder="0" applyAlignment="0" applyProtection="0"/>
    <xf numFmtId="0" fontId="113" fillId="42" borderId="0" applyNumberFormat="0" applyBorder="0" applyAlignment="0" applyProtection="0"/>
    <xf numFmtId="0" fontId="113" fillId="45" borderId="0" applyNumberFormat="0" applyBorder="0" applyAlignment="0" applyProtection="0"/>
    <xf numFmtId="0" fontId="113" fillId="46" borderId="0" applyNumberFormat="0" applyBorder="0" applyAlignment="0" applyProtection="0"/>
    <xf numFmtId="0" fontId="113" fillId="47" borderId="0" applyNumberFormat="0" applyBorder="0" applyAlignment="0" applyProtection="0"/>
    <xf numFmtId="0" fontId="113" fillId="48" borderId="0" applyNumberFormat="0" applyBorder="0" applyAlignment="0" applyProtection="0"/>
    <xf numFmtId="0" fontId="113" fillId="49" borderId="0" applyNumberFormat="0" applyBorder="0" applyAlignment="0" applyProtection="0"/>
    <xf numFmtId="0" fontId="113" fillId="50" borderId="0" applyNumberFormat="0" applyBorder="0" applyAlignment="0" applyProtection="0"/>
    <xf numFmtId="0" fontId="113" fillId="45" borderId="0" applyNumberFormat="0" applyBorder="0" applyAlignment="0" applyProtection="0"/>
    <xf numFmtId="0" fontId="113" fillId="46" borderId="0" applyNumberFormat="0" applyBorder="0" applyAlignment="0" applyProtection="0"/>
    <xf numFmtId="0" fontId="113" fillId="51" borderId="0" applyNumberFormat="0" applyBorder="0" applyAlignment="0" applyProtection="0"/>
    <xf numFmtId="0" fontId="114" fillId="35" borderId="0" applyNumberFormat="0" applyBorder="0" applyAlignment="0" applyProtection="0"/>
    <xf numFmtId="0" fontId="115" fillId="52" borderId="31" applyNumberFormat="0" applyAlignment="0" applyProtection="0"/>
    <xf numFmtId="41" fontId="13" fillId="0" borderId="0" applyFont="0" applyFill="0" applyBorder="0" applyAlignment="0" applyProtection="0"/>
    <xf numFmtId="0" fontId="117" fillId="0" borderId="0" applyNumberFormat="0" applyFill="0" applyBorder="0" applyAlignment="0" applyProtection="0"/>
    <xf numFmtId="0" fontId="118" fillId="36" borderId="0" applyNumberFormat="0" applyBorder="0" applyAlignment="0" applyProtection="0"/>
    <xf numFmtId="0" fontId="119" fillId="0" borderId="33" applyNumberFormat="0" applyFill="0" applyAlignment="0" applyProtection="0"/>
    <xf numFmtId="0" fontId="120" fillId="0" borderId="34" applyNumberFormat="0" applyFill="0" applyAlignment="0" applyProtection="0"/>
    <xf numFmtId="0" fontId="121" fillId="0" borderId="35" applyNumberFormat="0" applyFill="0" applyAlignment="0" applyProtection="0"/>
    <xf numFmtId="0" fontId="121" fillId="0" borderId="0" applyNumberFormat="0" applyFill="0" applyBorder="0" applyAlignment="0" applyProtection="0"/>
    <xf numFmtId="0" fontId="122" fillId="39" borderId="31" applyNumberFormat="0" applyAlignment="0" applyProtection="0"/>
    <xf numFmtId="0" fontId="123" fillId="0" borderId="36" applyNumberFormat="0" applyFill="0" applyAlignment="0" applyProtection="0"/>
    <xf numFmtId="0" fontId="124" fillId="54" borderId="0" applyNumberFormat="0" applyBorder="0" applyAlignment="0" applyProtection="0"/>
    <xf numFmtId="0" fontId="125" fillId="52" borderId="38" applyNumberFormat="0" applyAlignment="0" applyProtection="0"/>
    <xf numFmtId="0" fontId="126" fillId="0" borderId="39" applyNumberFormat="0" applyFill="0" applyAlignment="0" applyProtection="0"/>
    <xf numFmtId="0" fontId="127" fillId="0" borderId="0" applyNumberFormat="0" applyFill="0" applyBorder="0" applyAlignment="0" applyProtection="0"/>
    <xf numFmtId="0" fontId="6" fillId="0" borderId="0"/>
    <xf numFmtId="43" fontId="6" fillId="0" borderId="0" applyFont="0" applyFill="0" applyBorder="0" applyAlignment="0" applyProtection="0"/>
    <xf numFmtId="0" fontId="28" fillId="39" borderId="0" applyNumberFormat="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0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28"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09" fillId="0" borderId="0" applyFont="0" applyFill="0" applyBorder="0" applyAlignment="0" applyProtection="0"/>
    <xf numFmtId="44" fontId="13" fillId="0" borderId="0" applyFont="0" applyFill="0" applyBorder="0" applyAlignment="0" applyProtection="0"/>
    <xf numFmtId="0" fontId="122" fillId="39" borderId="31" applyNumberFormat="0" applyAlignment="0" applyProtection="0"/>
    <xf numFmtId="0" fontId="109" fillId="0" borderId="0"/>
    <xf numFmtId="0" fontId="24" fillId="0" borderId="0"/>
    <xf numFmtId="0" fontId="24" fillId="0" borderId="0"/>
    <xf numFmtId="0" fontId="109" fillId="0" borderId="0"/>
    <xf numFmtId="0" fontId="24" fillId="0" borderId="0"/>
    <xf numFmtId="0" fontId="129" fillId="0" borderId="0"/>
    <xf numFmtId="180" fontId="128" fillId="0" borderId="0"/>
    <xf numFmtId="180" fontId="128" fillId="0" borderId="0"/>
    <xf numFmtId="0" fontId="129" fillId="0" borderId="0"/>
    <xf numFmtId="0" fontId="24" fillId="0" borderId="0"/>
    <xf numFmtId="0" fontId="24" fillId="0" borderId="0"/>
    <xf numFmtId="0" fontId="24" fillId="0" borderId="0"/>
    <xf numFmtId="0" fontId="24" fillId="0" borderId="0"/>
    <xf numFmtId="0" fontId="6" fillId="0" borderId="0"/>
    <xf numFmtId="0" fontId="13" fillId="55" borderId="37" applyNumberFormat="0" applyFont="0" applyAlignment="0" applyProtection="0"/>
    <xf numFmtId="0" fontId="13" fillId="55" borderId="37" applyNumberFormat="0" applyFont="0" applyAlignment="0" applyProtection="0"/>
    <xf numFmtId="0" fontId="13" fillId="55" borderId="37" applyNumberFormat="0" applyFont="0" applyAlignment="0" applyProtection="0"/>
    <xf numFmtId="0" fontId="13" fillId="55" borderId="37" applyNumberFormat="0" applyFont="0" applyAlignment="0" applyProtection="0"/>
    <xf numFmtId="43" fontId="1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9" fillId="0" borderId="0" applyFont="0" applyFill="0" applyBorder="0" applyAlignment="0" applyProtection="0"/>
    <xf numFmtId="43" fontId="13" fillId="0" borderId="0" applyFont="0" applyFill="0" applyBorder="0" applyAlignment="0" applyProtection="0"/>
    <xf numFmtId="0" fontId="6" fillId="0" borderId="0"/>
    <xf numFmtId="43" fontId="6" fillId="0" borderId="0" applyFont="0" applyFill="0" applyBorder="0" applyAlignment="0" applyProtection="0"/>
    <xf numFmtId="0" fontId="28" fillId="39" borderId="0" applyNumberFormat="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9"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3" fontId="13" fillId="0" borderId="0" applyFont="0" applyFill="0" applyBorder="0" applyAlignment="0" applyProtection="0"/>
    <xf numFmtId="3" fontId="13"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198" fontId="13" fillId="0" borderId="0" applyFont="0" applyFill="0" applyBorder="0" applyAlignment="0" applyProtection="0"/>
    <xf numFmtId="5" fontId="13" fillId="0" borderId="0" applyFill="0" applyBorder="0" applyAlignment="0" applyProtection="0"/>
    <xf numFmtId="0" fontId="13" fillId="0" borderId="0" applyFont="0" applyFill="0" applyBorder="0" applyAlignment="0" applyProtection="0"/>
    <xf numFmtId="197" fontId="13" fillId="0" borderId="0" applyFill="0" applyBorder="0" applyAlignment="0" applyProtection="0"/>
    <xf numFmtId="3" fontId="131" fillId="0" borderId="0" applyFill="0" applyBorder="0" applyAlignment="0" applyProtection="0"/>
    <xf numFmtId="3" fontId="132" fillId="0" borderId="0" applyFill="0" applyBorder="0" applyAlignment="0" applyProtection="0"/>
    <xf numFmtId="3" fontId="133" fillId="0" borderId="0" applyFill="0" applyBorder="0" applyAlignment="0" applyProtection="0"/>
    <xf numFmtId="3" fontId="111" fillId="0" borderId="0" applyFill="0" applyBorder="0" applyAlignment="0" applyProtection="0"/>
    <xf numFmtId="3" fontId="134" fillId="0" borderId="0" applyFill="0" applyBorder="0" applyAlignment="0" applyProtection="0"/>
    <xf numFmtId="3" fontId="18" fillId="0" borderId="0" applyFill="0" applyBorder="0" applyAlignment="0" applyProtection="0"/>
    <xf numFmtId="3" fontId="135" fillId="0" borderId="0" applyFill="0" applyBorder="0" applyAlignment="0" applyProtection="0"/>
    <xf numFmtId="2" fontId="13" fillId="0" borderId="0" applyFill="0" applyBorder="0" applyAlignment="0" applyProtection="0"/>
    <xf numFmtId="0" fontId="122" fillId="39" borderId="31" applyNumberFormat="0" applyAlignment="0" applyProtection="0"/>
    <xf numFmtId="0" fontId="109" fillId="0" borderId="0"/>
    <xf numFmtId="0" fontId="6" fillId="0" borderId="0"/>
    <xf numFmtId="0" fontId="24" fillId="0" borderId="0"/>
    <xf numFmtId="0" fontId="6"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43" fontId="112" fillId="0" borderId="0" applyFont="0" applyFill="0" applyBorder="0" applyAlignment="0" applyProtection="0"/>
    <xf numFmtId="0" fontId="136" fillId="0" borderId="0"/>
    <xf numFmtId="43" fontId="33"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9" applyNumberFormat="0" applyFont="0" applyAlignment="0" applyProtection="0"/>
    <xf numFmtId="43" fontId="33"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29" applyNumberFormat="0" applyFont="0" applyAlignment="0" applyProtection="0"/>
    <xf numFmtId="43" fontId="33" fillId="0" borderId="0" applyFont="0" applyFill="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9" borderId="29" applyNumberFormat="0" applyFont="0" applyAlignment="0" applyProtection="0"/>
    <xf numFmtId="0" fontId="5" fillId="19" borderId="0" applyNumberFormat="0" applyBorder="0" applyAlignment="0" applyProtection="0"/>
    <xf numFmtId="0" fontId="5" fillId="0" borderId="0"/>
    <xf numFmtId="0" fontId="5" fillId="16"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29" applyNumberFormat="0" applyFont="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9" borderId="29" applyNumberFormat="0" applyFont="0" applyAlignment="0" applyProtection="0"/>
    <xf numFmtId="0" fontId="5" fillId="19" borderId="0" applyNumberFormat="0" applyBorder="0" applyAlignment="0" applyProtection="0"/>
    <xf numFmtId="0" fontId="5" fillId="0" borderId="0"/>
    <xf numFmtId="0" fontId="5" fillId="16"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0" borderId="0"/>
    <xf numFmtId="0" fontId="5" fillId="9" borderId="2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4" fillId="9" borderId="29" applyNumberFormat="0" applyFont="0" applyAlignment="0" applyProtection="0"/>
    <xf numFmtId="0" fontId="138"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4" fillId="0" borderId="0"/>
    <xf numFmtId="0" fontId="18" fillId="0" borderId="0"/>
    <xf numFmtId="0" fontId="18" fillId="0" borderId="0"/>
    <xf numFmtId="43" fontId="30" fillId="0" borderId="0" applyFont="0" applyFill="0" applyBorder="0" applyAlignment="0" applyProtection="0"/>
    <xf numFmtId="0" fontId="3" fillId="0" borderId="0"/>
    <xf numFmtId="0" fontId="18" fillId="0" borderId="0"/>
    <xf numFmtId="9"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139" fillId="0" borderId="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cellStyleXfs>
  <cellXfs count="722">
    <xf numFmtId="0" fontId="0" fillId="0" borderId="0" xfId="0"/>
    <xf numFmtId="0" fontId="16" fillId="0" borderId="0" xfId="0" applyFont="1" applyFill="1"/>
    <xf numFmtId="0" fontId="16" fillId="0" borderId="0" xfId="0" applyFont="1" applyFill="1" applyAlignment="1">
      <alignment horizontal="center"/>
    </xf>
    <xf numFmtId="175" fontId="13" fillId="0" borderId="0" xfId="0" applyNumberFormat="1" applyFont="1" applyFill="1"/>
    <xf numFmtId="0" fontId="15" fillId="0" borderId="0" xfId="0" applyFont="1" applyFill="1"/>
    <xf numFmtId="0" fontId="12" fillId="0" borderId="0" xfId="0" applyFont="1" applyFill="1" applyAlignment="1"/>
    <xf numFmtId="173" fontId="13" fillId="0" borderId="0" xfId="0" applyNumberFormat="1" applyFont="1" applyFill="1"/>
    <xf numFmtId="167" fontId="13" fillId="0" borderId="0" xfId="0" applyNumberFormat="1" applyFont="1" applyFill="1"/>
    <xf numFmtId="14" fontId="14" fillId="0" borderId="0" xfId="0" applyNumberFormat="1" applyFont="1" applyFill="1"/>
    <xf numFmtId="14" fontId="14" fillId="0" borderId="0" xfId="0" applyNumberFormat="1" applyFont="1" applyFill="1" applyAlignment="1">
      <alignment horizontal="left"/>
    </xf>
    <xf numFmtId="0" fontId="14" fillId="0" borderId="0" xfId="0" applyFont="1" applyFill="1"/>
    <xf numFmtId="0" fontId="25" fillId="0" borderId="0" xfId="0" applyFont="1" applyFill="1"/>
    <xf numFmtId="187" fontId="25" fillId="0" borderId="0" xfId="0" applyNumberFormat="1" applyFont="1" applyFill="1"/>
    <xf numFmtId="0" fontId="26" fillId="0" borderId="0" xfId="0" applyFont="1" applyFill="1"/>
    <xf numFmtId="0" fontId="14" fillId="0" borderId="0" xfId="0" applyFont="1" applyFill="1" applyAlignment="1"/>
    <xf numFmtId="49" fontId="14" fillId="0" borderId="0" xfId="0" applyNumberFormat="1" applyFont="1" applyFill="1" applyAlignment="1"/>
    <xf numFmtId="5" fontId="13" fillId="0" borderId="0" xfId="0" applyNumberFormat="1" applyFont="1" applyFill="1"/>
    <xf numFmtId="0" fontId="12" fillId="0" borderId="7" xfId="0" applyFont="1" applyFill="1" applyBorder="1" applyAlignment="1">
      <alignment horizontal="center"/>
    </xf>
    <xf numFmtId="0" fontId="13" fillId="0" borderId="4" xfId="0" applyFont="1" applyFill="1" applyBorder="1" applyAlignment="1">
      <alignment vertical="justify"/>
    </xf>
    <xf numFmtId="5" fontId="13" fillId="0" borderId="4" xfId="0" applyNumberFormat="1" applyFont="1" applyFill="1" applyBorder="1"/>
    <xf numFmtId="5" fontId="13" fillId="0" borderId="4" xfId="0" applyNumberFormat="1" applyFont="1" applyFill="1" applyBorder="1" applyAlignment="1">
      <alignment wrapText="1"/>
    </xf>
    <xf numFmtId="0" fontId="13" fillId="0" borderId="0" xfId="0" applyFont="1" applyFill="1" applyBorder="1"/>
    <xf numFmtId="3" fontId="13" fillId="0" borderId="0" xfId="22" applyNumberFormat="1" applyFont="1" applyFill="1"/>
    <xf numFmtId="164" fontId="13" fillId="0" borderId="0" xfId="1" applyNumberFormat="1" applyFont="1" applyFill="1" applyBorder="1"/>
    <xf numFmtId="0" fontId="13" fillId="0" borderId="0" xfId="0" quotePrefix="1" applyFont="1" applyFill="1" applyAlignment="1">
      <alignment horizontal="right"/>
    </xf>
    <xf numFmtId="0" fontId="13" fillId="0" borderId="0" xfId="0" applyFont="1" applyFill="1" applyBorder="1" applyAlignment="1">
      <alignment horizontal="right"/>
    </xf>
    <xf numFmtId="0" fontId="23" fillId="0" borderId="0" xfId="0" applyFont="1" applyFill="1"/>
    <xf numFmtId="0" fontId="23" fillId="0" borderId="0" xfId="0" applyFont="1" applyFill="1" applyAlignment="1">
      <alignment horizontal="center"/>
    </xf>
    <xf numFmtId="0" fontId="13" fillId="0" borderId="3" xfId="0" applyFont="1" applyFill="1" applyBorder="1" applyAlignment="1">
      <alignment horizontal="center" wrapText="1"/>
    </xf>
    <xf numFmtId="0" fontId="12" fillId="0" borderId="0" xfId="0" applyFont="1" applyFill="1"/>
    <xf numFmtId="1" fontId="12" fillId="0" borderId="4" xfId="0" applyNumberFormat="1" applyFont="1" applyFill="1" applyBorder="1" applyAlignment="1">
      <alignment horizontal="left" vertical="center"/>
    </xf>
    <xf numFmtId="0" fontId="12" fillId="0" borderId="6" xfId="0" applyFont="1" applyFill="1" applyBorder="1" applyAlignment="1">
      <alignment horizontal="center"/>
    </xf>
    <xf numFmtId="0" fontId="13" fillId="0" borderId="0" xfId="0" applyFont="1" applyFill="1" applyBorder="1" applyAlignment="1">
      <alignment horizontal="center" vertical="top"/>
    </xf>
    <xf numFmtId="0" fontId="13" fillId="0" borderId="14" xfId="0" applyFont="1" applyFill="1" applyBorder="1" applyAlignment="1">
      <alignment horizontal="center" vertical="justify"/>
    </xf>
    <xf numFmtId="1" fontId="13" fillId="0" borderId="0" xfId="0" applyNumberFormat="1" applyFont="1" applyFill="1" applyAlignment="1">
      <alignment horizontal="center"/>
    </xf>
    <xf numFmtId="0" fontId="13" fillId="0" borderId="0" xfId="0" applyFont="1" applyFill="1" applyBorder="1" applyAlignment="1">
      <alignment horizontal="center" vertical="justify"/>
    </xf>
    <xf numFmtId="0" fontId="12" fillId="0" borderId="17" xfId="0" applyFont="1" applyFill="1" applyBorder="1" applyAlignment="1">
      <alignment horizontal="left"/>
    </xf>
    <xf numFmtId="0" fontId="13" fillId="0" borderId="6" xfId="0" applyFont="1" applyFill="1" applyBorder="1" applyAlignment="1"/>
    <xf numFmtId="1" fontId="13" fillId="0" borderId="0" xfId="0" applyNumberFormat="1" applyFont="1" applyFill="1" applyAlignment="1">
      <alignment horizontal="center" vertical="center" wrapText="1"/>
    </xf>
    <xf numFmtId="164" fontId="13" fillId="0" borderId="0" xfId="1" applyNumberFormat="1" applyFont="1" applyFill="1"/>
    <xf numFmtId="0" fontId="13" fillId="0" borderId="0" xfId="0" quotePrefix="1" applyFont="1" applyFill="1"/>
    <xf numFmtId="0" fontId="13" fillId="0" borderId="0" xfId="14" applyFont="1" applyFill="1" applyBorder="1"/>
    <xf numFmtId="0" fontId="13" fillId="0" borderId="0" xfId="14" applyFont="1" applyFill="1" applyBorder="1" applyAlignment="1">
      <alignment horizontal="center"/>
    </xf>
    <xf numFmtId="1" fontId="13" fillId="0" borderId="0" xfId="14" applyNumberFormat="1" applyFont="1" applyFill="1" applyBorder="1" applyAlignment="1">
      <alignment horizontal="center"/>
    </xf>
    <xf numFmtId="0" fontId="13" fillId="0" borderId="0" xfId="18" applyFont="1" applyFill="1" applyAlignment="1"/>
    <xf numFmtId="1" fontId="13" fillId="0" borderId="0" xfId="18" applyNumberFormat="1" applyFont="1" applyFill="1" applyAlignment="1">
      <alignment horizontal="center"/>
    </xf>
    <xf numFmtId="0" fontId="13" fillId="0" borderId="0" xfId="18" applyNumberFormat="1" applyFont="1" applyFill="1" applyAlignment="1">
      <alignment horizontal="center"/>
    </xf>
    <xf numFmtId="164" fontId="13" fillId="0" borderId="0" xfId="1" applyNumberFormat="1" applyFont="1" applyFill="1" applyAlignment="1">
      <alignment horizontal="center"/>
    </xf>
    <xf numFmtId="0" fontId="13" fillId="0" borderId="0" xfId="18" applyFont="1" applyFill="1" applyAlignment="1">
      <alignment horizontal="center"/>
    </xf>
    <xf numFmtId="3" fontId="13" fillId="0" borderId="0" xfId="22" applyNumberFormat="1" applyFont="1" applyFill="1" applyBorder="1"/>
    <xf numFmtId="175" fontId="13" fillId="0" borderId="0" xfId="0" applyNumberFormat="1" applyFont="1" applyFill="1" applyAlignment="1"/>
    <xf numFmtId="175" fontId="13" fillId="0" borderId="0" xfId="0" applyNumberFormat="1" applyFont="1" applyFill="1" applyAlignment="1">
      <alignment horizontal="right"/>
    </xf>
    <xf numFmtId="0" fontId="13" fillId="0" borderId="3" xfId="0" applyFont="1" applyFill="1" applyBorder="1" applyAlignment="1">
      <alignment horizontal="center"/>
    </xf>
    <xf numFmtId="0" fontId="13" fillId="0" borderId="0" xfId="0" quotePrefix="1" applyFont="1" applyFill="1" applyAlignment="1">
      <alignment horizontal="center"/>
    </xf>
    <xf numFmtId="175" fontId="13" fillId="0" borderId="0" xfId="0" applyNumberFormat="1" applyFont="1" applyFill="1" applyBorder="1" applyAlignment="1"/>
    <xf numFmtId="37" fontId="13" fillId="0" borderId="0" xfId="0" applyNumberFormat="1" applyFont="1" applyFill="1" applyAlignment="1">
      <alignment horizontal="center"/>
    </xf>
    <xf numFmtId="7" fontId="13" fillId="0" borderId="0" xfId="0" applyNumberFormat="1" applyFont="1" applyFill="1" applyAlignment="1">
      <alignment horizontal="center"/>
    </xf>
    <xf numFmtId="2" fontId="13" fillId="0" borderId="0" xfId="0" applyNumberFormat="1" applyFont="1" applyFill="1" applyAlignment="1">
      <alignment horizontal="center"/>
    </xf>
    <xf numFmtId="41" fontId="13" fillId="0" borderId="0" xfId="0" applyNumberFormat="1" applyFont="1" applyFill="1" applyAlignment="1"/>
    <xf numFmtId="185" fontId="13" fillId="0" borderId="0" xfId="0" applyNumberFormat="1" applyFont="1" applyFill="1" applyAlignment="1">
      <alignment horizontal="center"/>
    </xf>
    <xf numFmtId="188" fontId="13" fillId="0" borderId="0" xfId="0" applyNumberFormat="1" applyFont="1" applyFill="1"/>
    <xf numFmtId="185" fontId="13" fillId="0" borderId="0" xfId="0" applyNumberFormat="1" applyFont="1" applyFill="1"/>
    <xf numFmtId="0" fontId="16" fillId="0" borderId="0" xfId="0" applyFont="1" applyFill="1" applyAlignment="1">
      <alignment horizontal="left"/>
    </xf>
    <xf numFmtId="175" fontId="13" fillId="0" borderId="0" xfId="0" quotePrefix="1" applyNumberFormat="1" applyFont="1" applyFill="1" applyAlignment="1">
      <alignment horizontal="center"/>
    </xf>
    <xf numFmtId="5" fontId="13" fillId="0" borderId="0" xfId="0" applyNumberFormat="1" applyFont="1" applyFill="1" applyAlignment="1">
      <alignment horizontal="center"/>
    </xf>
    <xf numFmtId="0" fontId="13" fillId="0" borderId="0" xfId="0" applyFont="1" applyFill="1" applyAlignment="1">
      <alignment wrapText="1"/>
    </xf>
    <xf numFmtId="5" fontId="13" fillId="0" borderId="0" xfId="5" applyNumberFormat="1" applyFont="1" applyFill="1" applyBorder="1" applyAlignment="1">
      <alignment horizontal="right"/>
    </xf>
    <xf numFmtId="0" fontId="12" fillId="0" borderId="0" xfId="0" applyNumberFormat="1" applyFont="1" applyFill="1" applyBorder="1" applyProtection="1">
      <protection locked="0"/>
    </xf>
    <xf numFmtId="5" fontId="12" fillId="0" borderId="0" xfId="5" applyNumberFormat="1" applyFont="1" applyFill="1" applyBorder="1" applyAlignment="1">
      <alignment horizontal="right"/>
    </xf>
    <xf numFmtId="0" fontId="13" fillId="0" borderId="0" xfId="0" applyNumberFormat="1" applyFont="1" applyFill="1" applyBorder="1" applyProtection="1">
      <protection locked="0"/>
    </xf>
    <xf numFmtId="0" fontId="13" fillId="0" borderId="0" xfId="0" applyNumberFormat="1" applyFont="1" applyFill="1" applyBorder="1" applyAlignment="1" applyProtection="1">
      <alignment horizontal="right"/>
      <protection locked="0"/>
    </xf>
    <xf numFmtId="0" fontId="13" fillId="0" borderId="0" xfId="0" applyFont="1" applyFill="1" applyAlignment="1">
      <alignment horizontal="center" vertical="top" wrapText="1"/>
    </xf>
    <xf numFmtId="44" fontId="13" fillId="0" borderId="0" xfId="5" applyFont="1" applyFill="1"/>
    <xf numFmtId="0" fontId="13" fillId="0" borderId="0" xfId="0" applyFont="1" applyFill="1" applyAlignment="1">
      <alignment vertical="top"/>
    </xf>
    <xf numFmtId="0" fontId="13" fillId="0" borderId="0" xfId="0" applyFont="1" applyFill="1" applyAlignment="1">
      <alignment horizontal="left" vertical="top"/>
    </xf>
    <xf numFmtId="10" fontId="13" fillId="0" borderId="4" xfId="0" applyNumberFormat="1" applyFont="1" applyFill="1" applyBorder="1"/>
    <xf numFmtId="180" fontId="13" fillId="0" borderId="0" xfId="13" applyFont="1" applyFill="1" applyAlignment="1" applyProtection="1">
      <alignment horizontal="left"/>
    </xf>
    <xf numFmtId="14" fontId="13" fillId="0" borderId="0" xfId="13" applyNumberFormat="1" applyFont="1" applyFill="1" applyAlignment="1" applyProtection="1">
      <alignment horizontal="center"/>
    </xf>
    <xf numFmtId="37" fontId="13" fillId="0" borderId="0" xfId="13" applyNumberFormat="1" applyFont="1" applyFill="1" applyBorder="1" applyProtection="1"/>
    <xf numFmtId="176" fontId="13" fillId="0" borderId="0" xfId="13" applyNumberFormat="1" applyFont="1" applyFill="1" applyBorder="1" applyProtection="1"/>
    <xf numFmtId="171" fontId="13" fillId="0" borderId="0" xfId="13" applyNumberFormat="1" applyFont="1" applyFill="1" applyAlignment="1" applyProtection="1">
      <alignment horizontal="center"/>
    </xf>
    <xf numFmtId="171" fontId="13" fillId="0" borderId="0" xfId="13" applyNumberFormat="1" applyFont="1" applyFill="1" applyProtection="1"/>
    <xf numFmtId="181" fontId="13" fillId="0" borderId="0" xfId="13" applyNumberFormat="1" applyFont="1" applyFill="1" applyBorder="1" applyProtection="1"/>
    <xf numFmtId="181" fontId="13" fillId="0" borderId="0" xfId="13" applyNumberFormat="1" applyFont="1" applyFill="1" applyProtection="1"/>
    <xf numFmtId="179" fontId="13" fillId="0" borderId="0" xfId="13" applyNumberFormat="1" applyFont="1" applyFill="1" applyProtection="1"/>
    <xf numFmtId="166" fontId="13" fillId="0" borderId="4" xfId="5" applyNumberFormat="1" applyFont="1" applyFill="1" applyBorder="1"/>
    <xf numFmtId="0" fontId="16" fillId="0" borderId="7" xfId="0" applyFont="1" applyFill="1" applyBorder="1" applyAlignment="1">
      <alignment horizontal="left"/>
    </xf>
    <xf numFmtId="175" fontId="13" fillId="0" borderId="0" xfId="0" applyNumberFormat="1" applyFont="1" applyFill="1" applyProtection="1"/>
    <xf numFmtId="175" fontId="13" fillId="0" borderId="0" xfId="0" applyNumberFormat="1" applyFont="1" applyFill="1" applyAlignment="1" applyProtection="1">
      <alignment horizontal="left"/>
    </xf>
    <xf numFmtId="175" fontId="13" fillId="0" borderId="8" xfId="0" applyNumberFormat="1" applyFont="1" applyFill="1" applyBorder="1" applyProtection="1"/>
    <xf numFmtId="175" fontId="13" fillId="0" borderId="10" xfId="0" applyNumberFormat="1" applyFont="1" applyFill="1" applyBorder="1" applyProtection="1"/>
    <xf numFmtId="175" fontId="13" fillId="0" borderId="0" xfId="0" applyNumberFormat="1" applyFont="1" applyFill="1" applyBorder="1" applyProtection="1"/>
    <xf numFmtId="164" fontId="13" fillId="0" borderId="8" xfId="1" applyNumberFormat="1" applyFont="1" applyFill="1" applyBorder="1" applyProtection="1"/>
    <xf numFmtId="164" fontId="13" fillId="0" borderId="0" xfId="1" applyNumberFormat="1" applyFont="1" applyFill="1" applyProtection="1"/>
    <xf numFmtId="164" fontId="13" fillId="0" borderId="10" xfId="1" applyNumberFormat="1" applyFont="1" applyFill="1" applyBorder="1" applyProtection="1"/>
    <xf numFmtId="190" fontId="13" fillId="0" borderId="0" xfId="0" applyNumberFormat="1" applyFont="1" applyFill="1" applyProtection="1"/>
    <xf numFmtId="175" fontId="13" fillId="0" borderId="3" xfId="0" applyNumberFormat="1" applyFont="1" applyFill="1" applyBorder="1" applyProtection="1"/>
    <xf numFmtId="175" fontId="13" fillId="0" borderId="9" xfId="0" applyNumberFormat="1" applyFont="1" applyFill="1" applyBorder="1" applyProtection="1"/>
    <xf numFmtId="0" fontId="13" fillId="0" borderId="3" xfId="0" applyFont="1" applyFill="1" applyBorder="1"/>
    <xf numFmtId="175" fontId="13" fillId="0" borderId="0" xfId="1" applyNumberFormat="1" applyFont="1" applyFill="1" applyAlignment="1"/>
    <xf numFmtId="175" fontId="13" fillId="0" borderId="0" xfId="1" applyNumberFormat="1" applyFont="1" applyFill="1" applyBorder="1" applyAlignment="1"/>
    <xf numFmtId="164" fontId="13" fillId="0" borderId="0" xfId="1" applyNumberFormat="1" applyFont="1" applyFill="1" applyAlignment="1"/>
    <xf numFmtId="164" fontId="13" fillId="0" borderId="0" xfId="1" applyNumberFormat="1" applyFont="1" applyFill="1" applyBorder="1" applyAlignment="1"/>
    <xf numFmtId="186" fontId="13" fillId="0" borderId="0" xfId="0" applyNumberFormat="1" applyFont="1" applyFill="1" applyAlignment="1">
      <alignment horizontal="center"/>
    </xf>
    <xf numFmtId="44" fontId="13" fillId="0" borderId="0" xfId="5" applyFont="1" applyFill="1" applyAlignment="1">
      <alignment horizontal="center"/>
    </xf>
    <xf numFmtId="0" fontId="13" fillId="0" borderId="0" xfId="0" quotePrefix="1" applyFont="1" applyFill="1" applyAlignment="1"/>
    <xf numFmtId="0" fontId="13" fillId="0" borderId="0" xfId="0" applyFont="1" applyFill="1" applyAlignment="1">
      <alignment horizontal="center" wrapText="1"/>
    </xf>
    <xf numFmtId="175" fontId="15" fillId="0" borderId="0" xfId="0" applyNumberFormat="1" applyFont="1" applyFill="1" applyAlignment="1"/>
    <xf numFmtId="8" fontId="13" fillId="0" borderId="0" xfId="0" applyNumberFormat="1" applyFont="1" applyFill="1" applyAlignment="1">
      <alignment horizontal="center" vertical="top"/>
    </xf>
    <xf numFmtId="1" fontId="13" fillId="0" borderId="3" xfId="0" quotePrefix="1" applyNumberFormat="1" applyFont="1" applyFill="1" applyBorder="1"/>
    <xf numFmtId="8" fontId="13" fillId="0" borderId="3" xfId="0" quotePrefix="1" applyNumberFormat="1" applyFont="1" applyFill="1" applyBorder="1" applyAlignment="1">
      <alignment horizontal="left"/>
    </xf>
    <xf numFmtId="185" fontId="13" fillId="0" borderId="3" xfId="0" quotePrefix="1" applyNumberFormat="1" applyFont="1" applyFill="1" applyBorder="1" applyAlignment="1">
      <alignment horizontal="left"/>
    </xf>
    <xf numFmtId="1" fontId="13" fillId="0" borderId="0" xfId="0" applyNumberFormat="1" applyFont="1" applyFill="1" applyAlignment="1">
      <alignment horizontal="right"/>
    </xf>
    <xf numFmtId="0" fontId="13" fillId="0" borderId="0" xfId="0" applyFont="1" applyFill="1" applyAlignment="1">
      <alignment horizontal="left" indent="1"/>
    </xf>
    <xf numFmtId="0" fontId="13" fillId="0" borderId="0" xfId="0" applyFont="1" applyFill="1" applyAlignment="1">
      <alignment horizontal="left" wrapText="1" indent="1"/>
    </xf>
    <xf numFmtId="0" fontId="13" fillId="0" borderId="0" xfId="7" applyFont="1" applyFill="1"/>
    <xf numFmtId="40" fontId="13" fillId="0" borderId="0" xfId="2" applyFont="1" applyFill="1"/>
    <xf numFmtId="0" fontId="13" fillId="0" borderId="0" xfId="7" applyFont="1" applyFill="1" applyAlignment="1">
      <alignment horizontal="center"/>
    </xf>
    <xf numFmtId="0" fontId="13" fillId="0" borderId="0" xfId="7" applyFont="1" applyFill="1" applyAlignment="1"/>
    <xf numFmtId="0" fontId="12" fillId="0" borderId="1" xfId="24" applyFont="1" applyFill="1" applyAlignment="1">
      <alignment horizontal="center" wrapText="1"/>
    </xf>
    <xf numFmtId="10" fontId="13" fillId="0" borderId="0" xfId="22" applyNumberFormat="1" applyFont="1" applyFill="1"/>
    <xf numFmtId="40" fontId="13" fillId="0" borderId="0" xfId="2" applyFont="1" applyFill="1" applyAlignment="1">
      <alignment horizontal="center"/>
    </xf>
    <xf numFmtId="43" fontId="13" fillId="0" borderId="0" xfId="1" applyNumberFormat="1" applyFont="1" applyFill="1" applyAlignment="1">
      <alignment horizontal="center"/>
    </xf>
    <xf numFmtId="4" fontId="13" fillId="0" borderId="0" xfId="7" applyNumberFormat="1" applyFont="1" applyFill="1"/>
    <xf numFmtId="164" fontId="13" fillId="0" borderId="4" xfId="1" applyNumberFormat="1" applyFont="1" applyFill="1" applyBorder="1"/>
    <xf numFmtId="175" fontId="13" fillId="0" borderId="0" xfId="0" quotePrefix="1" applyNumberFormat="1" applyFont="1" applyFill="1" applyAlignment="1" applyProtection="1">
      <alignment horizontal="left"/>
    </xf>
    <xf numFmtId="175" fontId="12" fillId="0" borderId="0" xfId="0" applyNumberFormat="1" applyFont="1" applyFill="1" applyAlignment="1" applyProtection="1">
      <alignment horizontal="left"/>
    </xf>
    <xf numFmtId="49" fontId="13" fillId="0" borderId="0" xfId="15" applyNumberFormat="1" applyFont="1" applyFill="1"/>
    <xf numFmtId="44" fontId="13" fillId="0" borderId="0" xfId="5" applyFont="1" applyFill="1" applyBorder="1"/>
    <xf numFmtId="49" fontId="13" fillId="0" borderId="0" xfId="15" applyNumberFormat="1" applyFont="1" applyFill="1" applyAlignment="1">
      <alignment wrapText="1"/>
    </xf>
    <xf numFmtId="1" fontId="12" fillId="0" borderId="1" xfId="24" applyNumberFormat="1" applyFont="1" applyFill="1" applyAlignment="1">
      <alignment horizontal="center" wrapText="1"/>
    </xf>
    <xf numFmtId="0" fontId="12" fillId="0" borderId="1" xfId="14" applyFont="1" applyFill="1" applyBorder="1" applyAlignment="1">
      <alignment horizontal="center" wrapText="1"/>
    </xf>
    <xf numFmtId="0" fontId="13" fillId="0" borderId="0" xfId="18" applyFont="1" applyFill="1" applyAlignment="1">
      <alignment horizontal="right"/>
    </xf>
    <xf numFmtId="0" fontId="12" fillId="0" borderId="0" xfId="7" applyFont="1" applyFill="1" applyAlignment="1">
      <alignment horizontal="left"/>
    </xf>
    <xf numFmtId="0" fontId="13" fillId="0" borderId="0" xfId="0" applyFont="1" applyFill="1" applyAlignment="1">
      <alignment horizontal="center" vertical="top"/>
    </xf>
    <xf numFmtId="0" fontId="13" fillId="0" borderId="0" xfId="0" applyFont="1" applyFill="1" applyBorder="1" applyAlignment="1">
      <alignment horizontal="center"/>
    </xf>
    <xf numFmtId="0" fontId="36" fillId="0" borderId="0" xfId="0" applyFont="1" applyFill="1"/>
    <xf numFmtId="0" fontId="12" fillId="0" borderId="0" xfId="7" applyFont="1" applyFill="1" applyBorder="1" applyAlignment="1">
      <alignment horizontal="center"/>
    </xf>
    <xf numFmtId="40" fontId="12" fillId="0" borderId="1" xfId="2" applyFont="1" applyFill="1" applyBorder="1" applyAlignment="1">
      <alignment horizontal="center" wrapText="1"/>
    </xf>
    <xf numFmtId="43" fontId="13" fillId="0" borderId="0" xfId="1" applyNumberFormat="1" applyFont="1" applyFill="1" applyAlignment="1"/>
    <xf numFmtId="164" fontId="17" fillId="0" borderId="0" xfId="1" applyNumberFormat="1" applyFont="1" applyFill="1"/>
    <xf numFmtId="0" fontId="13" fillId="0" borderId="0" xfId="0" applyFont="1" applyFill="1" applyAlignment="1"/>
    <xf numFmtId="0" fontId="13" fillId="0" borderId="0" xfId="0" applyFont="1" applyFill="1" applyAlignment="1">
      <alignment horizontal="right"/>
    </xf>
    <xf numFmtId="191" fontId="13" fillId="0" borderId="0" xfId="0" applyNumberFormat="1" applyFont="1" applyFill="1" applyAlignment="1" applyProtection="1">
      <alignment horizontal="right"/>
    </xf>
    <xf numFmtId="6" fontId="13" fillId="0" borderId="4" xfId="0" applyNumberFormat="1" applyFont="1" applyFill="1" applyBorder="1" applyAlignment="1">
      <alignment vertical="justify"/>
    </xf>
    <xf numFmtId="6" fontId="13" fillId="0" borderId="4" xfId="0" applyNumberFormat="1" applyFont="1" applyFill="1" applyBorder="1"/>
    <xf numFmtId="38" fontId="13" fillId="0" borderId="4" xfId="0" applyNumberFormat="1" applyFont="1" applyFill="1" applyBorder="1" applyAlignment="1">
      <alignment vertical="justify"/>
    </xf>
    <xf numFmtId="166" fontId="13" fillId="0" borderId="0" xfId="5" applyNumberFormat="1" applyFont="1" applyFill="1" applyBorder="1" applyProtection="1"/>
    <xf numFmtId="49" fontId="13" fillId="0" borderId="0" xfId="15" applyNumberFormat="1" applyFont="1" applyFill="1" applyProtection="1">
      <protection locked="0"/>
    </xf>
    <xf numFmtId="44" fontId="13" fillId="0" borderId="0" xfId="5" applyFont="1" applyFill="1" applyProtection="1">
      <protection locked="0"/>
    </xf>
    <xf numFmtId="0" fontId="12" fillId="0" borderId="1" xfId="24" applyFont="1" applyFill="1" applyAlignment="1" applyProtection="1">
      <alignment horizontal="center" wrapText="1"/>
      <protection locked="0"/>
    </xf>
    <xf numFmtId="40" fontId="13" fillId="0" borderId="0" xfId="2" applyFont="1" applyFill="1" applyAlignment="1" applyProtection="1">
      <alignment horizontal="center"/>
      <protection locked="0"/>
    </xf>
    <xf numFmtId="0" fontId="13" fillId="0" borderId="0" xfId="0" applyFont="1" applyFill="1" applyAlignment="1" applyProtection="1">
      <alignment wrapText="1"/>
      <protection locked="0"/>
    </xf>
    <xf numFmtId="0" fontId="13" fillId="0" borderId="0" xfId="0" applyFont="1" applyFill="1" applyProtection="1"/>
    <xf numFmtId="0" fontId="13" fillId="0" borderId="0" xfId="0" applyFont="1" applyFill="1" applyAlignment="1" applyProtection="1">
      <alignment horizontal="left"/>
    </xf>
    <xf numFmtId="0" fontId="12" fillId="0" borderId="0" xfId="0" applyFont="1" applyFill="1" applyAlignment="1" applyProtection="1">
      <alignment horizontal="right"/>
    </xf>
    <xf numFmtId="164" fontId="12" fillId="0" borderId="0" xfId="1" applyNumberFormat="1" applyFont="1" applyFill="1" applyAlignment="1" applyProtection="1">
      <alignment horizontal="right"/>
    </xf>
    <xf numFmtId="0" fontId="12" fillId="0" borderId="0" xfId="0" applyFont="1" applyFill="1" applyProtection="1"/>
    <xf numFmtId="164" fontId="13" fillId="0" borderId="0" xfId="1" applyNumberFormat="1" applyFont="1" applyFill="1" applyAlignment="1" applyProtection="1">
      <alignment horizontal="right"/>
    </xf>
    <xf numFmtId="0" fontId="13" fillId="0" borderId="0" xfId="0" applyFont="1" applyFill="1" applyAlignment="1" applyProtection="1">
      <alignment horizontal="right"/>
    </xf>
    <xf numFmtId="170" fontId="13" fillId="0" borderId="0" xfId="1" applyNumberFormat="1" applyFont="1" applyFill="1" applyAlignment="1" applyProtection="1">
      <alignment horizontal="right"/>
    </xf>
    <xf numFmtId="0" fontId="13" fillId="0" borderId="0" xfId="0" quotePrefix="1" applyFont="1" applyFill="1" applyAlignment="1" applyProtection="1">
      <alignment horizontal="right"/>
    </xf>
    <xf numFmtId="174" fontId="13" fillId="0" borderId="0" xfId="1" applyNumberFormat="1" applyFont="1" applyFill="1" applyAlignment="1" applyProtection="1">
      <alignment horizontal="right"/>
    </xf>
    <xf numFmtId="164" fontId="13" fillId="0" borderId="0" xfId="0" applyNumberFormat="1" applyFont="1" applyFill="1" applyProtection="1"/>
    <xf numFmtId="37" fontId="13" fillId="0" borderId="0" xfId="0" applyNumberFormat="1" applyFont="1" applyFill="1" applyAlignment="1" applyProtection="1">
      <alignment horizontal="right"/>
    </xf>
    <xf numFmtId="3" fontId="13" fillId="0" borderId="0" xfId="0" applyNumberFormat="1" applyFont="1" applyFill="1" applyProtection="1"/>
    <xf numFmtId="37" fontId="13" fillId="0" borderId="0" xfId="0" applyNumberFormat="1" applyFont="1" applyFill="1" applyProtection="1"/>
    <xf numFmtId="172" fontId="13" fillId="0" borderId="0" xfId="0" applyNumberFormat="1" applyFont="1" applyFill="1" applyProtection="1"/>
    <xf numFmtId="41" fontId="13" fillId="0" borderId="0" xfId="0" applyNumberFormat="1" applyFont="1" applyFill="1" applyProtection="1"/>
    <xf numFmtId="37" fontId="15" fillId="0" borderId="0" xfId="0" applyNumberFormat="1" applyFont="1" applyFill="1" applyProtection="1"/>
    <xf numFmtId="164" fontId="13" fillId="0" borderId="0" xfId="0" applyNumberFormat="1" applyFont="1" applyFill="1" applyBorder="1" applyProtection="1"/>
    <xf numFmtId="0" fontId="16" fillId="0" borderId="0" xfId="0" applyFont="1" applyFill="1" applyProtection="1"/>
    <xf numFmtId="0" fontId="12" fillId="0" borderId="0" xfId="0" applyNumberFormat="1" applyFont="1" applyFill="1" applyBorder="1" applyProtection="1"/>
    <xf numFmtId="5" fontId="12" fillId="0" borderId="0" xfId="5" applyNumberFormat="1" applyFont="1" applyFill="1" applyBorder="1" applyAlignment="1" applyProtection="1">
      <alignment horizontal="right"/>
    </xf>
    <xf numFmtId="0" fontId="13" fillId="0" borderId="0" xfId="0" applyNumberFormat="1" applyFont="1" applyFill="1" applyBorder="1" applyProtection="1"/>
    <xf numFmtId="175" fontId="15" fillId="0" borderId="0" xfId="0" applyNumberFormat="1" applyFont="1" applyFill="1" applyBorder="1" applyProtection="1"/>
    <xf numFmtId="0" fontId="13" fillId="0" borderId="0" xfId="0" applyNumberFormat="1" applyFont="1" applyFill="1" applyBorder="1" applyAlignment="1" applyProtection="1">
      <alignment horizontal="right"/>
    </xf>
    <xf numFmtId="5" fontId="13" fillId="0" borderId="0" xfId="5" applyNumberFormat="1" applyFont="1" applyFill="1" applyBorder="1" applyAlignment="1" applyProtection="1">
      <alignment horizontal="right"/>
    </xf>
    <xf numFmtId="0" fontId="13" fillId="0" borderId="0" xfId="0" applyFont="1" applyFill="1" applyBorder="1" applyProtection="1"/>
    <xf numFmtId="0" fontId="13" fillId="0" borderId="0" xfId="0" applyFont="1" applyFill="1" applyBorder="1" applyAlignment="1" applyProtection="1">
      <alignment horizontal="right"/>
    </xf>
    <xf numFmtId="10" fontId="13" fillId="0" borderId="0" xfId="17" applyNumberFormat="1" applyFont="1" applyFill="1" applyBorder="1" applyProtection="1"/>
    <xf numFmtId="0" fontId="13" fillId="0" borderId="0" xfId="0" applyFont="1" applyFill="1" applyBorder="1" applyAlignment="1" applyProtection="1">
      <alignment horizontal="left"/>
    </xf>
    <xf numFmtId="175" fontId="55" fillId="0" borderId="0" xfId="0" applyNumberFormat="1" applyFont="1" applyFill="1" applyProtection="1"/>
    <xf numFmtId="0" fontId="12" fillId="0" borderId="0" xfId="0" applyFont="1" applyFill="1" applyAlignment="1" applyProtection="1"/>
    <xf numFmtId="0" fontId="13" fillId="0" borderId="0" xfId="24" applyFont="1" applyFill="1" applyBorder="1" applyAlignment="1" applyProtection="1">
      <alignment horizontal="center" wrapText="1"/>
    </xf>
    <xf numFmtId="0" fontId="13" fillId="0" borderId="1" xfId="24" applyFont="1" applyFill="1" applyAlignment="1" applyProtection="1">
      <alignment horizontal="center" wrapText="1"/>
    </xf>
    <xf numFmtId="43" fontId="13" fillId="0" borderId="1" xfId="1" applyFont="1" applyFill="1" applyBorder="1" applyAlignment="1" applyProtection="1">
      <alignment horizontal="center" wrapText="1"/>
    </xf>
    <xf numFmtId="0" fontId="13" fillId="0" borderId="0" xfId="18" applyFont="1" applyFill="1" applyAlignment="1" applyProtection="1"/>
    <xf numFmtId="0" fontId="13" fillId="0" borderId="0" xfId="18" applyFont="1" applyFill="1" applyBorder="1" applyAlignment="1" applyProtection="1"/>
    <xf numFmtId="166" fontId="13" fillId="0" borderId="21" xfId="1" applyNumberFormat="1" applyFont="1" applyFill="1" applyBorder="1" applyProtection="1"/>
    <xf numFmtId="43" fontId="13" fillId="0" borderId="0" xfId="1" applyFont="1" applyFill="1" applyBorder="1" applyProtection="1"/>
    <xf numFmtId="43" fontId="13" fillId="0" borderId="0" xfId="1" applyFont="1" applyFill="1" applyProtection="1"/>
    <xf numFmtId="10" fontId="13" fillId="0" borderId="0" xfId="0" applyNumberFormat="1" applyFont="1" applyFill="1" applyAlignment="1" applyProtection="1">
      <alignment horizontal="left"/>
    </xf>
    <xf numFmtId="166" fontId="13" fillId="0" borderId="0" xfId="0" applyNumberFormat="1" applyFont="1" applyFill="1" applyProtection="1"/>
    <xf numFmtId="10" fontId="13" fillId="0" borderId="0" xfId="0" applyNumberFormat="1" applyFont="1" applyFill="1" applyProtection="1"/>
    <xf numFmtId="0" fontId="13" fillId="0" borderId="0" xfId="0" quotePrefix="1" applyFont="1" applyFill="1" applyAlignment="1" applyProtection="1">
      <alignment horizontal="center"/>
    </xf>
    <xf numFmtId="166" fontId="13" fillId="0" borderId="4" xfId="0" applyNumberFormat="1" applyFont="1" applyFill="1" applyBorder="1" applyProtection="1"/>
    <xf numFmtId="0" fontId="13" fillId="0" borderId="0" xfId="0" applyFont="1" applyFill="1"/>
    <xf numFmtId="0" fontId="13" fillId="0" borderId="0" xfId="0" applyFont="1" applyFill="1" applyAlignment="1">
      <alignment horizontal="left"/>
    </xf>
    <xf numFmtId="164" fontId="13" fillId="0" borderId="3" xfId="1" applyNumberFormat="1" applyFont="1" applyFill="1" applyBorder="1"/>
    <xf numFmtId="41" fontId="12" fillId="0" borderId="0" xfId="0" applyNumberFormat="1" applyFont="1" applyFill="1" applyAlignment="1" applyProtection="1">
      <alignment horizontal="center"/>
    </xf>
    <xf numFmtId="42" fontId="13" fillId="0" borderId="0" xfId="0" applyNumberFormat="1" applyFont="1" applyFill="1" applyProtection="1"/>
    <xf numFmtId="41" fontId="13" fillId="0" borderId="0" xfId="0" applyNumberFormat="1" applyFont="1" applyFill="1" applyBorder="1" applyProtection="1"/>
    <xf numFmtId="0" fontId="13" fillId="0" borderId="0" xfId="0" quotePrefix="1" applyFont="1" applyFill="1" applyBorder="1" applyAlignment="1" applyProtection="1">
      <alignment horizontal="right"/>
    </xf>
    <xf numFmtId="0" fontId="12" fillId="0" borderId="0" xfId="0" applyFont="1" applyFill="1" applyBorder="1" applyProtection="1"/>
    <xf numFmtId="42" fontId="13" fillId="0" borderId="0" xfId="0" applyNumberFormat="1" applyFont="1" applyFill="1" applyBorder="1" applyProtection="1"/>
    <xf numFmtId="0" fontId="12" fillId="0" borderId="0" xfId="0" applyFont="1" applyFill="1" applyAlignment="1" applyProtection="1">
      <alignment horizontal="centerContinuous"/>
    </xf>
    <xf numFmtId="164" fontId="12" fillId="0" borderId="0" xfId="1" applyNumberFormat="1" applyFont="1" applyFill="1" applyAlignment="1" applyProtection="1">
      <alignment horizontal="centerContinuous"/>
    </xf>
    <xf numFmtId="16" fontId="13" fillId="0" borderId="0" xfId="0" applyNumberFormat="1" applyFont="1" applyFill="1" applyProtection="1"/>
    <xf numFmtId="192" fontId="13" fillId="0" borderId="0" xfId="1" applyNumberFormat="1" applyFont="1" applyFill="1" applyAlignment="1" applyProtection="1">
      <alignment horizontal="right"/>
    </xf>
    <xf numFmtId="195" fontId="13" fillId="0" borderId="0" xfId="0" applyNumberFormat="1" applyFont="1" applyFill="1" applyProtection="1"/>
    <xf numFmtId="170" fontId="13" fillId="0" borderId="0" xfId="0" applyNumberFormat="1" applyFont="1" applyFill="1" applyProtection="1"/>
    <xf numFmtId="165" fontId="13" fillId="0" borderId="0" xfId="1" applyNumberFormat="1" applyFont="1" applyFill="1" applyAlignment="1" applyProtection="1">
      <alignment horizontal="right"/>
    </xf>
    <xf numFmtId="183" fontId="13" fillId="0" borderId="0" xfId="1" applyNumberFormat="1" applyFont="1" applyFill="1" applyAlignment="1" applyProtection="1">
      <alignment horizontal="right"/>
    </xf>
    <xf numFmtId="0" fontId="34" fillId="0" borderId="0" xfId="0" applyFont="1" applyFill="1" applyAlignment="1" applyProtection="1">
      <alignment horizontal="center"/>
    </xf>
    <xf numFmtId="0" fontId="13" fillId="0" borderId="3" xfId="0" applyFont="1" applyFill="1" applyBorder="1" applyAlignment="1" applyProtection="1">
      <alignment horizontal="right"/>
    </xf>
    <xf numFmtId="0" fontId="34" fillId="0" borderId="3" xfId="0" applyFont="1" applyFill="1" applyBorder="1" applyAlignment="1" applyProtection="1">
      <alignment horizontal="center"/>
    </xf>
    <xf numFmtId="0" fontId="13" fillId="0" borderId="11" xfId="0" applyFont="1" applyFill="1" applyBorder="1" applyAlignment="1" applyProtection="1">
      <alignment horizontal="right"/>
    </xf>
    <xf numFmtId="0" fontId="13" fillId="0" borderId="13" xfId="0" applyFont="1" applyFill="1" applyBorder="1" applyAlignment="1" applyProtection="1">
      <alignment horizontal="right"/>
    </xf>
    <xf numFmtId="0" fontId="13" fillId="0" borderId="14" xfId="0" applyFont="1" applyFill="1" applyBorder="1" applyProtection="1"/>
    <xf numFmtId="0" fontId="15" fillId="0" borderId="0" xfId="0" applyFont="1" applyFill="1" applyBorder="1" applyAlignment="1" applyProtection="1">
      <alignment horizontal="center"/>
    </xf>
    <xf numFmtId="0" fontId="15" fillId="0" borderId="14" xfId="0" applyFont="1" applyFill="1" applyBorder="1" applyAlignment="1" applyProtection="1">
      <alignment horizontal="center"/>
    </xf>
    <xf numFmtId="0" fontId="15" fillId="0" borderId="0" xfId="0" applyFont="1" applyFill="1" applyAlignment="1" applyProtection="1">
      <alignment horizontal="center"/>
    </xf>
    <xf numFmtId="0" fontId="13" fillId="0" borderId="13" xfId="0" applyFont="1" applyFill="1" applyBorder="1" applyAlignment="1" applyProtection="1">
      <alignment horizontal="right"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14" xfId="0" applyFont="1" applyFill="1" applyBorder="1" applyAlignment="1" applyProtection="1">
      <alignment horizontal="center" vertical="center" wrapText="1"/>
    </xf>
    <xf numFmtId="0" fontId="13" fillId="0" borderId="0" xfId="0" applyFont="1" applyFill="1" applyAlignment="1" applyProtection="1">
      <alignment horizontal="center" vertical="center"/>
    </xf>
    <xf numFmtId="0" fontId="13" fillId="0" borderId="0" xfId="0" applyFont="1" applyFill="1" applyAlignment="1" applyProtection="1">
      <alignment vertical="center"/>
    </xf>
    <xf numFmtId="1" fontId="13" fillId="0" borderId="0" xfId="0" applyNumberFormat="1" applyFont="1" applyFill="1" applyBorder="1" applyAlignment="1" applyProtection="1">
      <alignment horizontal="center"/>
    </xf>
    <xf numFmtId="1" fontId="13" fillId="0" borderId="14" xfId="0" applyNumberFormat="1" applyFont="1" applyFill="1" applyBorder="1" applyAlignment="1" applyProtection="1">
      <alignment horizontal="center"/>
    </xf>
    <xf numFmtId="1" fontId="13" fillId="0" borderId="0" xfId="0" applyNumberFormat="1" applyFont="1" applyFill="1" applyAlignment="1" applyProtection="1">
      <alignment horizontal="left"/>
    </xf>
    <xf numFmtId="1" fontId="13" fillId="0" borderId="0" xfId="0" applyNumberFormat="1" applyFont="1" applyFill="1" applyAlignment="1" applyProtection="1">
      <alignment horizontal="center"/>
    </xf>
    <xf numFmtId="1" fontId="13" fillId="0" borderId="4" xfId="0" applyNumberFormat="1" applyFont="1" applyFill="1" applyBorder="1" applyAlignment="1" applyProtection="1">
      <alignment horizontal="center"/>
    </xf>
    <xf numFmtId="176" fontId="13" fillId="0" borderId="0" xfId="0" applyNumberFormat="1" applyFont="1" applyFill="1" applyBorder="1" applyAlignment="1" applyProtection="1">
      <alignment horizontal="center"/>
    </xf>
    <xf numFmtId="0" fontId="13" fillId="0" borderId="3" xfId="0" applyFont="1" applyFill="1" applyBorder="1" applyAlignment="1" applyProtection="1">
      <alignment horizontal="center"/>
    </xf>
    <xf numFmtId="0" fontId="15" fillId="0" borderId="13" xfId="0" applyFont="1" applyFill="1" applyBorder="1" applyAlignment="1" applyProtection="1">
      <alignment horizontal="center"/>
    </xf>
    <xf numFmtId="0" fontId="13" fillId="0" borderId="16" xfId="0" applyFont="1" applyFill="1" applyBorder="1" applyAlignment="1" applyProtection="1">
      <alignment horizontal="right"/>
    </xf>
    <xf numFmtId="1" fontId="13" fillId="0" borderId="3" xfId="0" applyNumberFormat="1" applyFont="1" applyFill="1" applyBorder="1" applyAlignment="1" applyProtection="1">
      <alignment horizontal="center"/>
    </xf>
    <xf numFmtId="1" fontId="13" fillId="0" borderId="15" xfId="0" applyNumberFormat="1" applyFont="1" applyFill="1" applyBorder="1" applyAlignment="1" applyProtection="1">
      <alignment horizontal="center"/>
    </xf>
    <xf numFmtId="0" fontId="13" fillId="0" borderId="0" xfId="0" applyFont="1" applyFill="1" applyBorder="1" applyAlignment="1" applyProtection="1"/>
    <xf numFmtId="0" fontId="12" fillId="0" borderId="13" xfId="0" applyFont="1" applyFill="1" applyBorder="1" applyAlignment="1" applyProtection="1">
      <alignment horizontal="right"/>
    </xf>
    <xf numFmtId="0" fontId="16" fillId="0" borderId="0" xfId="0" applyFont="1" applyFill="1" applyBorder="1" applyAlignment="1" applyProtection="1">
      <alignment horizontal="center"/>
    </xf>
    <xf numFmtId="0" fontId="12" fillId="0" borderId="13" xfId="0" applyFont="1" applyFill="1" applyBorder="1" applyAlignment="1" applyProtection="1">
      <alignment horizontal="right" vertical="center"/>
    </xf>
    <xf numFmtId="14" fontId="13" fillId="0" borderId="0" xfId="0" applyNumberFormat="1" applyFont="1" applyFill="1" applyBorder="1" applyAlignment="1" applyProtection="1">
      <alignment wrapText="1"/>
    </xf>
    <xf numFmtId="14" fontId="13" fillId="0" borderId="0" xfId="0" applyNumberFormat="1" applyFont="1" applyFill="1" applyAlignment="1" applyProtection="1">
      <alignment horizontal="center"/>
    </xf>
    <xf numFmtId="0" fontId="13" fillId="0" borderId="3" xfId="0" applyFont="1" applyFill="1" applyBorder="1" applyAlignment="1" applyProtection="1">
      <alignment horizontal="centerContinuous"/>
    </xf>
    <xf numFmtId="41" fontId="13" fillId="0" borderId="3" xfId="0" applyNumberFormat="1" applyFont="1" applyFill="1" applyBorder="1" applyAlignment="1" applyProtection="1">
      <alignment horizontal="centerContinuous"/>
    </xf>
    <xf numFmtId="41" fontId="13" fillId="0" borderId="3" xfId="0" applyNumberFormat="1" applyFont="1" applyFill="1" applyBorder="1" applyAlignment="1" applyProtection="1">
      <alignment horizontal="center"/>
    </xf>
    <xf numFmtId="0" fontId="15" fillId="0" borderId="0" xfId="0" applyFont="1" applyFill="1" applyAlignment="1" applyProtection="1">
      <alignment horizontal="right"/>
    </xf>
    <xf numFmtId="41" fontId="15" fillId="0" borderId="0" xfId="0" applyNumberFormat="1" applyFont="1" applyFill="1" applyAlignment="1" applyProtection="1">
      <alignment horizontal="right"/>
    </xf>
    <xf numFmtId="168" fontId="13" fillId="0" borderId="0" xfId="0" applyNumberFormat="1" applyFont="1" applyFill="1" applyProtection="1"/>
    <xf numFmtId="169" fontId="13" fillId="0" borderId="0" xfId="0" applyNumberFormat="1" applyFont="1" applyFill="1" applyProtection="1"/>
    <xf numFmtId="0" fontId="27" fillId="0" borderId="0" xfId="0" applyFont="1" applyFill="1" applyProtection="1"/>
    <xf numFmtId="168" fontId="12" fillId="0" borderId="0" xfId="0" applyNumberFormat="1" applyFont="1" applyFill="1" applyAlignment="1" applyProtection="1">
      <alignment horizontal="left"/>
    </xf>
    <xf numFmtId="168" fontId="13" fillId="0" borderId="0" xfId="0" applyNumberFormat="1" applyFont="1" applyFill="1" applyAlignment="1" applyProtection="1">
      <alignment horizontal="left"/>
    </xf>
    <xf numFmtId="0" fontId="16" fillId="0" borderId="0" xfId="0" applyFont="1" applyFill="1" applyBorder="1" applyProtection="1"/>
    <xf numFmtId="168" fontId="13" fillId="0" borderId="0" xfId="0" applyNumberFormat="1" applyFont="1" applyFill="1" applyBorder="1" applyAlignment="1" applyProtection="1">
      <alignment horizontal="right"/>
    </xf>
    <xf numFmtId="169" fontId="12" fillId="0" borderId="0" xfId="0" applyNumberFormat="1" applyFont="1" applyFill="1" applyBorder="1" applyProtection="1"/>
    <xf numFmtId="0" fontId="12" fillId="0" borderId="0" xfId="0" applyFont="1" applyFill="1" applyBorder="1" applyAlignment="1" applyProtection="1">
      <alignment horizontal="left"/>
    </xf>
    <xf numFmtId="1" fontId="13" fillId="0" borderId="0" xfId="17" applyNumberFormat="1" applyFont="1" applyFill="1" applyBorder="1" applyProtection="1"/>
    <xf numFmtId="3" fontId="13" fillId="0" borderId="0" xfId="0" applyNumberFormat="1" applyFont="1" applyFill="1" applyBorder="1" applyProtection="1"/>
    <xf numFmtId="169" fontId="13" fillId="0" borderId="0" xfId="0" applyNumberFormat="1" applyFont="1" applyFill="1" applyBorder="1" applyProtection="1"/>
    <xf numFmtId="10" fontId="13" fillId="0" borderId="0" xfId="17" applyNumberFormat="1" applyFont="1" applyFill="1" applyProtection="1"/>
    <xf numFmtId="0" fontId="13" fillId="0" borderId="0" xfId="14" applyFont="1" applyFill="1" applyBorder="1" applyProtection="1"/>
    <xf numFmtId="0" fontId="13" fillId="0" borderId="0" xfId="14" applyFont="1" applyFill="1" applyBorder="1" applyAlignment="1" applyProtection="1">
      <alignment horizontal="center"/>
    </xf>
    <xf numFmtId="0" fontId="12" fillId="0" borderId="0" xfId="14" applyFont="1" applyFill="1" applyBorder="1" applyProtection="1"/>
    <xf numFmtId="1" fontId="13" fillId="0" borderId="0" xfId="14" applyNumberFormat="1" applyFont="1" applyFill="1" applyBorder="1" applyAlignment="1" applyProtection="1">
      <alignment horizontal="center"/>
    </xf>
    <xf numFmtId="1" fontId="12" fillId="0" borderId="0" xfId="14" applyNumberFormat="1" applyFont="1" applyFill="1" applyBorder="1" applyAlignment="1" applyProtection="1">
      <alignment horizontal="center"/>
    </xf>
    <xf numFmtId="0" fontId="12" fillId="0" borderId="3" xfId="14" applyFont="1" applyFill="1" applyBorder="1" applyAlignment="1" applyProtection="1">
      <alignment horizontal="center"/>
    </xf>
    <xf numFmtId="0" fontId="12" fillId="0" borderId="0" xfId="24" applyFont="1" applyFill="1" applyBorder="1" applyAlignment="1" applyProtection="1">
      <alignment horizontal="center" wrapText="1"/>
    </xf>
    <xf numFmtId="1" fontId="12" fillId="0" borderId="0" xfId="24" applyNumberFormat="1" applyFont="1" applyFill="1" applyBorder="1" applyAlignment="1" applyProtection="1">
      <alignment horizontal="center" wrapText="1"/>
    </xf>
    <xf numFmtId="3" fontId="12" fillId="0" borderId="0" xfId="24" applyNumberFormat="1" applyFont="1" applyFill="1" applyBorder="1" applyAlignment="1" applyProtection="1">
      <alignment horizontal="center" wrapText="1"/>
    </xf>
    <xf numFmtId="0" fontId="12" fillId="0" borderId="3" xfId="14" applyFont="1" applyFill="1" applyBorder="1" applyAlignment="1" applyProtection="1">
      <alignment horizontal="center" wrapText="1"/>
    </xf>
    <xf numFmtId="1" fontId="13" fillId="0" borderId="0" xfId="18" applyNumberFormat="1" applyFont="1" applyFill="1" applyAlignment="1" applyProtection="1">
      <alignment horizontal="center"/>
    </xf>
    <xf numFmtId="0" fontId="13" fillId="0" borderId="0" xfId="18" applyNumberFormat="1" applyFont="1" applyFill="1" applyAlignment="1" applyProtection="1">
      <alignment horizontal="center"/>
    </xf>
    <xf numFmtId="0" fontId="12" fillId="0" borderId="0" xfId="18" applyFont="1" applyFill="1" applyAlignment="1" applyProtection="1">
      <alignment horizontal="right"/>
    </xf>
    <xf numFmtId="0" fontId="13" fillId="0" borderId="0" xfId="18" applyFont="1" applyFill="1" applyAlignment="1" applyProtection="1">
      <alignment horizontal="center"/>
    </xf>
    <xf numFmtId="3" fontId="13" fillId="0" borderId="0" xfId="22" applyNumberFormat="1" applyFont="1" applyFill="1" applyProtection="1"/>
    <xf numFmtId="3" fontId="13" fillId="0" borderId="0" xfId="14" applyNumberFormat="1" applyFont="1" applyFill="1" applyBorder="1" applyProtection="1"/>
    <xf numFmtId="0" fontId="12" fillId="0" borderId="0" xfId="18" applyFont="1" applyFill="1" applyAlignment="1" applyProtection="1">
      <alignment horizontal="center"/>
    </xf>
    <xf numFmtId="3" fontId="12" fillId="0" borderId="0" xfId="22" applyNumberFormat="1" applyFont="1" applyFill="1" applyAlignment="1" applyProtection="1">
      <alignment horizontal="center" wrapText="1"/>
    </xf>
    <xf numFmtId="3" fontId="13" fillId="0" borderId="0" xfId="18" applyNumberFormat="1" applyFont="1" applyFill="1" applyAlignment="1" applyProtection="1">
      <alignment horizontal="right"/>
    </xf>
    <xf numFmtId="3" fontId="13" fillId="0" borderId="0" xfId="18" applyNumberFormat="1" applyFont="1" applyFill="1" applyAlignment="1" applyProtection="1">
      <alignment horizontal="center"/>
    </xf>
    <xf numFmtId="3" fontId="13" fillId="0" borderId="0" xfId="18" applyNumberFormat="1" applyFont="1" applyFill="1" applyBorder="1" applyAlignment="1" applyProtection="1">
      <alignment horizontal="center"/>
    </xf>
    <xf numFmtId="0" fontId="12" fillId="0" borderId="1" xfId="18" applyFont="1" applyFill="1" applyBorder="1" applyAlignment="1" applyProtection="1">
      <alignment horizontal="center"/>
    </xf>
    <xf numFmtId="1" fontId="12" fillId="0" borderId="1" xfId="18" applyNumberFormat="1" applyFont="1" applyFill="1" applyBorder="1" applyAlignment="1" applyProtection="1">
      <alignment horizontal="center"/>
    </xf>
    <xf numFmtId="0" fontId="12" fillId="0" borderId="0" xfId="9" applyFont="1" applyFill="1" applyAlignment="1" applyProtection="1">
      <alignment horizontal="right"/>
    </xf>
    <xf numFmtId="3" fontId="13" fillId="0" borderId="4" xfId="22" applyNumberFormat="1" applyFont="1" applyFill="1" applyBorder="1" applyProtection="1"/>
    <xf numFmtId="3" fontId="13" fillId="0" borderId="0" xfId="22" applyNumberFormat="1" applyFont="1" applyFill="1" applyBorder="1" applyProtection="1"/>
    <xf numFmtId="3" fontId="13" fillId="0" borderId="4" xfId="14" applyNumberFormat="1" applyFont="1" applyFill="1" applyBorder="1" applyProtection="1"/>
    <xf numFmtId="0" fontId="13" fillId="0" borderId="0" xfId="14" applyFont="1" applyFill="1" applyBorder="1" applyAlignment="1" applyProtection="1">
      <alignment horizontal="right"/>
    </xf>
    <xf numFmtId="164" fontId="13" fillId="0" borderId="4" xfId="3" applyNumberFormat="1" applyFont="1" applyFill="1" applyBorder="1" applyAlignment="1" applyProtection="1">
      <alignment horizontal="center"/>
    </xf>
    <xf numFmtId="0" fontId="13" fillId="0" borderId="0" xfId="18" applyFont="1" applyFill="1" applyAlignment="1" applyProtection="1">
      <alignment horizontal="left"/>
    </xf>
    <xf numFmtId="0" fontId="13" fillId="0" borderId="0" xfId="9" applyFont="1" applyFill="1" applyBorder="1" applyAlignment="1" applyProtection="1">
      <alignment horizontal="center"/>
    </xf>
    <xf numFmtId="0" fontId="13" fillId="0" borderId="0" xfId="18" applyNumberFormat="1" applyFont="1" applyFill="1" applyAlignment="1" applyProtection="1"/>
    <xf numFmtId="0" fontId="13" fillId="0" borderId="0" xfId="9" applyFont="1" applyFill="1" applyProtection="1"/>
    <xf numFmtId="0" fontId="13" fillId="0" borderId="0" xfId="9" applyFont="1" applyFill="1" applyAlignment="1" applyProtection="1">
      <alignment horizontal="center"/>
    </xf>
    <xf numFmtId="1" fontId="13" fillId="0" borderId="0" xfId="9" applyNumberFormat="1" applyFont="1" applyFill="1" applyAlignment="1" applyProtection="1">
      <alignment horizontal="center"/>
    </xf>
    <xf numFmtId="3" fontId="13" fillId="0" borderId="0" xfId="9" applyNumberFormat="1" applyFont="1" applyFill="1" applyAlignment="1" applyProtection="1"/>
    <xf numFmtId="166" fontId="13" fillId="0" borderId="0" xfId="6" applyNumberFormat="1" applyFont="1" applyFill="1" applyAlignment="1" applyProtection="1"/>
    <xf numFmtId="0" fontId="13" fillId="0" borderId="0" xfId="0" quotePrefix="1" applyFont="1" applyFill="1" applyProtection="1"/>
    <xf numFmtId="164" fontId="13" fillId="0" borderId="0" xfId="1" applyNumberFormat="1" applyFont="1" applyFill="1" applyAlignment="1" applyProtection="1"/>
    <xf numFmtId="0" fontId="13" fillId="0" borderId="0" xfId="0" applyFont="1" applyFill="1" applyAlignment="1" applyProtection="1"/>
    <xf numFmtId="0" fontId="15" fillId="0" borderId="0" xfId="0" applyFont="1" applyFill="1" applyProtection="1"/>
    <xf numFmtId="170" fontId="17" fillId="0" borderId="0" xfId="1" applyNumberFormat="1" applyFont="1" applyFill="1" applyBorder="1" applyAlignment="1" applyProtection="1"/>
    <xf numFmtId="192" fontId="17" fillId="0" borderId="0" xfId="1" applyNumberFormat="1" applyFont="1" applyFill="1" applyBorder="1" applyAlignment="1" applyProtection="1"/>
    <xf numFmtId="165" fontId="13" fillId="0" borderId="0" xfId="0" applyNumberFormat="1" applyFont="1" applyFill="1" applyAlignment="1" applyProtection="1">
      <alignment horizontal="right"/>
    </xf>
    <xf numFmtId="165" fontId="17" fillId="0" borderId="0" xfId="1" applyNumberFormat="1" applyFont="1" applyFill="1" applyBorder="1" applyAlignment="1" applyProtection="1"/>
    <xf numFmtId="165" fontId="13" fillId="0" borderId="0" xfId="1" applyNumberFormat="1" applyFont="1" applyFill="1" applyBorder="1" applyAlignment="1" applyProtection="1"/>
    <xf numFmtId="164" fontId="13" fillId="0" borderId="0" xfId="0" applyNumberFormat="1" applyFont="1" applyFill="1" applyAlignment="1" applyProtection="1">
      <alignment horizontal="right"/>
    </xf>
    <xf numFmtId="41" fontId="13" fillId="0" borderId="0" xfId="0" applyNumberFormat="1" applyFont="1" applyFill="1" applyAlignment="1" applyProtection="1"/>
    <xf numFmtId="0" fontId="13" fillId="0" borderId="0" xfId="0" quotePrefix="1" applyFont="1" applyFill="1" applyAlignment="1" applyProtection="1"/>
    <xf numFmtId="43" fontId="13" fillId="0" borderId="0" xfId="0" applyNumberFormat="1" applyFont="1" applyFill="1" applyAlignment="1" applyProtection="1"/>
    <xf numFmtId="184" fontId="13" fillId="0" borderId="0" xfId="0" applyNumberFormat="1" applyFont="1" applyFill="1" applyAlignment="1" applyProtection="1"/>
    <xf numFmtId="0" fontId="16" fillId="0" borderId="17" xfId="0" applyFont="1" applyFill="1" applyBorder="1" applyAlignment="1" applyProtection="1">
      <alignment horizontal="left"/>
    </xf>
    <xf numFmtId="0" fontId="16" fillId="0" borderId="7" xfId="0" applyFont="1" applyFill="1" applyBorder="1" applyAlignment="1" applyProtection="1">
      <alignment horizontal="left"/>
    </xf>
    <xf numFmtId="0" fontId="12" fillId="0" borderId="7" xfId="0" applyFont="1" applyFill="1" applyBorder="1" applyAlignment="1" applyProtection="1">
      <alignment horizontal="center"/>
    </xf>
    <xf numFmtId="0" fontId="12" fillId="0" borderId="6" xfId="0" applyFont="1" applyFill="1" applyBorder="1" applyAlignment="1" applyProtection="1">
      <alignment horizontal="center"/>
    </xf>
    <xf numFmtId="0" fontId="13" fillId="0" borderId="0" xfId="0" applyFont="1" applyFill="1" applyAlignment="1" applyProtection="1">
      <alignment horizontal="center" vertical="justify"/>
    </xf>
    <xf numFmtId="0" fontId="13" fillId="0" borderId="18" xfId="0" applyFont="1" applyFill="1" applyBorder="1" applyAlignment="1" applyProtection="1">
      <alignment horizontal="center" vertical="justify"/>
    </xf>
    <xf numFmtId="0" fontId="13" fillId="0" borderId="4" xfId="0" applyFont="1" applyFill="1" applyBorder="1" applyAlignment="1" applyProtection="1">
      <alignment vertical="justify"/>
    </xf>
    <xf numFmtId="5" fontId="13" fillId="0" borderId="6" xfId="0" applyNumberFormat="1" applyFont="1" applyFill="1" applyBorder="1" applyAlignment="1" applyProtection="1">
      <alignment vertical="justify"/>
    </xf>
    <xf numFmtId="5" fontId="13" fillId="0" borderId="4" xfId="0" applyNumberFormat="1" applyFont="1" applyFill="1" applyBorder="1" applyProtection="1"/>
    <xf numFmtId="5" fontId="13" fillId="0" borderId="4" xfId="0" applyNumberFormat="1" applyFont="1" applyFill="1" applyBorder="1" applyAlignment="1" applyProtection="1">
      <alignment wrapText="1"/>
    </xf>
    <xf numFmtId="0" fontId="13" fillId="0" borderId="19" xfId="0" applyFont="1" applyFill="1" applyBorder="1" applyAlignment="1" applyProtection="1">
      <alignment horizontal="center" vertical="justify"/>
    </xf>
    <xf numFmtId="164" fontId="13" fillId="0" borderId="4" xfId="0" applyNumberFormat="1" applyFont="1" applyFill="1" applyBorder="1" applyAlignment="1" applyProtection="1">
      <alignment vertical="justify"/>
    </xf>
    <xf numFmtId="0" fontId="13" fillId="0" borderId="20" xfId="0" applyFont="1" applyFill="1" applyBorder="1" applyAlignment="1" applyProtection="1">
      <alignment horizontal="center" vertical="justify"/>
    </xf>
    <xf numFmtId="5" fontId="13" fillId="0" borderId="4" xfId="0" applyNumberFormat="1" applyFont="1" applyFill="1" applyBorder="1" applyAlignment="1" applyProtection="1">
      <alignment vertical="justify"/>
    </xf>
    <xf numFmtId="0" fontId="13" fillId="0" borderId="0" xfId="0" applyFont="1" applyFill="1" applyBorder="1" applyAlignment="1" applyProtection="1">
      <alignment horizontal="center" vertical="justify"/>
    </xf>
    <xf numFmtId="0" fontId="13" fillId="0" borderId="0" xfId="0" applyFont="1" applyFill="1" applyBorder="1" applyAlignment="1" applyProtection="1">
      <alignment vertical="justify"/>
    </xf>
    <xf numFmtId="5" fontId="13" fillId="0" borderId="7" xfId="0" applyNumberFormat="1" applyFont="1" applyFill="1" applyBorder="1" applyAlignment="1" applyProtection="1">
      <alignment vertical="justify"/>
    </xf>
    <xf numFmtId="5" fontId="13" fillId="0" borderId="7" xfId="0" applyNumberFormat="1" applyFont="1" applyFill="1" applyBorder="1" applyProtection="1"/>
    <xf numFmtId="5" fontId="13" fillId="0" borderId="7" xfId="0" applyNumberFormat="1" applyFont="1" applyFill="1" applyBorder="1" applyAlignment="1" applyProtection="1">
      <alignment wrapText="1"/>
    </xf>
    <xf numFmtId="1" fontId="16" fillId="0" borderId="17" xfId="0" applyNumberFormat="1" applyFont="1" applyFill="1" applyBorder="1" applyAlignment="1" applyProtection="1">
      <alignment horizontal="left" vertical="center"/>
    </xf>
    <xf numFmtId="1" fontId="16" fillId="0" borderId="7" xfId="0" applyNumberFormat="1" applyFont="1" applyFill="1" applyBorder="1" applyAlignment="1" applyProtection="1">
      <alignment horizontal="left" vertical="center" wrapText="1"/>
    </xf>
    <xf numFmtId="5" fontId="13" fillId="0" borderId="6" xfId="0" applyNumberFormat="1" applyFont="1" applyFill="1" applyBorder="1" applyAlignment="1" applyProtection="1">
      <alignment wrapText="1"/>
    </xf>
    <xf numFmtId="5" fontId="13" fillId="0" borderId="4" xfId="0" applyNumberFormat="1" applyFont="1" applyFill="1" applyBorder="1" applyAlignment="1" applyProtection="1">
      <alignment vertical="justify" wrapText="1"/>
    </xf>
    <xf numFmtId="0" fontId="13" fillId="0" borderId="17" xfId="0" applyFont="1" applyFill="1" applyBorder="1" applyAlignment="1" applyProtection="1">
      <alignment vertical="justify"/>
    </xf>
    <xf numFmtId="5" fontId="13" fillId="0" borderId="5" xfId="0" applyNumberFormat="1" applyFont="1" applyFill="1" applyBorder="1" applyAlignment="1" applyProtection="1">
      <alignment vertical="justify"/>
    </xf>
    <xf numFmtId="5" fontId="13" fillId="0" borderId="7" xfId="0" applyNumberFormat="1" applyFont="1" applyFill="1" applyBorder="1" applyAlignment="1" applyProtection="1">
      <alignment vertical="justify" wrapText="1"/>
    </xf>
    <xf numFmtId="1" fontId="16" fillId="0" borderId="17" xfId="0" applyNumberFormat="1" applyFont="1" applyFill="1" applyBorder="1" applyAlignment="1" applyProtection="1">
      <alignment horizontal="left"/>
    </xf>
    <xf numFmtId="1" fontId="16" fillId="0" borderId="7" xfId="0" applyNumberFormat="1" applyFont="1" applyFill="1" applyBorder="1" applyAlignment="1" applyProtection="1">
      <alignment horizontal="left"/>
    </xf>
    <xf numFmtId="5" fontId="13" fillId="0" borderId="6" xfId="0" applyNumberFormat="1" applyFont="1" applyFill="1" applyBorder="1" applyAlignment="1" applyProtection="1">
      <alignment vertical="justify" wrapText="1"/>
    </xf>
    <xf numFmtId="0" fontId="13" fillId="0" borderId="20" xfId="0" applyFont="1" applyFill="1" applyBorder="1" applyAlignment="1" applyProtection="1">
      <alignment vertical="justify"/>
    </xf>
    <xf numFmtId="0" fontId="13" fillId="0" borderId="4" xfId="0" applyFont="1" applyFill="1" applyBorder="1" applyAlignment="1" applyProtection="1">
      <alignment vertical="top" wrapText="1"/>
    </xf>
    <xf numFmtId="0" fontId="13" fillId="0" borderId="7" xfId="0" applyFont="1" applyFill="1" applyBorder="1" applyProtection="1"/>
    <xf numFmtId="0" fontId="12" fillId="0" borderId="17" xfId="0" applyFont="1" applyFill="1" applyBorder="1" applyAlignment="1" applyProtection="1"/>
    <xf numFmtId="0" fontId="13" fillId="0" borderId="6" xfId="0" applyFont="1" applyFill="1" applyBorder="1" applyProtection="1"/>
    <xf numFmtId="0" fontId="12" fillId="0" borderId="0" xfId="0" applyFont="1" applyFill="1" applyBorder="1" applyAlignment="1" applyProtection="1"/>
    <xf numFmtId="0" fontId="12" fillId="0" borderId="17" xfId="0" applyFont="1" applyFill="1" applyBorder="1" applyAlignment="1" applyProtection="1">
      <alignment horizontal="left"/>
    </xf>
    <xf numFmtId="0" fontId="13" fillId="0" borderId="6" xfId="0" applyFont="1" applyFill="1" applyBorder="1" applyAlignment="1" applyProtection="1"/>
    <xf numFmtId="5" fontId="13" fillId="0" borderId="0" xfId="0" applyNumberFormat="1" applyFont="1" applyFill="1" applyProtection="1"/>
    <xf numFmtId="5" fontId="13" fillId="0" borderId="0" xfId="0" applyNumberFormat="1" applyFont="1" applyFill="1" applyBorder="1" applyAlignment="1" applyProtection="1">
      <alignment horizontal="center"/>
    </xf>
    <xf numFmtId="5" fontId="13" fillId="0" borderId="0" xfId="0" applyNumberFormat="1" applyFont="1" applyFill="1" applyBorder="1" applyProtection="1"/>
    <xf numFmtId="5" fontId="13" fillId="0" borderId="0" xfId="0" applyNumberFormat="1" applyFont="1" applyFill="1" applyBorder="1" applyAlignment="1" applyProtection="1">
      <alignment horizontal="left"/>
    </xf>
    <xf numFmtId="0" fontId="13" fillId="0" borderId="0" xfId="0" applyNumberFormat="1" applyFont="1" applyFill="1" applyBorder="1" applyAlignment="1" applyProtection="1">
      <alignment horizontal="left"/>
    </xf>
    <xf numFmtId="0" fontId="15" fillId="0" borderId="0" xfId="0" applyFont="1" applyFill="1" applyBorder="1" applyAlignment="1" applyProtection="1">
      <alignment horizontal="left"/>
    </xf>
    <xf numFmtId="0" fontId="13" fillId="0" borderId="0" xfId="0" quotePrefix="1" applyFont="1" applyFill="1" applyBorder="1" applyAlignment="1" applyProtection="1">
      <alignment horizontal="left"/>
    </xf>
    <xf numFmtId="0" fontId="13" fillId="0" borderId="0" xfId="0" applyFont="1" applyFill="1" applyBorder="1" applyAlignment="1" applyProtection="1">
      <alignment vertical="top" wrapText="1"/>
    </xf>
    <xf numFmtId="5" fontId="13" fillId="0" borderId="0" xfId="0" quotePrefix="1" applyNumberFormat="1" applyFont="1" applyFill="1" applyBorder="1" applyAlignment="1" applyProtection="1">
      <alignment horizontal="left"/>
    </xf>
    <xf numFmtId="1" fontId="13"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vertical="top"/>
    </xf>
    <xf numFmtId="0" fontId="13" fillId="0" borderId="11" xfId="0" applyFont="1" applyFill="1" applyBorder="1" applyProtection="1"/>
    <xf numFmtId="0" fontId="13" fillId="0" borderId="5" xfId="0" applyFont="1" applyFill="1" applyBorder="1" applyProtection="1"/>
    <xf numFmtId="0" fontId="13" fillId="0" borderId="12" xfId="0" applyFont="1" applyFill="1" applyBorder="1" applyProtection="1"/>
    <xf numFmtId="0" fontId="13" fillId="0" borderId="13" xfId="0" applyFont="1" applyFill="1" applyBorder="1" applyProtection="1"/>
    <xf numFmtId="49" fontId="13" fillId="0" borderId="0" xfId="0" applyNumberFormat="1" applyFont="1" applyFill="1" applyBorder="1" applyAlignment="1" applyProtection="1">
      <alignment horizontal="center"/>
    </xf>
    <xf numFmtId="0" fontId="13" fillId="0" borderId="15" xfId="0" applyFont="1" applyFill="1" applyBorder="1" applyProtection="1"/>
    <xf numFmtId="0" fontId="13" fillId="0" borderId="13" xfId="0" applyFont="1" applyFill="1" applyBorder="1" applyAlignment="1" applyProtection="1"/>
    <xf numFmtId="185" fontId="12" fillId="0" borderId="3" xfId="0" applyNumberFormat="1" applyFont="1" applyFill="1" applyBorder="1" applyAlignment="1" applyProtection="1">
      <alignment horizontal="center" wrapText="1"/>
    </xf>
    <xf numFmtId="185" fontId="15" fillId="0" borderId="0" xfId="0" applyNumberFormat="1" applyFont="1" applyFill="1" applyProtection="1"/>
    <xf numFmtId="6" fontId="13" fillId="0" borderId="0" xfId="0" applyNumberFormat="1" applyFont="1" applyFill="1" applyProtection="1"/>
    <xf numFmtId="0" fontId="12" fillId="0" borderId="0" xfId="0" applyFont="1" applyFill="1" applyBorder="1" applyAlignment="1" applyProtection="1">
      <alignment horizontal="right"/>
    </xf>
    <xf numFmtId="175" fontId="12" fillId="0" borderId="0" xfId="5" applyNumberFormat="1" applyFont="1" applyFill="1" applyProtection="1"/>
    <xf numFmtId="175" fontId="12" fillId="0" borderId="0" xfId="0" applyNumberFormat="1" applyFont="1" applyFill="1" applyProtection="1"/>
    <xf numFmtId="185" fontId="12" fillId="0" borderId="0" xfId="0" applyNumberFormat="1" applyFont="1" applyFill="1" applyProtection="1"/>
    <xf numFmtId="175" fontId="12" fillId="0" borderId="4" xfId="0" applyNumberFormat="1" applyFont="1" applyFill="1" applyBorder="1" applyProtection="1"/>
    <xf numFmtId="10" fontId="12" fillId="0" borderId="4" xfId="17" applyNumberFormat="1" applyFont="1" applyFill="1" applyBorder="1" applyProtection="1"/>
    <xf numFmtId="185" fontId="12" fillId="0" borderId="0" xfId="0" quotePrefix="1" applyNumberFormat="1" applyFont="1" applyFill="1" applyProtection="1"/>
    <xf numFmtId="185" fontId="12" fillId="0" borderId="0" xfId="0" applyNumberFormat="1" applyFont="1" applyFill="1" applyAlignment="1" applyProtection="1">
      <alignment horizontal="right"/>
    </xf>
    <xf numFmtId="175" fontId="12" fillId="0" borderId="0" xfId="0" applyNumberFormat="1" applyFont="1" applyFill="1" applyBorder="1" applyProtection="1"/>
    <xf numFmtId="185" fontId="13" fillId="0" borderId="0" xfId="30" applyNumberFormat="1" applyFont="1" applyFill="1" applyProtection="1"/>
    <xf numFmtId="185" fontId="32" fillId="0" borderId="0" xfId="30" applyNumberFormat="1" applyFont="1" applyFill="1" applyAlignment="1" applyProtection="1">
      <alignment horizontal="right"/>
    </xf>
    <xf numFmtId="175" fontId="13" fillId="0" borderId="0" xfId="30" applyNumberFormat="1" applyFont="1" applyFill="1" applyProtection="1"/>
    <xf numFmtId="185" fontId="13" fillId="0" borderId="0" xfId="0" applyNumberFormat="1" applyFont="1" applyFill="1" applyProtection="1"/>
    <xf numFmtId="0" fontId="13" fillId="0" borderId="0" xfId="30" applyFont="1" applyFill="1" applyProtection="1"/>
    <xf numFmtId="185" fontId="13" fillId="0" borderId="0" xfId="30" applyNumberFormat="1" applyFont="1" applyFill="1" applyAlignment="1" applyProtection="1">
      <alignment horizontal="right"/>
    </xf>
    <xf numFmtId="175" fontId="13" fillId="0" borderId="0" xfId="30" applyNumberFormat="1" applyFont="1" applyFill="1" applyAlignment="1" applyProtection="1">
      <alignment horizontal="right"/>
    </xf>
    <xf numFmtId="175" fontId="12" fillId="0" borderId="21" xfId="30" applyNumberFormat="1" applyFont="1" applyFill="1" applyBorder="1" applyProtection="1"/>
    <xf numFmtId="0" fontId="13" fillId="0" borderId="0" xfId="15" applyNumberFormat="1" applyFont="1" applyFill="1"/>
    <xf numFmtId="10" fontId="13" fillId="0" borderId="0" xfId="17" applyNumberFormat="1" applyFont="1" applyFill="1"/>
    <xf numFmtId="0" fontId="13" fillId="0" borderId="0" xfId="14" applyFont="1" applyFill="1" applyBorder="1" applyAlignment="1" applyProtection="1">
      <alignment horizontal="center" vertical="center"/>
    </xf>
    <xf numFmtId="193" fontId="13" fillId="0" borderId="0" xfId="18" applyNumberFormat="1" applyFont="1" applyFill="1" applyBorder="1" applyAlignment="1" applyProtection="1">
      <alignment horizontal="center" vertical="center"/>
    </xf>
    <xf numFmtId="1" fontId="13" fillId="0" borderId="0" xfId="18" applyNumberFormat="1" applyFont="1" applyFill="1" applyAlignment="1" applyProtection="1">
      <alignment horizontal="center" vertical="center"/>
    </xf>
    <xf numFmtId="0" fontId="13" fillId="0" borderId="0" xfId="18" applyNumberFormat="1" applyFont="1" applyFill="1" applyAlignment="1" applyProtection="1">
      <alignment horizontal="center" vertical="center"/>
    </xf>
    <xf numFmtId="164" fontId="13" fillId="0" borderId="0"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3" fillId="0" borderId="3" xfId="1" applyNumberFormat="1" applyFont="1" applyFill="1" applyBorder="1" applyAlignment="1" applyProtection="1">
      <alignment vertical="center"/>
    </xf>
    <xf numFmtId="164" fontId="13" fillId="0" borderId="0" xfId="1" applyNumberFormat="1" applyFont="1" applyFill="1" applyAlignment="1" applyProtection="1">
      <alignment horizontal="center" vertical="center"/>
    </xf>
    <xf numFmtId="164" fontId="13" fillId="0" borderId="3" xfId="1" applyNumberFormat="1" applyFont="1" applyFill="1" applyBorder="1" applyAlignment="1" applyProtection="1">
      <alignment horizontal="center" vertical="center"/>
    </xf>
    <xf numFmtId="164" fontId="17" fillId="0" borderId="3" xfId="1" applyNumberFormat="1" applyFont="1" applyFill="1" applyBorder="1"/>
    <xf numFmtId="0" fontId="13" fillId="0" borderId="0" xfId="7" applyFont="1" applyFill="1" applyProtection="1"/>
    <xf numFmtId="0" fontId="12" fillId="0" borderId="0" xfId="14" applyNumberFormat="1" applyFont="1" applyFill="1" applyBorder="1" applyAlignment="1" applyProtection="1">
      <alignment horizontal="center"/>
    </xf>
    <xf numFmtId="40" fontId="13" fillId="0" borderId="0" xfId="2" applyFont="1" applyFill="1" applyProtection="1"/>
    <xf numFmtId="0" fontId="13" fillId="0" borderId="0" xfId="7" applyFont="1" applyFill="1" applyAlignment="1" applyProtection="1">
      <alignment horizontal="center"/>
    </xf>
    <xf numFmtId="0" fontId="13" fillId="0" borderId="0" xfId="7" applyNumberFormat="1" applyFont="1" applyFill="1" applyAlignment="1" applyProtection="1">
      <alignment horizontal="center"/>
    </xf>
    <xf numFmtId="0" fontId="12" fillId="0" borderId="0" xfId="7" applyFont="1" applyFill="1" applyBorder="1" applyAlignment="1" applyProtection="1">
      <alignment horizontal="center"/>
    </xf>
    <xf numFmtId="0" fontId="12" fillId="0" borderId="1" xfId="24" applyFont="1" applyFill="1" applyAlignment="1" applyProtection="1">
      <alignment horizontal="center" wrapText="1"/>
    </xf>
    <xf numFmtId="0" fontId="12" fillId="0" borderId="1" xfId="24" applyNumberFormat="1" applyFont="1" applyFill="1" applyAlignment="1" applyProtection="1">
      <alignment horizontal="center" wrapText="1"/>
    </xf>
    <xf numFmtId="40" fontId="12" fillId="0" borderId="1" xfId="2" applyFont="1" applyFill="1" applyBorder="1" applyAlignment="1" applyProtection="1">
      <alignment horizontal="center" wrapText="1"/>
    </xf>
    <xf numFmtId="40" fontId="13" fillId="0" borderId="0" xfId="0" applyNumberFormat="1" applyFont="1" applyFill="1" applyProtection="1"/>
    <xf numFmtId="10" fontId="13" fillId="0" borderId="0" xfId="22" applyNumberFormat="1" applyFont="1" applyFill="1" applyAlignment="1" applyProtection="1">
      <alignment horizontal="center"/>
    </xf>
    <xf numFmtId="43" fontId="13" fillId="0" borderId="0" xfId="1" applyNumberFormat="1" applyFont="1" applyFill="1" applyAlignment="1" applyProtection="1">
      <alignment horizontal="center"/>
    </xf>
    <xf numFmtId="40" fontId="13" fillId="0" borderId="0" xfId="2" applyFont="1" applyFill="1" applyAlignment="1" applyProtection="1">
      <alignment horizontal="center"/>
    </xf>
    <xf numFmtId="164" fontId="13" fillId="0" borderId="0" xfId="1" applyNumberFormat="1" applyFont="1" applyFill="1" applyAlignment="1" applyProtection="1">
      <alignment horizontal="center"/>
    </xf>
    <xf numFmtId="164" fontId="13" fillId="0" borderId="4" xfId="1" applyNumberFormat="1" applyFont="1" applyFill="1" applyBorder="1" applyProtection="1"/>
    <xf numFmtId="4" fontId="13" fillId="0" borderId="0" xfId="7" applyNumberFormat="1" applyFont="1" applyFill="1" applyAlignment="1" applyProtection="1">
      <alignment horizontal="center"/>
    </xf>
    <xf numFmtId="4" fontId="13" fillId="0" borderId="0" xfId="7" applyNumberFormat="1" applyFont="1" applyFill="1" applyProtection="1"/>
    <xf numFmtId="164" fontId="13" fillId="0" borderId="4" xfId="1" applyNumberFormat="1" applyFont="1" applyFill="1" applyBorder="1" applyAlignment="1" applyProtection="1">
      <alignment horizontal="center"/>
    </xf>
    <xf numFmtId="164" fontId="13" fillId="0" borderId="0" xfId="7" applyNumberFormat="1" applyFont="1" applyFill="1" applyProtection="1"/>
    <xf numFmtId="164" fontId="13" fillId="0" borderId="0" xfId="7" applyNumberFormat="1" applyFont="1" applyFill="1" applyAlignment="1" applyProtection="1">
      <alignment horizontal="center"/>
    </xf>
    <xf numFmtId="164" fontId="13" fillId="0" borderId="0" xfId="2" applyNumberFormat="1" applyFont="1" applyFill="1" applyProtection="1"/>
    <xf numFmtId="180" fontId="13" fillId="0" borderId="0" xfId="13" applyFont="1" applyFill="1" applyProtection="1"/>
    <xf numFmtId="2" fontId="24" fillId="0" borderId="0" xfId="13" applyNumberFormat="1" applyFont="1" applyFill="1" applyAlignment="1" applyProtection="1">
      <alignment horizontal="center"/>
    </xf>
    <xf numFmtId="14" fontId="24" fillId="0" borderId="0" xfId="13" applyNumberFormat="1" applyFont="1" applyFill="1" applyProtection="1"/>
    <xf numFmtId="189" fontId="24" fillId="0" borderId="0" xfId="13" applyNumberFormat="1" applyFont="1" applyFill="1" applyProtection="1"/>
    <xf numFmtId="0" fontId="24" fillId="0" borderId="0" xfId="0" applyFont="1" applyFill="1" applyAlignment="1" applyProtection="1">
      <alignment horizontal="left"/>
    </xf>
    <xf numFmtId="178" fontId="24" fillId="0" borderId="0" xfId="13" applyNumberFormat="1" applyFont="1" applyFill="1" applyBorder="1" applyProtection="1"/>
    <xf numFmtId="14" fontId="13" fillId="0" borderId="0" xfId="13" applyNumberFormat="1" applyFont="1" applyFill="1" applyProtection="1"/>
    <xf numFmtId="3" fontId="15" fillId="0" borderId="0" xfId="0" applyNumberFormat="1" applyFont="1" applyFill="1" applyBorder="1" applyProtection="1"/>
    <xf numFmtId="0" fontId="13" fillId="0" borderId="0"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166" fontId="13" fillId="0" borderId="0" xfId="5" applyNumberFormat="1" applyFont="1" applyFill="1" applyProtection="1"/>
    <xf numFmtId="38" fontId="13" fillId="0" borderId="0" xfId="5" applyNumberFormat="1" applyFont="1" applyFill="1" applyProtection="1"/>
    <xf numFmtId="166" fontId="13" fillId="0" borderId="4" xfId="5" applyNumberFormat="1" applyFont="1" applyFill="1" applyBorder="1" applyProtection="1"/>
    <xf numFmtId="44" fontId="15" fillId="0" borderId="0" xfId="5" applyFont="1" applyFill="1" applyBorder="1" applyAlignment="1" applyProtection="1">
      <alignment horizontal="center"/>
    </xf>
    <xf numFmtId="6" fontId="13" fillId="0" borderId="0" xfId="5" applyNumberFormat="1" applyFont="1" applyFill="1" applyBorder="1" applyAlignment="1" applyProtection="1">
      <alignment horizontal="right"/>
    </xf>
    <xf numFmtId="44" fontId="13" fillId="0" borderId="0" xfId="0" applyNumberFormat="1" applyFont="1" applyFill="1" applyBorder="1" applyProtection="1"/>
    <xf numFmtId="43" fontId="13" fillId="0" borderId="0" xfId="0" applyNumberFormat="1" applyFont="1" applyFill="1" applyAlignment="1" applyProtection="1">
      <alignment horizontal="center"/>
    </xf>
    <xf numFmtId="43" fontId="13" fillId="0" borderId="0" xfId="0" applyNumberFormat="1" applyFont="1" applyFill="1" applyProtection="1"/>
    <xf numFmtId="49" fontId="12" fillId="0" borderId="2" xfId="0" applyNumberFormat="1" applyFont="1" applyFill="1" applyBorder="1" applyAlignment="1" applyProtection="1">
      <alignment horizontal="center"/>
    </xf>
    <xf numFmtId="0" fontId="16" fillId="0" borderId="2" xfId="0" applyFont="1" applyFill="1" applyBorder="1" applyAlignment="1" applyProtection="1">
      <alignment horizontal="center" wrapText="1"/>
    </xf>
    <xf numFmtId="43" fontId="12" fillId="0" borderId="2" xfId="0" applyNumberFormat="1" applyFont="1" applyFill="1" applyBorder="1" applyAlignment="1" applyProtection="1">
      <alignment horizontal="center"/>
    </xf>
    <xf numFmtId="49" fontId="12" fillId="0" borderId="0" xfId="0" applyNumberFormat="1" applyFont="1" applyFill="1" applyBorder="1" applyAlignment="1" applyProtection="1">
      <alignment horizontal="center"/>
    </xf>
    <xf numFmtId="49" fontId="13" fillId="0" borderId="0" xfId="0" applyNumberFormat="1" applyFont="1" applyFill="1" applyProtection="1"/>
    <xf numFmtId="49" fontId="13" fillId="0" borderId="0" xfId="0" applyNumberFormat="1" applyFont="1" applyFill="1" applyAlignment="1" applyProtection="1">
      <alignment horizontal="center"/>
    </xf>
    <xf numFmtId="39" fontId="13" fillId="0" borderId="0" xfId="0" applyNumberFormat="1" applyFont="1" applyFill="1" applyProtection="1"/>
    <xf numFmtId="43" fontId="13" fillId="0" borderId="5" xfId="0" applyNumberFormat="1" applyFont="1" applyFill="1" applyBorder="1" applyProtection="1"/>
    <xf numFmtId="166" fontId="17" fillId="0" borderId="0" xfId="5" applyNumberFormat="1" applyFont="1" applyFill="1" applyBorder="1" applyProtection="1"/>
    <xf numFmtId="0" fontId="13" fillId="0" borderId="16" xfId="0" applyFont="1" applyFill="1" applyBorder="1" applyProtection="1"/>
    <xf numFmtId="43" fontId="13" fillId="0" borderId="3" xfId="0" applyNumberFormat="1" applyFont="1" applyFill="1" applyBorder="1" applyProtection="1"/>
    <xf numFmtId="164" fontId="13" fillId="0" borderId="20" xfId="0" applyNumberFormat="1" applyFont="1" applyFill="1" applyBorder="1" applyAlignment="1" applyProtection="1">
      <alignment vertical="justify"/>
    </xf>
    <xf numFmtId="41" fontId="12" fillId="0" borderId="0" xfId="14" applyNumberFormat="1" applyFont="1" applyFill="1" applyBorder="1" applyAlignment="1" applyProtection="1">
      <alignment horizontal="center"/>
    </xf>
    <xf numFmtId="1" fontId="12" fillId="0" borderId="1" xfId="24" applyNumberFormat="1" applyFont="1" applyFill="1" applyAlignment="1" applyProtection="1">
      <alignment horizontal="center" wrapText="1"/>
    </xf>
    <xf numFmtId="41" fontId="12" fillId="0" borderId="1" xfId="24" applyNumberFormat="1" applyFont="1" applyFill="1" applyAlignment="1" applyProtection="1">
      <alignment horizontal="center" wrapText="1"/>
    </xf>
    <xf numFmtId="41" fontId="12" fillId="0" borderId="1" xfId="0" applyNumberFormat="1" applyFont="1" applyFill="1" applyBorder="1" applyAlignment="1" applyProtection="1">
      <alignment horizontal="center" wrapText="1"/>
    </xf>
    <xf numFmtId="41" fontId="12" fillId="0" borderId="1" xfId="14" applyNumberFormat="1" applyFont="1" applyFill="1" applyBorder="1" applyAlignment="1" applyProtection="1">
      <alignment horizontal="center" wrapText="1"/>
    </xf>
    <xf numFmtId="1" fontId="13" fillId="0" borderId="0" xfId="16" applyNumberFormat="1" applyFont="1" applyFill="1" applyAlignment="1" applyProtection="1">
      <alignment horizontal="center"/>
    </xf>
    <xf numFmtId="41" fontId="13" fillId="0" borderId="0" xfId="22" applyNumberFormat="1" applyFont="1" applyFill="1" applyProtection="1"/>
    <xf numFmtId="41" fontId="13" fillId="0" borderId="0" xfId="22" applyNumberFormat="1" applyFont="1" applyFill="1" applyBorder="1" applyProtection="1"/>
    <xf numFmtId="41" fontId="13" fillId="0" borderId="0" xfId="14" applyNumberFormat="1" applyFont="1" applyFill="1" applyBorder="1" applyProtection="1"/>
    <xf numFmtId="41" fontId="13" fillId="0" borderId="4" xfId="5" applyNumberFormat="1" applyFont="1" applyFill="1" applyBorder="1" applyAlignment="1" applyProtection="1"/>
    <xf numFmtId="41" fontId="55" fillId="0" borderId="0" xfId="14" applyNumberFormat="1" applyFont="1" applyFill="1" applyBorder="1" applyProtection="1"/>
    <xf numFmtId="5" fontId="13" fillId="0" borderId="0" xfId="1" applyNumberFormat="1" applyFont="1" applyFill="1" applyProtection="1"/>
    <xf numFmtId="38" fontId="13" fillId="0" borderId="0" xfId="0" applyNumberFormat="1" applyFont="1" applyFill="1" applyProtection="1"/>
    <xf numFmtId="38" fontId="13" fillId="0" borderId="0" xfId="1" applyNumberFormat="1" applyFont="1" applyFill="1" applyProtection="1"/>
    <xf numFmtId="38" fontId="15" fillId="0" borderId="0" xfId="1" applyNumberFormat="1" applyFont="1" applyFill="1" applyProtection="1"/>
    <xf numFmtId="43" fontId="13" fillId="0" borderId="0" xfId="1" applyFont="1" applyFill="1" applyAlignment="1" applyProtection="1">
      <alignment horizontal="left"/>
    </xf>
    <xf numFmtId="6" fontId="13" fillId="0" borderId="0" xfId="1" applyNumberFormat="1" applyFont="1" applyFill="1" applyProtection="1"/>
    <xf numFmtId="38" fontId="15" fillId="0" borderId="0" xfId="1" applyNumberFormat="1" applyFont="1" applyFill="1" applyBorder="1" applyProtection="1"/>
    <xf numFmtId="175" fontId="13" fillId="0" borderId="0" xfId="1" applyNumberFormat="1" applyFont="1" applyFill="1" applyProtection="1"/>
    <xf numFmtId="0" fontId="12" fillId="0" borderId="0" xfId="0" applyFont="1" applyFill="1" applyAlignment="1" applyProtection="1">
      <alignment horizontal="left"/>
    </xf>
    <xf numFmtId="3" fontId="13" fillId="0" borderId="0" xfId="22" applyNumberFormat="1" applyFont="1" applyFill="1" applyBorder="1" applyAlignment="1" applyProtection="1">
      <alignment horizontal="right"/>
    </xf>
    <xf numFmtId="3" fontId="13" fillId="0" borderId="4" xfId="18" applyNumberFormat="1" applyFont="1" applyFill="1" applyBorder="1" applyAlignment="1" applyProtection="1">
      <alignment horizontal="right"/>
    </xf>
    <xf numFmtId="185" fontId="13" fillId="0" borderId="0" xfId="0" applyNumberFormat="1" applyFont="1" applyFill="1" applyAlignment="1">
      <alignment horizontal="right"/>
    </xf>
    <xf numFmtId="185" fontId="12" fillId="0" borderId="0" xfId="0" applyNumberFormat="1" applyFont="1" applyFill="1"/>
    <xf numFmtId="185" fontId="109" fillId="0" borderId="0" xfId="0" applyNumberFormat="1" applyFont="1" applyFill="1" applyAlignment="1">
      <alignment horizontal="right"/>
    </xf>
    <xf numFmtId="175" fontId="13" fillId="0" borderId="0" xfId="0" applyNumberFormat="1" applyFont="1" applyFill="1" applyBorder="1"/>
    <xf numFmtId="175" fontId="13" fillId="0" borderId="21" xfId="0" applyNumberFormat="1" applyFont="1" applyFill="1" applyBorder="1"/>
    <xf numFmtId="49" fontId="13" fillId="0" borderId="0" xfId="7098" applyNumberFormat="1" applyFont="1" applyFill="1" applyProtection="1"/>
    <xf numFmtId="0" fontId="13" fillId="0" borderId="0" xfId="18" quotePrefix="1" applyNumberFormat="1" applyFont="1" applyFill="1" applyAlignment="1" applyProtection="1"/>
    <xf numFmtId="37" fontId="13" fillId="0" borderId="3" xfId="1" applyNumberFormat="1" applyFont="1" applyFill="1" applyBorder="1" applyAlignment="1" applyProtection="1"/>
    <xf numFmtId="37" fontId="13" fillId="0" borderId="0" xfId="1" applyNumberFormat="1" applyFont="1" applyFill="1" applyBorder="1" applyAlignment="1" applyProtection="1"/>
    <xf numFmtId="41" fontId="13" fillId="0" borderId="0" xfId="0" applyNumberFormat="1" applyFont="1" applyFill="1" applyAlignment="1" applyProtection="1">
      <alignment horizontal="right"/>
    </xf>
    <xf numFmtId="196" fontId="13" fillId="0" borderId="0" xfId="17" applyNumberFormat="1" applyFont="1" applyFill="1" applyProtection="1"/>
    <xf numFmtId="41" fontId="17" fillId="0" borderId="0" xfId="0" applyNumberFormat="1" applyFont="1" applyFill="1" applyProtection="1"/>
    <xf numFmtId="167" fontId="13" fillId="0" borderId="0" xfId="0" applyNumberFormat="1" applyFont="1" applyFill="1" applyBorder="1" applyProtection="1"/>
    <xf numFmtId="173" fontId="13" fillId="0" borderId="0" xfId="0" applyNumberFormat="1" applyFont="1" applyFill="1" applyBorder="1" applyProtection="1"/>
    <xf numFmtId="10" fontId="24" fillId="0" borderId="0" xfId="17" applyNumberFormat="1" applyFont="1" applyFill="1" applyAlignment="1" applyProtection="1">
      <alignment horizontal="center"/>
    </xf>
    <xf numFmtId="180" fontId="12" fillId="0" borderId="0" xfId="13" applyFont="1" applyFill="1" applyProtection="1"/>
    <xf numFmtId="42" fontId="13" fillId="0" borderId="0" xfId="5" applyNumberFormat="1" applyFont="1" applyFill="1" applyBorder="1" applyProtection="1"/>
    <xf numFmtId="0" fontId="55" fillId="0" borderId="0" xfId="7" applyFont="1" applyFill="1"/>
    <xf numFmtId="43" fontId="55" fillId="0" borderId="0" xfId="7" applyNumberFormat="1" applyFont="1" applyFill="1"/>
    <xf numFmtId="0" fontId="34" fillId="0" borderId="0" xfId="0" applyFont="1" applyFill="1" applyBorder="1" applyAlignment="1" applyProtection="1">
      <alignment horizontal="center"/>
    </xf>
    <xf numFmtId="0" fontId="13" fillId="0" borderId="0" xfId="0" applyFont="1" applyFill="1" applyBorder="1" applyAlignment="1" applyProtection="1">
      <alignment horizontal="left" wrapText="1"/>
    </xf>
    <xf numFmtId="0" fontId="13" fillId="0" borderId="13" xfId="0" applyFont="1" applyFill="1" applyBorder="1" applyAlignment="1" applyProtection="1">
      <alignment horizontal="left"/>
    </xf>
    <xf numFmtId="0" fontId="0" fillId="0" borderId="0" xfId="0"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0" fontId="13" fillId="0" borderId="0" xfId="0" applyFont="1" applyFill="1" applyAlignment="1">
      <alignment horizontal="center"/>
    </xf>
    <xf numFmtId="0" fontId="12" fillId="0" borderId="0" xfId="0" applyFont="1" applyFill="1" applyAlignment="1">
      <alignment horizontal="center"/>
    </xf>
    <xf numFmtId="175" fontId="13" fillId="0" borderId="0" xfId="0" applyNumberFormat="1" applyFont="1" applyFill="1" applyAlignment="1">
      <alignment horizontal="center"/>
    </xf>
    <xf numFmtId="175" fontId="13" fillId="0" borderId="3" xfId="0" applyNumberFormat="1" applyFont="1" applyFill="1" applyBorder="1" applyAlignment="1">
      <alignment horizontal="center"/>
    </xf>
    <xf numFmtId="0" fontId="13" fillId="0" borderId="0" xfId="0" applyFont="1" applyFill="1" applyAlignment="1" applyProtection="1">
      <alignment horizontal="center"/>
    </xf>
    <xf numFmtId="0" fontId="12" fillId="0" borderId="0" xfId="0" applyFont="1" applyFill="1" applyAlignment="1" applyProtection="1">
      <alignment horizontal="center"/>
    </xf>
    <xf numFmtId="0" fontId="13" fillId="0" borderId="5" xfId="0" applyFont="1" applyFill="1" applyBorder="1" applyAlignment="1" applyProtection="1">
      <alignment horizontal="center"/>
    </xf>
    <xf numFmtId="0" fontId="13" fillId="0" borderId="12" xfId="0" applyFont="1" applyFill="1" applyBorder="1" applyAlignment="1" applyProtection="1">
      <alignment horizontal="center"/>
    </xf>
    <xf numFmtId="0" fontId="12" fillId="0" borderId="0" xfId="14" applyFont="1" applyFill="1" applyBorder="1" applyAlignment="1" applyProtection="1">
      <alignment horizontal="center"/>
    </xf>
    <xf numFmtId="0" fontId="12" fillId="0" borderId="0" xfId="14" applyFont="1" applyFill="1" applyBorder="1" applyAlignment="1">
      <alignment horizontal="center"/>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2" fillId="0" borderId="0" xfId="7" applyFont="1" applyFill="1" applyAlignment="1">
      <alignment horizontal="center"/>
    </xf>
    <xf numFmtId="0" fontId="13" fillId="0" borderId="0" xfId="15" applyNumberFormat="1" applyFont="1" applyFill="1" applyAlignment="1">
      <alignment vertical="center"/>
    </xf>
    <xf numFmtId="37" fontId="13" fillId="0" borderId="0" xfId="18" applyNumberFormat="1" applyFont="1" applyFill="1" applyAlignment="1" applyProtection="1">
      <alignment horizontal="right"/>
    </xf>
    <xf numFmtId="179" fontId="13" fillId="0" borderId="4" xfId="17" applyNumberFormat="1" applyFont="1" applyFill="1" applyBorder="1" applyProtection="1"/>
    <xf numFmtId="179" fontId="15" fillId="0" borderId="0" xfId="17" applyNumberFormat="1" applyFont="1" applyFill="1" applyAlignment="1" applyProtection="1">
      <alignment horizontal="right"/>
    </xf>
    <xf numFmtId="179" fontId="13" fillId="0" borderId="0" xfId="17" applyNumberFormat="1" applyFont="1" applyFill="1" applyProtection="1"/>
    <xf numFmtId="179" fontId="15" fillId="0" borderId="0" xfId="17" applyNumberFormat="1" applyFont="1" applyFill="1" applyProtection="1"/>
    <xf numFmtId="179" fontId="13" fillId="0" borderId="0" xfId="17" applyNumberFormat="1" applyFont="1" applyFill="1" applyBorder="1" applyProtection="1"/>
    <xf numFmtId="179" fontId="12" fillId="0" borderId="0" xfId="17" applyNumberFormat="1" applyFont="1" applyFill="1" applyBorder="1" applyProtection="1"/>
    <xf numFmtId="179" fontId="13" fillId="0" borderId="4" xfId="17" applyNumberFormat="1" applyFont="1" applyFill="1" applyBorder="1" applyAlignment="1" applyProtection="1">
      <alignment horizontal="right"/>
    </xf>
    <xf numFmtId="40" fontId="13" fillId="0" borderId="0" xfId="22" applyNumberFormat="1" applyFont="1" applyFill="1" applyProtection="1"/>
    <xf numFmtId="0" fontId="0" fillId="0" borderId="0" xfId="0" applyFill="1" applyProtection="1"/>
    <xf numFmtId="0" fontId="13" fillId="0" borderId="0" xfId="56" applyFont="1" applyFill="1" applyProtection="1"/>
    <xf numFmtId="0" fontId="0" fillId="0" borderId="0" xfId="0" applyFill="1"/>
    <xf numFmtId="0" fontId="137" fillId="0" borderId="0" xfId="7098" applyFont="1" applyFill="1" applyProtection="1"/>
    <xf numFmtId="0" fontId="13" fillId="0" borderId="0" xfId="7098" applyFont="1" applyFill="1" applyProtection="1"/>
    <xf numFmtId="0" fontId="34" fillId="0" borderId="0" xfId="7098" applyFont="1" applyFill="1" applyProtection="1"/>
    <xf numFmtId="0" fontId="13" fillId="0" borderId="0" xfId="24829" applyFont="1" applyFill="1"/>
    <xf numFmtId="37" fontId="13" fillId="0" borderId="0" xfId="22" applyNumberFormat="1" applyFont="1" applyFill="1" applyBorder="1" applyAlignment="1" applyProtection="1">
      <alignment horizontal="right"/>
    </xf>
    <xf numFmtId="3" fontId="13" fillId="0" borderId="0" xfId="22" applyNumberFormat="1" applyFont="1" applyFill="1" applyProtection="1">
      <protection locked="0"/>
    </xf>
    <xf numFmtId="0" fontId="12" fillId="0" borderId="0" xfId="14" applyFont="1" applyFill="1" applyBorder="1" applyAlignment="1" applyProtection="1"/>
    <xf numFmtId="0" fontId="12" fillId="0" borderId="0" xfId="14" applyFont="1" applyFill="1" applyBorder="1" applyAlignment="1" applyProtection="1">
      <alignment horizontal="center" wrapText="1"/>
    </xf>
    <xf numFmtId="0" fontId="13" fillId="0" borderId="0" xfId="14" applyFont="1" applyFill="1" applyBorder="1" applyAlignment="1" applyProtection="1">
      <alignment horizontal="left"/>
    </xf>
    <xf numFmtId="0" fontId="12" fillId="0" borderId="0" xfId="0" applyFont="1" applyFill="1" applyAlignment="1">
      <alignment horizontal="center"/>
    </xf>
    <xf numFmtId="0" fontId="13" fillId="0" borderId="0" xfId="0" applyFont="1" applyFill="1" applyAlignment="1" applyProtection="1">
      <alignment horizontal="center"/>
    </xf>
    <xf numFmtId="0" fontId="13" fillId="0" borderId="0" xfId="0" applyFont="1" applyFill="1" applyAlignment="1">
      <alignment horizontal="center"/>
    </xf>
    <xf numFmtId="0" fontId="13" fillId="0" borderId="0" xfId="0" applyFont="1" applyFill="1" applyAlignment="1" applyProtection="1">
      <alignment horizontal="center"/>
    </xf>
    <xf numFmtId="0" fontId="2" fillId="0" borderId="0" xfId="28699"/>
    <xf numFmtId="0" fontId="109" fillId="0" borderId="0" xfId="28699" applyFont="1"/>
    <xf numFmtId="0" fontId="13" fillId="0" borderId="0" xfId="24802" applyFont="1"/>
    <xf numFmtId="0" fontId="109" fillId="0" borderId="0" xfId="28699" applyFont="1" applyFill="1"/>
    <xf numFmtId="0" fontId="2" fillId="0" borderId="0" xfId="28699" applyFill="1"/>
    <xf numFmtId="0" fontId="54" fillId="0" borderId="0" xfId="28699" applyFont="1" applyFill="1"/>
    <xf numFmtId="0" fontId="13" fillId="0" borderId="0" xfId="24457" applyFont="1" applyAlignment="1">
      <alignment horizontal="right"/>
    </xf>
    <xf numFmtId="0" fontId="16" fillId="0" borderId="0" xfId="24802" applyFont="1" applyAlignment="1">
      <alignment horizontal="center"/>
    </xf>
    <xf numFmtId="0" fontId="13" fillId="0" borderId="0" xfId="0" applyFont="1" applyFill="1" applyAlignment="1" applyProtection="1">
      <alignment wrapText="1"/>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44" fontId="13" fillId="0" borderId="21" xfId="5" applyFont="1" applyFill="1" applyBorder="1"/>
    <xf numFmtId="44" fontId="109" fillId="0" borderId="0" xfId="5" applyFont="1" applyFill="1"/>
    <xf numFmtId="44" fontId="109" fillId="0" borderId="21" xfId="5" applyFont="1" applyFill="1" applyBorder="1"/>
    <xf numFmtId="166" fontId="13" fillId="0" borderId="21" xfId="5" applyNumberFormat="1" applyFont="1" applyFill="1" applyBorder="1"/>
    <xf numFmtId="0" fontId="13" fillId="0" borderId="0" xfId="0" applyFont="1" applyFill="1" applyBorder="1" applyAlignment="1" applyProtection="1">
      <alignment horizontal="center"/>
    </xf>
    <xf numFmtId="179" fontId="24" fillId="0" borderId="0" xfId="7102" applyNumberFormat="1" applyFont="1" applyFill="1"/>
    <xf numFmtId="0" fontId="13" fillId="0" borderId="0" xfId="0" applyFont="1" applyFill="1" applyAlignment="1" applyProtection="1">
      <alignment horizontal="center"/>
    </xf>
    <xf numFmtId="44" fontId="13" fillId="0" borderId="0" xfId="5" applyNumberFormat="1" applyFont="1" applyFill="1" applyBorder="1" applyAlignment="1" applyProtection="1">
      <alignment horizontal="right"/>
    </xf>
    <xf numFmtId="5" fontId="13" fillId="0" borderId="4" xfId="0" applyNumberFormat="1" applyFont="1" applyFill="1" applyBorder="1" applyAlignment="1" applyProtection="1">
      <alignment vertical="top" wrapText="1"/>
    </xf>
    <xf numFmtId="43" fontId="0" fillId="0" borderId="0" xfId="1" applyFont="1" applyFill="1" applyAlignment="1">
      <alignment horizontal="left"/>
    </xf>
    <xf numFmtId="0" fontId="55" fillId="0" borderId="0" xfId="7" applyFont="1" applyFill="1" applyProtection="1"/>
    <xf numFmtId="40" fontId="55" fillId="0" borderId="0" xfId="7" applyNumberFormat="1" applyFont="1" applyFill="1" applyProtection="1"/>
    <xf numFmtId="49" fontId="24" fillId="0" borderId="0" xfId="24457" applyNumberFormat="1" applyFill="1" applyAlignment="1">
      <alignment horizontal="center"/>
    </xf>
    <xf numFmtId="0" fontId="13" fillId="0" borderId="0" xfId="0" applyFont="1" applyFill="1" applyAlignment="1">
      <alignment horizontal="center"/>
    </xf>
    <xf numFmtId="0" fontId="12" fillId="0" borderId="0" xfId="0" applyFont="1" applyFill="1" applyAlignment="1">
      <alignment horizontal="center"/>
    </xf>
    <xf numFmtId="49" fontId="24" fillId="0" borderId="0" xfId="24457" applyNumberFormat="1" applyFill="1"/>
    <xf numFmtId="49" fontId="24" fillId="0" borderId="0" xfId="24457" applyNumberFormat="1" applyFill="1" applyAlignment="1">
      <alignment wrapText="1"/>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0" xfId="0" applyFont="1" applyFill="1" applyAlignment="1" applyProtection="1">
      <alignment horizontal="center"/>
    </xf>
    <xf numFmtId="0" fontId="12" fillId="0" borderId="0" xfId="0" applyFont="1" applyFill="1" applyAlignment="1" applyProtection="1">
      <alignment horizontal="center"/>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164" fontId="13" fillId="0" borderId="6" xfId="0" applyNumberFormat="1" applyFont="1" applyFill="1" applyBorder="1" applyAlignment="1" applyProtection="1">
      <alignment vertical="justify"/>
    </xf>
    <xf numFmtId="176" fontId="24" fillId="0" borderId="0" xfId="13" applyNumberFormat="1" applyFont="1" applyFill="1" applyBorder="1" applyProtection="1"/>
    <xf numFmtId="171" fontId="24" fillId="0" borderId="0" xfId="13" applyNumberFormat="1" applyFont="1" applyFill="1" applyProtection="1"/>
    <xf numFmtId="181" fontId="24" fillId="0" borderId="0" xfId="13" applyNumberFormat="1" applyFont="1" applyFill="1" applyBorder="1" applyProtection="1"/>
    <xf numFmtId="180" fontId="24" fillId="0" borderId="0" xfId="13" quotePrefix="1" applyFont="1" applyFill="1" applyAlignment="1" applyProtection="1">
      <alignment horizontal="center"/>
    </xf>
    <xf numFmtId="180" fontId="24" fillId="0" borderId="0" xfId="13" applyFont="1" applyFill="1" applyAlignment="1" applyProtection="1"/>
    <xf numFmtId="14" fontId="24" fillId="0" borderId="0" xfId="13" applyNumberFormat="1" applyFont="1" applyFill="1" applyAlignment="1" applyProtection="1"/>
    <xf numFmtId="180" fontId="24" fillId="0" borderId="0" xfId="13" applyFont="1" applyFill="1" applyAlignment="1" applyProtection="1">
      <alignment horizontal="center"/>
    </xf>
    <xf numFmtId="14" fontId="24" fillId="0" borderId="0" xfId="13" applyNumberFormat="1" applyFont="1" applyFill="1" applyAlignment="1" applyProtection="1">
      <alignment horizontal="center"/>
    </xf>
    <xf numFmtId="180" fontId="24" fillId="0" borderId="3" xfId="13" applyFont="1" applyFill="1" applyBorder="1" applyAlignment="1" applyProtection="1">
      <alignment horizontal="center"/>
    </xf>
    <xf numFmtId="14" fontId="24" fillId="0" borderId="3" xfId="13" applyNumberFormat="1" applyFont="1" applyFill="1" applyBorder="1" applyAlignment="1" applyProtection="1">
      <alignment horizontal="center"/>
    </xf>
    <xf numFmtId="180" fontId="37" fillId="0" borderId="0" xfId="13" applyFont="1" applyFill="1" applyAlignment="1" applyProtection="1">
      <alignment horizontal="left"/>
    </xf>
    <xf numFmtId="180" fontId="24" fillId="0" borderId="0" xfId="13" applyFont="1" applyFill="1" applyAlignment="1" applyProtection="1">
      <alignment horizontal="left"/>
    </xf>
    <xf numFmtId="189" fontId="24" fillId="0" borderId="0" xfId="13" applyNumberFormat="1" applyFont="1" applyFill="1" applyAlignment="1" applyProtection="1">
      <alignment horizontal="center"/>
    </xf>
    <xf numFmtId="37" fontId="24" fillId="0" borderId="0" xfId="13" applyNumberFormat="1" applyFont="1" applyFill="1" applyBorder="1" applyProtection="1"/>
    <xf numFmtId="171" fontId="24" fillId="0" borderId="0" xfId="13" applyNumberFormat="1" applyFont="1" applyFill="1" applyBorder="1" applyProtection="1"/>
    <xf numFmtId="181" fontId="24" fillId="0" borderId="0" xfId="13" applyNumberFormat="1" applyFont="1" applyFill="1" applyProtection="1"/>
    <xf numFmtId="179" fontId="24" fillId="0" borderId="0" xfId="7102" applyNumberFormat="1" applyFont="1" applyFill="1" applyProtection="1"/>
    <xf numFmtId="37" fontId="24" fillId="0" borderId="0" xfId="13" applyNumberFormat="1" applyFont="1" applyFill="1" applyProtection="1"/>
    <xf numFmtId="176" fontId="24" fillId="0" borderId="0" xfId="13" applyNumberFormat="1" applyFont="1" applyFill="1" applyProtection="1"/>
    <xf numFmtId="37" fontId="24" fillId="0" borderId="3" xfId="13" applyNumberFormat="1" applyFont="1" applyFill="1" applyBorder="1" applyProtection="1"/>
    <xf numFmtId="176" fontId="24" fillId="0" borderId="3" xfId="13" applyNumberFormat="1" applyFont="1" applyFill="1" applyBorder="1" applyProtection="1"/>
    <xf numFmtId="171" fontId="24" fillId="0" borderId="3" xfId="13" applyNumberFormat="1" applyFont="1" applyFill="1" applyBorder="1" applyProtection="1"/>
    <xf numFmtId="181" fontId="24" fillId="0" borderId="3" xfId="13" applyNumberFormat="1" applyFont="1" applyFill="1" applyBorder="1" applyProtection="1"/>
    <xf numFmtId="179" fontId="24" fillId="0" borderId="3" xfId="13" applyNumberFormat="1" applyFont="1" applyFill="1" applyBorder="1" applyProtection="1"/>
    <xf numFmtId="182" fontId="24" fillId="0" borderId="3" xfId="13" applyNumberFormat="1" applyFont="1" applyFill="1" applyBorder="1" applyAlignment="1" applyProtection="1">
      <alignment horizontal="center"/>
    </xf>
    <xf numFmtId="179" fontId="24" fillId="0" borderId="0" xfId="13" applyNumberFormat="1" applyFont="1" applyFill="1" applyAlignment="1" applyProtection="1">
      <alignment horizontal="center"/>
    </xf>
    <xf numFmtId="182" fontId="24" fillId="0" borderId="0" xfId="13" applyNumberFormat="1" applyFont="1" applyFill="1" applyAlignment="1" applyProtection="1">
      <alignment horizontal="center"/>
    </xf>
    <xf numFmtId="179" fontId="24" fillId="0" borderId="0" xfId="13" applyNumberFormat="1" applyFont="1" applyFill="1" applyProtection="1"/>
    <xf numFmtId="180" fontId="24" fillId="0" borderId="0" xfId="13" applyFont="1" applyFill="1" applyProtection="1"/>
    <xf numFmtId="10" fontId="24" fillId="0" borderId="0" xfId="13" applyNumberFormat="1" applyFont="1" applyFill="1" applyProtection="1"/>
    <xf numFmtId="171" fontId="24" fillId="0" borderId="0" xfId="13" applyNumberFormat="1" applyFont="1" applyFill="1" applyAlignment="1" applyProtection="1">
      <alignment horizontal="left"/>
    </xf>
    <xf numFmtId="181" fontId="24" fillId="0" borderId="0" xfId="13" applyNumberFormat="1" applyFont="1" applyFill="1" applyAlignment="1" applyProtection="1">
      <alignment horizontal="left"/>
    </xf>
    <xf numFmtId="193" fontId="24" fillId="0" borderId="0" xfId="13" applyNumberFormat="1" applyFont="1" applyFill="1" applyProtection="1"/>
    <xf numFmtId="182" fontId="24" fillId="0" borderId="0" xfId="13" applyNumberFormat="1" applyFont="1" applyFill="1" applyProtection="1"/>
    <xf numFmtId="5" fontId="24" fillId="0" borderId="9" xfId="13" applyNumberFormat="1" applyFont="1" applyFill="1" applyBorder="1" applyProtection="1"/>
    <xf numFmtId="178" fontId="24" fillId="0" borderId="9" xfId="13" applyNumberFormat="1" applyFont="1" applyFill="1" applyBorder="1" applyProtection="1"/>
    <xf numFmtId="177" fontId="24" fillId="0" borderId="9" xfId="13" applyNumberFormat="1" applyFont="1" applyFill="1" applyBorder="1" applyProtection="1"/>
    <xf numFmtId="179" fontId="24" fillId="0" borderId="9" xfId="13" applyNumberFormat="1" applyFont="1" applyFill="1" applyBorder="1" applyAlignment="1" applyProtection="1">
      <alignment horizontal="right"/>
    </xf>
    <xf numFmtId="5" fontId="24" fillId="0" borderId="0" xfId="13" applyNumberFormat="1" applyFont="1" applyFill="1" applyProtection="1"/>
    <xf numFmtId="178" fontId="24" fillId="0" borderId="0" xfId="13" applyNumberFormat="1" applyFont="1" applyFill="1" applyProtection="1"/>
    <xf numFmtId="180" fontId="24" fillId="0" borderId="0" xfId="13" applyFont="1" applyFill="1" applyProtection="1"/>
    <xf numFmtId="181" fontId="24" fillId="0" borderId="0" xfId="13" applyNumberFormat="1" applyFont="1" applyBorder="1" applyProtection="1"/>
    <xf numFmtId="182" fontId="24" fillId="0" borderId="0" xfId="13" applyNumberFormat="1" applyFont="1" applyBorder="1" applyAlignment="1" applyProtection="1">
      <alignment horizontal="center"/>
    </xf>
    <xf numFmtId="181" fontId="24" fillId="0" borderId="0" xfId="13" applyNumberFormat="1" applyFont="1" applyFill="1" applyBorder="1" applyProtection="1"/>
    <xf numFmtId="182" fontId="24" fillId="0" borderId="0" xfId="13" applyNumberFormat="1" applyFont="1" applyFill="1" applyBorder="1" applyAlignment="1" applyProtection="1">
      <alignment horizontal="center"/>
    </xf>
    <xf numFmtId="181" fontId="24" fillId="0" borderId="0" xfId="13" applyNumberFormat="1" applyFont="1" applyProtection="1"/>
    <xf numFmtId="182" fontId="24" fillId="0" borderId="0" xfId="13" applyNumberFormat="1" applyFont="1" applyBorder="1" applyAlignment="1" applyProtection="1">
      <alignment horizontal="center"/>
    </xf>
    <xf numFmtId="182" fontId="24" fillId="0" borderId="0" xfId="13" applyNumberFormat="1" applyFont="1" applyAlignment="1" applyProtection="1">
      <alignment horizontal="center"/>
    </xf>
    <xf numFmtId="49" fontId="24" fillId="0" borderId="0" xfId="24457" applyNumberFormat="1"/>
    <xf numFmtId="43" fontId="24" fillId="0" borderId="0" xfId="28706" applyFont="1"/>
    <xf numFmtId="49" fontId="140" fillId="0" borderId="0" xfId="7" applyNumberFormat="1" applyFont="1"/>
    <xf numFmtId="40" fontId="140" fillId="0" borderId="0" xfId="7" applyNumberFormat="1" applyFont="1"/>
    <xf numFmtId="49" fontId="140" fillId="0" borderId="0" xfId="7" applyNumberFormat="1" applyFont="1" applyAlignment="1">
      <alignment horizontal="center"/>
    </xf>
    <xf numFmtId="0" fontId="13" fillId="0" borderId="0" xfId="0" applyFont="1" applyFill="1" applyAlignment="1" applyProtection="1">
      <alignment horizontal="center"/>
    </xf>
    <xf numFmtId="0" fontId="12" fillId="0" borderId="0" xfId="0" applyFont="1" applyFill="1" applyAlignment="1" applyProtection="1">
      <alignment horizontal="center"/>
    </xf>
    <xf numFmtId="0" fontId="13" fillId="0" borderId="5" xfId="0" applyFont="1" applyFill="1" applyBorder="1" applyAlignment="1" applyProtection="1">
      <alignment horizontal="center"/>
    </xf>
    <xf numFmtId="0" fontId="12" fillId="0" borderId="0" xfId="14" applyFont="1" applyFill="1" applyBorder="1" applyAlignment="1" applyProtection="1">
      <alignment horizontal="center"/>
    </xf>
    <xf numFmtId="0" fontId="13" fillId="0" borderId="0" xfId="0" applyFont="1" applyFill="1" applyBorder="1" applyAlignment="1" applyProtection="1">
      <alignment horizontal="center"/>
    </xf>
    <xf numFmtId="0" fontId="12" fillId="0" borderId="0" xfId="7" applyFont="1" applyFill="1" applyAlignment="1" applyProtection="1">
      <alignment horizontal="center"/>
    </xf>
    <xf numFmtId="0" fontId="13" fillId="0" borderId="0" xfId="0" applyFont="1" applyFill="1" applyBorder="1" applyAlignment="1" applyProtection="1">
      <alignment horizontal="center"/>
    </xf>
    <xf numFmtId="184" fontId="13" fillId="0" borderId="0" xfId="28689" applyNumberFormat="1" applyFont="1" applyFill="1" applyAlignment="1">
      <alignment horizontal="center"/>
    </xf>
    <xf numFmtId="1" fontId="13" fillId="0" borderId="0" xfId="28689" applyNumberFormat="1" applyFont="1" applyFill="1" applyAlignment="1">
      <alignment horizontal="center"/>
    </xf>
    <xf numFmtId="42" fontId="13" fillId="0" borderId="3" xfId="0" applyNumberFormat="1" applyFont="1" applyFill="1" applyBorder="1" applyProtection="1"/>
    <xf numFmtId="164" fontId="17" fillId="0" borderId="0" xfId="1" applyNumberFormat="1" applyFont="1" applyFill="1" applyAlignment="1" applyProtection="1">
      <alignment horizontal="right"/>
    </xf>
    <xf numFmtId="5" fontId="13" fillId="0" borderId="3" xfId="5" applyNumberFormat="1" applyFont="1" applyFill="1" applyBorder="1" applyAlignment="1" applyProtection="1">
      <alignment horizontal="right"/>
    </xf>
    <xf numFmtId="5" fontId="13" fillId="0" borderId="0" xfId="5" applyNumberFormat="1" applyFont="1" applyFill="1" applyAlignment="1" applyProtection="1">
      <alignment horizontal="right"/>
    </xf>
    <xf numFmtId="44" fontId="13" fillId="0" borderId="4" xfId="5" applyNumberFormat="1" applyFont="1" applyFill="1" applyBorder="1" applyAlignment="1" applyProtection="1">
      <alignment horizontal="right"/>
    </xf>
    <xf numFmtId="166" fontId="13" fillId="0" borderId="0" xfId="5" applyNumberFormat="1" applyFont="1" applyFill="1"/>
    <xf numFmtId="14" fontId="0" fillId="0" borderId="0" xfId="0" applyNumberFormat="1" applyFill="1" applyAlignment="1">
      <alignment horizontal="left"/>
    </xf>
    <xf numFmtId="49" fontId="0" fillId="0" borderId="0" xfId="0" applyNumberFormat="1" applyFill="1" applyAlignment="1">
      <alignment horizontal="left"/>
    </xf>
    <xf numFmtId="14" fontId="0" fillId="0" borderId="0" xfId="0" applyNumberFormat="1" applyFill="1"/>
    <xf numFmtId="0" fontId="0" fillId="0" borderId="0" xfId="0" applyFill="1" applyAlignment="1">
      <alignment horizontal="left"/>
    </xf>
    <xf numFmtId="43" fontId="0" fillId="0" borderId="0" xfId="1" applyFont="1" applyFill="1"/>
    <xf numFmtId="49" fontId="0" fillId="0" borderId="0" xfId="0" applyNumberFormat="1" applyFill="1"/>
    <xf numFmtId="14" fontId="0" fillId="0" borderId="0" xfId="0" applyNumberFormat="1" applyFill="1" applyAlignment="1">
      <alignment horizontal="right"/>
    </xf>
    <xf numFmtId="49" fontId="0" fillId="0" borderId="0" xfId="0" applyNumberFormat="1" applyFill="1" applyAlignment="1">
      <alignment horizontal="center"/>
    </xf>
    <xf numFmtId="175" fontId="34" fillId="0" borderId="0" xfId="28689" applyNumberFormat="1" applyFont="1" applyFill="1" applyAlignment="1">
      <alignment horizontal="right"/>
    </xf>
    <xf numFmtId="175" fontId="23" fillId="0" borderId="0" xfId="28689" applyNumberFormat="1" applyFont="1" applyFill="1" applyAlignment="1">
      <alignment horizontal="right"/>
    </xf>
    <xf numFmtId="175" fontId="13" fillId="0" borderId="0" xfId="28689" applyNumberFormat="1" applyFont="1" applyFill="1" applyAlignment="1">
      <alignment horizontal="right"/>
    </xf>
    <xf numFmtId="175" fontId="13" fillId="0" borderId="0" xfId="5" applyNumberFormat="1" applyFont="1" applyFill="1" applyProtection="1"/>
    <xf numFmtId="175" fontId="34" fillId="0" borderId="3" xfId="28689" applyNumberFormat="1" applyFont="1" applyFill="1" applyBorder="1" applyAlignment="1">
      <alignment horizontal="right"/>
    </xf>
    <xf numFmtId="175" fontId="23" fillId="0" borderId="3" xfId="28689" applyNumberFormat="1" applyFont="1" applyFill="1" applyBorder="1" applyAlignment="1">
      <alignment horizontal="right"/>
    </xf>
    <xf numFmtId="175" fontId="13" fillId="0" borderId="3" xfId="28689" applyNumberFormat="1" applyFont="1" applyFill="1" applyBorder="1" applyAlignment="1">
      <alignment horizontal="right"/>
    </xf>
    <xf numFmtId="175" fontId="13" fillId="0" borderId="3" xfId="0" applyNumberFormat="1" applyFont="1" applyFill="1" applyBorder="1"/>
    <xf numFmtId="37" fontId="109" fillId="0" borderId="0" xfId="28138" applyNumberFormat="1" applyFont="1" applyFill="1" applyBorder="1"/>
    <xf numFmtId="37" fontId="109" fillId="0" borderId="3" xfId="28138" applyNumberFormat="1" applyFont="1" applyFill="1" applyBorder="1"/>
    <xf numFmtId="3" fontId="13" fillId="0" borderId="0" xfId="5" applyNumberFormat="1" applyFont="1" applyFill="1" applyProtection="1"/>
    <xf numFmtId="199" fontId="0" fillId="0" borderId="0" xfId="0" applyNumberFormat="1" applyFill="1" applyProtection="1"/>
    <xf numFmtId="164" fontId="13" fillId="0" borderId="0" xfId="1" applyNumberFormat="1" applyFont="1" applyFill="1" applyBorder="1" applyAlignment="1" applyProtection="1">
      <alignment horizontal="center" wrapText="1"/>
    </xf>
    <xf numFmtId="43" fontId="12" fillId="0" borderId="0" xfId="1" applyFont="1" applyFill="1" applyAlignment="1" applyProtection="1">
      <alignment horizontal="center"/>
    </xf>
    <xf numFmtId="2" fontId="13" fillId="0" borderId="0" xfId="0" applyNumberFormat="1" applyFont="1" applyFill="1" applyAlignment="1" applyProtection="1">
      <alignment horizontal="center"/>
    </xf>
    <xf numFmtId="43" fontId="13" fillId="0" borderId="0" xfId="1" applyNumberFormat="1" applyFont="1" applyFill="1"/>
    <xf numFmtId="0" fontId="13" fillId="0" borderId="0" xfId="0" applyFont="1" applyFill="1" applyAlignment="1" applyProtection="1">
      <alignment horizontal="center"/>
    </xf>
    <xf numFmtId="164" fontId="13" fillId="0" borderId="3" xfId="1" applyNumberFormat="1" applyFont="1" applyFill="1" applyBorder="1" applyAlignment="1" applyProtection="1"/>
    <xf numFmtId="49" fontId="24" fillId="0" borderId="0" xfId="7" applyNumberFormat="1" applyFont="1"/>
    <xf numFmtId="0" fontId="35" fillId="0" borderId="0" xfId="0" applyFont="1" applyFill="1" applyAlignment="1">
      <alignment horizontal="center"/>
    </xf>
    <xf numFmtId="0" fontId="14" fillId="0" borderId="0" xfId="0" applyFont="1" applyFill="1" applyAlignment="1">
      <alignment horizontal="center"/>
    </xf>
    <xf numFmtId="187" fontId="14" fillId="0" borderId="0" xfId="0" applyNumberFormat="1" applyFont="1" applyFill="1" applyAlignment="1">
      <alignment horizontal="center"/>
    </xf>
    <xf numFmtId="0" fontId="14" fillId="0" borderId="0" xfId="0" applyFont="1" applyFill="1" applyAlignment="1" applyProtection="1">
      <alignment horizontal="center"/>
      <protection locked="0"/>
    </xf>
    <xf numFmtId="187" fontId="14" fillId="0" borderId="0" xfId="0" applyNumberFormat="1" applyFont="1" applyFill="1" applyAlignment="1" applyProtection="1">
      <alignment horizontal="center"/>
      <protection locked="0"/>
    </xf>
    <xf numFmtId="0" fontId="15" fillId="0" borderId="0" xfId="0" applyFont="1" applyFill="1" applyAlignment="1">
      <alignment horizontal="center"/>
    </xf>
    <xf numFmtId="0" fontId="13" fillId="0" borderId="0" xfId="0" applyFont="1" applyFill="1" applyAlignment="1">
      <alignment horizontal="center"/>
    </xf>
    <xf numFmtId="0" fontId="12" fillId="0" borderId="0" xfId="0" applyFont="1" applyFill="1" applyAlignment="1">
      <alignment horizontal="center"/>
    </xf>
    <xf numFmtId="175" fontId="13" fillId="0" borderId="0" xfId="0" applyNumberFormat="1" applyFont="1" applyFill="1" applyAlignment="1">
      <alignment horizontal="center"/>
    </xf>
    <xf numFmtId="175" fontId="13" fillId="0" borderId="0" xfId="0" applyNumberFormat="1" applyFont="1" applyFill="1" applyAlignment="1">
      <alignment horizontal="left"/>
    </xf>
    <xf numFmtId="175" fontId="13" fillId="0" borderId="0" xfId="0" applyNumberFormat="1" applyFont="1" applyFill="1" applyAlignment="1">
      <alignment horizontal="left" vertical="top"/>
    </xf>
    <xf numFmtId="175" fontId="13" fillId="0" borderId="3" xfId="0" applyNumberFormat="1" applyFont="1" applyFill="1" applyBorder="1" applyAlignment="1">
      <alignment horizontal="left"/>
    </xf>
    <xf numFmtId="175" fontId="13" fillId="0" borderId="3" xfId="0" applyNumberFormat="1" applyFont="1" applyFill="1" applyBorder="1" applyAlignment="1">
      <alignment horizontal="center"/>
    </xf>
    <xf numFmtId="0" fontId="13" fillId="0" borderId="0" xfId="0" applyFont="1" applyFill="1" applyAlignment="1" applyProtection="1">
      <alignment horizontal="center"/>
    </xf>
    <xf numFmtId="0" fontId="38" fillId="0" borderId="0" xfId="0" applyFont="1" applyFill="1" applyAlignment="1" applyProtection="1">
      <alignment horizontal="center"/>
    </xf>
    <xf numFmtId="0" fontId="12" fillId="0" borderId="0" xfId="0" applyFont="1" applyFill="1" applyAlignment="1" applyProtection="1">
      <alignment horizontal="center"/>
    </xf>
    <xf numFmtId="0" fontId="13" fillId="0" borderId="0" xfId="0" applyFont="1" applyFill="1" applyBorder="1" applyAlignment="1" applyProtection="1">
      <alignment horizontal="left" wrapText="1"/>
    </xf>
    <xf numFmtId="0" fontId="13" fillId="0" borderId="7" xfId="0" applyFont="1" applyFill="1" applyBorder="1" applyAlignment="1" applyProtection="1">
      <alignment horizontal="center"/>
    </xf>
    <xf numFmtId="0" fontId="13" fillId="0" borderId="11" xfId="0" applyFont="1" applyFill="1" applyBorder="1" applyAlignment="1" applyProtection="1">
      <alignment horizontal="center"/>
    </xf>
    <xf numFmtId="0" fontId="13" fillId="0" borderId="5" xfId="0" applyFont="1" applyFill="1" applyBorder="1" applyAlignment="1" applyProtection="1">
      <alignment horizontal="center"/>
    </xf>
    <xf numFmtId="0" fontId="13" fillId="0" borderId="12" xfId="0" applyFont="1" applyFill="1" applyBorder="1" applyAlignment="1" applyProtection="1">
      <alignment horizontal="center"/>
    </xf>
    <xf numFmtId="180" fontId="13" fillId="0" borderId="0" xfId="13" applyFont="1" applyFill="1" applyAlignment="1" applyProtection="1">
      <alignment horizontal="left" wrapText="1"/>
    </xf>
    <xf numFmtId="0" fontId="12" fillId="0" borderId="0" xfId="14" applyFont="1" applyFill="1" applyBorder="1" applyAlignment="1" applyProtection="1">
      <alignment horizontal="center"/>
    </xf>
    <xf numFmtId="0" fontId="12" fillId="0" borderId="0" xfId="14" applyFont="1" applyFill="1" applyBorder="1" applyAlignment="1">
      <alignment horizontal="center"/>
    </xf>
    <xf numFmtId="0" fontId="13" fillId="0" borderId="0" xfId="9" applyFont="1" applyFill="1" applyAlignment="1" applyProtection="1">
      <alignment horizontal="left" wrapText="1"/>
    </xf>
    <xf numFmtId="0" fontId="12" fillId="0" borderId="0" xfId="14" applyFont="1" applyFill="1" applyBorder="1" applyAlignment="1" applyProtection="1">
      <alignment horizontal="center" vertical="center"/>
    </xf>
    <xf numFmtId="0" fontId="27" fillId="0" borderId="0" xfId="14" applyFont="1" applyFill="1" applyBorder="1" applyAlignment="1" applyProtection="1">
      <alignment horizontal="center"/>
    </xf>
    <xf numFmtId="0" fontId="13" fillId="0" borderId="3" xfId="0" applyFont="1" applyFill="1" applyBorder="1" applyAlignment="1">
      <alignment horizontal="center" wrapText="1"/>
    </xf>
    <xf numFmtId="0" fontId="34" fillId="0" borderId="0" xfId="0" applyFont="1" applyFill="1" applyAlignment="1">
      <alignment horizontal="left" vertical="top" wrapText="1"/>
    </xf>
    <xf numFmtId="0" fontId="13" fillId="0" borderId="0" xfId="0" applyFont="1" applyFill="1" applyAlignment="1" applyProtection="1">
      <alignment horizontal="left" vertical="top" wrapText="1" readingOrder="1"/>
      <protection locked="0"/>
    </xf>
    <xf numFmtId="0" fontId="13" fillId="0" borderId="0" xfId="0" applyFont="1" applyFill="1" applyAlignment="1" applyProtection="1">
      <alignment horizontal="center" vertical="center" wrapText="1" readingOrder="1"/>
    </xf>
    <xf numFmtId="175" fontId="12" fillId="0" borderId="0" xfId="0" applyNumberFormat="1" applyFont="1" applyFill="1" applyAlignment="1" applyProtection="1">
      <alignment horizontal="center"/>
    </xf>
    <xf numFmtId="0" fontId="12" fillId="0" borderId="0" xfId="0" applyFont="1" applyFill="1" applyBorder="1" applyAlignment="1" applyProtection="1">
      <alignment horizontal="center"/>
    </xf>
    <xf numFmtId="0" fontId="13" fillId="0" borderId="13"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3" fillId="0" borderId="13"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left" wrapText="1"/>
    </xf>
    <xf numFmtId="0" fontId="13" fillId="0" borderId="16" xfId="0" applyFont="1" applyFill="1" applyBorder="1" applyAlignment="1" applyProtection="1">
      <alignment horizontal="left" wrapText="1"/>
    </xf>
    <xf numFmtId="0" fontId="13" fillId="0" borderId="3" xfId="0" applyFont="1" applyFill="1" applyBorder="1" applyAlignment="1" applyProtection="1">
      <alignment horizontal="left" wrapText="1"/>
    </xf>
    <xf numFmtId="0" fontId="13" fillId="0" borderId="15" xfId="0" applyFont="1" applyFill="1" applyBorder="1" applyAlignment="1" applyProtection="1">
      <alignment horizontal="left" wrapText="1"/>
    </xf>
    <xf numFmtId="0" fontId="13" fillId="0" borderId="17" xfId="0" applyFont="1" applyFill="1" applyBorder="1" applyAlignment="1" applyProtection="1">
      <alignment horizontal="center"/>
    </xf>
    <xf numFmtId="0" fontId="13" fillId="0" borderId="6" xfId="0" applyFont="1" applyFill="1" applyBorder="1" applyAlignment="1" applyProtection="1">
      <alignment horizontal="center"/>
    </xf>
    <xf numFmtId="180" fontId="37" fillId="0" borderId="0" xfId="13" applyFont="1" applyFill="1" applyAlignment="1" applyProtection="1">
      <alignment horizontal="center"/>
    </xf>
    <xf numFmtId="0" fontId="12" fillId="0" borderId="17" xfId="7" applyFont="1" applyFill="1" applyBorder="1" applyAlignment="1" applyProtection="1">
      <alignment horizontal="center"/>
    </xf>
    <xf numFmtId="0" fontId="12" fillId="0" borderId="7" xfId="7" applyFont="1" applyFill="1" applyBorder="1" applyAlignment="1" applyProtection="1">
      <alignment horizontal="center"/>
    </xf>
    <xf numFmtId="0" fontId="12" fillId="0" borderId="6" xfId="7" applyFont="1" applyFill="1" applyBorder="1" applyAlignment="1" applyProtection="1">
      <alignment horizontal="center"/>
    </xf>
    <xf numFmtId="0" fontId="12" fillId="0" borderId="0" xfId="7" applyFont="1" applyFill="1" applyAlignment="1" applyProtection="1">
      <alignment horizontal="center"/>
    </xf>
    <xf numFmtId="0" fontId="12" fillId="0" borderId="17" xfId="7" applyFont="1" applyFill="1" applyBorder="1" applyAlignment="1">
      <alignment horizontal="center"/>
    </xf>
    <xf numFmtId="0" fontId="12" fillId="0" borderId="7" xfId="7" applyFont="1" applyFill="1" applyBorder="1" applyAlignment="1">
      <alignment horizontal="center"/>
    </xf>
    <xf numFmtId="0" fontId="12" fillId="0" borderId="6" xfId="7" applyFont="1" applyFill="1" applyBorder="1" applyAlignment="1">
      <alignment horizontal="center"/>
    </xf>
    <xf numFmtId="0" fontId="12" fillId="0" borderId="0" xfId="7" applyFont="1" applyFill="1" applyAlignment="1">
      <alignment horizontal="center"/>
    </xf>
  </cellXfs>
  <cellStyles count="28711">
    <cellStyle name="20% - Accent1" xfId="7105" builtinId="30" customBuiltin="1"/>
    <cellStyle name="20% - Accent1 10" xfId="640"/>
    <cellStyle name="20% - Accent1 10 2" xfId="4221"/>
    <cellStyle name="20% - Accent1 10 2 2" xfId="7117"/>
    <cellStyle name="20% - Accent1 10 3" xfId="7118"/>
    <cellStyle name="20% - Accent1 10 4" xfId="7119"/>
    <cellStyle name="20% - Accent1 10 5" xfId="7120"/>
    <cellStyle name="20% - Accent1 11" xfId="641"/>
    <cellStyle name="20% - Accent1 11 2" xfId="4222"/>
    <cellStyle name="20% - Accent1 11 2 2" xfId="7121"/>
    <cellStyle name="20% - Accent1 11 3" xfId="7122"/>
    <cellStyle name="20% - Accent1 11 4" xfId="7123"/>
    <cellStyle name="20% - Accent1 11 5" xfId="7124"/>
    <cellStyle name="20% - Accent1 12" xfId="798"/>
    <cellStyle name="20% - Accent1 12 2" xfId="7126"/>
    <cellStyle name="20% - Accent1 12 3" xfId="7127"/>
    <cellStyle name="20% - Accent1 12 4" xfId="7125"/>
    <cellStyle name="20% - Accent1 13" xfId="799"/>
    <cellStyle name="20% - Accent1 13 2" xfId="3845"/>
    <cellStyle name="20% - Accent1 13 2 2" xfId="5925"/>
    <cellStyle name="20% - Accent1 13 2 2 2" xfId="25075"/>
    <cellStyle name="20% - Accent1 13 2 3" xfId="7129"/>
    <cellStyle name="20% - Accent1 13 2 4" xfId="24981"/>
    <cellStyle name="20% - Accent1 13 2 5" xfId="25074"/>
    <cellStyle name="20% - Accent1 13 3" xfId="5924"/>
    <cellStyle name="20% - Accent1 13 3 2" xfId="7130"/>
    <cellStyle name="20% - Accent1 13 3 3" xfId="25076"/>
    <cellStyle name="20% - Accent1 13 4" xfId="7128"/>
    <cellStyle name="20% - Accent1 13 5" xfId="24860"/>
    <cellStyle name="20% - Accent1 13 6" xfId="25073"/>
    <cellStyle name="20% - Accent1 14" xfId="921"/>
    <cellStyle name="20% - Accent1 14 2" xfId="7132"/>
    <cellStyle name="20% - Accent1 14 3" xfId="7133"/>
    <cellStyle name="20% - Accent1 14 4" xfId="7131"/>
    <cellStyle name="20% - Accent1 15" xfId="7134"/>
    <cellStyle name="20% - Accent1 15 2" xfId="7135"/>
    <cellStyle name="20% - Accent1 15 3" xfId="7136"/>
    <cellStyle name="20% - Accent1 16" xfId="7137"/>
    <cellStyle name="20% - Accent1 16 2" xfId="7138"/>
    <cellStyle name="20% - Accent1 16 3" xfId="7139"/>
    <cellStyle name="20% - Accent1 17" xfId="7140"/>
    <cellStyle name="20% - Accent1 17 2" xfId="7141"/>
    <cellStyle name="20% - Accent1 17 3" xfId="7142"/>
    <cellStyle name="20% - Accent1 18" xfId="7143"/>
    <cellStyle name="20% - Accent1 18 2" xfId="7144"/>
    <cellStyle name="20% - Accent1 18 3" xfId="7145"/>
    <cellStyle name="20% - Accent1 19" xfId="7146"/>
    <cellStyle name="20% - Accent1 19 2" xfId="7147"/>
    <cellStyle name="20% - Accent1 2" xfId="68"/>
    <cellStyle name="20% - Accent1 2 10" xfId="1667"/>
    <cellStyle name="20% - Accent1 2 10 2" xfId="4223"/>
    <cellStyle name="20% - Accent1 2 10 2 2" xfId="7148"/>
    <cellStyle name="20% - Accent1 2 10 3" xfId="7149"/>
    <cellStyle name="20% - Accent1 2 10 4" xfId="7150"/>
    <cellStyle name="20% - Accent1 2 10 5" xfId="7151"/>
    <cellStyle name="20% - Accent1 2 11" xfId="1666"/>
    <cellStyle name="20% - Accent1 2 11 2" xfId="4224"/>
    <cellStyle name="20% - Accent1 2 11 2 2" xfId="7152"/>
    <cellStyle name="20% - Accent1 2 11 3" xfId="7153"/>
    <cellStyle name="20% - Accent1 2 11 4" xfId="7154"/>
    <cellStyle name="20% - Accent1 2 11 5" xfId="7155"/>
    <cellStyle name="20% - Accent1 2 12" xfId="1876"/>
    <cellStyle name="20% - Accent1 2 12 2" xfId="4225"/>
    <cellStyle name="20% - Accent1 2 12 2 2" xfId="7156"/>
    <cellStyle name="20% - Accent1 2 12 3" xfId="7157"/>
    <cellStyle name="20% - Accent1 2 12 4" xfId="7158"/>
    <cellStyle name="20% - Accent1 2 12 5" xfId="7159"/>
    <cellStyle name="20% - Accent1 2 13" xfId="2251"/>
    <cellStyle name="20% - Accent1 2 13 2" xfId="4226"/>
    <cellStyle name="20% - Accent1 2 13 2 2" xfId="7160"/>
    <cellStyle name="20% - Accent1 2 13 3" xfId="7161"/>
    <cellStyle name="20% - Accent1 2 13 4" xfId="7162"/>
    <cellStyle name="20% - Accent1 2 13 5" xfId="7163"/>
    <cellStyle name="20% - Accent1 2 14" xfId="2414"/>
    <cellStyle name="20% - Accent1 2 14 2" xfId="4227"/>
    <cellStyle name="20% - Accent1 2 14 2 2" xfId="7164"/>
    <cellStyle name="20% - Accent1 2 14 3" xfId="7165"/>
    <cellStyle name="20% - Accent1 2 14 4" xfId="7166"/>
    <cellStyle name="20% - Accent1 2 14 5" xfId="7167"/>
    <cellStyle name="20% - Accent1 2 15" xfId="2997"/>
    <cellStyle name="20% - Accent1 2 15 2" xfId="4228"/>
    <cellStyle name="20% - Accent1 2 15 2 2" xfId="7168"/>
    <cellStyle name="20% - Accent1 2 15 3" xfId="7169"/>
    <cellStyle name="20% - Accent1 2 16" xfId="3632"/>
    <cellStyle name="20% - Accent1 2 16 2" xfId="4229"/>
    <cellStyle name="20% - Accent1 2 16 2 2" xfId="7170"/>
    <cellStyle name="20% - Accent1 2 16 3" xfId="7171"/>
    <cellStyle name="20% - Accent1 2 17" xfId="24467"/>
    <cellStyle name="20% - Accent1 2 2" xfId="112"/>
    <cellStyle name="20% - Accent1 2 2 10" xfId="7172"/>
    <cellStyle name="20% - Accent1 2 2 10 2" xfId="7173"/>
    <cellStyle name="20% - Accent1 2 2 10 3" xfId="7174"/>
    <cellStyle name="20% - Accent1 2 2 11" xfId="7175"/>
    <cellStyle name="20% - Accent1 2 2 11 2" xfId="7176"/>
    <cellStyle name="20% - Accent1 2 2 11 3" xfId="7177"/>
    <cellStyle name="20% - Accent1 2 2 12" xfId="7178"/>
    <cellStyle name="20% - Accent1 2 2 12 2" xfId="7179"/>
    <cellStyle name="20% - Accent1 2 2 12 3" xfId="7180"/>
    <cellStyle name="20% - Accent1 2 2 13" xfId="7181"/>
    <cellStyle name="20% - Accent1 2 2 14" xfId="7182"/>
    <cellStyle name="20% - Accent1 2 2 15" xfId="7183"/>
    <cellStyle name="20% - Accent1 2 2 2" xfId="171"/>
    <cellStyle name="20% - Accent1 2 2 2 2" xfId="7184"/>
    <cellStyle name="20% - Accent1 2 2 2 3" xfId="7185"/>
    <cellStyle name="20% - Accent1 2 2 3" xfId="335"/>
    <cellStyle name="20% - Accent1 2 2 3 2" xfId="7186"/>
    <cellStyle name="20% - Accent1 2 2 3 3" xfId="7187"/>
    <cellStyle name="20% - Accent1 2 2 4" xfId="2157"/>
    <cellStyle name="20% - Accent1 2 2 4 2" xfId="7188"/>
    <cellStyle name="20% - Accent1 2 2 4 3" xfId="7189"/>
    <cellStyle name="20% - Accent1 2 2 5" xfId="2531"/>
    <cellStyle name="20% - Accent1 2 2 5 2" xfId="7190"/>
    <cellStyle name="20% - Accent1 2 2 5 3" xfId="7191"/>
    <cellStyle name="20% - Accent1 2 2 6" xfId="2903"/>
    <cellStyle name="20% - Accent1 2 2 6 2" xfId="7192"/>
    <cellStyle name="20% - Accent1 2 2 6 3" xfId="7193"/>
    <cellStyle name="20% - Accent1 2 2 7" xfId="3275"/>
    <cellStyle name="20% - Accent1 2 2 7 2" xfId="7194"/>
    <cellStyle name="20% - Accent1 2 2 7 3" xfId="7195"/>
    <cellStyle name="20% - Accent1 2 2 8" xfId="4230"/>
    <cellStyle name="20% - Accent1 2 2 8 2" xfId="7197"/>
    <cellStyle name="20% - Accent1 2 2 8 3" xfId="7198"/>
    <cellStyle name="20% - Accent1 2 2 8 4" xfId="7196"/>
    <cellStyle name="20% - Accent1 2 2 9" xfId="7199"/>
    <cellStyle name="20% - Accent1 2 2 9 2" xfId="7200"/>
    <cellStyle name="20% - Accent1 2 2 9 3" xfId="7201"/>
    <cellStyle name="20% - Accent1 2 3" xfId="277"/>
    <cellStyle name="20% - Accent1 2 3 2" xfId="1333"/>
    <cellStyle name="20% - Accent1 2 3 2 2" xfId="7202"/>
    <cellStyle name="20% - Accent1 2 3 2 3" xfId="7203"/>
    <cellStyle name="20% - Accent1 2 3 3" xfId="7204"/>
    <cellStyle name="20% - Accent1 2 3 4" xfId="7205"/>
    <cellStyle name="20% - Accent1 2 4" xfId="358"/>
    <cellStyle name="20% - Accent1 2 4 2" xfId="7206"/>
    <cellStyle name="20% - Accent1 2 4 2 2" xfId="7207"/>
    <cellStyle name="20% - Accent1 2 4 2 3" xfId="7208"/>
    <cellStyle name="20% - Accent1 2 4 3" xfId="7209"/>
    <cellStyle name="20% - Accent1 2 4 4" xfId="7210"/>
    <cellStyle name="20% - Accent1 2 5" xfId="519"/>
    <cellStyle name="20% - Accent1 2 5 2" xfId="7211"/>
    <cellStyle name="20% - Accent1 2 5 3" xfId="7212"/>
    <cellStyle name="20% - Accent1 2 6" xfId="642"/>
    <cellStyle name="20% - Accent1 2 6 2" xfId="7213"/>
    <cellStyle name="20% - Accent1 2 6 3" xfId="7214"/>
    <cellStyle name="20% - Accent1 2 7" xfId="643"/>
    <cellStyle name="20% - Accent1 2 7 2" xfId="7215"/>
    <cellStyle name="20% - Accent1 2 7 3" xfId="7216"/>
    <cellStyle name="20% - Accent1 2 8" xfId="800"/>
    <cellStyle name="20% - Accent1 2 8 2" xfId="1396"/>
    <cellStyle name="20% - Accent1 2 8 2 2" xfId="7217"/>
    <cellStyle name="20% - Accent1 2 8 3" xfId="7218"/>
    <cellStyle name="20% - Accent1 2 8 4" xfId="7219"/>
    <cellStyle name="20% - Accent1 2 8 5" xfId="7220"/>
    <cellStyle name="20% - Accent1 2 9" xfId="922"/>
    <cellStyle name="20% - Accent1 2 9 2" xfId="1387"/>
    <cellStyle name="20% - Accent1 2 9 2 2" xfId="7221"/>
    <cellStyle name="20% - Accent1 2 9 3" xfId="7222"/>
    <cellStyle name="20% - Accent1 2 9 4" xfId="7223"/>
    <cellStyle name="20% - Accent1 2 9 5" xfId="7224"/>
    <cellStyle name="20% - Accent1 20" xfId="7225"/>
    <cellStyle name="20% - Accent1 21" xfId="7226"/>
    <cellStyle name="20% - Accent1 21 2" xfId="7227"/>
    <cellStyle name="20% - Accent1 21 2 2" xfId="7228"/>
    <cellStyle name="20% - Accent1 21 2 2 2" xfId="25079"/>
    <cellStyle name="20% - Accent1 21 2 2 3" xfId="28150"/>
    <cellStyle name="20% - Accent1 21 2 3" xfId="7229"/>
    <cellStyle name="20% - Accent1 21 2 3 2" xfId="25080"/>
    <cellStyle name="20% - Accent1 21 2 3 3" xfId="28151"/>
    <cellStyle name="20% - Accent1 21 2 4" xfId="25078"/>
    <cellStyle name="20% - Accent1 21 2 5" xfId="28149"/>
    <cellStyle name="20% - Accent1 21 3" xfId="7230"/>
    <cellStyle name="20% - Accent1 21 3 2" xfId="25081"/>
    <cellStyle name="20% - Accent1 21 3 3" xfId="28152"/>
    <cellStyle name="20% - Accent1 21 4" xfId="7231"/>
    <cellStyle name="20% - Accent1 21 4 2" xfId="25082"/>
    <cellStyle name="20% - Accent1 21 4 3" xfId="28153"/>
    <cellStyle name="20% - Accent1 21 5" xfId="25077"/>
    <cellStyle name="20% - Accent1 21 6" xfId="28148"/>
    <cellStyle name="20% - Accent1 22" xfId="7232"/>
    <cellStyle name="20% - Accent1 22 2" xfId="7233"/>
    <cellStyle name="20% - Accent1 22 2 2" xfId="7234"/>
    <cellStyle name="20% - Accent1 22 2 2 2" xfId="25085"/>
    <cellStyle name="20% - Accent1 22 2 2 3" xfId="28156"/>
    <cellStyle name="20% - Accent1 22 2 3" xfId="7235"/>
    <cellStyle name="20% - Accent1 22 2 3 2" xfId="25086"/>
    <cellStyle name="20% - Accent1 22 2 3 3" xfId="28157"/>
    <cellStyle name="20% - Accent1 22 2 4" xfId="25084"/>
    <cellStyle name="20% - Accent1 22 2 5" xfId="28155"/>
    <cellStyle name="20% - Accent1 22 3" xfId="7236"/>
    <cellStyle name="20% - Accent1 22 3 2" xfId="25087"/>
    <cellStyle name="20% - Accent1 22 3 3" xfId="28158"/>
    <cellStyle name="20% - Accent1 22 4" xfId="7237"/>
    <cellStyle name="20% - Accent1 22 4 2" xfId="25088"/>
    <cellStyle name="20% - Accent1 22 4 3" xfId="28159"/>
    <cellStyle name="20% - Accent1 22 5" xfId="25083"/>
    <cellStyle name="20% - Accent1 22 6" xfId="28154"/>
    <cellStyle name="20% - Accent1 23" xfId="7238"/>
    <cellStyle name="20% - Accent1 24" xfId="7239"/>
    <cellStyle name="20% - Accent1 24 2" xfId="7240"/>
    <cellStyle name="20% - Accent1 24 2 2" xfId="7241"/>
    <cellStyle name="20% - Accent1 24 2 2 2" xfId="25091"/>
    <cellStyle name="20% - Accent1 24 2 2 3" xfId="28162"/>
    <cellStyle name="20% - Accent1 24 2 3" xfId="7242"/>
    <cellStyle name="20% - Accent1 24 2 3 2" xfId="25092"/>
    <cellStyle name="20% - Accent1 24 2 3 3" xfId="28163"/>
    <cellStyle name="20% - Accent1 24 2 4" xfId="25090"/>
    <cellStyle name="20% - Accent1 24 2 5" xfId="28161"/>
    <cellStyle name="20% - Accent1 24 3" xfId="7243"/>
    <cellStyle name="20% - Accent1 24 3 2" xfId="25093"/>
    <cellStyle name="20% - Accent1 24 3 3" xfId="28164"/>
    <cellStyle name="20% - Accent1 24 4" xfId="7244"/>
    <cellStyle name="20% - Accent1 24 4 2" xfId="25094"/>
    <cellStyle name="20% - Accent1 24 4 3" xfId="28165"/>
    <cellStyle name="20% - Accent1 24 5" xfId="25089"/>
    <cellStyle name="20% - Accent1 24 6" xfId="28160"/>
    <cellStyle name="20% - Accent1 25" xfId="7245"/>
    <cellStyle name="20% - Accent1 25 2" xfId="7246"/>
    <cellStyle name="20% - Accent1 25 2 2" xfId="7247"/>
    <cellStyle name="20% - Accent1 25 2 2 2" xfId="25097"/>
    <cellStyle name="20% - Accent1 25 2 2 3" xfId="28168"/>
    <cellStyle name="20% - Accent1 25 2 3" xfId="7248"/>
    <cellStyle name="20% - Accent1 25 2 3 2" xfId="25098"/>
    <cellStyle name="20% - Accent1 25 2 3 3" xfId="28169"/>
    <cellStyle name="20% - Accent1 25 2 4" xfId="25096"/>
    <cellStyle name="20% - Accent1 25 2 5" xfId="28167"/>
    <cellStyle name="20% - Accent1 25 3" xfId="7249"/>
    <cellStyle name="20% - Accent1 25 3 2" xfId="25099"/>
    <cellStyle name="20% - Accent1 25 3 3" xfId="28170"/>
    <cellStyle name="20% - Accent1 25 4" xfId="7250"/>
    <cellStyle name="20% - Accent1 25 4 2" xfId="25100"/>
    <cellStyle name="20% - Accent1 25 4 3" xfId="28171"/>
    <cellStyle name="20% - Accent1 25 5" xfId="25095"/>
    <cellStyle name="20% - Accent1 25 6" xfId="28166"/>
    <cellStyle name="20% - Accent1 26" xfId="7251"/>
    <cellStyle name="20% - Accent1 27" xfId="7252"/>
    <cellStyle name="20% - Accent1 27 2" xfId="7253"/>
    <cellStyle name="20% - Accent1 27 2 2" xfId="7254"/>
    <cellStyle name="20% - Accent1 27 2 2 2" xfId="25103"/>
    <cellStyle name="20% - Accent1 27 2 2 3" xfId="28174"/>
    <cellStyle name="20% - Accent1 27 2 3" xfId="7255"/>
    <cellStyle name="20% - Accent1 27 2 3 2" xfId="25104"/>
    <cellStyle name="20% - Accent1 27 2 3 3" xfId="28175"/>
    <cellStyle name="20% - Accent1 27 2 4" xfId="25102"/>
    <cellStyle name="20% - Accent1 27 2 5" xfId="28173"/>
    <cellStyle name="20% - Accent1 27 3" xfId="7256"/>
    <cellStyle name="20% - Accent1 27 3 2" xfId="25105"/>
    <cellStyle name="20% - Accent1 27 3 3" xfId="28176"/>
    <cellStyle name="20% - Accent1 27 4" xfId="7257"/>
    <cellStyle name="20% - Accent1 27 4 2" xfId="25106"/>
    <cellStyle name="20% - Accent1 27 4 3" xfId="28177"/>
    <cellStyle name="20% - Accent1 27 5" xfId="25101"/>
    <cellStyle name="20% - Accent1 27 6" xfId="28172"/>
    <cellStyle name="20% - Accent1 28" xfId="7258"/>
    <cellStyle name="20% - Accent1 28 2" xfId="7259"/>
    <cellStyle name="20% - Accent1 28 2 2" xfId="25108"/>
    <cellStyle name="20% - Accent1 28 2 3" xfId="28179"/>
    <cellStyle name="20% - Accent1 28 3" xfId="7260"/>
    <cellStyle name="20% - Accent1 28 3 2" xfId="25109"/>
    <cellStyle name="20% - Accent1 28 3 3" xfId="28180"/>
    <cellStyle name="20% - Accent1 28 4" xfId="25107"/>
    <cellStyle name="20% - Accent1 28 5" xfId="28178"/>
    <cellStyle name="20% - Accent1 29" xfId="7261"/>
    <cellStyle name="20% - Accent1 29 2" xfId="25110"/>
    <cellStyle name="20% - Accent1 29 3" xfId="28181"/>
    <cellStyle name="20% - Accent1 3" xfId="212"/>
    <cellStyle name="20% - Accent1 3 10" xfId="3675"/>
    <cellStyle name="20% - Accent1 3 10 2" xfId="4231"/>
    <cellStyle name="20% - Accent1 3 10 2 2" xfId="7262"/>
    <cellStyle name="20% - Accent1 3 10 3" xfId="7263"/>
    <cellStyle name="20% - Accent1 3 10 4" xfId="7264"/>
    <cellStyle name="20% - Accent1 3 10 5" xfId="7265"/>
    <cellStyle name="20% - Accent1 3 11" xfId="7266"/>
    <cellStyle name="20% - Accent1 3 11 2" xfId="7267"/>
    <cellStyle name="20% - Accent1 3 11 3" xfId="7268"/>
    <cellStyle name="20% - Accent1 3 12" xfId="7269"/>
    <cellStyle name="20% - Accent1 3 12 2" xfId="7270"/>
    <cellStyle name="20% - Accent1 3 12 3" xfId="7271"/>
    <cellStyle name="20% - Accent1 3 13" xfId="7272"/>
    <cellStyle name="20% - Accent1 3 13 2" xfId="7273"/>
    <cellStyle name="20% - Accent1 3 13 3" xfId="7274"/>
    <cellStyle name="20% - Accent1 3 14" xfId="7275"/>
    <cellStyle name="20% - Accent1 3 15" xfId="7276"/>
    <cellStyle name="20% - Accent1 3 2" xfId="1448"/>
    <cellStyle name="20% - Accent1 3 2 10" xfId="7277"/>
    <cellStyle name="20% - Accent1 3 2 10 2" xfId="7278"/>
    <cellStyle name="20% - Accent1 3 2 10 3" xfId="7279"/>
    <cellStyle name="20% - Accent1 3 2 11" xfId="7280"/>
    <cellStyle name="20% - Accent1 3 2 11 2" xfId="7281"/>
    <cellStyle name="20% - Accent1 3 2 11 3" xfId="7282"/>
    <cellStyle name="20% - Accent1 3 2 12" xfId="7283"/>
    <cellStyle name="20% - Accent1 3 2 12 2" xfId="7284"/>
    <cellStyle name="20% - Accent1 3 2 12 3" xfId="7285"/>
    <cellStyle name="20% - Accent1 3 2 13" xfId="7286"/>
    <cellStyle name="20% - Accent1 3 2 14" xfId="7287"/>
    <cellStyle name="20% - Accent1 3 2 15" xfId="7288"/>
    <cellStyle name="20% - Accent1 3 2 2" xfId="1823"/>
    <cellStyle name="20% - Accent1 3 2 2 2" xfId="7289"/>
    <cellStyle name="20% - Accent1 3 2 2 3" xfId="7290"/>
    <cellStyle name="20% - Accent1 3 2 3" xfId="2198"/>
    <cellStyle name="20% - Accent1 3 2 3 2" xfId="7291"/>
    <cellStyle name="20% - Accent1 3 2 3 3" xfId="7292"/>
    <cellStyle name="20% - Accent1 3 2 4" xfId="2572"/>
    <cellStyle name="20% - Accent1 3 2 4 2" xfId="7293"/>
    <cellStyle name="20% - Accent1 3 2 4 3" xfId="7294"/>
    <cellStyle name="20% - Accent1 3 2 5" xfId="2944"/>
    <cellStyle name="20% - Accent1 3 2 5 2" xfId="7295"/>
    <cellStyle name="20% - Accent1 3 2 5 3" xfId="7296"/>
    <cellStyle name="20% - Accent1 3 2 6" xfId="3316"/>
    <cellStyle name="20% - Accent1 3 2 6 2" xfId="7297"/>
    <cellStyle name="20% - Accent1 3 2 6 3" xfId="7298"/>
    <cellStyle name="20% - Accent1 3 2 7" xfId="4232"/>
    <cellStyle name="20% - Accent1 3 2 7 2" xfId="7300"/>
    <cellStyle name="20% - Accent1 3 2 7 3" xfId="7301"/>
    <cellStyle name="20% - Accent1 3 2 7 4" xfId="7299"/>
    <cellStyle name="20% - Accent1 3 2 8" xfId="7302"/>
    <cellStyle name="20% - Accent1 3 2 8 2" xfId="7303"/>
    <cellStyle name="20% - Accent1 3 2 8 3" xfId="7304"/>
    <cellStyle name="20% - Accent1 3 2 9" xfId="7305"/>
    <cellStyle name="20% - Accent1 3 2 9 2" xfId="7306"/>
    <cellStyle name="20% - Accent1 3 2 9 3" xfId="7307"/>
    <cellStyle name="20% - Accent1 3 3" xfId="1575"/>
    <cellStyle name="20% - Accent1 3 3 2" xfId="1900"/>
    <cellStyle name="20% - Accent1 3 3 3" xfId="2275"/>
    <cellStyle name="20% - Accent1 3 3 4" xfId="2648"/>
    <cellStyle name="20% - Accent1 3 3 5" xfId="3021"/>
    <cellStyle name="20% - Accent1 3 3 6" xfId="3392"/>
    <cellStyle name="20% - Accent1 3 3 7" xfId="4233"/>
    <cellStyle name="20% - Accent1 3 4" xfId="1712"/>
    <cellStyle name="20% - Accent1 3 4 2" xfId="1944"/>
    <cellStyle name="20% - Accent1 3 4 3" xfId="2319"/>
    <cellStyle name="20% - Accent1 3 4 4" xfId="2692"/>
    <cellStyle name="20% - Accent1 3 4 5" xfId="3065"/>
    <cellStyle name="20% - Accent1 3 4 6" xfId="3436"/>
    <cellStyle name="20% - Accent1 3 5" xfId="2047"/>
    <cellStyle name="20% - Accent1 3 5 2" xfId="7308"/>
    <cellStyle name="20% - Accent1 3 5 3" xfId="7309"/>
    <cellStyle name="20% - Accent1 3 5 4" xfId="7310"/>
    <cellStyle name="20% - Accent1 3 6" xfId="2421"/>
    <cellStyle name="20% - Accent1 3 6 2" xfId="7311"/>
    <cellStyle name="20% - Accent1 3 6 3" xfId="7312"/>
    <cellStyle name="20% - Accent1 3 6 4" xfId="7313"/>
    <cellStyle name="20% - Accent1 3 7" xfId="2793"/>
    <cellStyle name="20% - Accent1 3 7 2" xfId="7314"/>
    <cellStyle name="20% - Accent1 3 7 3" xfId="7315"/>
    <cellStyle name="20% - Accent1 3 7 4" xfId="7316"/>
    <cellStyle name="20% - Accent1 3 8" xfId="3164"/>
    <cellStyle name="20% - Accent1 3 8 2" xfId="7317"/>
    <cellStyle name="20% - Accent1 3 8 3" xfId="7318"/>
    <cellStyle name="20% - Accent1 3 8 4" xfId="7319"/>
    <cellStyle name="20% - Accent1 3 9" xfId="3539"/>
    <cellStyle name="20% - Accent1 3 9 2" xfId="4234"/>
    <cellStyle name="20% - Accent1 3 9 2 2" xfId="7320"/>
    <cellStyle name="20% - Accent1 3 9 3" xfId="7321"/>
    <cellStyle name="20% - Accent1 3 9 4" xfId="7322"/>
    <cellStyle name="20% - Accent1 3 9 5" xfId="7323"/>
    <cellStyle name="20% - Accent1 30" xfId="28140"/>
    <cellStyle name="20% - Accent1 4" xfId="235"/>
    <cellStyle name="20% - Accent1 4 10" xfId="3719"/>
    <cellStyle name="20% - Accent1 4 10 2" xfId="4236"/>
    <cellStyle name="20% - Accent1 4 10 2 2" xfId="7325"/>
    <cellStyle name="20% - Accent1 4 10 3" xfId="7326"/>
    <cellStyle name="20% - Accent1 4 10 4" xfId="7327"/>
    <cellStyle name="20% - Accent1 4 10 5" xfId="7328"/>
    <cellStyle name="20% - Accent1 4 11" xfId="1294"/>
    <cellStyle name="20% - Accent1 4 11 10" xfId="25111"/>
    <cellStyle name="20% - Accent1 4 11 11" xfId="28183"/>
    <cellStyle name="20% - Accent1 4 11 2" xfId="4144"/>
    <cellStyle name="20% - Accent1 4 11 2 2" xfId="5306"/>
    <cellStyle name="20% - Accent1 4 11 2 2 2" xfId="5928"/>
    <cellStyle name="20% - Accent1 4 11 2 2 2 2" xfId="25114"/>
    <cellStyle name="20% - Accent1 4 11 2 2 3" xfId="7331"/>
    <cellStyle name="20% - Accent1 4 11 2 2 4" xfId="25113"/>
    <cellStyle name="20% - Accent1 4 11 2 3" xfId="5616"/>
    <cellStyle name="20% - Accent1 4 11 2 3 2" xfId="5929"/>
    <cellStyle name="20% - Accent1 4 11 2 3 2 2" xfId="25116"/>
    <cellStyle name="20% - Accent1 4 11 2 3 3" xfId="25115"/>
    <cellStyle name="20% - Accent1 4 11 2 4" xfId="4238"/>
    <cellStyle name="20% - Accent1 4 11 2 4 2" xfId="5930"/>
    <cellStyle name="20% - Accent1 4 11 2 4 2 2" xfId="25118"/>
    <cellStyle name="20% - Accent1 4 11 2 4 3" xfId="25117"/>
    <cellStyle name="20% - Accent1 4 11 2 5" xfId="5927"/>
    <cellStyle name="20% - Accent1 4 11 2 5 2" xfId="25119"/>
    <cellStyle name="20% - Accent1 4 11 2 6" xfId="7330"/>
    <cellStyle name="20% - Accent1 4 11 2 6 2" xfId="25120"/>
    <cellStyle name="20% - Accent1 4 11 2 7" xfId="24996"/>
    <cellStyle name="20% - Accent1 4 11 2 8" xfId="25112"/>
    <cellStyle name="20% - Accent1 4 11 2 9" xfId="28184"/>
    <cellStyle name="20% - Accent1 4 11 3" xfId="5305"/>
    <cellStyle name="20% - Accent1 4 11 3 2" xfId="5931"/>
    <cellStyle name="20% - Accent1 4 11 3 2 2" xfId="25122"/>
    <cellStyle name="20% - Accent1 4 11 3 3" xfId="7332"/>
    <cellStyle name="20% - Accent1 4 11 3 4" xfId="25121"/>
    <cellStyle name="20% - Accent1 4 11 4" xfId="5615"/>
    <cellStyle name="20% - Accent1 4 11 4 2" xfId="5932"/>
    <cellStyle name="20% - Accent1 4 11 4 2 2" xfId="25124"/>
    <cellStyle name="20% - Accent1 4 11 4 3" xfId="7333"/>
    <cellStyle name="20% - Accent1 4 11 4 4" xfId="25123"/>
    <cellStyle name="20% - Accent1 4 11 5" xfId="4237"/>
    <cellStyle name="20% - Accent1 4 11 5 2" xfId="5933"/>
    <cellStyle name="20% - Accent1 4 11 5 2 2" xfId="7335"/>
    <cellStyle name="20% - Accent1 4 11 5 2 2 2" xfId="25127"/>
    <cellStyle name="20% - Accent1 4 11 5 2 3" xfId="25126"/>
    <cellStyle name="20% - Accent1 4 11 5 2 4" xfId="28186"/>
    <cellStyle name="20% - Accent1 4 11 5 3" xfId="7336"/>
    <cellStyle name="20% - Accent1 4 11 5 3 2" xfId="25128"/>
    <cellStyle name="20% - Accent1 4 11 5 3 3" xfId="28187"/>
    <cellStyle name="20% - Accent1 4 11 5 4" xfId="7334"/>
    <cellStyle name="20% - Accent1 4 11 5 4 2" xfId="25129"/>
    <cellStyle name="20% - Accent1 4 11 5 5" xfId="25125"/>
    <cellStyle name="20% - Accent1 4 11 5 6" xfId="28185"/>
    <cellStyle name="20% - Accent1 4 11 6" xfId="5926"/>
    <cellStyle name="20% - Accent1 4 11 6 2" xfId="7337"/>
    <cellStyle name="20% - Accent1 4 11 6 2 2" xfId="25131"/>
    <cellStyle name="20% - Accent1 4 11 6 3" xfId="25130"/>
    <cellStyle name="20% - Accent1 4 11 6 4" xfId="28188"/>
    <cellStyle name="20% - Accent1 4 11 7" xfId="7338"/>
    <cellStyle name="20% - Accent1 4 11 7 2" xfId="25132"/>
    <cellStyle name="20% - Accent1 4 11 7 3" xfId="28189"/>
    <cellStyle name="20% - Accent1 4 11 8" xfId="7329"/>
    <cellStyle name="20% - Accent1 4 11 8 2" xfId="25133"/>
    <cellStyle name="20% - Accent1 4 11 9" xfId="24876"/>
    <cellStyle name="20% - Accent1 4 12" xfId="4239"/>
    <cellStyle name="20% - Accent1 4 12 2" xfId="5307"/>
    <cellStyle name="20% - Accent1 4 12 2 2" xfId="5935"/>
    <cellStyle name="20% - Accent1 4 12 2 2 2" xfId="25136"/>
    <cellStyle name="20% - Accent1 4 12 2 3" xfId="7340"/>
    <cellStyle name="20% - Accent1 4 12 2 4" xfId="25135"/>
    <cellStyle name="20% - Accent1 4 12 3" xfId="5617"/>
    <cellStyle name="20% - Accent1 4 12 3 2" xfId="5936"/>
    <cellStyle name="20% - Accent1 4 12 3 2 2" xfId="25138"/>
    <cellStyle name="20% - Accent1 4 12 3 3" xfId="7341"/>
    <cellStyle name="20% - Accent1 4 12 3 4" xfId="25137"/>
    <cellStyle name="20% - Accent1 4 12 4" xfId="5934"/>
    <cellStyle name="20% - Accent1 4 12 4 2" xfId="7342"/>
    <cellStyle name="20% - Accent1 4 12 4 3" xfId="25139"/>
    <cellStyle name="20% - Accent1 4 12 5" xfId="7339"/>
    <cellStyle name="20% - Accent1 4 12 5 2" xfId="25140"/>
    <cellStyle name="20% - Accent1 4 12 6" xfId="25134"/>
    <cellStyle name="20% - Accent1 4 12 7" xfId="28190"/>
    <cellStyle name="20% - Accent1 4 13" xfId="5304"/>
    <cellStyle name="20% - Accent1 4 13 2" xfId="5937"/>
    <cellStyle name="20% - Accent1 4 13 2 2" xfId="7344"/>
    <cellStyle name="20% - Accent1 4 13 2 3" xfId="25142"/>
    <cellStyle name="20% - Accent1 4 13 3" xfId="7345"/>
    <cellStyle name="20% - Accent1 4 13 4" xfId="7343"/>
    <cellStyle name="20% - Accent1 4 13 5" xfId="25141"/>
    <cellStyle name="20% - Accent1 4 14" xfId="5614"/>
    <cellStyle name="20% - Accent1 4 14 2" xfId="5938"/>
    <cellStyle name="20% - Accent1 4 14 2 2" xfId="25144"/>
    <cellStyle name="20% - Accent1 4 14 3" xfId="7346"/>
    <cellStyle name="20% - Accent1 4 14 4" xfId="25143"/>
    <cellStyle name="20% - Accent1 4 15" xfId="4235"/>
    <cellStyle name="20% - Accent1 4 15 2" xfId="5939"/>
    <cellStyle name="20% - Accent1 4 15 2 2" xfId="25146"/>
    <cellStyle name="20% - Accent1 4 15 3" xfId="7347"/>
    <cellStyle name="20% - Accent1 4 15 4" xfId="25145"/>
    <cellStyle name="20% - Accent1 4 16" xfId="7348"/>
    <cellStyle name="20% - Accent1 4 17" xfId="7349"/>
    <cellStyle name="20% - Accent1 4 17 2" xfId="7350"/>
    <cellStyle name="20% - Accent1 4 17 2 2" xfId="25148"/>
    <cellStyle name="20% - Accent1 4 17 2 3" xfId="28192"/>
    <cellStyle name="20% - Accent1 4 17 3" xfId="7351"/>
    <cellStyle name="20% - Accent1 4 17 3 2" xfId="25149"/>
    <cellStyle name="20% - Accent1 4 17 3 3" xfId="28193"/>
    <cellStyle name="20% - Accent1 4 17 4" xfId="25147"/>
    <cellStyle name="20% - Accent1 4 17 5" xfId="28191"/>
    <cellStyle name="20% - Accent1 4 18" xfId="7352"/>
    <cellStyle name="20% - Accent1 4 18 2" xfId="25150"/>
    <cellStyle name="20% - Accent1 4 18 3" xfId="28194"/>
    <cellStyle name="20% - Accent1 4 19" xfId="7353"/>
    <cellStyle name="20% - Accent1 4 19 2" xfId="25151"/>
    <cellStyle name="20% - Accent1 4 19 3" xfId="28195"/>
    <cellStyle name="20% - Accent1 4 2" xfId="1493"/>
    <cellStyle name="20% - Accent1 4 2 10" xfId="7354"/>
    <cellStyle name="20% - Accent1 4 2 10 2" xfId="7355"/>
    <cellStyle name="20% - Accent1 4 2 10 3" xfId="7356"/>
    <cellStyle name="20% - Accent1 4 2 11" xfId="7357"/>
    <cellStyle name="20% - Accent1 4 2 11 2" xfId="7358"/>
    <cellStyle name="20% - Accent1 4 2 11 3" xfId="7359"/>
    <cellStyle name="20% - Accent1 4 2 12" xfId="7360"/>
    <cellStyle name="20% - Accent1 4 2 12 2" xfId="7361"/>
    <cellStyle name="20% - Accent1 4 2 12 3" xfId="7362"/>
    <cellStyle name="20% - Accent1 4 2 13" xfId="7363"/>
    <cellStyle name="20% - Accent1 4 2 14" xfId="7364"/>
    <cellStyle name="20% - Accent1 4 2 15" xfId="7365"/>
    <cellStyle name="20% - Accent1 4 2 16" xfId="7366"/>
    <cellStyle name="20% - Accent1 4 2 2" xfId="4240"/>
    <cellStyle name="20% - Accent1 4 2 2 2" xfId="7368"/>
    <cellStyle name="20% - Accent1 4 2 2 3" xfId="7369"/>
    <cellStyle name="20% - Accent1 4 2 2 4" xfId="7367"/>
    <cellStyle name="20% - Accent1 4 2 3" xfId="7370"/>
    <cellStyle name="20% - Accent1 4 2 3 2" xfId="7371"/>
    <cellStyle name="20% - Accent1 4 2 3 3" xfId="7372"/>
    <cellStyle name="20% - Accent1 4 2 4" xfId="7373"/>
    <cellStyle name="20% - Accent1 4 2 4 2" xfId="7374"/>
    <cellStyle name="20% - Accent1 4 2 4 3" xfId="7375"/>
    <cellStyle name="20% - Accent1 4 2 5" xfId="7376"/>
    <cellStyle name="20% - Accent1 4 2 5 2" xfId="7377"/>
    <cellStyle name="20% - Accent1 4 2 5 3" xfId="7378"/>
    <cellStyle name="20% - Accent1 4 2 6" xfId="7379"/>
    <cellStyle name="20% - Accent1 4 2 6 2" xfId="7380"/>
    <cellStyle name="20% - Accent1 4 2 6 3" xfId="7381"/>
    <cellStyle name="20% - Accent1 4 2 7" xfId="7382"/>
    <cellStyle name="20% - Accent1 4 2 7 2" xfId="7383"/>
    <cellStyle name="20% - Accent1 4 2 7 3" xfId="7384"/>
    <cellStyle name="20% - Accent1 4 2 8" xfId="7385"/>
    <cellStyle name="20% - Accent1 4 2 8 2" xfId="7386"/>
    <cellStyle name="20% - Accent1 4 2 8 3" xfId="7387"/>
    <cellStyle name="20% - Accent1 4 2 9" xfId="7388"/>
    <cellStyle name="20% - Accent1 4 2 9 2" xfId="7389"/>
    <cellStyle name="20% - Accent1 4 2 9 3" xfId="7390"/>
    <cellStyle name="20% - Accent1 4 20" xfId="7324"/>
    <cellStyle name="20% - Accent1 4 20 2" xfId="25152"/>
    <cellStyle name="20% - Accent1 4 21" xfId="28182"/>
    <cellStyle name="20% - Accent1 4 3" xfId="1618"/>
    <cellStyle name="20% - Accent1 4 3 2" xfId="4241"/>
    <cellStyle name="20% - Accent1 4 3 2 2" xfId="7391"/>
    <cellStyle name="20% - Accent1 4 3 3" xfId="7392"/>
    <cellStyle name="20% - Accent1 4 3 4" xfId="7393"/>
    <cellStyle name="20% - Accent1 4 3 5" xfId="7394"/>
    <cellStyle name="20% - Accent1 4 4" xfId="1804"/>
    <cellStyle name="20% - Accent1 4 4 2" xfId="7395"/>
    <cellStyle name="20% - Accent1 4 4 3" xfId="7396"/>
    <cellStyle name="20% - Accent1 4 4 4" xfId="7397"/>
    <cellStyle name="20% - Accent1 4 5" xfId="2140"/>
    <cellStyle name="20% - Accent1 4 5 2" xfId="7398"/>
    <cellStyle name="20% - Accent1 4 5 3" xfId="7399"/>
    <cellStyle name="20% - Accent1 4 5 4" xfId="7400"/>
    <cellStyle name="20% - Accent1 4 6" xfId="2514"/>
    <cellStyle name="20% - Accent1 4 6 2" xfId="7401"/>
    <cellStyle name="20% - Accent1 4 6 3" xfId="7402"/>
    <cellStyle name="20% - Accent1 4 6 4" xfId="7403"/>
    <cellStyle name="20% - Accent1 4 7" xfId="2886"/>
    <cellStyle name="20% - Accent1 4 7 2" xfId="7404"/>
    <cellStyle name="20% - Accent1 4 7 3" xfId="7405"/>
    <cellStyle name="20% - Accent1 4 7 4" xfId="7406"/>
    <cellStyle name="20% - Accent1 4 8" xfId="3257"/>
    <cellStyle name="20% - Accent1 4 8 2" xfId="7407"/>
    <cellStyle name="20% - Accent1 4 8 3" xfId="7408"/>
    <cellStyle name="20% - Accent1 4 8 4" xfId="7409"/>
    <cellStyle name="20% - Accent1 4 9" xfId="3582"/>
    <cellStyle name="20% - Accent1 4 9 2" xfId="4242"/>
    <cellStyle name="20% - Accent1 4 9 2 2" xfId="7410"/>
    <cellStyle name="20% - Accent1 4 9 3" xfId="7411"/>
    <cellStyle name="20% - Accent1 4 9 4" xfId="7412"/>
    <cellStyle name="20% - Accent1 4 9 5" xfId="7413"/>
    <cellStyle name="20% - Accent1 5" xfId="359"/>
    <cellStyle name="20% - Accent1 5 10" xfId="7414"/>
    <cellStyle name="20% - Accent1 5 10 2" xfId="7415"/>
    <cellStyle name="20% - Accent1 5 10 3" xfId="7416"/>
    <cellStyle name="20% - Accent1 5 11" xfId="7417"/>
    <cellStyle name="20% - Accent1 5 11 2" xfId="7418"/>
    <cellStyle name="20% - Accent1 5 11 3" xfId="7419"/>
    <cellStyle name="20% - Accent1 5 12" xfId="7420"/>
    <cellStyle name="20% - Accent1 5 12 2" xfId="7421"/>
    <cellStyle name="20% - Accent1 5 12 3" xfId="7422"/>
    <cellStyle name="20% - Accent1 5 13" xfId="7423"/>
    <cellStyle name="20% - Accent1 5 13 2" xfId="7424"/>
    <cellStyle name="20% - Accent1 5 13 3" xfId="7425"/>
    <cellStyle name="20% - Accent1 5 14" xfId="7426"/>
    <cellStyle name="20% - Accent1 5 15" xfId="7427"/>
    <cellStyle name="20% - Accent1 5 16" xfId="7428"/>
    <cellStyle name="20% - Accent1 5 17" xfId="7429"/>
    <cellStyle name="20% - Accent1 5 2" xfId="1867"/>
    <cellStyle name="20% - Accent1 5 2 10" xfId="7430"/>
    <cellStyle name="20% - Accent1 5 2 10 2" xfId="7431"/>
    <cellStyle name="20% - Accent1 5 2 10 3" xfId="7432"/>
    <cellStyle name="20% - Accent1 5 2 11" xfId="7433"/>
    <cellStyle name="20% - Accent1 5 2 11 2" xfId="7434"/>
    <cellStyle name="20% - Accent1 5 2 11 3" xfId="7435"/>
    <cellStyle name="20% - Accent1 5 2 12" xfId="7436"/>
    <cellStyle name="20% - Accent1 5 2 12 2" xfId="7437"/>
    <cellStyle name="20% - Accent1 5 2 12 3" xfId="7438"/>
    <cellStyle name="20% - Accent1 5 2 13" xfId="7439"/>
    <cellStyle name="20% - Accent1 5 2 14" xfId="7440"/>
    <cellStyle name="20% - Accent1 5 2 15" xfId="7441"/>
    <cellStyle name="20% - Accent1 5 2 2" xfId="7442"/>
    <cellStyle name="20% - Accent1 5 2 2 2" xfId="7443"/>
    <cellStyle name="20% - Accent1 5 2 2 3" xfId="7444"/>
    <cellStyle name="20% - Accent1 5 2 3" xfId="7445"/>
    <cellStyle name="20% - Accent1 5 2 3 2" xfId="7446"/>
    <cellStyle name="20% - Accent1 5 2 3 3" xfId="7447"/>
    <cellStyle name="20% - Accent1 5 2 4" xfId="7448"/>
    <cellStyle name="20% - Accent1 5 2 4 2" xfId="7449"/>
    <cellStyle name="20% - Accent1 5 2 4 3" xfId="7450"/>
    <cellStyle name="20% - Accent1 5 2 5" xfId="7451"/>
    <cellStyle name="20% - Accent1 5 2 5 2" xfId="7452"/>
    <cellStyle name="20% - Accent1 5 2 5 3" xfId="7453"/>
    <cellStyle name="20% - Accent1 5 2 6" xfId="7454"/>
    <cellStyle name="20% - Accent1 5 2 6 2" xfId="7455"/>
    <cellStyle name="20% - Accent1 5 2 6 3" xfId="7456"/>
    <cellStyle name="20% - Accent1 5 2 7" xfId="7457"/>
    <cellStyle name="20% - Accent1 5 2 7 2" xfId="7458"/>
    <cellStyle name="20% - Accent1 5 2 7 3" xfId="7459"/>
    <cellStyle name="20% - Accent1 5 2 8" xfId="7460"/>
    <cellStyle name="20% - Accent1 5 2 8 2" xfId="7461"/>
    <cellStyle name="20% - Accent1 5 2 8 3" xfId="7462"/>
    <cellStyle name="20% - Accent1 5 2 9" xfId="7463"/>
    <cellStyle name="20% - Accent1 5 2 9 2" xfId="7464"/>
    <cellStyle name="20% - Accent1 5 2 9 3" xfId="7465"/>
    <cellStyle name="20% - Accent1 5 3" xfId="2242"/>
    <cellStyle name="20% - Accent1 5 3 2" xfId="7466"/>
    <cellStyle name="20% - Accent1 5 3 3" xfId="7467"/>
    <cellStyle name="20% - Accent1 5 3 4" xfId="7468"/>
    <cellStyle name="20% - Accent1 5 4" xfId="2616"/>
    <cellStyle name="20% - Accent1 5 4 2" xfId="7469"/>
    <cellStyle name="20% - Accent1 5 4 3" xfId="7470"/>
    <cellStyle name="20% - Accent1 5 4 4" xfId="7471"/>
    <cellStyle name="20% - Accent1 5 5" xfId="2988"/>
    <cellStyle name="20% - Accent1 5 5 2" xfId="7472"/>
    <cellStyle name="20% - Accent1 5 5 3" xfId="7473"/>
    <cellStyle name="20% - Accent1 5 5 4" xfId="7474"/>
    <cellStyle name="20% - Accent1 5 6" xfId="3360"/>
    <cellStyle name="20% - Accent1 5 6 2" xfId="7475"/>
    <cellStyle name="20% - Accent1 5 6 3" xfId="7476"/>
    <cellStyle name="20% - Accent1 5 6 4" xfId="7477"/>
    <cellStyle name="20% - Accent1 5 7" xfId="4243"/>
    <cellStyle name="20% - Accent1 5 7 2" xfId="7479"/>
    <cellStyle name="20% - Accent1 5 7 3" xfId="7480"/>
    <cellStyle name="20% - Accent1 5 7 4" xfId="7478"/>
    <cellStyle name="20% - Accent1 5 8" xfId="7481"/>
    <cellStyle name="20% - Accent1 5 8 2" xfId="7482"/>
    <cellStyle name="20% - Accent1 5 8 3" xfId="7483"/>
    <cellStyle name="20% - Accent1 5 9" xfId="7484"/>
    <cellStyle name="20% - Accent1 5 9 2" xfId="7485"/>
    <cellStyle name="20% - Accent1 5 9 3" xfId="7486"/>
    <cellStyle name="20% - Accent1 6" xfId="360"/>
    <cellStyle name="20% - Accent1 6 10" xfId="5308"/>
    <cellStyle name="20% - Accent1 6 10 2" xfId="5941"/>
    <cellStyle name="20% - Accent1 6 10 2 2" xfId="7489"/>
    <cellStyle name="20% - Accent1 6 10 2 3" xfId="25155"/>
    <cellStyle name="20% - Accent1 6 10 3" xfId="7490"/>
    <cellStyle name="20% - Accent1 6 10 4" xfId="7488"/>
    <cellStyle name="20% - Accent1 6 10 5" xfId="25154"/>
    <cellStyle name="20% - Accent1 6 11" xfId="5618"/>
    <cellStyle name="20% - Accent1 6 11 2" xfId="5942"/>
    <cellStyle name="20% - Accent1 6 11 2 2" xfId="7492"/>
    <cellStyle name="20% - Accent1 6 11 2 3" xfId="25157"/>
    <cellStyle name="20% - Accent1 6 11 3" xfId="7493"/>
    <cellStyle name="20% - Accent1 6 11 4" xfId="7491"/>
    <cellStyle name="20% - Accent1 6 11 5" xfId="25156"/>
    <cellStyle name="20% - Accent1 6 12" xfId="4244"/>
    <cellStyle name="20% - Accent1 6 12 2" xfId="5943"/>
    <cellStyle name="20% - Accent1 6 12 2 2" xfId="7495"/>
    <cellStyle name="20% - Accent1 6 12 2 3" xfId="25159"/>
    <cellStyle name="20% - Accent1 6 12 3" xfId="7496"/>
    <cellStyle name="20% - Accent1 6 12 4" xfId="7494"/>
    <cellStyle name="20% - Accent1 6 12 5" xfId="25158"/>
    <cellStyle name="20% - Accent1 6 13" xfId="5940"/>
    <cellStyle name="20% - Accent1 6 13 2" xfId="7497"/>
    <cellStyle name="20% - Accent1 6 13 3" xfId="25160"/>
    <cellStyle name="20% - Accent1 6 14" xfId="7498"/>
    <cellStyle name="20% - Accent1 6 15" xfId="7499"/>
    <cellStyle name="20% - Accent1 6 16" xfId="7500"/>
    <cellStyle name="20% - Accent1 6 16 2" xfId="7501"/>
    <cellStyle name="20% - Accent1 6 16 2 2" xfId="25162"/>
    <cellStyle name="20% - Accent1 6 16 2 3" xfId="28198"/>
    <cellStyle name="20% - Accent1 6 16 3" xfId="7502"/>
    <cellStyle name="20% - Accent1 6 16 3 2" xfId="25163"/>
    <cellStyle name="20% - Accent1 6 16 3 3" xfId="28199"/>
    <cellStyle name="20% - Accent1 6 16 4" xfId="25161"/>
    <cellStyle name="20% - Accent1 6 16 5" xfId="28197"/>
    <cellStyle name="20% - Accent1 6 17" xfId="7503"/>
    <cellStyle name="20% - Accent1 6 17 2" xfId="25164"/>
    <cellStyle name="20% - Accent1 6 17 3" xfId="28200"/>
    <cellStyle name="20% - Accent1 6 18" xfId="7504"/>
    <cellStyle name="20% - Accent1 6 18 2" xfId="25165"/>
    <cellStyle name="20% - Accent1 6 18 3" xfId="28201"/>
    <cellStyle name="20% - Accent1 6 19" xfId="7487"/>
    <cellStyle name="20% - Accent1 6 19 2" xfId="25166"/>
    <cellStyle name="20% - Accent1 6 2" xfId="1969"/>
    <cellStyle name="20% - Accent1 6 2 2" xfId="4245"/>
    <cellStyle name="20% - Accent1 6 2 2 2" xfId="7505"/>
    <cellStyle name="20% - Accent1 6 2 3" xfId="7506"/>
    <cellStyle name="20% - Accent1 6 2 4" xfId="7507"/>
    <cellStyle name="20% - Accent1 6 2 5" xfId="7508"/>
    <cellStyle name="20% - Accent1 6 20" xfId="24831"/>
    <cellStyle name="20% - Accent1 6 21" xfId="25153"/>
    <cellStyle name="20% - Accent1 6 22" xfId="28196"/>
    <cellStyle name="20% - Accent1 6 3" xfId="2344"/>
    <cellStyle name="20% - Accent1 6 3 2" xfId="4246"/>
    <cellStyle name="20% - Accent1 6 3 2 2" xfId="7509"/>
    <cellStyle name="20% - Accent1 6 3 3" xfId="7510"/>
    <cellStyle name="20% - Accent1 6 3 4" xfId="7511"/>
    <cellStyle name="20% - Accent1 6 3 5" xfId="7512"/>
    <cellStyle name="20% - Accent1 6 4" xfId="2717"/>
    <cellStyle name="20% - Accent1 6 4 2" xfId="4247"/>
    <cellStyle name="20% - Accent1 6 4 2 2" xfId="7513"/>
    <cellStyle name="20% - Accent1 6 4 3" xfId="7514"/>
    <cellStyle name="20% - Accent1 6 4 4" xfId="7515"/>
    <cellStyle name="20% - Accent1 6 4 5" xfId="7516"/>
    <cellStyle name="20% - Accent1 6 5" xfId="3090"/>
    <cellStyle name="20% - Accent1 6 5 2" xfId="4248"/>
    <cellStyle name="20% - Accent1 6 5 2 2" xfId="7517"/>
    <cellStyle name="20% - Accent1 6 5 3" xfId="7518"/>
    <cellStyle name="20% - Accent1 6 5 4" xfId="7519"/>
    <cellStyle name="20% - Accent1 6 5 5" xfId="7520"/>
    <cellStyle name="20% - Accent1 6 6" xfId="3461"/>
    <cellStyle name="20% - Accent1 6 6 2" xfId="4249"/>
    <cellStyle name="20% - Accent1 6 6 2 2" xfId="7521"/>
    <cellStyle name="20% - Accent1 6 6 3" xfId="7522"/>
    <cellStyle name="20% - Accent1 6 6 4" xfId="7523"/>
    <cellStyle name="20% - Accent1 6 6 5" xfId="7524"/>
    <cellStyle name="20% - Accent1 6 7" xfId="3767"/>
    <cellStyle name="20% - Accent1 6 7 2" xfId="4250"/>
    <cellStyle name="20% - Accent1 6 7 2 2" xfId="7525"/>
    <cellStyle name="20% - Accent1 6 7 3" xfId="7526"/>
    <cellStyle name="20% - Accent1 6 7 4" xfId="7527"/>
    <cellStyle name="20% - Accent1 6 7 5" xfId="7528"/>
    <cellStyle name="20% - Accent1 6 8" xfId="1357"/>
    <cellStyle name="20% - Accent1 6 8 10" xfId="25167"/>
    <cellStyle name="20% - Accent1 6 8 11" xfId="28202"/>
    <cellStyle name="20% - Accent1 6 8 2" xfId="4157"/>
    <cellStyle name="20% - Accent1 6 8 2 2" xfId="5310"/>
    <cellStyle name="20% - Accent1 6 8 2 2 2" xfId="5946"/>
    <cellStyle name="20% - Accent1 6 8 2 2 2 2" xfId="25170"/>
    <cellStyle name="20% - Accent1 6 8 2 2 3" xfId="7531"/>
    <cellStyle name="20% - Accent1 6 8 2 2 4" xfId="25169"/>
    <cellStyle name="20% - Accent1 6 8 2 3" xfId="5620"/>
    <cellStyle name="20% - Accent1 6 8 2 3 2" xfId="5947"/>
    <cellStyle name="20% - Accent1 6 8 2 3 2 2" xfId="25172"/>
    <cellStyle name="20% - Accent1 6 8 2 3 3" xfId="25171"/>
    <cellStyle name="20% - Accent1 6 8 2 4" xfId="4252"/>
    <cellStyle name="20% - Accent1 6 8 2 4 2" xfId="5948"/>
    <cellStyle name="20% - Accent1 6 8 2 4 2 2" xfId="25174"/>
    <cellStyle name="20% - Accent1 6 8 2 4 3" xfId="25173"/>
    <cellStyle name="20% - Accent1 6 8 2 5" xfId="5945"/>
    <cellStyle name="20% - Accent1 6 8 2 5 2" xfId="25175"/>
    <cellStyle name="20% - Accent1 6 8 2 6" xfId="7530"/>
    <cellStyle name="20% - Accent1 6 8 2 6 2" xfId="25176"/>
    <cellStyle name="20% - Accent1 6 8 2 7" xfId="25009"/>
    <cellStyle name="20% - Accent1 6 8 2 8" xfId="25168"/>
    <cellStyle name="20% - Accent1 6 8 2 9" xfId="28203"/>
    <cellStyle name="20% - Accent1 6 8 3" xfId="5309"/>
    <cellStyle name="20% - Accent1 6 8 3 2" xfId="5949"/>
    <cellStyle name="20% - Accent1 6 8 3 2 2" xfId="25178"/>
    <cellStyle name="20% - Accent1 6 8 3 3" xfId="7532"/>
    <cellStyle name="20% - Accent1 6 8 3 4" xfId="25177"/>
    <cellStyle name="20% - Accent1 6 8 4" xfId="5619"/>
    <cellStyle name="20% - Accent1 6 8 4 2" xfId="5950"/>
    <cellStyle name="20% - Accent1 6 8 4 2 2" xfId="25180"/>
    <cellStyle name="20% - Accent1 6 8 4 3" xfId="7533"/>
    <cellStyle name="20% - Accent1 6 8 4 4" xfId="25179"/>
    <cellStyle name="20% - Accent1 6 8 5" xfId="4251"/>
    <cellStyle name="20% - Accent1 6 8 5 2" xfId="5951"/>
    <cellStyle name="20% - Accent1 6 8 5 2 2" xfId="7535"/>
    <cellStyle name="20% - Accent1 6 8 5 2 2 2" xfId="25183"/>
    <cellStyle name="20% - Accent1 6 8 5 2 3" xfId="25182"/>
    <cellStyle name="20% - Accent1 6 8 5 2 4" xfId="28205"/>
    <cellStyle name="20% - Accent1 6 8 5 3" xfId="7536"/>
    <cellStyle name="20% - Accent1 6 8 5 3 2" xfId="25184"/>
    <cellStyle name="20% - Accent1 6 8 5 3 3" xfId="28206"/>
    <cellStyle name="20% - Accent1 6 8 5 4" xfId="7534"/>
    <cellStyle name="20% - Accent1 6 8 5 4 2" xfId="25185"/>
    <cellStyle name="20% - Accent1 6 8 5 5" xfId="25181"/>
    <cellStyle name="20% - Accent1 6 8 5 6" xfId="28204"/>
    <cellStyle name="20% - Accent1 6 8 6" xfId="5944"/>
    <cellStyle name="20% - Accent1 6 8 6 2" xfId="7537"/>
    <cellStyle name="20% - Accent1 6 8 6 2 2" xfId="25187"/>
    <cellStyle name="20% - Accent1 6 8 6 3" xfId="25186"/>
    <cellStyle name="20% - Accent1 6 8 6 4" xfId="28207"/>
    <cellStyle name="20% - Accent1 6 8 7" xfId="7538"/>
    <cellStyle name="20% - Accent1 6 8 7 2" xfId="25188"/>
    <cellStyle name="20% - Accent1 6 8 7 3" xfId="28208"/>
    <cellStyle name="20% - Accent1 6 8 8" xfId="7529"/>
    <cellStyle name="20% - Accent1 6 8 8 2" xfId="25189"/>
    <cellStyle name="20% - Accent1 6 8 9" xfId="24889"/>
    <cellStyle name="20% - Accent1 6 9" xfId="3817"/>
    <cellStyle name="20% - Accent1 6 9 2" xfId="5311"/>
    <cellStyle name="20% - Accent1 6 9 2 2" xfId="5953"/>
    <cellStyle name="20% - Accent1 6 9 2 2 2" xfId="25192"/>
    <cellStyle name="20% - Accent1 6 9 2 3" xfId="7540"/>
    <cellStyle name="20% - Accent1 6 9 2 4" xfId="25191"/>
    <cellStyle name="20% - Accent1 6 9 3" xfId="5621"/>
    <cellStyle name="20% - Accent1 6 9 3 2" xfId="5954"/>
    <cellStyle name="20% - Accent1 6 9 3 2 2" xfId="25194"/>
    <cellStyle name="20% - Accent1 6 9 3 3" xfId="7541"/>
    <cellStyle name="20% - Accent1 6 9 3 4" xfId="25193"/>
    <cellStyle name="20% - Accent1 6 9 4" xfId="4253"/>
    <cellStyle name="20% - Accent1 6 9 4 2" xfId="5955"/>
    <cellStyle name="20% - Accent1 6 9 4 2 2" xfId="25196"/>
    <cellStyle name="20% - Accent1 6 9 4 3" xfId="7542"/>
    <cellStyle name="20% - Accent1 6 9 4 4" xfId="25195"/>
    <cellStyle name="20% - Accent1 6 9 5" xfId="5952"/>
    <cellStyle name="20% - Accent1 6 9 5 2" xfId="25197"/>
    <cellStyle name="20% - Accent1 6 9 6" xfId="7539"/>
    <cellStyle name="20% - Accent1 6 9 6 2" xfId="25198"/>
    <cellStyle name="20% - Accent1 6 9 7" xfId="24953"/>
    <cellStyle name="20% - Accent1 6 9 8" xfId="25190"/>
    <cellStyle name="20% - Accent1 6 9 9" xfId="28209"/>
    <cellStyle name="20% - Accent1 7" xfId="361"/>
    <cellStyle name="20% - Accent1 7 10" xfId="7543"/>
    <cellStyle name="20% - Accent1 7 10 2" xfId="7544"/>
    <cellStyle name="20% - Accent1 7 10 3" xfId="7545"/>
    <cellStyle name="20% - Accent1 7 11" xfId="7546"/>
    <cellStyle name="20% - Accent1 7 11 2" xfId="7547"/>
    <cellStyle name="20% - Accent1 7 11 3" xfId="7548"/>
    <cellStyle name="20% - Accent1 7 12" xfId="7549"/>
    <cellStyle name="20% - Accent1 7 12 2" xfId="7550"/>
    <cellStyle name="20% - Accent1 7 12 3" xfId="7551"/>
    <cellStyle name="20% - Accent1 7 13" xfId="7552"/>
    <cellStyle name="20% - Accent1 7 14" xfId="7553"/>
    <cellStyle name="20% - Accent1 7 15" xfId="7554"/>
    <cellStyle name="20% - Accent1 7 16" xfId="7555"/>
    <cellStyle name="20% - Accent1 7 2" xfId="4254"/>
    <cellStyle name="20% - Accent1 7 2 2" xfId="7557"/>
    <cellStyle name="20% - Accent1 7 2 3" xfId="7558"/>
    <cellStyle name="20% - Accent1 7 2 4" xfId="7556"/>
    <cellStyle name="20% - Accent1 7 3" xfId="7559"/>
    <cellStyle name="20% - Accent1 7 3 2" xfId="7560"/>
    <cellStyle name="20% - Accent1 7 3 3" xfId="7561"/>
    <cellStyle name="20% - Accent1 7 4" xfId="7562"/>
    <cellStyle name="20% - Accent1 7 4 2" xfId="7563"/>
    <cellStyle name="20% - Accent1 7 4 3" xfId="7564"/>
    <cellStyle name="20% - Accent1 7 5" xfId="7565"/>
    <cellStyle name="20% - Accent1 7 5 2" xfId="7566"/>
    <cellStyle name="20% - Accent1 7 5 3" xfId="7567"/>
    <cellStyle name="20% - Accent1 7 6" xfId="7568"/>
    <cellStyle name="20% - Accent1 7 6 2" xfId="7569"/>
    <cellStyle name="20% - Accent1 7 6 3" xfId="7570"/>
    <cellStyle name="20% - Accent1 7 7" xfId="7571"/>
    <cellStyle name="20% - Accent1 7 7 2" xfId="7572"/>
    <cellStyle name="20% - Accent1 7 7 3" xfId="7573"/>
    <cellStyle name="20% - Accent1 7 8" xfId="7574"/>
    <cellStyle name="20% - Accent1 7 8 2" xfId="7575"/>
    <cellStyle name="20% - Accent1 7 8 3" xfId="7576"/>
    <cellStyle name="20% - Accent1 7 9" xfId="7577"/>
    <cellStyle name="20% - Accent1 7 9 2" xfId="7578"/>
    <cellStyle name="20% - Accent1 7 9 3" xfId="7579"/>
    <cellStyle name="20% - Accent1 8" xfId="520"/>
    <cellStyle name="20% - Accent1 8 10" xfId="24845"/>
    <cellStyle name="20% - Accent1 8 11" xfId="25199"/>
    <cellStyle name="20% - Accent1 8 12" xfId="28210"/>
    <cellStyle name="20% - Accent1 8 2" xfId="1372"/>
    <cellStyle name="20% - Accent1 8 2 10" xfId="25200"/>
    <cellStyle name="20% - Accent1 8 2 11" xfId="28211"/>
    <cellStyle name="20% - Accent1 8 2 2" xfId="4172"/>
    <cellStyle name="20% - Accent1 8 2 2 2" xfId="5314"/>
    <cellStyle name="20% - Accent1 8 2 2 2 2" xfId="5959"/>
    <cellStyle name="20% - Accent1 8 2 2 2 2 2" xfId="25203"/>
    <cellStyle name="20% - Accent1 8 2 2 2 3" xfId="7583"/>
    <cellStyle name="20% - Accent1 8 2 2 2 4" xfId="25202"/>
    <cellStyle name="20% - Accent1 8 2 2 3" xfId="5624"/>
    <cellStyle name="20% - Accent1 8 2 2 3 2" xfId="5960"/>
    <cellStyle name="20% - Accent1 8 2 2 3 2 2" xfId="25205"/>
    <cellStyle name="20% - Accent1 8 2 2 3 3" xfId="25204"/>
    <cellStyle name="20% - Accent1 8 2 2 4" xfId="4257"/>
    <cellStyle name="20% - Accent1 8 2 2 4 2" xfId="5961"/>
    <cellStyle name="20% - Accent1 8 2 2 4 2 2" xfId="25207"/>
    <cellStyle name="20% - Accent1 8 2 2 4 3" xfId="25206"/>
    <cellStyle name="20% - Accent1 8 2 2 5" xfId="5958"/>
    <cellStyle name="20% - Accent1 8 2 2 5 2" xfId="25208"/>
    <cellStyle name="20% - Accent1 8 2 2 6" xfId="7582"/>
    <cellStyle name="20% - Accent1 8 2 2 6 2" xfId="25209"/>
    <cellStyle name="20% - Accent1 8 2 2 7" xfId="25024"/>
    <cellStyle name="20% - Accent1 8 2 2 8" xfId="25201"/>
    <cellStyle name="20% - Accent1 8 2 2 9" xfId="28212"/>
    <cellStyle name="20% - Accent1 8 2 3" xfId="5313"/>
    <cellStyle name="20% - Accent1 8 2 3 2" xfId="5962"/>
    <cellStyle name="20% - Accent1 8 2 3 2 2" xfId="25211"/>
    <cellStyle name="20% - Accent1 8 2 3 3" xfId="7584"/>
    <cellStyle name="20% - Accent1 8 2 3 4" xfId="25210"/>
    <cellStyle name="20% - Accent1 8 2 4" xfId="5623"/>
    <cellStyle name="20% - Accent1 8 2 4 2" xfId="5963"/>
    <cellStyle name="20% - Accent1 8 2 4 2 2" xfId="25213"/>
    <cellStyle name="20% - Accent1 8 2 4 3" xfId="7585"/>
    <cellStyle name="20% - Accent1 8 2 4 4" xfId="25212"/>
    <cellStyle name="20% - Accent1 8 2 5" xfId="4256"/>
    <cellStyle name="20% - Accent1 8 2 5 2" xfId="5964"/>
    <cellStyle name="20% - Accent1 8 2 5 2 2" xfId="7587"/>
    <cellStyle name="20% - Accent1 8 2 5 2 2 2" xfId="25216"/>
    <cellStyle name="20% - Accent1 8 2 5 2 3" xfId="25215"/>
    <cellStyle name="20% - Accent1 8 2 5 2 4" xfId="28214"/>
    <cellStyle name="20% - Accent1 8 2 5 3" xfId="7588"/>
    <cellStyle name="20% - Accent1 8 2 5 3 2" xfId="25217"/>
    <cellStyle name="20% - Accent1 8 2 5 3 3" xfId="28215"/>
    <cellStyle name="20% - Accent1 8 2 5 4" xfId="7586"/>
    <cellStyle name="20% - Accent1 8 2 5 4 2" xfId="25218"/>
    <cellStyle name="20% - Accent1 8 2 5 5" xfId="25214"/>
    <cellStyle name="20% - Accent1 8 2 5 6" xfId="28213"/>
    <cellStyle name="20% - Accent1 8 2 6" xfId="5957"/>
    <cellStyle name="20% - Accent1 8 2 6 2" xfId="7589"/>
    <cellStyle name="20% - Accent1 8 2 6 2 2" xfId="25220"/>
    <cellStyle name="20% - Accent1 8 2 6 3" xfId="25219"/>
    <cellStyle name="20% - Accent1 8 2 6 4" xfId="28216"/>
    <cellStyle name="20% - Accent1 8 2 7" xfId="7590"/>
    <cellStyle name="20% - Accent1 8 2 7 2" xfId="25221"/>
    <cellStyle name="20% - Accent1 8 2 7 3" xfId="28217"/>
    <cellStyle name="20% - Accent1 8 2 8" xfId="7581"/>
    <cellStyle name="20% - Accent1 8 2 8 2" xfId="25222"/>
    <cellStyle name="20% - Accent1 8 2 9" xfId="24904"/>
    <cellStyle name="20% - Accent1 8 3" xfId="3831"/>
    <cellStyle name="20% - Accent1 8 3 2" xfId="5315"/>
    <cellStyle name="20% - Accent1 8 3 2 2" xfId="5966"/>
    <cellStyle name="20% - Accent1 8 3 2 2 2" xfId="25225"/>
    <cellStyle name="20% - Accent1 8 3 2 3" xfId="7592"/>
    <cellStyle name="20% - Accent1 8 3 2 4" xfId="25224"/>
    <cellStyle name="20% - Accent1 8 3 3" xfId="5625"/>
    <cellStyle name="20% - Accent1 8 3 3 2" xfId="5967"/>
    <cellStyle name="20% - Accent1 8 3 3 2 2" xfId="25227"/>
    <cellStyle name="20% - Accent1 8 3 3 3" xfId="25226"/>
    <cellStyle name="20% - Accent1 8 3 4" xfId="4258"/>
    <cellStyle name="20% - Accent1 8 3 4 2" xfId="5968"/>
    <cellStyle name="20% - Accent1 8 3 4 2 2" xfId="25229"/>
    <cellStyle name="20% - Accent1 8 3 4 3" xfId="25228"/>
    <cellStyle name="20% - Accent1 8 3 5" xfId="5965"/>
    <cellStyle name="20% - Accent1 8 3 5 2" xfId="25230"/>
    <cellStyle name="20% - Accent1 8 3 6" xfId="7591"/>
    <cellStyle name="20% - Accent1 8 3 6 2" xfId="25231"/>
    <cellStyle name="20% - Accent1 8 3 7" xfId="24967"/>
    <cellStyle name="20% - Accent1 8 3 8" xfId="25223"/>
    <cellStyle name="20% - Accent1 8 3 9" xfId="28218"/>
    <cellStyle name="20% - Accent1 8 4" xfId="5312"/>
    <cellStyle name="20% - Accent1 8 4 2" xfId="5969"/>
    <cellStyle name="20% - Accent1 8 4 2 2" xfId="25233"/>
    <cellStyle name="20% - Accent1 8 4 3" xfId="7593"/>
    <cellStyle name="20% - Accent1 8 4 4" xfId="25232"/>
    <cellStyle name="20% - Accent1 8 5" xfId="5622"/>
    <cellStyle name="20% - Accent1 8 5 2" xfId="5970"/>
    <cellStyle name="20% - Accent1 8 5 2 2" xfId="25235"/>
    <cellStyle name="20% - Accent1 8 5 3" xfId="7594"/>
    <cellStyle name="20% - Accent1 8 5 4" xfId="25234"/>
    <cellStyle name="20% - Accent1 8 6" xfId="4255"/>
    <cellStyle name="20% - Accent1 8 6 2" xfId="5971"/>
    <cellStyle name="20% - Accent1 8 6 2 2" xfId="7596"/>
    <cellStyle name="20% - Accent1 8 6 2 2 2" xfId="25238"/>
    <cellStyle name="20% - Accent1 8 6 2 3" xfId="25237"/>
    <cellStyle name="20% - Accent1 8 6 2 4" xfId="28220"/>
    <cellStyle name="20% - Accent1 8 6 3" xfId="7597"/>
    <cellStyle name="20% - Accent1 8 6 3 2" xfId="25239"/>
    <cellStyle name="20% - Accent1 8 6 3 3" xfId="28221"/>
    <cellStyle name="20% - Accent1 8 6 4" xfId="7595"/>
    <cellStyle name="20% - Accent1 8 6 4 2" xfId="25240"/>
    <cellStyle name="20% - Accent1 8 6 5" xfId="25236"/>
    <cellStyle name="20% - Accent1 8 6 6" xfId="28219"/>
    <cellStyle name="20% - Accent1 8 7" xfId="5956"/>
    <cellStyle name="20% - Accent1 8 7 2" xfId="7598"/>
    <cellStyle name="20% - Accent1 8 7 2 2" xfId="25242"/>
    <cellStyle name="20% - Accent1 8 7 3" xfId="25241"/>
    <cellStyle name="20% - Accent1 8 7 4" xfId="28222"/>
    <cellStyle name="20% - Accent1 8 8" xfId="7599"/>
    <cellStyle name="20% - Accent1 8 8 2" xfId="25243"/>
    <cellStyle name="20% - Accent1 8 8 3" xfId="28223"/>
    <cellStyle name="20% - Accent1 8 9" xfId="7580"/>
    <cellStyle name="20% - Accent1 8 9 2" xfId="25244"/>
    <cellStyle name="20% - Accent1 9" xfId="521"/>
    <cellStyle name="20% - Accent1 9 2" xfId="4259"/>
    <cellStyle name="20% - Accent1 9 2 2" xfId="7601"/>
    <cellStyle name="20% - Accent1 9 2 3" xfId="7602"/>
    <cellStyle name="20% - Accent1 9 2 4" xfId="7600"/>
    <cellStyle name="20% - Accent1 9 3" xfId="7603"/>
    <cellStyle name="20% - Accent1 9 4" xfId="7604"/>
    <cellStyle name="20% - Accent1 9 5" xfId="7605"/>
    <cellStyle name="20% - Accent1 9 6" xfId="7606"/>
    <cellStyle name="20% - Accent2" xfId="7107" builtinId="34" customBuiltin="1"/>
    <cellStyle name="20% - Accent2 10" xfId="644"/>
    <cellStyle name="20% - Accent2 10 2" xfId="4260"/>
    <cellStyle name="20% - Accent2 10 2 2" xfId="7607"/>
    <cellStyle name="20% - Accent2 10 3" xfId="7608"/>
    <cellStyle name="20% - Accent2 10 4" xfId="7609"/>
    <cellStyle name="20% - Accent2 10 5" xfId="7610"/>
    <cellStyle name="20% - Accent2 11" xfId="645"/>
    <cellStyle name="20% - Accent2 11 2" xfId="4261"/>
    <cellStyle name="20% - Accent2 11 2 2" xfId="7611"/>
    <cellStyle name="20% - Accent2 11 3" xfId="7612"/>
    <cellStyle name="20% - Accent2 11 4" xfId="7613"/>
    <cellStyle name="20% - Accent2 11 5" xfId="7614"/>
    <cellStyle name="20% - Accent2 12" xfId="801"/>
    <cellStyle name="20% - Accent2 12 2" xfId="7616"/>
    <cellStyle name="20% - Accent2 12 3" xfId="7617"/>
    <cellStyle name="20% - Accent2 12 4" xfId="7615"/>
    <cellStyle name="20% - Accent2 13" xfId="802"/>
    <cellStyle name="20% - Accent2 13 2" xfId="3846"/>
    <cellStyle name="20% - Accent2 13 2 2" xfId="5973"/>
    <cellStyle name="20% - Accent2 13 2 2 2" xfId="25247"/>
    <cellStyle name="20% - Accent2 13 2 3" xfId="7619"/>
    <cellStyle name="20% - Accent2 13 2 4" xfId="24982"/>
    <cellStyle name="20% - Accent2 13 2 5" xfId="25246"/>
    <cellStyle name="20% - Accent2 13 3" xfId="5972"/>
    <cellStyle name="20% - Accent2 13 3 2" xfId="7620"/>
    <cellStyle name="20% - Accent2 13 3 3" xfId="25248"/>
    <cellStyle name="20% - Accent2 13 4" xfId="7618"/>
    <cellStyle name="20% - Accent2 13 5" xfId="24861"/>
    <cellStyle name="20% - Accent2 13 6" xfId="25245"/>
    <cellStyle name="20% - Accent2 14" xfId="923"/>
    <cellStyle name="20% - Accent2 14 2" xfId="7622"/>
    <cellStyle name="20% - Accent2 14 3" xfId="7623"/>
    <cellStyle name="20% - Accent2 14 4" xfId="7621"/>
    <cellStyle name="20% - Accent2 15" xfId="7624"/>
    <cellStyle name="20% - Accent2 15 2" xfId="7625"/>
    <cellStyle name="20% - Accent2 15 3" xfId="7626"/>
    <cellStyle name="20% - Accent2 16" xfId="7627"/>
    <cellStyle name="20% - Accent2 16 2" xfId="7628"/>
    <cellStyle name="20% - Accent2 16 3" xfId="7629"/>
    <cellStyle name="20% - Accent2 17" xfId="7630"/>
    <cellStyle name="20% - Accent2 17 2" xfId="7631"/>
    <cellStyle name="20% - Accent2 17 3" xfId="7632"/>
    <cellStyle name="20% - Accent2 18" xfId="7633"/>
    <cellStyle name="20% - Accent2 18 2" xfId="7634"/>
    <cellStyle name="20% - Accent2 18 3" xfId="7635"/>
    <cellStyle name="20% - Accent2 19" xfId="7636"/>
    <cellStyle name="20% - Accent2 19 2" xfId="7637"/>
    <cellStyle name="20% - Accent2 2" xfId="69"/>
    <cellStyle name="20% - Accent2 2 10" xfId="1668"/>
    <cellStyle name="20% - Accent2 2 10 2" xfId="4262"/>
    <cellStyle name="20% - Accent2 2 10 2 2" xfId="7638"/>
    <cellStyle name="20% - Accent2 2 10 3" xfId="7639"/>
    <cellStyle name="20% - Accent2 2 10 4" xfId="7640"/>
    <cellStyle name="20% - Accent2 2 10 5" xfId="7641"/>
    <cellStyle name="20% - Accent2 2 11" xfId="1665"/>
    <cellStyle name="20% - Accent2 2 11 2" xfId="4263"/>
    <cellStyle name="20% - Accent2 2 11 2 2" xfId="7642"/>
    <cellStyle name="20% - Accent2 2 11 3" xfId="7643"/>
    <cellStyle name="20% - Accent2 2 11 4" xfId="7644"/>
    <cellStyle name="20% - Accent2 2 11 5" xfId="7645"/>
    <cellStyle name="20% - Accent2 2 12" xfId="1705"/>
    <cellStyle name="20% - Accent2 2 12 2" xfId="4264"/>
    <cellStyle name="20% - Accent2 2 12 2 2" xfId="7646"/>
    <cellStyle name="20% - Accent2 2 12 3" xfId="7647"/>
    <cellStyle name="20% - Accent2 2 12 4" xfId="7648"/>
    <cellStyle name="20% - Accent2 2 12 5" xfId="7649"/>
    <cellStyle name="20% - Accent2 2 13" xfId="2040"/>
    <cellStyle name="20% - Accent2 2 13 2" xfId="4265"/>
    <cellStyle name="20% - Accent2 2 13 2 2" xfId="7650"/>
    <cellStyle name="20% - Accent2 2 13 3" xfId="7651"/>
    <cellStyle name="20% - Accent2 2 13 4" xfId="7652"/>
    <cellStyle name="20% - Accent2 2 13 5" xfId="7653"/>
    <cellStyle name="20% - Accent2 2 14" xfId="2415"/>
    <cellStyle name="20% - Accent2 2 14 2" xfId="4266"/>
    <cellStyle name="20% - Accent2 2 14 2 2" xfId="7654"/>
    <cellStyle name="20% - Accent2 2 14 3" xfId="7655"/>
    <cellStyle name="20% - Accent2 2 14 4" xfId="7656"/>
    <cellStyle name="20% - Accent2 2 14 5" xfId="7657"/>
    <cellStyle name="20% - Accent2 2 15" xfId="2787"/>
    <cellStyle name="20% - Accent2 2 15 2" xfId="4267"/>
    <cellStyle name="20% - Accent2 2 15 2 2" xfId="7658"/>
    <cellStyle name="20% - Accent2 2 15 3" xfId="7659"/>
    <cellStyle name="20% - Accent2 2 16" xfId="3633"/>
    <cellStyle name="20% - Accent2 2 16 2" xfId="4268"/>
    <cellStyle name="20% - Accent2 2 16 2 2" xfId="7660"/>
    <cellStyle name="20% - Accent2 2 16 3" xfId="7661"/>
    <cellStyle name="20% - Accent2 2 17" xfId="24468"/>
    <cellStyle name="20% - Accent2 2 2" xfId="113"/>
    <cellStyle name="20% - Accent2 2 2 10" xfId="7662"/>
    <cellStyle name="20% - Accent2 2 2 10 2" xfId="7663"/>
    <cellStyle name="20% - Accent2 2 2 10 3" xfId="7664"/>
    <cellStyle name="20% - Accent2 2 2 11" xfId="7665"/>
    <cellStyle name="20% - Accent2 2 2 11 2" xfId="7666"/>
    <cellStyle name="20% - Accent2 2 2 11 3" xfId="7667"/>
    <cellStyle name="20% - Accent2 2 2 12" xfId="7668"/>
    <cellStyle name="20% - Accent2 2 2 12 2" xfId="7669"/>
    <cellStyle name="20% - Accent2 2 2 12 3" xfId="7670"/>
    <cellStyle name="20% - Accent2 2 2 13" xfId="7671"/>
    <cellStyle name="20% - Accent2 2 2 14" xfId="7672"/>
    <cellStyle name="20% - Accent2 2 2 15" xfId="7673"/>
    <cellStyle name="20% - Accent2 2 2 2" xfId="175"/>
    <cellStyle name="20% - Accent2 2 2 2 2" xfId="7674"/>
    <cellStyle name="20% - Accent2 2 2 2 3" xfId="7675"/>
    <cellStyle name="20% - Accent2 2 2 3" xfId="339"/>
    <cellStyle name="20% - Accent2 2 2 3 2" xfId="7676"/>
    <cellStyle name="20% - Accent2 2 2 3 3" xfId="7677"/>
    <cellStyle name="20% - Accent2 2 2 4" xfId="2161"/>
    <cellStyle name="20% - Accent2 2 2 4 2" xfId="7678"/>
    <cellStyle name="20% - Accent2 2 2 4 3" xfId="7679"/>
    <cellStyle name="20% - Accent2 2 2 5" xfId="2535"/>
    <cellStyle name="20% - Accent2 2 2 5 2" xfId="7680"/>
    <cellStyle name="20% - Accent2 2 2 5 3" xfId="7681"/>
    <cellStyle name="20% - Accent2 2 2 6" xfId="2907"/>
    <cellStyle name="20% - Accent2 2 2 6 2" xfId="7682"/>
    <cellStyle name="20% - Accent2 2 2 6 3" xfId="7683"/>
    <cellStyle name="20% - Accent2 2 2 7" xfId="3279"/>
    <cellStyle name="20% - Accent2 2 2 7 2" xfId="7684"/>
    <cellStyle name="20% - Accent2 2 2 7 3" xfId="7685"/>
    <cellStyle name="20% - Accent2 2 2 8" xfId="4269"/>
    <cellStyle name="20% - Accent2 2 2 8 2" xfId="7687"/>
    <cellStyle name="20% - Accent2 2 2 8 3" xfId="7688"/>
    <cellStyle name="20% - Accent2 2 2 8 4" xfId="7686"/>
    <cellStyle name="20% - Accent2 2 2 9" xfId="7689"/>
    <cellStyle name="20% - Accent2 2 2 9 2" xfId="7690"/>
    <cellStyle name="20% - Accent2 2 2 9 3" xfId="7691"/>
    <cellStyle name="20% - Accent2 2 3" xfId="278"/>
    <cellStyle name="20% - Accent2 2 3 2" xfId="1337"/>
    <cellStyle name="20% - Accent2 2 3 2 2" xfId="7692"/>
    <cellStyle name="20% - Accent2 2 3 2 3" xfId="7693"/>
    <cellStyle name="20% - Accent2 2 3 3" xfId="7694"/>
    <cellStyle name="20% - Accent2 2 3 4" xfId="7695"/>
    <cellStyle name="20% - Accent2 2 4" xfId="362"/>
    <cellStyle name="20% - Accent2 2 4 2" xfId="7696"/>
    <cellStyle name="20% - Accent2 2 4 2 2" xfId="7697"/>
    <cellStyle name="20% - Accent2 2 4 2 3" xfId="7698"/>
    <cellStyle name="20% - Accent2 2 4 3" xfId="7699"/>
    <cellStyle name="20% - Accent2 2 4 4" xfId="7700"/>
    <cellStyle name="20% - Accent2 2 5" xfId="522"/>
    <cellStyle name="20% - Accent2 2 5 2" xfId="7701"/>
    <cellStyle name="20% - Accent2 2 5 3" xfId="7702"/>
    <cellStyle name="20% - Accent2 2 6" xfId="646"/>
    <cellStyle name="20% - Accent2 2 6 2" xfId="7703"/>
    <cellStyle name="20% - Accent2 2 6 3" xfId="7704"/>
    <cellStyle name="20% - Accent2 2 7" xfId="647"/>
    <cellStyle name="20% - Accent2 2 7 2" xfId="7705"/>
    <cellStyle name="20% - Accent2 2 7 3" xfId="7706"/>
    <cellStyle name="20% - Accent2 2 8" xfId="803"/>
    <cellStyle name="20% - Accent2 2 8 2" xfId="1397"/>
    <cellStyle name="20% - Accent2 2 8 2 2" xfId="7707"/>
    <cellStyle name="20% - Accent2 2 8 3" xfId="7708"/>
    <cellStyle name="20% - Accent2 2 8 4" xfId="7709"/>
    <cellStyle name="20% - Accent2 2 8 5" xfId="7710"/>
    <cellStyle name="20% - Accent2 2 9" xfId="924"/>
    <cellStyle name="20% - Accent2 2 9 2" xfId="1392"/>
    <cellStyle name="20% - Accent2 2 9 2 2" xfId="7711"/>
    <cellStyle name="20% - Accent2 2 9 3" xfId="7712"/>
    <cellStyle name="20% - Accent2 2 9 4" xfId="7713"/>
    <cellStyle name="20% - Accent2 2 9 5" xfId="7714"/>
    <cellStyle name="20% - Accent2 20" xfId="7715"/>
    <cellStyle name="20% - Accent2 21" xfId="7716"/>
    <cellStyle name="20% - Accent2 21 2" xfId="7717"/>
    <cellStyle name="20% - Accent2 21 2 2" xfId="7718"/>
    <cellStyle name="20% - Accent2 21 2 2 2" xfId="25251"/>
    <cellStyle name="20% - Accent2 21 2 2 3" xfId="28226"/>
    <cellStyle name="20% - Accent2 21 2 3" xfId="7719"/>
    <cellStyle name="20% - Accent2 21 2 3 2" xfId="25252"/>
    <cellStyle name="20% - Accent2 21 2 3 3" xfId="28227"/>
    <cellStyle name="20% - Accent2 21 2 4" xfId="25250"/>
    <cellStyle name="20% - Accent2 21 2 5" xfId="28225"/>
    <cellStyle name="20% - Accent2 21 3" xfId="7720"/>
    <cellStyle name="20% - Accent2 21 3 2" xfId="25253"/>
    <cellStyle name="20% - Accent2 21 3 3" xfId="28228"/>
    <cellStyle name="20% - Accent2 21 4" xfId="7721"/>
    <cellStyle name="20% - Accent2 21 4 2" xfId="25254"/>
    <cellStyle name="20% - Accent2 21 4 3" xfId="28229"/>
    <cellStyle name="20% - Accent2 21 5" xfId="25249"/>
    <cellStyle name="20% - Accent2 21 6" xfId="28224"/>
    <cellStyle name="20% - Accent2 22" xfId="7722"/>
    <cellStyle name="20% - Accent2 22 2" xfId="7723"/>
    <cellStyle name="20% - Accent2 22 2 2" xfId="7724"/>
    <cellStyle name="20% - Accent2 22 2 2 2" xfId="25257"/>
    <cellStyle name="20% - Accent2 22 2 2 3" xfId="28232"/>
    <cellStyle name="20% - Accent2 22 2 3" xfId="7725"/>
    <cellStyle name="20% - Accent2 22 2 3 2" xfId="25258"/>
    <cellStyle name="20% - Accent2 22 2 3 3" xfId="28233"/>
    <cellStyle name="20% - Accent2 22 2 4" xfId="25256"/>
    <cellStyle name="20% - Accent2 22 2 5" xfId="28231"/>
    <cellStyle name="20% - Accent2 22 3" xfId="7726"/>
    <cellStyle name="20% - Accent2 22 3 2" xfId="25259"/>
    <cellStyle name="20% - Accent2 22 3 3" xfId="28234"/>
    <cellStyle name="20% - Accent2 22 4" xfId="7727"/>
    <cellStyle name="20% - Accent2 22 4 2" xfId="25260"/>
    <cellStyle name="20% - Accent2 22 4 3" xfId="28235"/>
    <cellStyle name="20% - Accent2 22 5" xfId="25255"/>
    <cellStyle name="20% - Accent2 22 6" xfId="28230"/>
    <cellStyle name="20% - Accent2 23" xfId="7728"/>
    <cellStyle name="20% - Accent2 24" xfId="7729"/>
    <cellStyle name="20% - Accent2 24 2" xfId="7730"/>
    <cellStyle name="20% - Accent2 24 2 2" xfId="7731"/>
    <cellStyle name="20% - Accent2 24 2 2 2" xfId="25263"/>
    <cellStyle name="20% - Accent2 24 2 2 3" xfId="28238"/>
    <cellStyle name="20% - Accent2 24 2 3" xfId="7732"/>
    <cellStyle name="20% - Accent2 24 2 3 2" xfId="25264"/>
    <cellStyle name="20% - Accent2 24 2 3 3" xfId="28239"/>
    <cellStyle name="20% - Accent2 24 2 4" xfId="25262"/>
    <cellStyle name="20% - Accent2 24 2 5" xfId="28237"/>
    <cellStyle name="20% - Accent2 24 3" xfId="7733"/>
    <cellStyle name="20% - Accent2 24 3 2" xfId="25265"/>
    <cellStyle name="20% - Accent2 24 3 3" xfId="28240"/>
    <cellStyle name="20% - Accent2 24 4" xfId="7734"/>
    <cellStyle name="20% - Accent2 24 4 2" xfId="25266"/>
    <cellStyle name="20% - Accent2 24 4 3" xfId="28241"/>
    <cellStyle name="20% - Accent2 24 5" xfId="25261"/>
    <cellStyle name="20% - Accent2 24 6" xfId="28236"/>
    <cellStyle name="20% - Accent2 25" xfId="7735"/>
    <cellStyle name="20% - Accent2 25 2" xfId="7736"/>
    <cellStyle name="20% - Accent2 25 2 2" xfId="7737"/>
    <cellStyle name="20% - Accent2 25 2 2 2" xfId="25269"/>
    <cellStyle name="20% - Accent2 25 2 2 3" xfId="28244"/>
    <cellStyle name="20% - Accent2 25 2 3" xfId="7738"/>
    <cellStyle name="20% - Accent2 25 2 3 2" xfId="25270"/>
    <cellStyle name="20% - Accent2 25 2 3 3" xfId="28245"/>
    <cellStyle name="20% - Accent2 25 2 4" xfId="25268"/>
    <cellStyle name="20% - Accent2 25 2 5" xfId="28243"/>
    <cellStyle name="20% - Accent2 25 3" xfId="7739"/>
    <cellStyle name="20% - Accent2 25 3 2" xfId="25271"/>
    <cellStyle name="20% - Accent2 25 3 3" xfId="28246"/>
    <cellStyle name="20% - Accent2 25 4" xfId="7740"/>
    <cellStyle name="20% - Accent2 25 4 2" xfId="25272"/>
    <cellStyle name="20% - Accent2 25 4 3" xfId="28247"/>
    <cellStyle name="20% - Accent2 25 5" xfId="25267"/>
    <cellStyle name="20% - Accent2 25 6" xfId="28242"/>
    <cellStyle name="20% - Accent2 26" xfId="7741"/>
    <cellStyle name="20% - Accent2 27" xfId="7742"/>
    <cellStyle name="20% - Accent2 27 2" xfId="7743"/>
    <cellStyle name="20% - Accent2 27 2 2" xfId="7744"/>
    <cellStyle name="20% - Accent2 27 2 2 2" xfId="25275"/>
    <cellStyle name="20% - Accent2 27 2 2 3" xfId="28250"/>
    <cellStyle name="20% - Accent2 27 2 3" xfId="7745"/>
    <cellStyle name="20% - Accent2 27 2 3 2" xfId="25276"/>
    <cellStyle name="20% - Accent2 27 2 3 3" xfId="28251"/>
    <cellStyle name="20% - Accent2 27 2 4" xfId="25274"/>
    <cellStyle name="20% - Accent2 27 2 5" xfId="28249"/>
    <cellStyle name="20% - Accent2 27 3" xfId="7746"/>
    <cellStyle name="20% - Accent2 27 3 2" xfId="25277"/>
    <cellStyle name="20% - Accent2 27 3 3" xfId="28252"/>
    <cellStyle name="20% - Accent2 27 4" xfId="7747"/>
    <cellStyle name="20% - Accent2 27 4 2" xfId="25278"/>
    <cellStyle name="20% - Accent2 27 4 3" xfId="28253"/>
    <cellStyle name="20% - Accent2 27 5" xfId="25273"/>
    <cellStyle name="20% - Accent2 27 6" xfId="28248"/>
    <cellStyle name="20% - Accent2 28" xfId="7748"/>
    <cellStyle name="20% - Accent2 28 2" xfId="7749"/>
    <cellStyle name="20% - Accent2 28 2 2" xfId="25280"/>
    <cellStyle name="20% - Accent2 28 2 3" xfId="28255"/>
    <cellStyle name="20% - Accent2 28 3" xfId="7750"/>
    <cellStyle name="20% - Accent2 28 3 2" xfId="25281"/>
    <cellStyle name="20% - Accent2 28 3 3" xfId="28256"/>
    <cellStyle name="20% - Accent2 28 4" xfId="25279"/>
    <cellStyle name="20% - Accent2 28 5" xfId="28254"/>
    <cellStyle name="20% - Accent2 29" xfId="7751"/>
    <cellStyle name="20% - Accent2 29 2" xfId="25282"/>
    <cellStyle name="20% - Accent2 29 3" xfId="28257"/>
    <cellStyle name="20% - Accent2 3" xfId="216"/>
    <cellStyle name="20% - Accent2 3 10" xfId="3676"/>
    <cellStyle name="20% - Accent2 3 10 2" xfId="4270"/>
    <cellStyle name="20% - Accent2 3 10 2 2" xfId="7752"/>
    <cellStyle name="20% - Accent2 3 10 3" xfId="7753"/>
    <cellStyle name="20% - Accent2 3 10 4" xfId="7754"/>
    <cellStyle name="20% - Accent2 3 10 5" xfId="7755"/>
    <cellStyle name="20% - Accent2 3 11" xfId="7756"/>
    <cellStyle name="20% - Accent2 3 11 2" xfId="7757"/>
    <cellStyle name="20% - Accent2 3 11 3" xfId="7758"/>
    <cellStyle name="20% - Accent2 3 12" xfId="7759"/>
    <cellStyle name="20% - Accent2 3 12 2" xfId="7760"/>
    <cellStyle name="20% - Accent2 3 12 3" xfId="7761"/>
    <cellStyle name="20% - Accent2 3 13" xfId="7762"/>
    <cellStyle name="20% - Accent2 3 13 2" xfId="7763"/>
    <cellStyle name="20% - Accent2 3 13 3" xfId="7764"/>
    <cellStyle name="20% - Accent2 3 14" xfId="7765"/>
    <cellStyle name="20% - Accent2 3 15" xfId="7766"/>
    <cellStyle name="20% - Accent2 3 2" xfId="1449"/>
    <cellStyle name="20% - Accent2 3 2 10" xfId="7767"/>
    <cellStyle name="20% - Accent2 3 2 10 2" xfId="7768"/>
    <cellStyle name="20% - Accent2 3 2 10 3" xfId="7769"/>
    <cellStyle name="20% - Accent2 3 2 11" xfId="7770"/>
    <cellStyle name="20% - Accent2 3 2 11 2" xfId="7771"/>
    <cellStyle name="20% - Accent2 3 2 11 3" xfId="7772"/>
    <cellStyle name="20% - Accent2 3 2 12" xfId="7773"/>
    <cellStyle name="20% - Accent2 3 2 12 2" xfId="7774"/>
    <cellStyle name="20% - Accent2 3 2 12 3" xfId="7775"/>
    <cellStyle name="20% - Accent2 3 2 13" xfId="7776"/>
    <cellStyle name="20% - Accent2 3 2 14" xfId="7777"/>
    <cellStyle name="20% - Accent2 3 2 15" xfId="7778"/>
    <cellStyle name="20% - Accent2 3 2 2" xfId="1827"/>
    <cellStyle name="20% - Accent2 3 2 2 2" xfId="7779"/>
    <cellStyle name="20% - Accent2 3 2 2 3" xfId="7780"/>
    <cellStyle name="20% - Accent2 3 2 3" xfId="2202"/>
    <cellStyle name="20% - Accent2 3 2 3 2" xfId="7781"/>
    <cellStyle name="20% - Accent2 3 2 3 3" xfId="7782"/>
    <cellStyle name="20% - Accent2 3 2 4" xfId="2576"/>
    <cellStyle name="20% - Accent2 3 2 4 2" xfId="7783"/>
    <cellStyle name="20% - Accent2 3 2 4 3" xfId="7784"/>
    <cellStyle name="20% - Accent2 3 2 5" xfId="2948"/>
    <cellStyle name="20% - Accent2 3 2 5 2" xfId="7785"/>
    <cellStyle name="20% - Accent2 3 2 5 3" xfId="7786"/>
    <cellStyle name="20% - Accent2 3 2 6" xfId="3320"/>
    <cellStyle name="20% - Accent2 3 2 6 2" xfId="7787"/>
    <cellStyle name="20% - Accent2 3 2 6 3" xfId="7788"/>
    <cellStyle name="20% - Accent2 3 2 7" xfId="4271"/>
    <cellStyle name="20% - Accent2 3 2 7 2" xfId="7790"/>
    <cellStyle name="20% - Accent2 3 2 7 3" xfId="7791"/>
    <cellStyle name="20% - Accent2 3 2 7 4" xfId="7789"/>
    <cellStyle name="20% - Accent2 3 2 8" xfId="7792"/>
    <cellStyle name="20% - Accent2 3 2 8 2" xfId="7793"/>
    <cellStyle name="20% - Accent2 3 2 8 3" xfId="7794"/>
    <cellStyle name="20% - Accent2 3 2 9" xfId="7795"/>
    <cellStyle name="20% - Accent2 3 2 9 2" xfId="7796"/>
    <cellStyle name="20% - Accent2 3 2 9 3" xfId="7797"/>
    <cellStyle name="20% - Accent2 3 3" xfId="1576"/>
    <cellStyle name="20% - Accent2 3 3 2" xfId="1904"/>
    <cellStyle name="20% - Accent2 3 3 3" xfId="2279"/>
    <cellStyle name="20% - Accent2 3 3 4" xfId="2652"/>
    <cellStyle name="20% - Accent2 3 3 5" xfId="3025"/>
    <cellStyle name="20% - Accent2 3 3 6" xfId="3396"/>
    <cellStyle name="20% - Accent2 3 3 7" xfId="4272"/>
    <cellStyle name="20% - Accent2 3 4" xfId="1713"/>
    <cellStyle name="20% - Accent2 3 4 2" xfId="1948"/>
    <cellStyle name="20% - Accent2 3 4 3" xfId="2323"/>
    <cellStyle name="20% - Accent2 3 4 4" xfId="2696"/>
    <cellStyle name="20% - Accent2 3 4 5" xfId="3069"/>
    <cellStyle name="20% - Accent2 3 4 6" xfId="3440"/>
    <cellStyle name="20% - Accent2 3 5" xfId="2048"/>
    <cellStyle name="20% - Accent2 3 5 2" xfId="7798"/>
    <cellStyle name="20% - Accent2 3 5 3" xfId="7799"/>
    <cellStyle name="20% - Accent2 3 5 4" xfId="7800"/>
    <cellStyle name="20% - Accent2 3 6" xfId="2422"/>
    <cellStyle name="20% - Accent2 3 6 2" xfId="7801"/>
    <cellStyle name="20% - Accent2 3 6 3" xfId="7802"/>
    <cellStyle name="20% - Accent2 3 6 4" xfId="7803"/>
    <cellStyle name="20% - Accent2 3 7" xfId="2794"/>
    <cellStyle name="20% - Accent2 3 7 2" xfId="7804"/>
    <cellStyle name="20% - Accent2 3 7 3" xfId="7805"/>
    <cellStyle name="20% - Accent2 3 7 4" xfId="7806"/>
    <cellStyle name="20% - Accent2 3 8" xfId="3165"/>
    <cellStyle name="20% - Accent2 3 8 2" xfId="7807"/>
    <cellStyle name="20% - Accent2 3 8 3" xfId="7808"/>
    <cellStyle name="20% - Accent2 3 8 4" xfId="7809"/>
    <cellStyle name="20% - Accent2 3 9" xfId="3540"/>
    <cellStyle name="20% - Accent2 3 9 2" xfId="4273"/>
    <cellStyle name="20% - Accent2 3 9 2 2" xfId="7810"/>
    <cellStyle name="20% - Accent2 3 9 3" xfId="7811"/>
    <cellStyle name="20% - Accent2 3 9 4" xfId="7812"/>
    <cellStyle name="20% - Accent2 3 9 5" xfId="7813"/>
    <cellStyle name="20% - Accent2 30" xfId="28142"/>
    <cellStyle name="20% - Accent2 4" xfId="236"/>
    <cellStyle name="20% - Accent2 4 10" xfId="3720"/>
    <cellStyle name="20% - Accent2 4 10 2" xfId="4275"/>
    <cellStyle name="20% - Accent2 4 10 2 2" xfId="7815"/>
    <cellStyle name="20% - Accent2 4 10 3" xfId="7816"/>
    <cellStyle name="20% - Accent2 4 10 4" xfId="7817"/>
    <cellStyle name="20% - Accent2 4 10 5" xfId="7818"/>
    <cellStyle name="20% - Accent2 4 11" xfId="1298"/>
    <cellStyle name="20% - Accent2 4 11 10" xfId="25283"/>
    <cellStyle name="20% - Accent2 4 11 11" xfId="28259"/>
    <cellStyle name="20% - Accent2 4 11 2" xfId="4146"/>
    <cellStyle name="20% - Accent2 4 11 2 2" xfId="5318"/>
    <cellStyle name="20% - Accent2 4 11 2 2 2" xfId="5976"/>
    <cellStyle name="20% - Accent2 4 11 2 2 2 2" xfId="25286"/>
    <cellStyle name="20% - Accent2 4 11 2 2 3" xfId="7821"/>
    <cellStyle name="20% - Accent2 4 11 2 2 4" xfId="25285"/>
    <cellStyle name="20% - Accent2 4 11 2 3" xfId="5628"/>
    <cellStyle name="20% - Accent2 4 11 2 3 2" xfId="5977"/>
    <cellStyle name="20% - Accent2 4 11 2 3 2 2" xfId="25288"/>
    <cellStyle name="20% - Accent2 4 11 2 3 3" xfId="25287"/>
    <cellStyle name="20% - Accent2 4 11 2 4" xfId="4277"/>
    <cellStyle name="20% - Accent2 4 11 2 4 2" xfId="5978"/>
    <cellStyle name="20% - Accent2 4 11 2 4 2 2" xfId="25290"/>
    <cellStyle name="20% - Accent2 4 11 2 4 3" xfId="25289"/>
    <cellStyle name="20% - Accent2 4 11 2 5" xfId="5975"/>
    <cellStyle name="20% - Accent2 4 11 2 5 2" xfId="25291"/>
    <cellStyle name="20% - Accent2 4 11 2 6" xfId="7820"/>
    <cellStyle name="20% - Accent2 4 11 2 6 2" xfId="25292"/>
    <cellStyle name="20% - Accent2 4 11 2 7" xfId="24998"/>
    <cellStyle name="20% - Accent2 4 11 2 8" xfId="25284"/>
    <cellStyle name="20% - Accent2 4 11 2 9" xfId="28260"/>
    <cellStyle name="20% - Accent2 4 11 3" xfId="5317"/>
    <cellStyle name="20% - Accent2 4 11 3 2" xfId="5979"/>
    <cellStyle name="20% - Accent2 4 11 3 2 2" xfId="25294"/>
    <cellStyle name="20% - Accent2 4 11 3 3" xfId="7822"/>
    <cellStyle name="20% - Accent2 4 11 3 4" xfId="25293"/>
    <cellStyle name="20% - Accent2 4 11 4" xfId="5627"/>
    <cellStyle name="20% - Accent2 4 11 4 2" xfId="5980"/>
    <cellStyle name="20% - Accent2 4 11 4 2 2" xfId="25296"/>
    <cellStyle name="20% - Accent2 4 11 4 3" xfId="7823"/>
    <cellStyle name="20% - Accent2 4 11 4 4" xfId="25295"/>
    <cellStyle name="20% - Accent2 4 11 5" xfId="4276"/>
    <cellStyle name="20% - Accent2 4 11 5 2" xfId="5981"/>
    <cellStyle name="20% - Accent2 4 11 5 2 2" xfId="7825"/>
    <cellStyle name="20% - Accent2 4 11 5 2 2 2" xfId="25299"/>
    <cellStyle name="20% - Accent2 4 11 5 2 3" xfId="25298"/>
    <cellStyle name="20% - Accent2 4 11 5 2 4" xfId="28262"/>
    <cellStyle name="20% - Accent2 4 11 5 3" xfId="7826"/>
    <cellStyle name="20% - Accent2 4 11 5 3 2" xfId="25300"/>
    <cellStyle name="20% - Accent2 4 11 5 3 3" xfId="28263"/>
    <cellStyle name="20% - Accent2 4 11 5 4" xfId="7824"/>
    <cellStyle name="20% - Accent2 4 11 5 4 2" xfId="25301"/>
    <cellStyle name="20% - Accent2 4 11 5 5" xfId="25297"/>
    <cellStyle name="20% - Accent2 4 11 5 6" xfId="28261"/>
    <cellStyle name="20% - Accent2 4 11 6" xfId="5974"/>
    <cellStyle name="20% - Accent2 4 11 6 2" xfId="7827"/>
    <cellStyle name="20% - Accent2 4 11 6 2 2" xfId="25303"/>
    <cellStyle name="20% - Accent2 4 11 6 3" xfId="25302"/>
    <cellStyle name="20% - Accent2 4 11 6 4" xfId="28264"/>
    <cellStyle name="20% - Accent2 4 11 7" xfId="7828"/>
    <cellStyle name="20% - Accent2 4 11 7 2" xfId="25304"/>
    <cellStyle name="20% - Accent2 4 11 7 3" xfId="28265"/>
    <cellStyle name="20% - Accent2 4 11 8" xfId="7819"/>
    <cellStyle name="20% - Accent2 4 11 8 2" xfId="25305"/>
    <cellStyle name="20% - Accent2 4 11 9" xfId="24878"/>
    <cellStyle name="20% - Accent2 4 12" xfId="4278"/>
    <cellStyle name="20% - Accent2 4 12 2" xfId="5319"/>
    <cellStyle name="20% - Accent2 4 12 2 2" xfId="5983"/>
    <cellStyle name="20% - Accent2 4 12 2 2 2" xfId="25308"/>
    <cellStyle name="20% - Accent2 4 12 2 3" xfId="7830"/>
    <cellStyle name="20% - Accent2 4 12 2 4" xfId="25307"/>
    <cellStyle name="20% - Accent2 4 12 3" xfId="5629"/>
    <cellStyle name="20% - Accent2 4 12 3 2" xfId="5984"/>
    <cellStyle name="20% - Accent2 4 12 3 2 2" xfId="25310"/>
    <cellStyle name="20% - Accent2 4 12 3 3" xfId="7831"/>
    <cellStyle name="20% - Accent2 4 12 3 4" xfId="25309"/>
    <cellStyle name="20% - Accent2 4 12 4" xfId="5982"/>
    <cellStyle name="20% - Accent2 4 12 4 2" xfId="7832"/>
    <cellStyle name="20% - Accent2 4 12 4 3" xfId="25311"/>
    <cellStyle name="20% - Accent2 4 12 5" xfId="7829"/>
    <cellStyle name="20% - Accent2 4 12 5 2" xfId="25312"/>
    <cellStyle name="20% - Accent2 4 12 6" xfId="25306"/>
    <cellStyle name="20% - Accent2 4 12 7" xfId="28266"/>
    <cellStyle name="20% - Accent2 4 13" xfId="5316"/>
    <cellStyle name="20% - Accent2 4 13 2" xfId="5985"/>
    <cellStyle name="20% - Accent2 4 13 2 2" xfId="7834"/>
    <cellStyle name="20% - Accent2 4 13 2 3" xfId="25314"/>
    <cellStyle name="20% - Accent2 4 13 3" xfId="7835"/>
    <cellStyle name="20% - Accent2 4 13 4" xfId="7833"/>
    <cellStyle name="20% - Accent2 4 13 5" xfId="25313"/>
    <cellStyle name="20% - Accent2 4 14" xfId="5626"/>
    <cellStyle name="20% - Accent2 4 14 2" xfId="5986"/>
    <cellStyle name="20% - Accent2 4 14 2 2" xfId="25316"/>
    <cellStyle name="20% - Accent2 4 14 3" xfId="7836"/>
    <cellStyle name="20% - Accent2 4 14 4" xfId="25315"/>
    <cellStyle name="20% - Accent2 4 15" xfId="4274"/>
    <cellStyle name="20% - Accent2 4 15 2" xfId="5987"/>
    <cellStyle name="20% - Accent2 4 15 2 2" xfId="25318"/>
    <cellStyle name="20% - Accent2 4 15 3" xfId="7837"/>
    <cellStyle name="20% - Accent2 4 15 4" xfId="25317"/>
    <cellStyle name="20% - Accent2 4 16" xfId="7838"/>
    <cellStyle name="20% - Accent2 4 17" xfId="7839"/>
    <cellStyle name="20% - Accent2 4 17 2" xfId="7840"/>
    <cellStyle name="20% - Accent2 4 17 2 2" xfId="25320"/>
    <cellStyle name="20% - Accent2 4 17 2 3" xfId="28268"/>
    <cellStyle name="20% - Accent2 4 17 3" xfId="7841"/>
    <cellStyle name="20% - Accent2 4 17 3 2" xfId="25321"/>
    <cellStyle name="20% - Accent2 4 17 3 3" xfId="28269"/>
    <cellStyle name="20% - Accent2 4 17 4" xfId="25319"/>
    <cellStyle name="20% - Accent2 4 17 5" xfId="28267"/>
    <cellStyle name="20% - Accent2 4 18" xfId="7842"/>
    <cellStyle name="20% - Accent2 4 18 2" xfId="25322"/>
    <cellStyle name="20% - Accent2 4 18 3" xfId="28270"/>
    <cellStyle name="20% - Accent2 4 19" xfId="7843"/>
    <cellStyle name="20% - Accent2 4 19 2" xfId="25323"/>
    <cellStyle name="20% - Accent2 4 19 3" xfId="28271"/>
    <cellStyle name="20% - Accent2 4 2" xfId="1494"/>
    <cellStyle name="20% - Accent2 4 2 10" xfId="7844"/>
    <cellStyle name="20% - Accent2 4 2 10 2" xfId="7845"/>
    <cellStyle name="20% - Accent2 4 2 10 3" xfId="7846"/>
    <cellStyle name="20% - Accent2 4 2 11" xfId="7847"/>
    <cellStyle name="20% - Accent2 4 2 11 2" xfId="7848"/>
    <cellStyle name="20% - Accent2 4 2 11 3" xfId="7849"/>
    <cellStyle name="20% - Accent2 4 2 12" xfId="7850"/>
    <cellStyle name="20% - Accent2 4 2 12 2" xfId="7851"/>
    <cellStyle name="20% - Accent2 4 2 12 3" xfId="7852"/>
    <cellStyle name="20% - Accent2 4 2 13" xfId="7853"/>
    <cellStyle name="20% - Accent2 4 2 14" xfId="7854"/>
    <cellStyle name="20% - Accent2 4 2 15" xfId="7855"/>
    <cellStyle name="20% - Accent2 4 2 16" xfId="7856"/>
    <cellStyle name="20% - Accent2 4 2 2" xfId="4279"/>
    <cellStyle name="20% - Accent2 4 2 2 2" xfId="7858"/>
    <cellStyle name="20% - Accent2 4 2 2 3" xfId="7859"/>
    <cellStyle name="20% - Accent2 4 2 2 4" xfId="7857"/>
    <cellStyle name="20% - Accent2 4 2 3" xfId="7860"/>
    <cellStyle name="20% - Accent2 4 2 3 2" xfId="7861"/>
    <cellStyle name="20% - Accent2 4 2 3 3" xfId="7862"/>
    <cellStyle name="20% - Accent2 4 2 4" xfId="7863"/>
    <cellStyle name="20% - Accent2 4 2 4 2" xfId="7864"/>
    <cellStyle name="20% - Accent2 4 2 4 3" xfId="7865"/>
    <cellStyle name="20% - Accent2 4 2 5" xfId="7866"/>
    <cellStyle name="20% - Accent2 4 2 5 2" xfId="7867"/>
    <cellStyle name="20% - Accent2 4 2 5 3" xfId="7868"/>
    <cellStyle name="20% - Accent2 4 2 6" xfId="7869"/>
    <cellStyle name="20% - Accent2 4 2 6 2" xfId="7870"/>
    <cellStyle name="20% - Accent2 4 2 6 3" xfId="7871"/>
    <cellStyle name="20% - Accent2 4 2 7" xfId="7872"/>
    <cellStyle name="20% - Accent2 4 2 7 2" xfId="7873"/>
    <cellStyle name="20% - Accent2 4 2 7 3" xfId="7874"/>
    <cellStyle name="20% - Accent2 4 2 8" xfId="7875"/>
    <cellStyle name="20% - Accent2 4 2 8 2" xfId="7876"/>
    <cellStyle name="20% - Accent2 4 2 8 3" xfId="7877"/>
    <cellStyle name="20% - Accent2 4 2 9" xfId="7878"/>
    <cellStyle name="20% - Accent2 4 2 9 2" xfId="7879"/>
    <cellStyle name="20% - Accent2 4 2 9 3" xfId="7880"/>
    <cellStyle name="20% - Accent2 4 20" xfId="7814"/>
    <cellStyle name="20% - Accent2 4 20 2" xfId="25324"/>
    <cellStyle name="20% - Accent2 4 21" xfId="28258"/>
    <cellStyle name="20% - Accent2 4 3" xfId="1619"/>
    <cellStyle name="20% - Accent2 4 3 2" xfId="4280"/>
    <cellStyle name="20% - Accent2 4 3 2 2" xfId="7881"/>
    <cellStyle name="20% - Accent2 4 3 3" xfId="7882"/>
    <cellStyle name="20% - Accent2 4 3 4" xfId="7883"/>
    <cellStyle name="20% - Accent2 4 3 5" xfId="7884"/>
    <cellStyle name="20% - Accent2 4 4" xfId="1803"/>
    <cellStyle name="20% - Accent2 4 4 2" xfId="7885"/>
    <cellStyle name="20% - Accent2 4 4 3" xfId="7886"/>
    <cellStyle name="20% - Accent2 4 4 4" xfId="7887"/>
    <cellStyle name="20% - Accent2 4 5" xfId="2139"/>
    <cellStyle name="20% - Accent2 4 5 2" xfId="7888"/>
    <cellStyle name="20% - Accent2 4 5 3" xfId="7889"/>
    <cellStyle name="20% - Accent2 4 5 4" xfId="7890"/>
    <cellStyle name="20% - Accent2 4 6" xfId="2513"/>
    <cellStyle name="20% - Accent2 4 6 2" xfId="7891"/>
    <cellStyle name="20% - Accent2 4 6 3" xfId="7892"/>
    <cellStyle name="20% - Accent2 4 6 4" xfId="7893"/>
    <cellStyle name="20% - Accent2 4 7" xfId="2885"/>
    <cellStyle name="20% - Accent2 4 7 2" xfId="7894"/>
    <cellStyle name="20% - Accent2 4 7 3" xfId="7895"/>
    <cellStyle name="20% - Accent2 4 7 4" xfId="7896"/>
    <cellStyle name="20% - Accent2 4 8" xfId="3256"/>
    <cellStyle name="20% - Accent2 4 8 2" xfId="7897"/>
    <cellStyle name="20% - Accent2 4 8 3" xfId="7898"/>
    <cellStyle name="20% - Accent2 4 8 4" xfId="7899"/>
    <cellStyle name="20% - Accent2 4 9" xfId="3583"/>
    <cellStyle name="20% - Accent2 4 9 2" xfId="4281"/>
    <cellStyle name="20% - Accent2 4 9 2 2" xfId="7900"/>
    <cellStyle name="20% - Accent2 4 9 3" xfId="7901"/>
    <cellStyle name="20% - Accent2 4 9 4" xfId="7902"/>
    <cellStyle name="20% - Accent2 4 9 5" xfId="7903"/>
    <cellStyle name="20% - Accent2 5" xfId="363"/>
    <cellStyle name="20% - Accent2 5 10" xfId="7904"/>
    <cellStyle name="20% - Accent2 5 10 2" xfId="7905"/>
    <cellStyle name="20% - Accent2 5 10 3" xfId="7906"/>
    <cellStyle name="20% - Accent2 5 11" xfId="7907"/>
    <cellStyle name="20% - Accent2 5 11 2" xfId="7908"/>
    <cellStyle name="20% - Accent2 5 11 3" xfId="7909"/>
    <cellStyle name="20% - Accent2 5 12" xfId="7910"/>
    <cellStyle name="20% - Accent2 5 12 2" xfId="7911"/>
    <cellStyle name="20% - Accent2 5 12 3" xfId="7912"/>
    <cellStyle name="20% - Accent2 5 13" xfId="7913"/>
    <cellStyle name="20% - Accent2 5 13 2" xfId="7914"/>
    <cellStyle name="20% - Accent2 5 13 3" xfId="7915"/>
    <cellStyle name="20% - Accent2 5 14" xfId="7916"/>
    <cellStyle name="20% - Accent2 5 15" xfId="7917"/>
    <cellStyle name="20% - Accent2 5 16" xfId="7918"/>
    <cellStyle name="20% - Accent2 5 17" xfId="7919"/>
    <cellStyle name="20% - Accent2 5 2" xfId="1880"/>
    <cellStyle name="20% - Accent2 5 2 10" xfId="7920"/>
    <cellStyle name="20% - Accent2 5 2 10 2" xfId="7921"/>
    <cellStyle name="20% - Accent2 5 2 10 3" xfId="7922"/>
    <cellStyle name="20% - Accent2 5 2 11" xfId="7923"/>
    <cellStyle name="20% - Accent2 5 2 11 2" xfId="7924"/>
    <cellStyle name="20% - Accent2 5 2 11 3" xfId="7925"/>
    <cellStyle name="20% - Accent2 5 2 12" xfId="7926"/>
    <cellStyle name="20% - Accent2 5 2 12 2" xfId="7927"/>
    <cellStyle name="20% - Accent2 5 2 12 3" xfId="7928"/>
    <cellStyle name="20% - Accent2 5 2 13" xfId="7929"/>
    <cellStyle name="20% - Accent2 5 2 14" xfId="7930"/>
    <cellStyle name="20% - Accent2 5 2 15" xfId="7931"/>
    <cellStyle name="20% - Accent2 5 2 2" xfId="7932"/>
    <cellStyle name="20% - Accent2 5 2 2 2" xfId="7933"/>
    <cellStyle name="20% - Accent2 5 2 2 3" xfId="7934"/>
    <cellStyle name="20% - Accent2 5 2 3" xfId="7935"/>
    <cellStyle name="20% - Accent2 5 2 3 2" xfId="7936"/>
    <cellStyle name="20% - Accent2 5 2 3 3" xfId="7937"/>
    <cellStyle name="20% - Accent2 5 2 4" xfId="7938"/>
    <cellStyle name="20% - Accent2 5 2 4 2" xfId="7939"/>
    <cellStyle name="20% - Accent2 5 2 4 3" xfId="7940"/>
    <cellStyle name="20% - Accent2 5 2 5" xfId="7941"/>
    <cellStyle name="20% - Accent2 5 2 5 2" xfId="7942"/>
    <cellStyle name="20% - Accent2 5 2 5 3" xfId="7943"/>
    <cellStyle name="20% - Accent2 5 2 6" xfId="7944"/>
    <cellStyle name="20% - Accent2 5 2 6 2" xfId="7945"/>
    <cellStyle name="20% - Accent2 5 2 6 3" xfId="7946"/>
    <cellStyle name="20% - Accent2 5 2 7" xfId="7947"/>
    <cellStyle name="20% - Accent2 5 2 7 2" xfId="7948"/>
    <cellStyle name="20% - Accent2 5 2 7 3" xfId="7949"/>
    <cellStyle name="20% - Accent2 5 2 8" xfId="7950"/>
    <cellStyle name="20% - Accent2 5 2 8 2" xfId="7951"/>
    <cellStyle name="20% - Accent2 5 2 8 3" xfId="7952"/>
    <cellStyle name="20% - Accent2 5 2 9" xfId="7953"/>
    <cellStyle name="20% - Accent2 5 2 9 2" xfId="7954"/>
    <cellStyle name="20% - Accent2 5 2 9 3" xfId="7955"/>
    <cellStyle name="20% - Accent2 5 3" xfId="2255"/>
    <cellStyle name="20% - Accent2 5 3 2" xfId="7956"/>
    <cellStyle name="20% - Accent2 5 3 3" xfId="7957"/>
    <cellStyle name="20% - Accent2 5 3 4" xfId="7958"/>
    <cellStyle name="20% - Accent2 5 4" xfId="2628"/>
    <cellStyle name="20% - Accent2 5 4 2" xfId="7959"/>
    <cellStyle name="20% - Accent2 5 4 3" xfId="7960"/>
    <cellStyle name="20% - Accent2 5 4 4" xfId="7961"/>
    <cellStyle name="20% - Accent2 5 5" xfId="3001"/>
    <cellStyle name="20% - Accent2 5 5 2" xfId="7962"/>
    <cellStyle name="20% - Accent2 5 5 3" xfId="7963"/>
    <cellStyle name="20% - Accent2 5 5 4" xfId="7964"/>
    <cellStyle name="20% - Accent2 5 6" xfId="3372"/>
    <cellStyle name="20% - Accent2 5 6 2" xfId="7965"/>
    <cellStyle name="20% - Accent2 5 6 3" xfId="7966"/>
    <cellStyle name="20% - Accent2 5 6 4" xfId="7967"/>
    <cellStyle name="20% - Accent2 5 7" xfId="4282"/>
    <cellStyle name="20% - Accent2 5 7 2" xfId="7969"/>
    <cellStyle name="20% - Accent2 5 7 3" xfId="7970"/>
    <cellStyle name="20% - Accent2 5 7 4" xfId="7968"/>
    <cellStyle name="20% - Accent2 5 8" xfId="7971"/>
    <cellStyle name="20% - Accent2 5 8 2" xfId="7972"/>
    <cellStyle name="20% - Accent2 5 8 3" xfId="7973"/>
    <cellStyle name="20% - Accent2 5 9" xfId="7974"/>
    <cellStyle name="20% - Accent2 5 9 2" xfId="7975"/>
    <cellStyle name="20% - Accent2 5 9 3" xfId="7976"/>
    <cellStyle name="20% - Accent2 6" xfId="364"/>
    <cellStyle name="20% - Accent2 6 10" xfId="5320"/>
    <cellStyle name="20% - Accent2 6 10 2" xfId="5989"/>
    <cellStyle name="20% - Accent2 6 10 2 2" xfId="7979"/>
    <cellStyle name="20% - Accent2 6 10 2 3" xfId="25327"/>
    <cellStyle name="20% - Accent2 6 10 3" xfId="7980"/>
    <cellStyle name="20% - Accent2 6 10 4" xfId="7978"/>
    <cellStyle name="20% - Accent2 6 10 5" xfId="25326"/>
    <cellStyle name="20% - Accent2 6 11" xfId="5630"/>
    <cellStyle name="20% - Accent2 6 11 2" xfId="5990"/>
    <cellStyle name="20% - Accent2 6 11 2 2" xfId="7982"/>
    <cellStyle name="20% - Accent2 6 11 2 3" xfId="25329"/>
    <cellStyle name="20% - Accent2 6 11 3" xfId="7983"/>
    <cellStyle name="20% - Accent2 6 11 4" xfId="7981"/>
    <cellStyle name="20% - Accent2 6 11 5" xfId="25328"/>
    <cellStyle name="20% - Accent2 6 12" xfId="4283"/>
    <cellStyle name="20% - Accent2 6 12 2" xfId="5991"/>
    <cellStyle name="20% - Accent2 6 12 2 2" xfId="7985"/>
    <cellStyle name="20% - Accent2 6 12 2 3" xfId="25331"/>
    <cellStyle name="20% - Accent2 6 12 3" xfId="7986"/>
    <cellStyle name="20% - Accent2 6 12 4" xfId="7984"/>
    <cellStyle name="20% - Accent2 6 12 5" xfId="25330"/>
    <cellStyle name="20% - Accent2 6 13" xfId="5988"/>
    <cellStyle name="20% - Accent2 6 13 2" xfId="7987"/>
    <cellStyle name="20% - Accent2 6 13 3" xfId="25332"/>
    <cellStyle name="20% - Accent2 6 14" xfId="7988"/>
    <cellStyle name="20% - Accent2 6 15" xfId="7989"/>
    <cellStyle name="20% - Accent2 6 16" xfId="7990"/>
    <cellStyle name="20% - Accent2 6 16 2" xfId="7991"/>
    <cellStyle name="20% - Accent2 6 16 2 2" xfId="25334"/>
    <cellStyle name="20% - Accent2 6 16 2 3" xfId="28274"/>
    <cellStyle name="20% - Accent2 6 16 3" xfId="7992"/>
    <cellStyle name="20% - Accent2 6 16 3 2" xfId="25335"/>
    <cellStyle name="20% - Accent2 6 16 3 3" xfId="28275"/>
    <cellStyle name="20% - Accent2 6 16 4" xfId="25333"/>
    <cellStyle name="20% - Accent2 6 16 5" xfId="28273"/>
    <cellStyle name="20% - Accent2 6 17" xfId="7993"/>
    <cellStyle name="20% - Accent2 6 17 2" xfId="25336"/>
    <cellStyle name="20% - Accent2 6 17 3" xfId="28276"/>
    <cellStyle name="20% - Accent2 6 18" xfId="7994"/>
    <cellStyle name="20% - Accent2 6 18 2" xfId="25337"/>
    <cellStyle name="20% - Accent2 6 18 3" xfId="28277"/>
    <cellStyle name="20% - Accent2 6 19" xfId="7977"/>
    <cellStyle name="20% - Accent2 6 19 2" xfId="25338"/>
    <cellStyle name="20% - Accent2 6 2" xfId="1970"/>
    <cellStyle name="20% - Accent2 6 2 2" xfId="4284"/>
    <cellStyle name="20% - Accent2 6 2 2 2" xfId="7995"/>
    <cellStyle name="20% - Accent2 6 2 3" xfId="7996"/>
    <cellStyle name="20% - Accent2 6 2 4" xfId="7997"/>
    <cellStyle name="20% - Accent2 6 2 5" xfId="7998"/>
    <cellStyle name="20% - Accent2 6 20" xfId="24832"/>
    <cellStyle name="20% - Accent2 6 21" xfId="25325"/>
    <cellStyle name="20% - Accent2 6 22" xfId="28272"/>
    <cellStyle name="20% - Accent2 6 3" xfId="2345"/>
    <cellStyle name="20% - Accent2 6 3 2" xfId="4285"/>
    <cellStyle name="20% - Accent2 6 3 2 2" xfId="7999"/>
    <cellStyle name="20% - Accent2 6 3 3" xfId="8000"/>
    <cellStyle name="20% - Accent2 6 3 4" xfId="8001"/>
    <cellStyle name="20% - Accent2 6 3 5" xfId="8002"/>
    <cellStyle name="20% - Accent2 6 4" xfId="2718"/>
    <cellStyle name="20% - Accent2 6 4 2" xfId="4286"/>
    <cellStyle name="20% - Accent2 6 4 2 2" xfId="8003"/>
    <cellStyle name="20% - Accent2 6 4 3" xfId="8004"/>
    <cellStyle name="20% - Accent2 6 4 4" xfId="8005"/>
    <cellStyle name="20% - Accent2 6 4 5" xfId="8006"/>
    <cellStyle name="20% - Accent2 6 5" xfId="3091"/>
    <cellStyle name="20% - Accent2 6 5 2" xfId="4287"/>
    <cellStyle name="20% - Accent2 6 5 2 2" xfId="8007"/>
    <cellStyle name="20% - Accent2 6 5 3" xfId="8008"/>
    <cellStyle name="20% - Accent2 6 5 4" xfId="8009"/>
    <cellStyle name="20% - Accent2 6 5 5" xfId="8010"/>
    <cellStyle name="20% - Accent2 6 6" xfId="3462"/>
    <cellStyle name="20% - Accent2 6 6 2" xfId="4288"/>
    <cellStyle name="20% - Accent2 6 6 2 2" xfId="8011"/>
    <cellStyle name="20% - Accent2 6 6 3" xfId="8012"/>
    <cellStyle name="20% - Accent2 6 6 4" xfId="8013"/>
    <cellStyle name="20% - Accent2 6 6 5" xfId="8014"/>
    <cellStyle name="20% - Accent2 6 7" xfId="3768"/>
    <cellStyle name="20% - Accent2 6 7 2" xfId="4289"/>
    <cellStyle name="20% - Accent2 6 7 2 2" xfId="8015"/>
    <cellStyle name="20% - Accent2 6 7 3" xfId="8016"/>
    <cellStyle name="20% - Accent2 6 7 4" xfId="8017"/>
    <cellStyle name="20% - Accent2 6 7 5" xfId="8018"/>
    <cellStyle name="20% - Accent2 6 8" xfId="1358"/>
    <cellStyle name="20% - Accent2 6 8 10" xfId="25339"/>
    <cellStyle name="20% - Accent2 6 8 11" xfId="28278"/>
    <cellStyle name="20% - Accent2 6 8 2" xfId="4158"/>
    <cellStyle name="20% - Accent2 6 8 2 2" xfId="5322"/>
    <cellStyle name="20% - Accent2 6 8 2 2 2" xfId="5994"/>
    <cellStyle name="20% - Accent2 6 8 2 2 2 2" xfId="25342"/>
    <cellStyle name="20% - Accent2 6 8 2 2 3" xfId="8021"/>
    <cellStyle name="20% - Accent2 6 8 2 2 4" xfId="25341"/>
    <cellStyle name="20% - Accent2 6 8 2 3" xfId="5632"/>
    <cellStyle name="20% - Accent2 6 8 2 3 2" xfId="5995"/>
    <cellStyle name="20% - Accent2 6 8 2 3 2 2" xfId="25344"/>
    <cellStyle name="20% - Accent2 6 8 2 3 3" xfId="25343"/>
    <cellStyle name="20% - Accent2 6 8 2 4" xfId="4291"/>
    <cellStyle name="20% - Accent2 6 8 2 4 2" xfId="5996"/>
    <cellStyle name="20% - Accent2 6 8 2 4 2 2" xfId="25346"/>
    <cellStyle name="20% - Accent2 6 8 2 4 3" xfId="25345"/>
    <cellStyle name="20% - Accent2 6 8 2 5" xfId="5993"/>
    <cellStyle name="20% - Accent2 6 8 2 5 2" xfId="25347"/>
    <cellStyle name="20% - Accent2 6 8 2 6" xfId="8020"/>
    <cellStyle name="20% - Accent2 6 8 2 6 2" xfId="25348"/>
    <cellStyle name="20% - Accent2 6 8 2 7" xfId="25010"/>
    <cellStyle name="20% - Accent2 6 8 2 8" xfId="25340"/>
    <cellStyle name="20% - Accent2 6 8 2 9" xfId="28279"/>
    <cellStyle name="20% - Accent2 6 8 3" xfId="5321"/>
    <cellStyle name="20% - Accent2 6 8 3 2" xfId="5997"/>
    <cellStyle name="20% - Accent2 6 8 3 2 2" xfId="25350"/>
    <cellStyle name="20% - Accent2 6 8 3 3" xfId="8022"/>
    <cellStyle name="20% - Accent2 6 8 3 4" xfId="25349"/>
    <cellStyle name="20% - Accent2 6 8 4" xfId="5631"/>
    <cellStyle name="20% - Accent2 6 8 4 2" xfId="5998"/>
    <cellStyle name="20% - Accent2 6 8 4 2 2" xfId="25352"/>
    <cellStyle name="20% - Accent2 6 8 4 3" xfId="8023"/>
    <cellStyle name="20% - Accent2 6 8 4 4" xfId="25351"/>
    <cellStyle name="20% - Accent2 6 8 5" xfId="4290"/>
    <cellStyle name="20% - Accent2 6 8 5 2" xfId="5999"/>
    <cellStyle name="20% - Accent2 6 8 5 2 2" xfId="8025"/>
    <cellStyle name="20% - Accent2 6 8 5 2 2 2" xfId="25355"/>
    <cellStyle name="20% - Accent2 6 8 5 2 3" xfId="25354"/>
    <cellStyle name="20% - Accent2 6 8 5 2 4" xfId="28281"/>
    <cellStyle name="20% - Accent2 6 8 5 3" xfId="8026"/>
    <cellStyle name="20% - Accent2 6 8 5 3 2" xfId="25356"/>
    <cellStyle name="20% - Accent2 6 8 5 3 3" xfId="28282"/>
    <cellStyle name="20% - Accent2 6 8 5 4" xfId="8024"/>
    <cellStyle name="20% - Accent2 6 8 5 4 2" xfId="25357"/>
    <cellStyle name="20% - Accent2 6 8 5 5" xfId="25353"/>
    <cellStyle name="20% - Accent2 6 8 5 6" xfId="28280"/>
    <cellStyle name="20% - Accent2 6 8 6" xfId="5992"/>
    <cellStyle name="20% - Accent2 6 8 6 2" xfId="8027"/>
    <cellStyle name="20% - Accent2 6 8 6 2 2" xfId="25359"/>
    <cellStyle name="20% - Accent2 6 8 6 3" xfId="25358"/>
    <cellStyle name="20% - Accent2 6 8 6 4" xfId="28283"/>
    <cellStyle name="20% - Accent2 6 8 7" xfId="8028"/>
    <cellStyle name="20% - Accent2 6 8 7 2" xfId="25360"/>
    <cellStyle name="20% - Accent2 6 8 7 3" xfId="28284"/>
    <cellStyle name="20% - Accent2 6 8 8" xfId="8019"/>
    <cellStyle name="20% - Accent2 6 8 8 2" xfId="25361"/>
    <cellStyle name="20% - Accent2 6 8 9" xfId="24890"/>
    <cellStyle name="20% - Accent2 6 9" xfId="3818"/>
    <cellStyle name="20% - Accent2 6 9 2" xfId="5323"/>
    <cellStyle name="20% - Accent2 6 9 2 2" xfId="6001"/>
    <cellStyle name="20% - Accent2 6 9 2 2 2" xfId="25364"/>
    <cellStyle name="20% - Accent2 6 9 2 3" xfId="8030"/>
    <cellStyle name="20% - Accent2 6 9 2 4" xfId="25363"/>
    <cellStyle name="20% - Accent2 6 9 3" xfId="5633"/>
    <cellStyle name="20% - Accent2 6 9 3 2" xfId="6002"/>
    <cellStyle name="20% - Accent2 6 9 3 2 2" xfId="25366"/>
    <cellStyle name="20% - Accent2 6 9 3 3" xfId="8031"/>
    <cellStyle name="20% - Accent2 6 9 3 4" xfId="25365"/>
    <cellStyle name="20% - Accent2 6 9 4" xfId="4292"/>
    <cellStyle name="20% - Accent2 6 9 4 2" xfId="6003"/>
    <cellStyle name="20% - Accent2 6 9 4 2 2" xfId="25368"/>
    <cellStyle name="20% - Accent2 6 9 4 3" xfId="8032"/>
    <cellStyle name="20% - Accent2 6 9 4 4" xfId="25367"/>
    <cellStyle name="20% - Accent2 6 9 5" xfId="6000"/>
    <cellStyle name="20% - Accent2 6 9 5 2" xfId="25369"/>
    <cellStyle name="20% - Accent2 6 9 6" xfId="8029"/>
    <cellStyle name="20% - Accent2 6 9 6 2" xfId="25370"/>
    <cellStyle name="20% - Accent2 6 9 7" xfId="24954"/>
    <cellStyle name="20% - Accent2 6 9 8" xfId="25362"/>
    <cellStyle name="20% - Accent2 6 9 9" xfId="28285"/>
    <cellStyle name="20% - Accent2 7" xfId="365"/>
    <cellStyle name="20% - Accent2 7 10" xfId="8033"/>
    <cellStyle name="20% - Accent2 7 10 2" xfId="8034"/>
    <cellStyle name="20% - Accent2 7 10 3" xfId="8035"/>
    <cellStyle name="20% - Accent2 7 11" xfId="8036"/>
    <cellStyle name="20% - Accent2 7 11 2" xfId="8037"/>
    <cellStyle name="20% - Accent2 7 11 3" xfId="8038"/>
    <cellStyle name="20% - Accent2 7 12" xfId="8039"/>
    <cellStyle name="20% - Accent2 7 12 2" xfId="8040"/>
    <cellStyle name="20% - Accent2 7 12 3" xfId="8041"/>
    <cellStyle name="20% - Accent2 7 13" xfId="8042"/>
    <cellStyle name="20% - Accent2 7 14" xfId="8043"/>
    <cellStyle name="20% - Accent2 7 15" xfId="8044"/>
    <cellStyle name="20% - Accent2 7 16" xfId="8045"/>
    <cellStyle name="20% - Accent2 7 2" xfId="4293"/>
    <cellStyle name="20% - Accent2 7 2 2" xfId="8047"/>
    <cellStyle name="20% - Accent2 7 2 3" xfId="8048"/>
    <cellStyle name="20% - Accent2 7 2 4" xfId="8046"/>
    <cellStyle name="20% - Accent2 7 3" xfId="8049"/>
    <cellStyle name="20% - Accent2 7 3 2" xfId="8050"/>
    <cellStyle name="20% - Accent2 7 3 3" xfId="8051"/>
    <cellStyle name="20% - Accent2 7 4" xfId="8052"/>
    <cellStyle name="20% - Accent2 7 4 2" xfId="8053"/>
    <cellStyle name="20% - Accent2 7 4 3" xfId="8054"/>
    <cellStyle name="20% - Accent2 7 5" xfId="8055"/>
    <cellStyle name="20% - Accent2 7 5 2" xfId="8056"/>
    <cellStyle name="20% - Accent2 7 5 3" xfId="8057"/>
    <cellStyle name="20% - Accent2 7 6" xfId="8058"/>
    <cellStyle name="20% - Accent2 7 6 2" xfId="8059"/>
    <cellStyle name="20% - Accent2 7 6 3" xfId="8060"/>
    <cellStyle name="20% - Accent2 7 7" xfId="8061"/>
    <cellStyle name="20% - Accent2 7 7 2" xfId="8062"/>
    <cellStyle name="20% - Accent2 7 7 3" xfId="8063"/>
    <cellStyle name="20% - Accent2 7 8" xfId="8064"/>
    <cellStyle name="20% - Accent2 7 8 2" xfId="8065"/>
    <cellStyle name="20% - Accent2 7 8 3" xfId="8066"/>
    <cellStyle name="20% - Accent2 7 9" xfId="8067"/>
    <cellStyle name="20% - Accent2 7 9 2" xfId="8068"/>
    <cellStyle name="20% - Accent2 7 9 3" xfId="8069"/>
    <cellStyle name="20% - Accent2 8" xfId="523"/>
    <cellStyle name="20% - Accent2 8 10" xfId="24846"/>
    <cellStyle name="20% - Accent2 8 11" xfId="25371"/>
    <cellStyle name="20% - Accent2 8 12" xfId="28286"/>
    <cellStyle name="20% - Accent2 8 2" xfId="1374"/>
    <cellStyle name="20% - Accent2 8 2 10" xfId="25372"/>
    <cellStyle name="20% - Accent2 8 2 11" xfId="28287"/>
    <cellStyle name="20% - Accent2 8 2 2" xfId="4174"/>
    <cellStyle name="20% - Accent2 8 2 2 2" xfId="5326"/>
    <cellStyle name="20% - Accent2 8 2 2 2 2" xfId="6007"/>
    <cellStyle name="20% - Accent2 8 2 2 2 2 2" xfId="25375"/>
    <cellStyle name="20% - Accent2 8 2 2 2 3" xfId="8073"/>
    <cellStyle name="20% - Accent2 8 2 2 2 4" xfId="25374"/>
    <cellStyle name="20% - Accent2 8 2 2 3" xfId="5636"/>
    <cellStyle name="20% - Accent2 8 2 2 3 2" xfId="6008"/>
    <cellStyle name="20% - Accent2 8 2 2 3 2 2" xfId="25377"/>
    <cellStyle name="20% - Accent2 8 2 2 3 3" xfId="25376"/>
    <cellStyle name="20% - Accent2 8 2 2 4" xfId="4296"/>
    <cellStyle name="20% - Accent2 8 2 2 4 2" xfId="6009"/>
    <cellStyle name="20% - Accent2 8 2 2 4 2 2" xfId="25379"/>
    <cellStyle name="20% - Accent2 8 2 2 4 3" xfId="25378"/>
    <cellStyle name="20% - Accent2 8 2 2 5" xfId="6006"/>
    <cellStyle name="20% - Accent2 8 2 2 5 2" xfId="25380"/>
    <cellStyle name="20% - Accent2 8 2 2 6" xfId="8072"/>
    <cellStyle name="20% - Accent2 8 2 2 6 2" xfId="25381"/>
    <cellStyle name="20% - Accent2 8 2 2 7" xfId="25026"/>
    <cellStyle name="20% - Accent2 8 2 2 8" xfId="25373"/>
    <cellStyle name="20% - Accent2 8 2 2 9" xfId="28288"/>
    <cellStyle name="20% - Accent2 8 2 3" xfId="5325"/>
    <cellStyle name="20% - Accent2 8 2 3 2" xfId="6010"/>
    <cellStyle name="20% - Accent2 8 2 3 2 2" xfId="25383"/>
    <cellStyle name="20% - Accent2 8 2 3 3" xfId="8074"/>
    <cellStyle name="20% - Accent2 8 2 3 4" xfId="25382"/>
    <cellStyle name="20% - Accent2 8 2 4" xfId="5635"/>
    <cellStyle name="20% - Accent2 8 2 4 2" xfId="6011"/>
    <cellStyle name="20% - Accent2 8 2 4 2 2" xfId="25385"/>
    <cellStyle name="20% - Accent2 8 2 4 3" xfId="8075"/>
    <cellStyle name="20% - Accent2 8 2 4 4" xfId="25384"/>
    <cellStyle name="20% - Accent2 8 2 5" xfId="4295"/>
    <cellStyle name="20% - Accent2 8 2 5 2" xfId="6012"/>
    <cellStyle name="20% - Accent2 8 2 5 2 2" xfId="8077"/>
    <cellStyle name="20% - Accent2 8 2 5 2 2 2" xfId="25388"/>
    <cellStyle name="20% - Accent2 8 2 5 2 3" xfId="25387"/>
    <cellStyle name="20% - Accent2 8 2 5 2 4" xfId="28290"/>
    <cellStyle name="20% - Accent2 8 2 5 3" xfId="8078"/>
    <cellStyle name="20% - Accent2 8 2 5 3 2" xfId="25389"/>
    <cellStyle name="20% - Accent2 8 2 5 3 3" xfId="28291"/>
    <cellStyle name="20% - Accent2 8 2 5 4" xfId="8076"/>
    <cellStyle name="20% - Accent2 8 2 5 4 2" xfId="25390"/>
    <cellStyle name="20% - Accent2 8 2 5 5" xfId="25386"/>
    <cellStyle name="20% - Accent2 8 2 5 6" xfId="28289"/>
    <cellStyle name="20% - Accent2 8 2 6" xfId="6005"/>
    <cellStyle name="20% - Accent2 8 2 6 2" xfId="8079"/>
    <cellStyle name="20% - Accent2 8 2 6 2 2" xfId="25392"/>
    <cellStyle name="20% - Accent2 8 2 6 3" xfId="25391"/>
    <cellStyle name="20% - Accent2 8 2 6 4" xfId="28292"/>
    <cellStyle name="20% - Accent2 8 2 7" xfId="8080"/>
    <cellStyle name="20% - Accent2 8 2 7 2" xfId="25393"/>
    <cellStyle name="20% - Accent2 8 2 7 3" xfId="28293"/>
    <cellStyle name="20% - Accent2 8 2 8" xfId="8071"/>
    <cellStyle name="20% - Accent2 8 2 8 2" xfId="25394"/>
    <cellStyle name="20% - Accent2 8 2 9" xfId="24906"/>
    <cellStyle name="20% - Accent2 8 3" xfId="3832"/>
    <cellStyle name="20% - Accent2 8 3 2" xfId="5327"/>
    <cellStyle name="20% - Accent2 8 3 2 2" xfId="6014"/>
    <cellStyle name="20% - Accent2 8 3 2 2 2" xfId="25397"/>
    <cellStyle name="20% - Accent2 8 3 2 3" xfId="8082"/>
    <cellStyle name="20% - Accent2 8 3 2 4" xfId="25396"/>
    <cellStyle name="20% - Accent2 8 3 3" xfId="5637"/>
    <cellStyle name="20% - Accent2 8 3 3 2" xfId="6015"/>
    <cellStyle name="20% - Accent2 8 3 3 2 2" xfId="25399"/>
    <cellStyle name="20% - Accent2 8 3 3 3" xfId="25398"/>
    <cellStyle name="20% - Accent2 8 3 4" xfId="4297"/>
    <cellStyle name="20% - Accent2 8 3 4 2" xfId="6016"/>
    <cellStyle name="20% - Accent2 8 3 4 2 2" xfId="25401"/>
    <cellStyle name="20% - Accent2 8 3 4 3" xfId="25400"/>
    <cellStyle name="20% - Accent2 8 3 5" xfId="6013"/>
    <cellStyle name="20% - Accent2 8 3 5 2" xfId="25402"/>
    <cellStyle name="20% - Accent2 8 3 6" xfId="8081"/>
    <cellStyle name="20% - Accent2 8 3 6 2" xfId="25403"/>
    <cellStyle name="20% - Accent2 8 3 7" xfId="24968"/>
    <cellStyle name="20% - Accent2 8 3 8" xfId="25395"/>
    <cellStyle name="20% - Accent2 8 3 9" xfId="28294"/>
    <cellStyle name="20% - Accent2 8 4" xfId="5324"/>
    <cellStyle name="20% - Accent2 8 4 2" xfId="6017"/>
    <cellStyle name="20% - Accent2 8 4 2 2" xfId="25405"/>
    <cellStyle name="20% - Accent2 8 4 3" xfId="8083"/>
    <cellStyle name="20% - Accent2 8 4 4" xfId="25404"/>
    <cellStyle name="20% - Accent2 8 5" xfId="5634"/>
    <cellStyle name="20% - Accent2 8 5 2" xfId="6018"/>
    <cellStyle name="20% - Accent2 8 5 2 2" xfId="25407"/>
    <cellStyle name="20% - Accent2 8 5 3" xfId="8084"/>
    <cellStyle name="20% - Accent2 8 5 4" xfId="25406"/>
    <cellStyle name="20% - Accent2 8 6" xfId="4294"/>
    <cellStyle name="20% - Accent2 8 6 2" xfId="6019"/>
    <cellStyle name="20% - Accent2 8 6 2 2" xfId="8086"/>
    <cellStyle name="20% - Accent2 8 6 2 2 2" xfId="25410"/>
    <cellStyle name="20% - Accent2 8 6 2 3" xfId="25409"/>
    <cellStyle name="20% - Accent2 8 6 2 4" xfId="28296"/>
    <cellStyle name="20% - Accent2 8 6 3" xfId="8087"/>
    <cellStyle name="20% - Accent2 8 6 3 2" xfId="25411"/>
    <cellStyle name="20% - Accent2 8 6 3 3" xfId="28297"/>
    <cellStyle name="20% - Accent2 8 6 4" xfId="8085"/>
    <cellStyle name="20% - Accent2 8 6 4 2" xfId="25412"/>
    <cellStyle name="20% - Accent2 8 6 5" xfId="25408"/>
    <cellStyle name="20% - Accent2 8 6 6" xfId="28295"/>
    <cellStyle name="20% - Accent2 8 7" xfId="6004"/>
    <cellStyle name="20% - Accent2 8 7 2" xfId="8088"/>
    <cellStyle name="20% - Accent2 8 7 2 2" xfId="25414"/>
    <cellStyle name="20% - Accent2 8 7 3" xfId="25413"/>
    <cellStyle name="20% - Accent2 8 7 4" xfId="28298"/>
    <cellStyle name="20% - Accent2 8 8" xfId="8089"/>
    <cellStyle name="20% - Accent2 8 8 2" xfId="25415"/>
    <cellStyle name="20% - Accent2 8 8 3" xfId="28299"/>
    <cellStyle name="20% - Accent2 8 9" xfId="8070"/>
    <cellStyle name="20% - Accent2 8 9 2" xfId="25416"/>
    <cellStyle name="20% - Accent2 9" xfId="524"/>
    <cellStyle name="20% - Accent2 9 2" xfId="4298"/>
    <cellStyle name="20% - Accent2 9 2 2" xfId="8091"/>
    <cellStyle name="20% - Accent2 9 2 3" xfId="8092"/>
    <cellStyle name="20% - Accent2 9 2 4" xfId="8090"/>
    <cellStyle name="20% - Accent2 9 3" xfId="8093"/>
    <cellStyle name="20% - Accent2 9 4" xfId="8094"/>
    <cellStyle name="20% - Accent2 9 5" xfId="8095"/>
    <cellStyle name="20% - Accent2 9 6" xfId="8096"/>
    <cellStyle name="20% - Accent3" xfId="7109" builtinId="38" customBuiltin="1"/>
    <cellStyle name="20% - Accent3 10" xfId="648"/>
    <cellStyle name="20% - Accent3 10 2" xfId="4299"/>
    <cellStyle name="20% - Accent3 10 2 2" xfId="8097"/>
    <cellStyle name="20% - Accent3 10 3" xfId="8098"/>
    <cellStyle name="20% - Accent3 10 4" xfId="8099"/>
    <cellStyle name="20% - Accent3 10 5" xfId="8100"/>
    <cellStyle name="20% - Accent3 11" xfId="649"/>
    <cellStyle name="20% - Accent3 11 2" xfId="4300"/>
    <cellStyle name="20% - Accent3 11 2 2" xfId="8101"/>
    <cellStyle name="20% - Accent3 11 3" xfId="8102"/>
    <cellStyle name="20% - Accent3 11 4" xfId="8103"/>
    <cellStyle name="20% - Accent3 11 5" xfId="8104"/>
    <cellStyle name="20% - Accent3 12" xfId="804"/>
    <cellStyle name="20% - Accent3 12 2" xfId="8106"/>
    <cellStyle name="20% - Accent3 12 3" xfId="8107"/>
    <cellStyle name="20% - Accent3 12 4" xfId="8105"/>
    <cellStyle name="20% - Accent3 13" xfId="805"/>
    <cellStyle name="20% - Accent3 13 2" xfId="3847"/>
    <cellStyle name="20% - Accent3 13 2 2" xfId="6021"/>
    <cellStyle name="20% - Accent3 13 2 2 2" xfId="25419"/>
    <cellStyle name="20% - Accent3 13 2 3" xfId="8109"/>
    <cellStyle name="20% - Accent3 13 2 4" xfId="24983"/>
    <cellStyle name="20% - Accent3 13 2 5" xfId="25418"/>
    <cellStyle name="20% - Accent3 13 3" xfId="6020"/>
    <cellStyle name="20% - Accent3 13 3 2" xfId="8110"/>
    <cellStyle name="20% - Accent3 13 3 3" xfId="25420"/>
    <cellStyle name="20% - Accent3 13 4" xfId="8108"/>
    <cellStyle name="20% - Accent3 13 5" xfId="24862"/>
    <cellStyle name="20% - Accent3 13 6" xfId="25417"/>
    <cellStyle name="20% - Accent3 14" xfId="925"/>
    <cellStyle name="20% - Accent3 14 2" xfId="8112"/>
    <cellStyle name="20% - Accent3 14 3" xfId="8113"/>
    <cellStyle name="20% - Accent3 14 4" xfId="8111"/>
    <cellStyle name="20% - Accent3 15" xfId="8114"/>
    <cellStyle name="20% - Accent3 15 2" xfId="8115"/>
    <cellStyle name="20% - Accent3 15 3" xfId="8116"/>
    <cellStyle name="20% - Accent3 16" xfId="8117"/>
    <cellStyle name="20% - Accent3 16 2" xfId="8118"/>
    <cellStyle name="20% - Accent3 16 3" xfId="8119"/>
    <cellStyle name="20% - Accent3 17" xfId="8120"/>
    <cellStyle name="20% - Accent3 17 2" xfId="8121"/>
    <cellStyle name="20% - Accent3 17 3" xfId="8122"/>
    <cellStyle name="20% - Accent3 18" xfId="8123"/>
    <cellStyle name="20% - Accent3 18 2" xfId="8124"/>
    <cellStyle name="20% - Accent3 18 3" xfId="8125"/>
    <cellStyle name="20% - Accent3 19" xfId="8126"/>
    <cellStyle name="20% - Accent3 19 2" xfId="8127"/>
    <cellStyle name="20% - Accent3 2" xfId="70"/>
    <cellStyle name="20% - Accent3 2 10" xfId="1669"/>
    <cellStyle name="20% - Accent3 2 10 2" xfId="4301"/>
    <cellStyle name="20% - Accent3 2 10 2 2" xfId="8128"/>
    <cellStyle name="20% - Accent3 2 10 3" xfId="8129"/>
    <cellStyle name="20% - Accent3 2 10 4" xfId="8130"/>
    <cellStyle name="20% - Accent3 2 10 5" xfId="8131"/>
    <cellStyle name="20% - Accent3 2 11" xfId="1664"/>
    <cellStyle name="20% - Accent3 2 11 2" xfId="4302"/>
    <cellStyle name="20% - Accent3 2 11 2 2" xfId="8132"/>
    <cellStyle name="20% - Accent3 2 11 3" xfId="8133"/>
    <cellStyle name="20% - Accent3 2 11 4" xfId="8134"/>
    <cellStyle name="20% - Accent3 2 11 5" xfId="8135"/>
    <cellStyle name="20% - Accent3 2 12" xfId="1706"/>
    <cellStyle name="20% - Accent3 2 12 2" xfId="4303"/>
    <cellStyle name="20% - Accent3 2 12 2 2" xfId="8136"/>
    <cellStyle name="20% - Accent3 2 12 3" xfId="8137"/>
    <cellStyle name="20% - Accent3 2 12 4" xfId="8138"/>
    <cellStyle name="20% - Accent3 2 12 5" xfId="8139"/>
    <cellStyle name="20% - Accent3 2 13" xfId="2041"/>
    <cellStyle name="20% - Accent3 2 13 2" xfId="4304"/>
    <cellStyle name="20% - Accent3 2 13 2 2" xfId="8140"/>
    <cellStyle name="20% - Accent3 2 13 3" xfId="8141"/>
    <cellStyle name="20% - Accent3 2 13 4" xfId="8142"/>
    <cellStyle name="20% - Accent3 2 13 5" xfId="8143"/>
    <cellStyle name="20% - Accent3 2 14" xfId="2416"/>
    <cellStyle name="20% - Accent3 2 14 2" xfId="4305"/>
    <cellStyle name="20% - Accent3 2 14 2 2" xfId="8144"/>
    <cellStyle name="20% - Accent3 2 14 3" xfId="8145"/>
    <cellStyle name="20% - Accent3 2 14 4" xfId="8146"/>
    <cellStyle name="20% - Accent3 2 14 5" xfId="8147"/>
    <cellStyle name="20% - Accent3 2 15" xfId="2788"/>
    <cellStyle name="20% - Accent3 2 15 2" xfId="4306"/>
    <cellStyle name="20% - Accent3 2 15 2 2" xfId="8148"/>
    <cellStyle name="20% - Accent3 2 15 3" xfId="8149"/>
    <cellStyle name="20% - Accent3 2 16" xfId="3634"/>
    <cellStyle name="20% - Accent3 2 16 2" xfId="4307"/>
    <cellStyle name="20% - Accent3 2 16 2 2" xfId="8150"/>
    <cellStyle name="20% - Accent3 2 16 3" xfId="8151"/>
    <cellStyle name="20% - Accent3 2 17" xfId="24469"/>
    <cellStyle name="20% - Accent3 2 2" xfId="114"/>
    <cellStyle name="20% - Accent3 2 2 10" xfId="8152"/>
    <cellStyle name="20% - Accent3 2 2 10 2" xfId="8153"/>
    <cellStyle name="20% - Accent3 2 2 10 3" xfId="8154"/>
    <cellStyle name="20% - Accent3 2 2 11" xfId="8155"/>
    <cellStyle name="20% - Accent3 2 2 11 2" xfId="8156"/>
    <cellStyle name="20% - Accent3 2 2 11 3" xfId="8157"/>
    <cellStyle name="20% - Accent3 2 2 12" xfId="8158"/>
    <cellStyle name="20% - Accent3 2 2 12 2" xfId="8159"/>
    <cellStyle name="20% - Accent3 2 2 12 3" xfId="8160"/>
    <cellStyle name="20% - Accent3 2 2 13" xfId="8161"/>
    <cellStyle name="20% - Accent3 2 2 14" xfId="8162"/>
    <cellStyle name="20% - Accent3 2 2 15" xfId="8163"/>
    <cellStyle name="20% - Accent3 2 2 2" xfId="179"/>
    <cellStyle name="20% - Accent3 2 2 2 2" xfId="8164"/>
    <cellStyle name="20% - Accent3 2 2 2 3" xfId="8165"/>
    <cellStyle name="20% - Accent3 2 2 3" xfId="343"/>
    <cellStyle name="20% - Accent3 2 2 3 2" xfId="8166"/>
    <cellStyle name="20% - Accent3 2 2 3 3" xfId="8167"/>
    <cellStyle name="20% - Accent3 2 2 4" xfId="2165"/>
    <cellStyle name="20% - Accent3 2 2 4 2" xfId="8168"/>
    <cellStyle name="20% - Accent3 2 2 4 3" xfId="8169"/>
    <cellStyle name="20% - Accent3 2 2 5" xfId="2539"/>
    <cellStyle name="20% - Accent3 2 2 5 2" xfId="8170"/>
    <cellStyle name="20% - Accent3 2 2 5 3" xfId="8171"/>
    <cellStyle name="20% - Accent3 2 2 6" xfId="2911"/>
    <cellStyle name="20% - Accent3 2 2 6 2" xfId="8172"/>
    <cellStyle name="20% - Accent3 2 2 6 3" xfId="8173"/>
    <cellStyle name="20% - Accent3 2 2 7" xfId="3283"/>
    <cellStyle name="20% - Accent3 2 2 7 2" xfId="8174"/>
    <cellStyle name="20% - Accent3 2 2 7 3" xfId="8175"/>
    <cellStyle name="20% - Accent3 2 2 8" xfId="4308"/>
    <cellStyle name="20% - Accent3 2 2 8 2" xfId="8177"/>
    <cellStyle name="20% - Accent3 2 2 8 3" xfId="8178"/>
    <cellStyle name="20% - Accent3 2 2 8 4" xfId="8176"/>
    <cellStyle name="20% - Accent3 2 2 9" xfId="8179"/>
    <cellStyle name="20% - Accent3 2 2 9 2" xfId="8180"/>
    <cellStyle name="20% - Accent3 2 2 9 3" xfId="8181"/>
    <cellStyle name="20% - Accent3 2 3" xfId="279"/>
    <cellStyle name="20% - Accent3 2 3 2" xfId="1341"/>
    <cellStyle name="20% - Accent3 2 3 2 2" xfId="8182"/>
    <cellStyle name="20% - Accent3 2 3 2 3" xfId="8183"/>
    <cellStyle name="20% - Accent3 2 3 3" xfId="8184"/>
    <cellStyle name="20% - Accent3 2 3 4" xfId="8185"/>
    <cellStyle name="20% - Accent3 2 4" xfId="366"/>
    <cellStyle name="20% - Accent3 2 4 2" xfId="8186"/>
    <cellStyle name="20% - Accent3 2 4 2 2" xfId="8187"/>
    <cellStyle name="20% - Accent3 2 4 2 3" xfId="8188"/>
    <cellStyle name="20% - Accent3 2 4 3" xfId="8189"/>
    <cellStyle name="20% - Accent3 2 4 4" xfId="8190"/>
    <cellStyle name="20% - Accent3 2 5" xfId="525"/>
    <cellStyle name="20% - Accent3 2 5 2" xfId="8191"/>
    <cellStyle name="20% - Accent3 2 5 3" xfId="8192"/>
    <cellStyle name="20% - Accent3 2 6" xfId="650"/>
    <cellStyle name="20% - Accent3 2 6 2" xfId="8193"/>
    <cellStyle name="20% - Accent3 2 6 3" xfId="8194"/>
    <cellStyle name="20% - Accent3 2 7" xfId="651"/>
    <cellStyle name="20% - Accent3 2 7 2" xfId="8195"/>
    <cellStyle name="20% - Accent3 2 7 3" xfId="8196"/>
    <cellStyle name="20% - Accent3 2 8" xfId="806"/>
    <cellStyle name="20% - Accent3 2 8 2" xfId="1398"/>
    <cellStyle name="20% - Accent3 2 8 2 2" xfId="8197"/>
    <cellStyle name="20% - Accent3 2 8 3" xfId="8198"/>
    <cellStyle name="20% - Accent3 2 8 4" xfId="8199"/>
    <cellStyle name="20% - Accent3 2 8 5" xfId="8200"/>
    <cellStyle name="20% - Accent3 2 9" xfId="926"/>
    <cellStyle name="20% - Accent3 2 9 2" xfId="1491"/>
    <cellStyle name="20% - Accent3 2 9 2 2" xfId="8201"/>
    <cellStyle name="20% - Accent3 2 9 3" xfId="8202"/>
    <cellStyle name="20% - Accent3 2 9 4" xfId="8203"/>
    <cellStyle name="20% - Accent3 2 9 5" xfId="8204"/>
    <cellStyle name="20% - Accent3 20" xfId="8205"/>
    <cellStyle name="20% - Accent3 21" xfId="8206"/>
    <cellStyle name="20% - Accent3 21 2" xfId="8207"/>
    <cellStyle name="20% - Accent3 21 2 2" xfId="8208"/>
    <cellStyle name="20% - Accent3 21 2 2 2" xfId="25423"/>
    <cellStyle name="20% - Accent3 21 2 2 3" xfId="28302"/>
    <cellStyle name="20% - Accent3 21 2 3" xfId="8209"/>
    <cellStyle name="20% - Accent3 21 2 3 2" xfId="25424"/>
    <cellStyle name="20% - Accent3 21 2 3 3" xfId="28303"/>
    <cellStyle name="20% - Accent3 21 2 4" xfId="25422"/>
    <cellStyle name="20% - Accent3 21 2 5" xfId="28301"/>
    <cellStyle name="20% - Accent3 21 3" xfId="8210"/>
    <cellStyle name="20% - Accent3 21 3 2" xfId="25425"/>
    <cellStyle name="20% - Accent3 21 3 3" xfId="28304"/>
    <cellStyle name="20% - Accent3 21 4" xfId="8211"/>
    <cellStyle name="20% - Accent3 21 4 2" xfId="25426"/>
    <cellStyle name="20% - Accent3 21 4 3" xfId="28305"/>
    <cellStyle name="20% - Accent3 21 5" xfId="25421"/>
    <cellStyle name="20% - Accent3 21 6" xfId="28300"/>
    <cellStyle name="20% - Accent3 22" xfId="8212"/>
    <cellStyle name="20% - Accent3 22 2" xfId="8213"/>
    <cellStyle name="20% - Accent3 22 2 2" xfId="8214"/>
    <cellStyle name="20% - Accent3 22 2 2 2" xfId="25429"/>
    <cellStyle name="20% - Accent3 22 2 2 3" xfId="28308"/>
    <cellStyle name="20% - Accent3 22 2 3" xfId="8215"/>
    <cellStyle name="20% - Accent3 22 2 3 2" xfId="25430"/>
    <cellStyle name="20% - Accent3 22 2 3 3" xfId="28309"/>
    <cellStyle name="20% - Accent3 22 2 4" xfId="25428"/>
    <cellStyle name="20% - Accent3 22 2 5" xfId="28307"/>
    <cellStyle name="20% - Accent3 22 3" xfId="8216"/>
    <cellStyle name="20% - Accent3 22 3 2" xfId="25431"/>
    <cellStyle name="20% - Accent3 22 3 3" xfId="28310"/>
    <cellStyle name="20% - Accent3 22 4" xfId="8217"/>
    <cellStyle name="20% - Accent3 22 4 2" xfId="25432"/>
    <cellStyle name="20% - Accent3 22 4 3" xfId="28311"/>
    <cellStyle name="20% - Accent3 22 5" xfId="25427"/>
    <cellStyle name="20% - Accent3 22 6" xfId="28306"/>
    <cellStyle name="20% - Accent3 23" xfId="8218"/>
    <cellStyle name="20% - Accent3 24" xfId="8219"/>
    <cellStyle name="20% - Accent3 24 2" xfId="8220"/>
    <cellStyle name="20% - Accent3 24 2 2" xfId="8221"/>
    <cellStyle name="20% - Accent3 24 2 2 2" xfId="25435"/>
    <cellStyle name="20% - Accent3 24 2 2 3" xfId="28314"/>
    <cellStyle name="20% - Accent3 24 2 3" xfId="8222"/>
    <cellStyle name="20% - Accent3 24 2 3 2" xfId="25436"/>
    <cellStyle name="20% - Accent3 24 2 3 3" xfId="28315"/>
    <cellStyle name="20% - Accent3 24 2 4" xfId="25434"/>
    <cellStyle name="20% - Accent3 24 2 5" xfId="28313"/>
    <cellStyle name="20% - Accent3 24 3" xfId="8223"/>
    <cellStyle name="20% - Accent3 24 3 2" xfId="25437"/>
    <cellStyle name="20% - Accent3 24 3 3" xfId="28316"/>
    <cellStyle name="20% - Accent3 24 4" xfId="8224"/>
    <cellStyle name="20% - Accent3 24 4 2" xfId="25438"/>
    <cellStyle name="20% - Accent3 24 4 3" xfId="28317"/>
    <cellStyle name="20% - Accent3 24 5" xfId="25433"/>
    <cellStyle name="20% - Accent3 24 6" xfId="28312"/>
    <cellStyle name="20% - Accent3 25" xfId="8225"/>
    <cellStyle name="20% - Accent3 25 2" xfId="8226"/>
    <cellStyle name="20% - Accent3 25 2 2" xfId="8227"/>
    <cellStyle name="20% - Accent3 25 2 2 2" xfId="25441"/>
    <cellStyle name="20% - Accent3 25 2 2 3" xfId="28320"/>
    <cellStyle name="20% - Accent3 25 2 3" xfId="8228"/>
    <cellStyle name="20% - Accent3 25 2 3 2" xfId="25442"/>
    <cellStyle name="20% - Accent3 25 2 3 3" xfId="28321"/>
    <cellStyle name="20% - Accent3 25 2 4" xfId="25440"/>
    <cellStyle name="20% - Accent3 25 2 5" xfId="28319"/>
    <cellStyle name="20% - Accent3 25 3" xfId="8229"/>
    <cellStyle name="20% - Accent3 25 3 2" xfId="25443"/>
    <cellStyle name="20% - Accent3 25 3 3" xfId="28322"/>
    <cellStyle name="20% - Accent3 25 4" xfId="8230"/>
    <cellStyle name="20% - Accent3 25 4 2" xfId="25444"/>
    <cellStyle name="20% - Accent3 25 4 3" xfId="28323"/>
    <cellStyle name="20% - Accent3 25 5" xfId="25439"/>
    <cellStyle name="20% - Accent3 25 6" xfId="28318"/>
    <cellStyle name="20% - Accent3 26" xfId="8231"/>
    <cellStyle name="20% - Accent3 27" xfId="8232"/>
    <cellStyle name="20% - Accent3 27 2" xfId="8233"/>
    <cellStyle name="20% - Accent3 27 2 2" xfId="8234"/>
    <cellStyle name="20% - Accent3 27 2 2 2" xfId="25447"/>
    <cellStyle name="20% - Accent3 27 2 2 3" xfId="28326"/>
    <cellStyle name="20% - Accent3 27 2 3" xfId="8235"/>
    <cellStyle name="20% - Accent3 27 2 3 2" xfId="25448"/>
    <cellStyle name="20% - Accent3 27 2 3 3" xfId="28327"/>
    <cellStyle name="20% - Accent3 27 2 4" xfId="25446"/>
    <cellStyle name="20% - Accent3 27 2 5" xfId="28325"/>
    <cellStyle name="20% - Accent3 27 3" xfId="8236"/>
    <cellStyle name="20% - Accent3 27 3 2" xfId="25449"/>
    <cellStyle name="20% - Accent3 27 3 3" xfId="28328"/>
    <cellStyle name="20% - Accent3 27 4" xfId="8237"/>
    <cellStyle name="20% - Accent3 27 4 2" xfId="25450"/>
    <cellStyle name="20% - Accent3 27 4 3" xfId="28329"/>
    <cellStyle name="20% - Accent3 27 5" xfId="25445"/>
    <cellStyle name="20% - Accent3 27 6" xfId="28324"/>
    <cellStyle name="20% - Accent3 28" xfId="8238"/>
    <cellStyle name="20% - Accent3 28 2" xfId="8239"/>
    <cellStyle name="20% - Accent3 28 2 2" xfId="25452"/>
    <cellStyle name="20% - Accent3 28 2 3" xfId="28331"/>
    <cellStyle name="20% - Accent3 28 3" xfId="8240"/>
    <cellStyle name="20% - Accent3 28 3 2" xfId="25453"/>
    <cellStyle name="20% - Accent3 28 3 3" xfId="28332"/>
    <cellStyle name="20% - Accent3 28 4" xfId="25451"/>
    <cellStyle name="20% - Accent3 28 5" xfId="28330"/>
    <cellStyle name="20% - Accent3 29" xfId="8241"/>
    <cellStyle name="20% - Accent3 29 2" xfId="25454"/>
    <cellStyle name="20% - Accent3 29 3" xfId="28333"/>
    <cellStyle name="20% - Accent3 3" xfId="220"/>
    <cellStyle name="20% - Accent3 3 10" xfId="3677"/>
    <cellStyle name="20% - Accent3 3 10 2" xfId="4309"/>
    <cellStyle name="20% - Accent3 3 10 2 2" xfId="8242"/>
    <cellStyle name="20% - Accent3 3 10 3" xfId="8243"/>
    <cellStyle name="20% - Accent3 3 10 4" xfId="8244"/>
    <cellStyle name="20% - Accent3 3 10 5" xfId="8245"/>
    <cellStyle name="20% - Accent3 3 11" xfId="8246"/>
    <cellStyle name="20% - Accent3 3 11 2" xfId="8247"/>
    <cellStyle name="20% - Accent3 3 11 3" xfId="8248"/>
    <cellStyle name="20% - Accent3 3 12" xfId="8249"/>
    <cellStyle name="20% - Accent3 3 12 2" xfId="8250"/>
    <cellStyle name="20% - Accent3 3 12 3" xfId="8251"/>
    <cellStyle name="20% - Accent3 3 13" xfId="8252"/>
    <cellStyle name="20% - Accent3 3 13 2" xfId="8253"/>
    <cellStyle name="20% - Accent3 3 13 3" xfId="8254"/>
    <cellStyle name="20% - Accent3 3 14" xfId="8255"/>
    <cellStyle name="20% - Accent3 3 15" xfId="8256"/>
    <cellStyle name="20% - Accent3 3 2" xfId="1450"/>
    <cellStyle name="20% - Accent3 3 2 10" xfId="8257"/>
    <cellStyle name="20% - Accent3 3 2 10 2" xfId="8258"/>
    <cellStyle name="20% - Accent3 3 2 10 3" xfId="8259"/>
    <cellStyle name="20% - Accent3 3 2 11" xfId="8260"/>
    <cellStyle name="20% - Accent3 3 2 11 2" xfId="8261"/>
    <cellStyle name="20% - Accent3 3 2 11 3" xfId="8262"/>
    <cellStyle name="20% - Accent3 3 2 12" xfId="8263"/>
    <cellStyle name="20% - Accent3 3 2 12 2" xfId="8264"/>
    <cellStyle name="20% - Accent3 3 2 12 3" xfId="8265"/>
    <cellStyle name="20% - Accent3 3 2 13" xfId="8266"/>
    <cellStyle name="20% - Accent3 3 2 14" xfId="8267"/>
    <cellStyle name="20% - Accent3 3 2 15" xfId="8268"/>
    <cellStyle name="20% - Accent3 3 2 2" xfId="1831"/>
    <cellStyle name="20% - Accent3 3 2 2 2" xfId="8269"/>
    <cellStyle name="20% - Accent3 3 2 2 3" xfId="8270"/>
    <cellStyle name="20% - Accent3 3 2 3" xfId="2206"/>
    <cellStyle name="20% - Accent3 3 2 3 2" xfId="8271"/>
    <cellStyle name="20% - Accent3 3 2 3 3" xfId="8272"/>
    <cellStyle name="20% - Accent3 3 2 4" xfId="2580"/>
    <cellStyle name="20% - Accent3 3 2 4 2" xfId="8273"/>
    <cellStyle name="20% - Accent3 3 2 4 3" xfId="8274"/>
    <cellStyle name="20% - Accent3 3 2 5" xfId="2952"/>
    <cellStyle name="20% - Accent3 3 2 5 2" xfId="8275"/>
    <cellStyle name="20% - Accent3 3 2 5 3" xfId="8276"/>
    <cellStyle name="20% - Accent3 3 2 6" xfId="3324"/>
    <cellStyle name="20% - Accent3 3 2 6 2" xfId="8277"/>
    <cellStyle name="20% - Accent3 3 2 6 3" xfId="8278"/>
    <cellStyle name="20% - Accent3 3 2 7" xfId="4310"/>
    <cellStyle name="20% - Accent3 3 2 7 2" xfId="8280"/>
    <cellStyle name="20% - Accent3 3 2 7 3" xfId="8281"/>
    <cellStyle name="20% - Accent3 3 2 7 4" xfId="8279"/>
    <cellStyle name="20% - Accent3 3 2 8" xfId="8282"/>
    <cellStyle name="20% - Accent3 3 2 8 2" xfId="8283"/>
    <cellStyle name="20% - Accent3 3 2 8 3" xfId="8284"/>
    <cellStyle name="20% - Accent3 3 2 9" xfId="8285"/>
    <cellStyle name="20% - Accent3 3 2 9 2" xfId="8286"/>
    <cellStyle name="20% - Accent3 3 2 9 3" xfId="8287"/>
    <cellStyle name="20% - Accent3 3 3" xfId="1577"/>
    <cellStyle name="20% - Accent3 3 3 2" xfId="1908"/>
    <cellStyle name="20% - Accent3 3 3 3" xfId="2283"/>
    <cellStyle name="20% - Accent3 3 3 4" xfId="2656"/>
    <cellStyle name="20% - Accent3 3 3 5" xfId="3029"/>
    <cellStyle name="20% - Accent3 3 3 6" xfId="3400"/>
    <cellStyle name="20% - Accent3 3 3 7" xfId="4311"/>
    <cellStyle name="20% - Accent3 3 4" xfId="1714"/>
    <cellStyle name="20% - Accent3 3 4 2" xfId="1952"/>
    <cellStyle name="20% - Accent3 3 4 3" xfId="2327"/>
    <cellStyle name="20% - Accent3 3 4 4" xfId="2700"/>
    <cellStyle name="20% - Accent3 3 4 5" xfId="3073"/>
    <cellStyle name="20% - Accent3 3 4 6" xfId="3444"/>
    <cellStyle name="20% - Accent3 3 5" xfId="2049"/>
    <cellStyle name="20% - Accent3 3 5 2" xfId="8288"/>
    <cellStyle name="20% - Accent3 3 5 3" xfId="8289"/>
    <cellStyle name="20% - Accent3 3 5 4" xfId="8290"/>
    <cellStyle name="20% - Accent3 3 6" xfId="2423"/>
    <cellStyle name="20% - Accent3 3 6 2" xfId="8291"/>
    <cellStyle name="20% - Accent3 3 6 3" xfId="8292"/>
    <cellStyle name="20% - Accent3 3 6 4" xfId="8293"/>
    <cellStyle name="20% - Accent3 3 7" xfId="2795"/>
    <cellStyle name="20% - Accent3 3 7 2" xfId="8294"/>
    <cellStyle name="20% - Accent3 3 7 3" xfId="8295"/>
    <cellStyle name="20% - Accent3 3 7 4" xfId="8296"/>
    <cellStyle name="20% - Accent3 3 8" xfId="3166"/>
    <cellStyle name="20% - Accent3 3 8 2" xfId="8297"/>
    <cellStyle name="20% - Accent3 3 8 3" xfId="8298"/>
    <cellStyle name="20% - Accent3 3 8 4" xfId="8299"/>
    <cellStyle name="20% - Accent3 3 9" xfId="3541"/>
    <cellStyle name="20% - Accent3 3 9 2" xfId="4312"/>
    <cellStyle name="20% - Accent3 3 9 2 2" xfId="8300"/>
    <cellStyle name="20% - Accent3 3 9 3" xfId="8301"/>
    <cellStyle name="20% - Accent3 3 9 4" xfId="8302"/>
    <cellStyle name="20% - Accent3 3 9 5" xfId="8303"/>
    <cellStyle name="20% - Accent3 30" xfId="28144"/>
    <cellStyle name="20% - Accent3 4" xfId="237"/>
    <cellStyle name="20% - Accent3 4 10" xfId="3721"/>
    <cellStyle name="20% - Accent3 4 10 2" xfId="4314"/>
    <cellStyle name="20% - Accent3 4 10 2 2" xfId="8305"/>
    <cellStyle name="20% - Accent3 4 10 3" xfId="8306"/>
    <cellStyle name="20% - Accent3 4 10 4" xfId="8307"/>
    <cellStyle name="20% - Accent3 4 10 5" xfId="8308"/>
    <cellStyle name="20% - Accent3 4 11" xfId="1302"/>
    <cellStyle name="20% - Accent3 4 11 10" xfId="25455"/>
    <cellStyle name="20% - Accent3 4 11 11" xfId="28335"/>
    <cellStyle name="20% - Accent3 4 11 2" xfId="4148"/>
    <cellStyle name="20% - Accent3 4 11 2 2" xfId="5330"/>
    <cellStyle name="20% - Accent3 4 11 2 2 2" xfId="6024"/>
    <cellStyle name="20% - Accent3 4 11 2 2 2 2" xfId="25458"/>
    <cellStyle name="20% - Accent3 4 11 2 2 3" xfId="8311"/>
    <cellStyle name="20% - Accent3 4 11 2 2 4" xfId="25457"/>
    <cellStyle name="20% - Accent3 4 11 2 3" xfId="5640"/>
    <cellStyle name="20% - Accent3 4 11 2 3 2" xfId="6025"/>
    <cellStyle name="20% - Accent3 4 11 2 3 2 2" xfId="25460"/>
    <cellStyle name="20% - Accent3 4 11 2 3 3" xfId="25459"/>
    <cellStyle name="20% - Accent3 4 11 2 4" xfId="4316"/>
    <cellStyle name="20% - Accent3 4 11 2 4 2" xfId="6026"/>
    <cellStyle name="20% - Accent3 4 11 2 4 2 2" xfId="25462"/>
    <cellStyle name="20% - Accent3 4 11 2 4 3" xfId="25461"/>
    <cellStyle name="20% - Accent3 4 11 2 5" xfId="6023"/>
    <cellStyle name="20% - Accent3 4 11 2 5 2" xfId="25463"/>
    <cellStyle name="20% - Accent3 4 11 2 6" xfId="8310"/>
    <cellStyle name="20% - Accent3 4 11 2 6 2" xfId="25464"/>
    <cellStyle name="20% - Accent3 4 11 2 7" xfId="25000"/>
    <cellStyle name="20% - Accent3 4 11 2 8" xfId="25456"/>
    <cellStyle name="20% - Accent3 4 11 2 9" xfId="28336"/>
    <cellStyle name="20% - Accent3 4 11 3" xfId="5329"/>
    <cellStyle name="20% - Accent3 4 11 3 2" xfId="6027"/>
    <cellStyle name="20% - Accent3 4 11 3 2 2" xfId="25466"/>
    <cellStyle name="20% - Accent3 4 11 3 3" xfId="8312"/>
    <cellStyle name="20% - Accent3 4 11 3 4" xfId="25465"/>
    <cellStyle name="20% - Accent3 4 11 4" xfId="5639"/>
    <cellStyle name="20% - Accent3 4 11 4 2" xfId="6028"/>
    <cellStyle name="20% - Accent3 4 11 4 2 2" xfId="25468"/>
    <cellStyle name="20% - Accent3 4 11 4 3" xfId="8313"/>
    <cellStyle name="20% - Accent3 4 11 4 4" xfId="25467"/>
    <cellStyle name="20% - Accent3 4 11 5" xfId="4315"/>
    <cellStyle name="20% - Accent3 4 11 5 2" xfId="6029"/>
    <cellStyle name="20% - Accent3 4 11 5 2 2" xfId="8315"/>
    <cellStyle name="20% - Accent3 4 11 5 2 2 2" xfId="25471"/>
    <cellStyle name="20% - Accent3 4 11 5 2 3" xfId="25470"/>
    <cellStyle name="20% - Accent3 4 11 5 2 4" xfId="28338"/>
    <cellStyle name="20% - Accent3 4 11 5 3" xfId="8316"/>
    <cellStyle name="20% - Accent3 4 11 5 3 2" xfId="25472"/>
    <cellStyle name="20% - Accent3 4 11 5 3 3" xfId="28339"/>
    <cellStyle name="20% - Accent3 4 11 5 4" xfId="8314"/>
    <cellStyle name="20% - Accent3 4 11 5 4 2" xfId="25473"/>
    <cellStyle name="20% - Accent3 4 11 5 5" xfId="25469"/>
    <cellStyle name="20% - Accent3 4 11 5 6" xfId="28337"/>
    <cellStyle name="20% - Accent3 4 11 6" xfId="6022"/>
    <cellStyle name="20% - Accent3 4 11 6 2" xfId="8317"/>
    <cellStyle name="20% - Accent3 4 11 6 2 2" xfId="25475"/>
    <cellStyle name="20% - Accent3 4 11 6 3" xfId="25474"/>
    <cellStyle name="20% - Accent3 4 11 6 4" xfId="28340"/>
    <cellStyle name="20% - Accent3 4 11 7" xfId="8318"/>
    <cellStyle name="20% - Accent3 4 11 7 2" xfId="25476"/>
    <cellStyle name="20% - Accent3 4 11 7 3" xfId="28341"/>
    <cellStyle name="20% - Accent3 4 11 8" xfId="8309"/>
    <cellStyle name="20% - Accent3 4 11 8 2" xfId="25477"/>
    <cellStyle name="20% - Accent3 4 11 9" xfId="24880"/>
    <cellStyle name="20% - Accent3 4 12" xfId="4317"/>
    <cellStyle name="20% - Accent3 4 12 2" xfId="5331"/>
    <cellStyle name="20% - Accent3 4 12 2 2" xfId="6031"/>
    <cellStyle name="20% - Accent3 4 12 2 2 2" xfId="25480"/>
    <cellStyle name="20% - Accent3 4 12 2 3" xfId="8320"/>
    <cellStyle name="20% - Accent3 4 12 2 4" xfId="25479"/>
    <cellStyle name="20% - Accent3 4 12 3" xfId="5641"/>
    <cellStyle name="20% - Accent3 4 12 3 2" xfId="6032"/>
    <cellStyle name="20% - Accent3 4 12 3 2 2" xfId="25482"/>
    <cellStyle name="20% - Accent3 4 12 3 3" xfId="8321"/>
    <cellStyle name="20% - Accent3 4 12 3 4" xfId="25481"/>
    <cellStyle name="20% - Accent3 4 12 4" xfId="6030"/>
    <cellStyle name="20% - Accent3 4 12 4 2" xfId="8322"/>
    <cellStyle name="20% - Accent3 4 12 4 3" xfId="25483"/>
    <cellStyle name="20% - Accent3 4 12 5" xfId="8319"/>
    <cellStyle name="20% - Accent3 4 12 5 2" xfId="25484"/>
    <cellStyle name="20% - Accent3 4 12 6" xfId="25478"/>
    <cellStyle name="20% - Accent3 4 12 7" xfId="28342"/>
    <cellStyle name="20% - Accent3 4 13" xfId="5328"/>
    <cellStyle name="20% - Accent3 4 13 2" xfId="6033"/>
    <cellStyle name="20% - Accent3 4 13 2 2" xfId="8324"/>
    <cellStyle name="20% - Accent3 4 13 2 3" xfId="25486"/>
    <cellStyle name="20% - Accent3 4 13 3" xfId="8325"/>
    <cellStyle name="20% - Accent3 4 13 4" xfId="8323"/>
    <cellStyle name="20% - Accent3 4 13 5" xfId="25485"/>
    <cellStyle name="20% - Accent3 4 14" xfId="5638"/>
    <cellStyle name="20% - Accent3 4 14 2" xfId="6034"/>
    <cellStyle name="20% - Accent3 4 14 2 2" xfId="25488"/>
    <cellStyle name="20% - Accent3 4 14 3" xfId="8326"/>
    <cellStyle name="20% - Accent3 4 14 4" xfId="25487"/>
    <cellStyle name="20% - Accent3 4 15" xfId="4313"/>
    <cellStyle name="20% - Accent3 4 15 2" xfId="6035"/>
    <cellStyle name="20% - Accent3 4 15 2 2" xfId="25490"/>
    <cellStyle name="20% - Accent3 4 15 3" xfId="8327"/>
    <cellStyle name="20% - Accent3 4 15 4" xfId="25489"/>
    <cellStyle name="20% - Accent3 4 16" xfId="8328"/>
    <cellStyle name="20% - Accent3 4 17" xfId="8329"/>
    <cellStyle name="20% - Accent3 4 17 2" xfId="8330"/>
    <cellStyle name="20% - Accent3 4 17 2 2" xfId="25492"/>
    <cellStyle name="20% - Accent3 4 17 2 3" xfId="28344"/>
    <cellStyle name="20% - Accent3 4 17 3" xfId="8331"/>
    <cellStyle name="20% - Accent3 4 17 3 2" xfId="25493"/>
    <cellStyle name="20% - Accent3 4 17 3 3" xfId="28345"/>
    <cellStyle name="20% - Accent3 4 17 4" xfId="25491"/>
    <cellStyle name="20% - Accent3 4 17 5" xfId="28343"/>
    <cellStyle name="20% - Accent3 4 18" xfId="8332"/>
    <cellStyle name="20% - Accent3 4 18 2" xfId="25494"/>
    <cellStyle name="20% - Accent3 4 18 3" xfId="28346"/>
    <cellStyle name="20% - Accent3 4 19" xfId="8333"/>
    <cellStyle name="20% - Accent3 4 19 2" xfId="25495"/>
    <cellStyle name="20% - Accent3 4 19 3" xfId="28347"/>
    <cellStyle name="20% - Accent3 4 2" xfId="1495"/>
    <cellStyle name="20% - Accent3 4 2 10" xfId="8334"/>
    <cellStyle name="20% - Accent3 4 2 10 2" xfId="8335"/>
    <cellStyle name="20% - Accent3 4 2 10 3" xfId="8336"/>
    <cellStyle name="20% - Accent3 4 2 11" xfId="8337"/>
    <cellStyle name="20% - Accent3 4 2 11 2" xfId="8338"/>
    <cellStyle name="20% - Accent3 4 2 11 3" xfId="8339"/>
    <cellStyle name="20% - Accent3 4 2 12" xfId="8340"/>
    <cellStyle name="20% - Accent3 4 2 12 2" xfId="8341"/>
    <cellStyle name="20% - Accent3 4 2 12 3" xfId="8342"/>
    <cellStyle name="20% - Accent3 4 2 13" xfId="8343"/>
    <cellStyle name="20% - Accent3 4 2 14" xfId="8344"/>
    <cellStyle name="20% - Accent3 4 2 15" xfId="8345"/>
    <cellStyle name="20% - Accent3 4 2 16" xfId="8346"/>
    <cellStyle name="20% - Accent3 4 2 2" xfId="4318"/>
    <cellStyle name="20% - Accent3 4 2 2 2" xfId="8348"/>
    <cellStyle name="20% - Accent3 4 2 2 3" xfId="8349"/>
    <cellStyle name="20% - Accent3 4 2 2 4" xfId="8347"/>
    <cellStyle name="20% - Accent3 4 2 3" xfId="8350"/>
    <cellStyle name="20% - Accent3 4 2 3 2" xfId="8351"/>
    <cellStyle name="20% - Accent3 4 2 3 3" xfId="8352"/>
    <cellStyle name="20% - Accent3 4 2 4" xfId="8353"/>
    <cellStyle name="20% - Accent3 4 2 4 2" xfId="8354"/>
    <cellStyle name="20% - Accent3 4 2 4 3" xfId="8355"/>
    <cellStyle name="20% - Accent3 4 2 5" xfId="8356"/>
    <cellStyle name="20% - Accent3 4 2 5 2" xfId="8357"/>
    <cellStyle name="20% - Accent3 4 2 5 3" xfId="8358"/>
    <cellStyle name="20% - Accent3 4 2 6" xfId="8359"/>
    <cellStyle name="20% - Accent3 4 2 6 2" xfId="8360"/>
    <cellStyle name="20% - Accent3 4 2 6 3" xfId="8361"/>
    <cellStyle name="20% - Accent3 4 2 7" xfId="8362"/>
    <cellStyle name="20% - Accent3 4 2 7 2" xfId="8363"/>
    <cellStyle name="20% - Accent3 4 2 7 3" xfId="8364"/>
    <cellStyle name="20% - Accent3 4 2 8" xfId="8365"/>
    <cellStyle name="20% - Accent3 4 2 8 2" xfId="8366"/>
    <cellStyle name="20% - Accent3 4 2 8 3" xfId="8367"/>
    <cellStyle name="20% - Accent3 4 2 9" xfId="8368"/>
    <cellStyle name="20% - Accent3 4 2 9 2" xfId="8369"/>
    <cellStyle name="20% - Accent3 4 2 9 3" xfId="8370"/>
    <cellStyle name="20% - Accent3 4 20" xfId="8304"/>
    <cellStyle name="20% - Accent3 4 20 2" xfId="25496"/>
    <cellStyle name="20% - Accent3 4 21" xfId="28334"/>
    <cellStyle name="20% - Accent3 4 3" xfId="1620"/>
    <cellStyle name="20% - Accent3 4 3 2" xfId="4319"/>
    <cellStyle name="20% - Accent3 4 3 2 2" xfId="8371"/>
    <cellStyle name="20% - Accent3 4 3 3" xfId="8372"/>
    <cellStyle name="20% - Accent3 4 3 4" xfId="8373"/>
    <cellStyle name="20% - Accent3 4 3 5" xfId="8374"/>
    <cellStyle name="20% - Accent3 4 4" xfId="1802"/>
    <cellStyle name="20% - Accent3 4 4 2" xfId="8375"/>
    <cellStyle name="20% - Accent3 4 4 3" xfId="8376"/>
    <cellStyle name="20% - Accent3 4 4 4" xfId="8377"/>
    <cellStyle name="20% - Accent3 4 5" xfId="2138"/>
    <cellStyle name="20% - Accent3 4 5 2" xfId="8378"/>
    <cellStyle name="20% - Accent3 4 5 3" xfId="8379"/>
    <cellStyle name="20% - Accent3 4 5 4" xfId="8380"/>
    <cellStyle name="20% - Accent3 4 6" xfId="2512"/>
    <cellStyle name="20% - Accent3 4 6 2" xfId="8381"/>
    <cellStyle name="20% - Accent3 4 6 3" xfId="8382"/>
    <cellStyle name="20% - Accent3 4 6 4" xfId="8383"/>
    <cellStyle name="20% - Accent3 4 7" xfId="2884"/>
    <cellStyle name="20% - Accent3 4 7 2" xfId="8384"/>
    <cellStyle name="20% - Accent3 4 7 3" xfId="8385"/>
    <cellStyle name="20% - Accent3 4 7 4" xfId="8386"/>
    <cellStyle name="20% - Accent3 4 8" xfId="3255"/>
    <cellStyle name="20% - Accent3 4 8 2" xfId="8387"/>
    <cellStyle name="20% - Accent3 4 8 3" xfId="8388"/>
    <cellStyle name="20% - Accent3 4 8 4" xfId="8389"/>
    <cellStyle name="20% - Accent3 4 9" xfId="3584"/>
    <cellStyle name="20% - Accent3 4 9 2" xfId="4320"/>
    <cellStyle name="20% - Accent3 4 9 2 2" xfId="8390"/>
    <cellStyle name="20% - Accent3 4 9 3" xfId="8391"/>
    <cellStyle name="20% - Accent3 4 9 4" xfId="8392"/>
    <cellStyle name="20% - Accent3 4 9 5" xfId="8393"/>
    <cellStyle name="20% - Accent3 5" xfId="367"/>
    <cellStyle name="20% - Accent3 5 10" xfId="8394"/>
    <cellStyle name="20% - Accent3 5 10 2" xfId="8395"/>
    <cellStyle name="20% - Accent3 5 10 3" xfId="8396"/>
    <cellStyle name="20% - Accent3 5 11" xfId="8397"/>
    <cellStyle name="20% - Accent3 5 11 2" xfId="8398"/>
    <cellStyle name="20% - Accent3 5 11 3" xfId="8399"/>
    <cellStyle name="20% - Accent3 5 12" xfId="8400"/>
    <cellStyle name="20% - Accent3 5 12 2" xfId="8401"/>
    <cellStyle name="20% - Accent3 5 12 3" xfId="8402"/>
    <cellStyle name="20% - Accent3 5 13" xfId="8403"/>
    <cellStyle name="20% - Accent3 5 13 2" xfId="8404"/>
    <cellStyle name="20% - Accent3 5 13 3" xfId="8405"/>
    <cellStyle name="20% - Accent3 5 14" xfId="8406"/>
    <cellStyle name="20% - Accent3 5 15" xfId="8407"/>
    <cellStyle name="20% - Accent3 5 16" xfId="8408"/>
    <cellStyle name="20% - Accent3 5 17" xfId="8409"/>
    <cellStyle name="20% - Accent3 5 2" xfId="1866"/>
    <cellStyle name="20% - Accent3 5 2 10" xfId="8410"/>
    <cellStyle name="20% - Accent3 5 2 10 2" xfId="8411"/>
    <cellStyle name="20% - Accent3 5 2 10 3" xfId="8412"/>
    <cellStyle name="20% - Accent3 5 2 11" xfId="8413"/>
    <cellStyle name="20% - Accent3 5 2 11 2" xfId="8414"/>
    <cellStyle name="20% - Accent3 5 2 11 3" xfId="8415"/>
    <cellStyle name="20% - Accent3 5 2 12" xfId="8416"/>
    <cellStyle name="20% - Accent3 5 2 12 2" xfId="8417"/>
    <cellStyle name="20% - Accent3 5 2 12 3" xfId="8418"/>
    <cellStyle name="20% - Accent3 5 2 13" xfId="8419"/>
    <cellStyle name="20% - Accent3 5 2 14" xfId="8420"/>
    <cellStyle name="20% - Accent3 5 2 15" xfId="8421"/>
    <cellStyle name="20% - Accent3 5 2 2" xfId="8422"/>
    <cellStyle name="20% - Accent3 5 2 2 2" xfId="8423"/>
    <cellStyle name="20% - Accent3 5 2 2 3" xfId="8424"/>
    <cellStyle name="20% - Accent3 5 2 3" xfId="8425"/>
    <cellStyle name="20% - Accent3 5 2 3 2" xfId="8426"/>
    <cellStyle name="20% - Accent3 5 2 3 3" xfId="8427"/>
    <cellStyle name="20% - Accent3 5 2 4" xfId="8428"/>
    <cellStyle name="20% - Accent3 5 2 4 2" xfId="8429"/>
    <cellStyle name="20% - Accent3 5 2 4 3" xfId="8430"/>
    <cellStyle name="20% - Accent3 5 2 5" xfId="8431"/>
    <cellStyle name="20% - Accent3 5 2 5 2" xfId="8432"/>
    <cellStyle name="20% - Accent3 5 2 5 3" xfId="8433"/>
    <cellStyle name="20% - Accent3 5 2 6" xfId="8434"/>
    <cellStyle name="20% - Accent3 5 2 6 2" xfId="8435"/>
    <cellStyle name="20% - Accent3 5 2 6 3" xfId="8436"/>
    <cellStyle name="20% - Accent3 5 2 7" xfId="8437"/>
    <cellStyle name="20% - Accent3 5 2 7 2" xfId="8438"/>
    <cellStyle name="20% - Accent3 5 2 7 3" xfId="8439"/>
    <cellStyle name="20% - Accent3 5 2 8" xfId="8440"/>
    <cellStyle name="20% - Accent3 5 2 8 2" xfId="8441"/>
    <cellStyle name="20% - Accent3 5 2 8 3" xfId="8442"/>
    <cellStyle name="20% - Accent3 5 2 9" xfId="8443"/>
    <cellStyle name="20% - Accent3 5 2 9 2" xfId="8444"/>
    <cellStyle name="20% - Accent3 5 2 9 3" xfId="8445"/>
    <cellStyle name="20% - Accent3 5 3" xfId="2241"/>
    <cellStyle name="20% - Accent3 5 3 2" xfId="8446"/>
    <cellStyle name="20% - Accent3 5 3 3" xfId="8447"/>
    <cellStyle name="20% - Accent3 5 3 4" xfId="8448"/>
    <cellStyle name="20% - Accent3 5 4" xfId="2615"/>
    <cellStyle name="20% - Accent3 5 4 2" xfId="8449"/>
    <cellStyle name="20% - Accent3 5 4 3" xfId="8450"/>
    <cellStyle name="20% - Accent3 5 4 4" xfId="8451"/>
    <cellStyle name="20% - Accent3 5 5" xfId="2987"/>
    <cellStyle name="20% - Accent3 5 5 2" xfId="8452"/>
    <cellStyle name="20% - Accent3 5 5 3" xfId="8453"/>
    <cellStyle name="20% - Accent3 5 5 4" xfId="8454"/>
    <cellStyle name="20% - Accent3 5 6" xfId="3359"/>
    <cellStyle name="20% - Accent3 5 6 2" xfId="8455"/>
    <cellStyle name="20% - Accent3 5 6 3" xfId="8456"/>
    <cellStyle name="20% - Accent3 5 6 4" xfId="8457"/>
    <cellStyle name="20% - Accent3 5 7" xfId="4321"/>
    <cellStyle name="20% - Accent3 5 7 2" xfId="8459"/>
    <cellStyle name="20% - Accent3 5 7 3" xfId="8460"/>
    <cellStyle name="20% - Accent3 5 7 4" xfId="8458"/>
    <cellStyle name="20% - Accent3 5 8" xfId="8461"/>
    <cellStyle name="20% - Accent3 5 8 2" xfId="8462"/>
    <cellStyle name="20% - Accent3 5 8 3" xfId="8463"/>
    <cellStyle name="20% - Accent3 5 9" xfId="8464"/>
    <cellStyle name="20% - Accent3 5 9 2" xfId="8465"/>
    <cellStyle name="20% - Accent3 5 9 3" xfId="8466"/>
    <cellStyle name="20% - Accent3 6" xfId="368"/>
    <cellStyle name="20% - Accent3 6 10" xfId="5332"/>
    <cellStyle name="20% - Accent3 6 10 2" xfId="6037"/>
    <cellStyle name="20% - Accent3 6 10 2 2" xfId="8469"/>
    <cellStyle name="20% - Accent3 6 10 2 3" xfId="25499"/>
    <cellStyle name="20% - Accent3 6 10 3" xfId="8470"/>
    <cellStyle name="20% - Accent3 6 10 4" xfId="8468"/>
    <cellStyle name="20% - Accent3 6 10 5" xfId="25498"/>
    <cellStyle name="20% - Accent3 6 11" xfId="5642"/>
    <cellStyle name="20% - Accent3 6 11 2" xfId="6038"/>
    <cellStyle name="20% - Accent3 6 11 2 2" xfId="8472"/>
    <cellStyle name="20% - Accent3 6 11 2 3" xfId="25501"/>
    <cellStyle name="20% - Accent3 6 11 3" xfId="8473"/>
    <cellStyle name="20% - Accent3 6 11 4" xfId="8471"/>
    <cellStyle name="20% - Accent3 6 11 5" xfId="25500"/>
    <cellStyle name="20% - Accent3 6 12" xfId="4322"/>
    <cellStyle name="20% - Accent3 6 12 2" xfId="6039"/>
    <cellStyle name="20% - Accent3 6 12 2 2" xfId="8475"/>
    <cellStyle name="20% - Accent3 6 12 2 3" xfId="25503"/>
    <cellStyle name="20% - Accent3 6 12 3" xfId="8476"/>
    <cellStyle name="20% - Accent3 6 12 4" xfId="8474"/>
    <cellStyle name="20% - Accent3 6 12 5" xfId="25502"/>
    <cellStyle name="20% - Accent3 6 13" xfId="6036"/>
    <cellStyle name="20% - Accent3 6 13 2" xfId="8477"/>
    <cellStyle name="20% - Accent3 6 13 3" xfId="25504"/>
    <cellStyle name="20% - Accent3 6 14" xfId="8478"/>
    <cellStyle name="20% - Accent3 6 15" xfId="8479"/>
    <cellStyle name="20% - Accent3 6 16" xfId="8480"/>
    <cellStyle name="20% - Accent3 6 16 2" xfId="8481"/>
    <cellStyle name="20% - Accent3 6 16 2 2" xfId="25506"/>
    <cellStyle name="20% - Accent3 6 16 2 3" xfId="28350"/>
    <cellStyle name="20% - Accent3 6 16 3" xfId="8482"/>
    <cellStyle name="20% - Accent3 6 16 3 2" xfId="25507"/>
    <cellStyle name="20% - Accent3 6 16 3 3" xfId="28351"/>
    <cellStyle name="20% - Accent3 6 16 4" xfId="25505"/>
    <cellStyle name="20% - Accent3 6 16 5" xfId="28349"/>
    <cellStyle name="20% - Accent3 6 17" xfId="8483"/>
    <cellStyle name="20% - Accent3 6 17 2" xfId="25508"/>
    <cellStyle name="20% - Accent3 6 17 3" xfId="28352"/>
    <cellStyle name="20% - Accent3 6 18" xfId="8484"/>
    <cellStyle name="20% - Accent3 6 18 2" xfId="25509"/>
    <cellStyle name="20% - Accent3 6 18 3" xfId="28353"/>
    <cellStyle name="20% - Accent3 6 19" xfId="8467"/>
    <cellStyle name="20% - Accent3 6 19 2" xfId="25510"/>
    <cellStyle name="20% - Accent3 6 2" xfId="1971"/>
    <cellStyle name="20% - Accent3 6 2 2" xfId="4323"/>
    <cellStyle name="20% - Accent3 6 2 2 2" xfId="8485"/>
    <cellStyle name="20% - Accent3 6 2 3" xfId="8486"/>
    <cellStyle name="20% - Accent3 6 2 4" xfId="8487"/>
    <cellStyle name="20% - Accent3 6 2 5" xfId="8488"/>
    <cellStyle name="20% - Accent3 6 20" xfId="24833"/>
    <cellStyle name="20% - Accent3 6 21" xfId="25497"/>
    <cellStyle name="20% - Accent3 6 22" xfId="28348"/>
    <cellStyle name="20% - Accent3 6 3" xfId="2346"/>
    <cellStyle name="20% - Accent3 6 3 2" xfId="4324"/>
    <cellStyle name="20% - Accent3 6 3 2 2" xfId="8489"/>
    <cellStyle name="20% - Accent3 6 3 3" xfId="8490"/>
    <cellStyle name="20% - Accent3 6 3 4" xfId="8491"/>
    <cellStyle name="20% - Accent3 6 3 5" xfId="8492"/>
    <cellStyle name="20% - Accent3 6 4" xfId="2719"/>
    <cellStyle name="20% - Accent3 6 4 2" xfId="4325"/>
    <cellStyle name="20% - Accent3 6 4 2 2" xfId="8493"/>
    <cellStyle name="20% - Accent3 6 4 3" xfId="8494"/>
    <cellStyle name="20% - Accent3 6 4 4" xfId="8495"/>
    <cellStyle name="20% - Accent3 6 4 5" xfId="8496"/>
    <cellStyle name="20% - Accent3 6 5" xfId="3092"/>
    <cellStyle name="20% - Accent3 6 5 2" xfId="4326"/>
    <cellStyle name="20% - Accent3 6 5 2 2" xfId="8497"/>
    <cellStyle name="20% - Accent3 6 5 3" xfId="8498"/>
    <cellStyle name="20% - Accent3 6 5 4" xfId="8499"/>
    <cellStyle name="20% - Accent3 6 5 5" xfId="8500"/>
    <cellStyle name="20% - Accent3 6 6" xfId="3463"/>
    <cellStyle name="20% - Accent3 6 6 2" xfId="4327"/>
    <cellStyle name="20% - Accent3 6 6 2 2" xfId="8501"/>
    <cellStyle name="20% - Accent3 6 6 3" xfId="8502"/>
    <cellStyle name="20% - Accent3 6 6 4" xfId="8503"/>
    <cellStyle name="20% - Accent3 6 6 5" xfId="8504"/>
    <cellStyle name="20% - Accent3 6 7" xfId="3769"/>
    <cellStyle name="20% - Accent3 6 7 2" xfId="4328"/>
    <cellStyle name="20% - Accent3 6 7 2 2" xfId="8505"/>
    <cellStyle name="20% - Accent3 6 7 3" xfId="8506"/>
    <cellStyle name="20% - Accent3 6 7 4" xfId="8507"/>
    <cellStyle name="20% - Accent3 6 7 5" xfId="8508"/>
    <cellStyle name="20% - Accent3 6 8" xfId="1361"/>
    <cellStyle name="20% - Accent3 6 8 10" xfId="25511"/>
    <cellStyle name="20% - Accent3 6 8 11" xfId="28354"/>
    <cellStyle name="20% - Accent3 6 8 2" xfId="4161"/>
    <cellStyle name="20% - Accent3 6 8 2 2" xfId="5334"/>
    <cellStyle name="20% - Accent3 6 8 2 2 2" xfId="6042"/>
    <cellStyle name="20% - Accent3 6 8 2 2 2 2" xfId="25514"/>
    <cellStyle name="20% - Accent3 6 8 2 2 3" xfId="8511"/>
    <cellStyle name="20% - Accent3 6 8 2 2 4" xfId="25513"/>
    <cellStyle name="20% - Accent3 6 8 2 3" xfId="5644"/>
    <cellStyle name="20% - Accent3 6 8 2 3 2" xfId="6043"/>
    <cellStyle name="20% - Accent3 6 8 2 3 2 2" xfId="25516"/>
    <cellStyle name="20% - Accent3 6 8 2 3 3" xfId="25515"/>
    <cellStyle name="20% - Accent3 6 8 2 4" xfId="4330"/>
    <cellStyle name="20% - Accent3 6 8 2 4 2" xfId="6044"/>
    <cellStyle name="20% - Accent3 6 8 2 4 2 2" xfId="25518"/>
    <cellStyle name="20% - Accent3 6 8 2 4 3" xfId="25517"/>
    <cellStyle name="20% - Accent3 6 8 2 5" xfId="6041"/>
    <cellStyle name="20% - Accent3 6 8 2 5 2" xfId="25519"/>
    <cellStyle name="20% - Accent3 6 8 2 6" xfId="8510"/>
    <cellStyle name="20% - Accent3 6 8 2 6 2" xfId="25520"/>
    <cellStyle name="20% - Accent3 6 8 2 7" xfId="25013"/>
    <cellStyle name="20% - Accent3 6 8 2 8" xfId="25512"/>
    <cellStyle name="20% - Accent3 6 8 2 9" xfId="28355"/>
    <cellStyle name="20% - Accent3 6 8 3" xfId="5333"/>
    <cellStyle name="20% - Accent3 6 8 3 2" xfId="6045"/>
    <cellStyle name="20% - Accent3 6 8 3 2 2" xfId="25522"/>
    <cellStyle name="20% - Accent3 6 8 3 3" xfId="8512"/>
    <cellStyle name="20% - Accent3 6 8 3 4" xfId="25521"/>
    <cellStyle name="20% - Accent3 6 8 4" xfId="5643"/>
    <cellStyle name="20% - Accent3 6 8 4 2" xfId="6046"/>
    <cellStyle name="20% - Accent3 6 8 4 2 2" xfId="25524"/>
    <cellStyle name="20% - Accent3 6 8 4 3" xfId="8513"/>
    <cellStyle name="20% - Accent3 6 8 4 4" xfId="25523"/>
    <cellStyle name="20% - Accent3 6 8 5" xfId="4329"/>
    <cellStyle name="20% - Accent3 6 8 5 2" xfId="6047"/>
    <cellStyle name="20% - Accent3 6 8 5 2 2" xfId="8515"/>
    <cellStyle name="20% - Accent3 6 8 5 2 2 2" xfId="25527"/>
    <cellStyle name="20% - Accent3 6 8 5 2 3" xfId="25526"/>
    <cellStyle name="20% - Accent3 6 8 5 2 4" xfId="28357"/>
    <cellStyle name="20% - Accent3 6 8 5 3" xfId="8516"/>
    <cellStyle name="20% - Accent3 6 8 5 3 2" xfId="25528"/>
    <cellStyle name="20% - Accent3 6 8 5 3 3" xfId="28358"/>
    <cellStyle name="20% - Accent3 6 8 5 4" xfId="8514"/>
    <cellStyle name="20% - Accent3 6 8 5 4 2" xfId="25529"/>
    <cellStyle name="20% - Accent3 6 8 5 5" xfId="25525"/>
    <cellStyle name="20% - Accent3 6 8 5 6" xfId="28356"/>
    <cellStyle name="20% - Accent3 6 8 6" xfId="6040"/>
    <cellStyle name="20% - Accent3 6 8 6 2" xfId="8517"/>
    <cellStyle name="20% - Accent3 6 8 6 2 2" xfId="25531"/>
    <cellStyle name="20% - Accent3 6 8 6 3" xfId="25530"/>
    <cellStyle name="20% - Accent3 6 8 6 4" xfId="28359"/>
    <cellStyle name="20% - Accent3 6 8 7" xfId="8518"/>
    <cellStyle name="20% - Accent3 6 8 7 2" xfId="25532"/>
    <cellStyle name="20% - Accent3 6 8 7 3" xfId="28360"/>
    <cellStyle name="20% - Accent3 6 8 8" xfId="8509"/>
    <cellStyle name="20% - Accent3 6 8 8 2" xfId="25533"/>
    <cellStyle name="20% - Accent3 6 8 9" xfId="24893"/>
    <cellStyle name="20% - Accent3 6 9" xfId="3819"/>
    <cellStyle name="20% - Accent3 6 9 2" xfId="5335"/>
    <cellStyle name="20% - Accent3 6 9 2 2" xfId="6049"/>
    <cellStyle name="20% - Accent3 6 9 2 2 2" xfId="25536"/>
    <cellStyle name="20% - Accent3 6 9 2 3" xfId="8520"/>
    <cellStyle name="20% - Accent3 6 9 2 4" xfId="25535"/>
    <cellStyle name="20% - Accent3 6 9 3" xfId="5645"/>
    <cellStyle name="20% - Accent3 6 9 3 2" xfId="6050"/>
    <cellStyle name="20% - Accent3 6 9 3 2 2" xfId="25538"/>
    <cellStyle name="20% - Accent3 6 9 3 3" xfId="8521"/>
    <cellStyle name="20% - Accent3 6 9 3 4" xfId="25537"/>
    <cellStyle name="20% - Accent3 6 9 4" xfId="4331"/>
    <cellStyle name="20% - Accent3 6 9 4 2" xfId="6051"/>
    <cellStyle name="20% - Accent3 6 9 4 2 2" xfId="25540"/>
    <cellStyle name="20% - Accent3 6 9 4 3" xfId="8522"/>
    <cellStyle name="20% - Accent3 6 9 4 4" xfId="25539"/>
    <cellStyle name="20% - Accent3 6 9 5" xfId="6048"/>
    <cellStyle name="20% - Accent3 6 9 5 2" xfId="25541"/>
    <cellStyle name="20% - Accent3 6 9 6" xfId="8519"/>
    <cellStyle name="20% - Accent3 6 9 6 2" xfId="25542"/>
    <cellStyle name="20% - Accent3 6 9 7" xfId="24955"/>
    <cellStyle name="20% - Accent3 6 9 8" xfId="25534"/>
    <cellStyle name="20% - Accent3 6 9 9" xfId="28361"/>
    <cellStyle name="20% - Accent3 7" xfId="369"/>
    <cellStyle name="20% - Accent3 7 10" xfId="8523"/>
    <cellStyle name="20% - Accent3 7 10 2" xfId="8524"/>
    <cellStyle name="20% - Accent3 7 10 3" xfId="8525"/>
    <cellStyle name="20% - Accent3 7 11" xfId="8526"/>
    <cellStyle name="20% - Accent3 7 11 2" xfId="8527"/>
    <cellStyle name="20% - Accent3 7 11 3" xfId="8528"/>
    <cellStyle name="20% - Accent3 7 12" xfId="8529"/>
    <cellStyle name="20% - Accent3 7 12 2" xfId="8530"/>
    <cellStyle name="20% - Accent3 7 12 3" xfId="8531"/>
    <cellStyle name="20% - Accent3 7 13" xfId="8532"/>
    <cellStyle name="20% - Accent3 7 14" xfId="8533"/>
    <cellStyle name="20% - Accent3 7 15" xfId="8534"/>
    <cellStyle name="20% - Accent3 7 16" xfId="8535"/>
    <cellStyle name="20% - Accent3 7 2" xfId="4332"/>
    <cellStyle name="20% - Accent3 7 2 2" xfId="8537"/>
    <cellStyle name="20% - Accent3 7 2 3" xfId="8538"/>
    <cellStyle name="20% - Accent3 7 2 4" xfId="8536"/>
    <cellStyle name="20% - Accent3 7 3" xfId="8539"/>
    <cellStyle name="20% - Accent3 7 3 2" xfId="8540"/>
    <cellStyle name="20% - Accent3 7 3 3" xfId="8541"/>
    <cellStyle name="20% - Accent3 7 4" xfId="8542"/>
    <cellStyle name="20% - Accent3 7 4 2" xfId="8543"/>
    <cellStyle name="20% - Accent3 7 4 3" xfId="8544"/>
    <cellStyle name="20% - Accent3 7 5" xfId="8545"/>
    <cellStyle name="20% - Accent3 7 5 2" xfId="8546"/>
    <cellStyle name="20% - Accent3 7 5 3" xfId="8547"/>
    <cellStyle name="20% - Accent3 7 6" xfId="8548"/>
    <cellStyle name="20% - Accent3 7 6 2" xfId="8549"/>
    <cellStyle name="20% - Accent3 7 6 3" xfId="8550"/>
    <cellStyle name="20% - Accent3 7 7" xfId="8551"/>
    <cellStyle name="20% - Accent3 7 7 2" xfId="8552"/>
    <cellStyle name="20% - Accent3 7 7 3" xfId="8553"/>
    <cellStyle name="20% - Accent3 7 8" xfId="8554"/>
    <cellStyle name="20% - Accent3 7 8 2" xfId="8555"/>
    <cellStyle name="20% - Accent3 7 8 3" xfId="8556"/>
    <cellStyle name="20% - Accent3 7 9" xfId="8557"/>
    <cellStyle name="20% - Accent3 7 9 2" xfId="8558"/>
    <cellStyle name="20% - Accent3 7 9 3" xfId="8559"/>
    <cellStyle name="20% - Accent3 8" xfId="526"/>
    <cellStyle name="20% - Accent3 8 10" xfId="24847"/>
    <cellStyle name="20% - Accent3 8 11" xfId="25543"/>
    <cellStyle name="20% - Accent3 8 12" xfId="28362"/>
    <cellStyle name="20% - Accent3 8 2" xfId="1376"/>
    <cellStyle name="20% - Accent3 8 2 10" xfId="25544"/>
    <cellStyle name="20% - Accent3 8 2 11" xfId="28363"/>
    <cellStyle name="20% - Accent3 8 2 2" xfId="4176"/>
    <cellStyle name="20% - Accent3 8 2 2 2" xfId="5338"/>
    <cellStyle name="20% - Accent3 8 2 2 2 2" xfId="6055"/>
    <cellStyle name="20% - Accent3 8 2 2 2 2 2" xfId="25547"/>
    <cellStyle name="20% - Accent3 8 2 2 2 3" xfId="8563"/>
    <cellStyle name="20% - Accent3 8 2 2 2 4" xfId="25546"/>
    <cellStyle name="20% - Accent3 8 2 2 3" xfId="5648"/>
    <cellStyle name="20% - Accent3 8 2 2 3 2" xfId="6056"/>
    <cellStyle name="20% - Accent3 8 2 2 3 2 2" xfId="25549"/>
    <cellStyle name="20% - Accent3 8 2 2 3 3" xfId="25548"/>
    <cellStyle name="20% - Accent3 8 2 2 4" xfId="4335"/>
    <cellStyle name="20% - Accent3 8 2 2 4 2" xfId="6057"/>
    <cellStyle name="20% - Accent3 8 2 2 4 2 2" xfId="25551"/>
    <cellStyle name="20% - Accent3 8 2 2 4 3" xfId="25550"/>
    <cellStyle name="20% - Accent3 8 2 2 5" xfId="6054"/>
    <cellStyle name="20% - Accent3 8 2 2 5 2" xfId="25552"/>
    <cellStyle name="20% - Accent3 8 2 2 6" xfId="8562"/>
    <cellStyle name="20% - Accent3 8 2 2 6 2" xfId="25553"/>
    <cellStyle name="20% - Accent3 8 2 2 7" xfId="25028"/>
    <cellStyle name="20% - Accent3 8 2 2 8" xfId="25545"/>
    <cellStyle name="20% - Accent3 8 2 2 9" xfId="28364"/>
    <cellStyle name="20% - Accent3 8 2 3" xfId="5337"/>
    <cellStyle name="20% - Accent3 8 2 3 2" xfId="6058"/>
    <cellStyle name="20% - Accent3 8 2 3 2 2" xfId="25555"/>
    <cellStyle name="20% - Accent3 8 2 3 3" xfId="8564"/>
    <cellStyle name="20% - Accent3 8 2 3 4" xfId="25554"/>
    <cellStyle name="20% - Accent3 8 2 4" xfId="5647"/>
    <cellStyle name="20% - Accent3 8 2 4 2" xfId="6059"/>
    <cellStyle name="20% - Accent3 8 2 4 2 2" xfId="25557"/>
    <cellStyle name="20% - Accent3 8 2 4 3" xfId="8565"/>
    <cellStyle name="20% - Accent3 8 2 4 4" xfId="25556"/>
    <cellStyle name="20% - Accent3 8 2 5" xfId="4334"/>
    <cellStyle name="20% - Accent3 8 2 5 2" xfId="6060"/>
    <cellStyle name="20% - Accent3 8 2 5 2 2" xfId="8567"/>
    <cellStyle name="20% - Accent3 8 2 5 2 2 2" xfId="25560"/>
    <cellStyle name="20% - Accent3 8 2 5 2 3" xfId="25559"/>
    <cellStyle name="20% - Accent3 8 2 5 2 4" xfId="28366"/>
    <cellStyle name="20% - Accent3 8 2 5 3" xfId="8568"/>
    <cellStyle name="20% - Accent3 8 2 5 3 2" xfId="25561"/>
    <cellStyle name="20% - Accent3 8 2 5 3 3" xfId="28367"/>
    <cellStyle name="20% - Accent3 8 2 5 4" xfId="8566"/>
    <cellStyle name="20% - Accent3 8 2 5 4 2" xfId="25562"/>
    <cellStyle name="20% - Accent3 8 2 5 5" xfId="25558"/>
    <cellStyle name="20% - Accent3 8 2 5 6" xfId="28365"/>
    <cellStyle name="20% - Accent3 8 2 6" xfId="6053"/>
    <cellStyle name="20% - Accent3 8 2 6 2" xfId="8569"/>
    <cellStyle name="20% - Accent3 8 2 6 2 2" xfId="25564"/>
    <cellStyle name="20% - Accent3 8 2 6 3" xfId="25563"/>
    <cellStyle name="20% - Accent3 8 2 6 4" xfId="28368"/>
    <cellStyle name="20% - Accent3 8 2 7" xfId="8570"/>
    <cellStyle name="20% - Accent3 8 2 7 2" xfId="25565"/>
    <cellStyle name="20% - Accent3 8 2 7 3" xfId="28369"/>
    <cellStyle name="20% - Accent3 8 2 8" xfId="8561"/>
    <cellStyle name="20% - Accent3 8 2 8 2" xfId="25566"/>
    <cellStyle name="20% - Accent3 8 2 9" xfId="24908"/>
    <cellStyle name="20% - Accent3 8 3" xfId="3833"/>
    <cellStyle name="20% - Accent3 8 3 2" xfId="5339"/>
    <cellStyle name="20% - Accent3 8 3 2 2" xfId="6062"/>
    <cellStyle name="20% - Accent3 8 3 2 2 2" xfId="25569"/>
    <cellStyle name="20% - Accent3 8 3 2 3" xfId="8572"/>
    <cellStyle name="20% - Accent3 8 3 2 4" xfId="25568"/>
    <cellStyle name="20% - Accent3 8 3 3" xfId="5649"/>
    <cellStyle name="20% - Accent3 8 3 3 2" xfId="6063"/>
    <cellStyle name="20% - Accent3 8 3 3 2 2" xfId="25571"/>
    <cellStyle name="20% - Accent3 8 3 3 3" xfId="25570"/>
    <cellStyle name="20% - Accent3 8 3 4" xfId="4336"/>
    <cellStyle name="20% - Accent3 8 3 4 2" xfId="6064"/>
    <cellStyle name="20% - Accent3 8 3 4 2 2" xfId="25573"/>
    <cellStyle name="20% - Accent3 8 3 4 3" xfId="25572"/>
    <cellStyle name="20% - Accent3 8 3 5" xfId="6061"/>
    <cellStyle name="20% - Accent3 8 3 5 2" xfId="25574"/>
    <cellStyle name="20% - Accent3 8 3 6" xfId="8571"/>
    <cellStyle name="20% - Accent3 8 3 6 2" xfId="25575"/>
    <cellStyle name="20% - Accent3 8 3 7" xfId="24969"/>
    <cellStyle name="20% - Accent3 8 3 8" xfId="25567"/>
    <cellStyle name="20% - Accent3 8 3 9" xfId="28370"/>
    <cellStyle name="20% - Accent3 8 4" xfId="5336"/>
    <cellStyle name="20% - Accent3 8 4 2" xfId="6065"/>
    <cellStyle name="20% - Accent3 8 4 2 2" xfId="25577"/>
    <cellStyle name="20% - Accent3 8 4 3" xfId="8573"/>
    <cellStyle name="20% - Accent3 8 4 4" xfId="25576"/>
    <cellStyle name="20% - Accent3 8 5" xfId="5646"/>
    <cellStyle name="20% - Accent3 8 5 2" xfId="6066"/>
    <cellStyle name="20% - Accent3 8 5 2 2" xfId="25579"/>
    <cellStyle name="20% - Accent3 8 5 3" xfId="8574"/>
    <cellStyle name="20% - Accent3 8 5 4" xfId="25578"/>
    <cellStyle name="20% - Accent3 8 6" xfId="4333"/>
    <cellStyle name="20% - Accent3 8 6 2" xfId="6067"/>
    <cellStyle name="20% - Accent3 8 6 2 2" xfId="8576"/>
    <cellStyle name="20% - Accent3 8 6 2 2 2" xfId="25582"/>
    <cellStyle name="20% - Accent3 8 6 2 3" xfId="25581"/>
    <cellStyle name="20% - Accent3 8 6 2 4" xfId="28372"/>
    <cellStyle name="20% - Accent3 8 6 3" xfId="8577"/>
    <cellStyle name="20% - Accent3 8 6 3 2" xfId="25583"/>
    <cellStyle name="20% - Accent3 8 6 3 3" xfId="28373"/>
    <cellStyle name="20% - Accent3 8 6 4" xfId="8575"/>
    <cellStyle name="20% - Accent3 8 6 4 2" xfId="25584"/>
    <cellStyle name="20% - Accent3 8 6 5" xfId="25580"/>
    <cellStyle name="20% - Accent3 8 6 6" xfId="28371"/>
    <cellStyle name="20% - Accent3 8 7" xfId="6052"/>
    <cellStyle name="20% - Accent3 8 7 2" xfId="8578"/>
    <cellStyle name="20% - Accent3 8 7 2 2" xfId="25586"/>
    <cellStyle name="20% - Accent3 8 7 3" xfId="25585"/>
    <cellStyle name="20% - Accent3 8 7 4" xfId="28374"/>
    <cellStyle name="20% - Accent3 8 8" xfId="8579"/>
    <cellStyle name="20% - Accent3 8 8 2" xfId="25587"/>
    <cellStyle name="20% - Accent3 8 8 3" xfId="28375"/>
    <cellStyle name="20% - Accent3 8 9" xfId="8560"/>
    <cellStyle name="20% - Accent3 8 9 2" xfId="25588"/>
    <cellStyle name="20% - Accent3 9" xfId="527"/>
    <cellStyle name="20% - Accent3 9 2" xfId="4337"/>
    <cellStyle name="20% - Accent3 9 2 2" xfId="8581"/>
    <cellStyle name="20% - Accent3 9 2 3" xfId="8582"/>
    <cellStyle name="20% - Accent3 9 2 4" xfId="8580"/>
    <cellStyle name="20% - Accent3 9 3" xfId="8583"/>
    <cellStyle name="20% - Accent3 9 4" xfId="8584"/>
    <cellStyle name="20% - Accent3 9 5" xfId="8585"/>
    <cellStyle name="20% - Accent3 9 6" xfId="8586"/>
    <cellStyle name="20% - Accent4" xfId="7110" builtinId="42" customBuiltin="1"/>
    <cellStyle name="20% - Accent4 10" xfId="652"/>
    <cellStyle name="20% - Accent4 10 2" xfId="4338"/>
    <cellStyle name="20% - Accent4 10 2 2" xfId="8587"/>
    <cellStyle name="20% - Accent4 10 3" xfId="8588"/>
    <cellStyle name="20% - Accent4 10 4" xfId="8589"/>
    <cellStyle name="20% - Accent4 10 5" xfId="8590"/>
    <cellStyle name="20% - Accent4 11" xfId="653"/>
    <cellStyle name="20% - Accent4 11 2" xfId="4339"/>
    <cellStyle name="20% - Accent4 11 2 2" xfId="8591"/>
    <cellStyle name="20% - Accent4 11 3" xfId="8592"/>
    <cellStyle name="20% - Accent4 11 4" xfId="8593"/>
    <cellStyle name="20% - Accent4 11 5" xfId="8594"/>
    <cellStyle name="20% - Accent4 12" xfId="807"/>
    <cellStyle name="20% - Accent4 12 2" xfId="8596"/>
    <cellStyle name="20% - Accent4 12 3" xfId="8597"/>
    <cellStyle name="20% - Accent4 12 4" xfId="8595"/>
    <cellStyle name="20% - Accent4 13" xfId="808"/>
    <cellStyle name="20% - Accent4 13 2" xfId="3848"/>
    <cellStyle name="20% - Accent4 13 2 2" xfId="6069"/>
    <cellStyle name="20% - Accent4 13 2 2 2" xfId="25591"/>
    <cellStyle name="20% - Accent4 13 2 3" xfId="8599"/>
    <cellStyle name="20% - Accent4 13 2 4" xfId="24984"/>
    <cellStyle name="20% - Accent4 13 2 5" xfId="25590"/>
    <cellStyle name="20% - Accent4 13 3" xfId="6068"/>
    <cellStyle name="20% - Accent4 13 3 2" xfId="8600"/>
    <cellStyle name="20% - Accent4 13 3 3" xfId="25592"/>
    <cellStyle name="20% - Accent4 13 4" xfId="8598"/>
    <cellStyle name="20% - Accent4 13 5" xfId="24863"/>
    <cellStyle name="20% - Accent4 13 6" xfId="25589"/>
    <cellStyle name="20% - Accent4 14" xfId="927"/>
    <cellStyle name="20% - Accent4 14 2" xfId="8602"/>
    <cellStyle name="20% - Accent4 14 3" xfId="8603"/>
    <cellStyle name="20% - Accent4 14 4" xfId="8601"/>
    <cellStyle name="20% - Accent4 15" xfId="8604"/>
    <cellStyle name="20% - Accent4 15 2" xfId="8605"/>
    <cellStyle name="20% - Accent4 15 3" xfId="8606"/>
    <cellStyle name="20% - Accent4 16" xfId="8607"/>
    <cellStyle name="20% - Accent4 16 2" xfId="8608"/>
    <cellStyle name="20% - Accent4 16 3" xfId="8609"/>
    <cellStyle name="20% - Accent4 17" xfId="8610"/>
    <cellStyle name="20% - Accent4 17 2" xfId="8611"/>
    <cellStyle name="20% - Accent4 17 3" xfId="8612"/>
    <cellStyle name="20% - Accent4 18" xfId="8613"/>
    <cellStyle name="20% - Accent4 18 2" xfId="8614"/>
    <cellStyle name="20% - Accent4 18 3" xfId="8615"/>
    <cellStyle name="20% - Accent4 19" xfId="8616"/>
    <cellStyle name="20% - Accent4 19 2" xfId="8617"/>
    <cellStyle name="20% - Accent4 2" xfId="71"/>
    <cellStyle name="20% - Accent4 2 10" xfId="1670"/>
    <cellStyle name="20% - Accent4 2 10 2" xfId="4340"/>
    <cellStyle name="20% - Accent4 2 10 2 2" xfId="8618"/>
    <cellStyle name="20% - Accent4 2 10 3" xfId="8619"/>
    <cellStyle name="20% - Accent4 2 10 4" xfId="8620"/>
    <cellStyle name="20% - Accent4 2 10 5" xfId="8621"/>
    <cellStyle name="20% - Accent4 2 11" xfId="1967"/>
    <cellStyle name="20% - Accent4 2 11 2" xfId="4341"/>
    <cellStyle name="20% - Accent4 2 11 2 2" xfId="8622"/>
    <cellStyle name="20% - Accent4 2 11 3" xfId="8623"/>
    <cellStyle name="20% - Accent4 2 11 4" xfId="8624"/>
    <cellStyle name="20% - Accent4 2 11 5" xfId="8625"/>
    <cellStyle name="20% - Accent4 2 12" xfId="1707"/>
    <cellStyle name="20% - Accent4 2 12 2" xfId="4342"/>
    <cellStyle name="20% - Accent4 2 12 2 2" xfId="8626"/>
    <cellStyle name="20% - Accent4 2 12 3" xfId="8627"/>
    <cellStyle name="20% - Accent4 2 12 4" xfId="8628"/>
    <cellStyle name="20% - Accent4 2 12 5" xfId="8629"/>
    <cellStyle name="20% - Accent4 2 13" xfId="2042"/>
    <cellStyle name="20% - Accent4 2 13 2" xfId="4343"/>
    <cellStyle name="20% - Accent4 2 13 2 2" xfId="8630"/>
    <cellStyle name="20% - Accent4 2 13 3" xfId="8631"/>
    <cellStyle name="20% - Accent4 2 13 4" xfId="8632"/>
    <cellStyle name="20% - Accent4 2 13 5" xfId="8633"/>
    <cellStyle name="20% - Accent4 2 14" xfId="3088"/>
    <cellStyle name="20% - Accent4 2 14 2" xfId="4344"/>
    <cellStyle name="20% - Accent4 2 14 2 2" xfId="8634"/>
    <cellStyle name="20% - Accent4 2 14 3" xfId="8635"/>
    <cellStyle name="20% - Accent4 2 14 4" xfId="8636"/>
    <cellStyle name="20% - Accent4 2 14 5" xfId="8637"/>
    <cellStyle name="20% - Accent4 2 15" xfId="3459"/>
    <cellStyle name="20% - Accent4 2 15 2" xfId="4345"/>
    <cellStyle name="20% - Accent4 2 15 2 2" xfId="8638"/>
    <cellStyle name="20% - Accent4 2 15 3" xfId="8639"/>
    <cellStyle name="20% - Accent4 2 16" xfId="3635"/>
    <cellStyle name="20% - Accent4 2 16 2" xfId="4346"/>
    <cellStyle name="20% - Accent4 2 16 2 2" xfId="8640"/>
    <cellStyle name="20% - Accent4 2 16 3" xfId="8641"/>
    <cellStyle name="20% - Accent4 2 17" xfId="24470"/>
    <cellStyle name="20% - Accent4 2 2" xfId="115"/>
    <cellStyle name="20% - Accent4 2 2 10" xfId="8642"/>
    <cellStyle name="20% - Accent4 2 2 10 2" xfId="8643"/>
    <cellStyle name="20% - Accent4 2 2 10 3" xfId="8644"/>
    <cellStyle name="20% - Accent4 2 2 11" xfId="8645"/>
    <cellStyle name="20% - Accent4 2 2 11 2" xfId="8646"/>
    <cellStyle name="20% - Accent4 2 2 11 3" xfId="8647"/>
    <cellStyle name="20% - Accent4 2 2 12" xfId="8648"/>
    <cellStyle name="20% - Accent4 2 2 12 2" xfId="8649"/>
    <cellStyle name="20% - Accent4 2 2 12 3" xfId="8650"/>
    <cellStyle name="20% - Accent4 2 2 13" xfId="8651"/>
    <cellStyle name="20% - Accent4 2 2 14" xfId="8652"/>
    <cellStyle name="20% - Accent4 2 2 15" xfId="8653"/>
    <cellStyle name="20% - Accent4 2 2 2" xfId="183"/>
    <cellStyle name="20% - Accent4 2 2 2 2" xfId="8654"/>
    <cellStyle name="20% - Accent4 2 2 2 3" xfId="8655"/>
    <cellStyle name="20% - Accent4 2 2 3" xfId="347"/>
    <cellStyle name="20% - Accent4 2 2 3 2" xfId="8656"/>
    <cellStyle name="20% - Accent4 2 2 3 3" xfId="8657"/>
    <cellStyle name="20% - Accent4 2 2 4" xfId="2169"/>
    <cellStyle name="20% - Accent4 2 2 4 2" xfId="8658"/>
    <cellStyle name="20% - Accent4 2 2 4 3" xfId="8659"/>
    <cellStyle name="20% - Accent4 2 2 5" xfId="2543"/>
    <cellStyle name="20% - Accent4 2 2 5 2" xfId="8660"/>
    <cellStyle name="20% - Accent4 2 2 5 3" xfId="8661"/>
    <cellStyle name="20% - Accent4 2 2 6" xfId="2915"/>
    <cellStyle name="20% - Accent4 2 2 6 2" xfId="8662"/>
    <cellStyle name="20% - Accent4 2 2 6 3" xfId="8663"/>
    <cellStyle name="20% - Accent4 2 2 7" xfId="3287"/>
    <cellStyle name="20% - Accent4 2 2 7 2" xfId="8664"/>
    <cellStyle name="20% - Accent4 2 2 7 3" xfId="8665"/>
    <cellStyle name="20% - Accent4 2 2 8" xfId="4347"/>
    <cellStyle name="20% - Accent4 2 2 8 2" xfId="8667"/>
    <cellStyle name="20% - Accent4 2 2 8 3" xfId="8668"/>
    <cellStyle name="20% - Accent4 2 2 8 4" xfId="8666"/>
    <cellStyle name="20% - Accent4 2 2 9" xfId="8669"/>
    <cellStyle name="20% - Accent4 2 2 9 2" xfId="8670"/>
    <cellStyle name="20% - Accent4 2 2 9 3" xfId="8671"/>
    <cellStyle name="20% - Accent4 2 3" xfId="280"/>
    <cellStyle name="20% - Accent4 2 3 2" xfId="1345"/>
    <cellStyle name="20% - Accent4 2 3 2 2" xfId="8672"/>
    <cellStyle name="20% - Accent4 2 3 2 3" xfId="8673"/>
    <cellStyle name="20% - Accent4 2 3 3" xfId="8674"/>
    <cellStyle name="20% - Accent4 2 3 4" xfId="8675"/>
    <cellStyle name="20% - Accent4 2 4" xfId="370"/>
    <cellStyle name="20% - Accent4 2 4 2" xfId="8676"/>
    <cellStyle name="20% - Accent4 2 4 2 2" xfId="8677"/>
    <cellStyle name="20% - Accent4 2 4 2 3" xfId="8678"/>
    <cellStyle name="20% - Accent4 2 4 3" xfId="8679"/>
    <cellStyle name="20% - Accent4 2 4 4" xfId="8680"/>
    <cellStyle name="20% - Accent4 2 5" xfId="528"/>
    <cellStyle name="20% - Accent4 2 5 2" xfId="8681"/>
    <cellStyle name="20% - Accent4 2 5 3" xfId="8682"/>
    <cellStyle name="20% - Accent4 2 6" xfId="654"/>
    <cellStyle name="20% - Accent4 2 6 2" xfId="8683"/>
    <cellStyle name="20% - Accent4 2 6 3" xfId="8684"/>
    <cellStyle name="20% - Accent4 2 7" xfId="655"/>
    <cellStyle name="20% - Accent4 2 7 2" xfId="8685"/>
    <cellStyle name="20% - Accent4 2 7 3" xfId="8686"/>
    <cellStyle name="20% - Accent4 2 8" xfId="809"/>
    <cellStyle name="20% - Accent4 2 8 2" xfId="1399"/>
    <cellStyle name="20% - Accent4 2 8 2 2" xfId="8687"/>
    <cellStyle name="20% - Accent4 2 8 3" xfId="8688"/>
    <cellStyle name="20% - Accent4 2 8 4" xfId="8689"/>
    <cellStyle name="20% - Accent4 2 8 5" xfId="8690"/>
    <cellStyle name="20% - Accent4 2 9" xfId="928"/>
    <cellStyle name="20% - Accent4 2 9 2" xfId="1446"/>
    <cellStyle name="20% - Accent4 2 9 2 2" xfId="8691"/>
    <cellStyle name="20% - Accent4 2 9 3" xfId="8692"/>
    <cellStyle name="20% - Accent4 2 9 4" xfId="8693"/>
    <cellStyle name="20% - Accent4 2 9 5" xfId="8694"/>
    <cellStyle name="20% - Accent4 20" xfId="8695"/>
    <cellStyle name="20% - Accent4 21" xfId="8696"/>
    <cellStyle name="20% - Accent4 21 2" xfId="8697"/>
    <cellStyle name="20% - Accent4 21 2 2" xfId="8698"/>
    <cellStyle name="20% - Accent4 21 2 2 2" xfId="25595"/>
    <cellStyle name="20% - Accent4 21 2 2 3" xfId="28378"/>
    <cellStyle name="20% - Accent4 21 2 3" xfId="8699"/>
    <cellStyle name="20% - Accent4 21 2 3 2" xfId="25596"/>
    <cellStyle name="20% - Accent4 21 2 3 3" xfId="28379"/>
    <cellStyle name="20% - Accent4 21 2 4" xfId="25594"/>
    <cellStyle name="20% - Accent4 21 2 5" xfId="28377"/>
    <cellStyle name="20% - Accent4 21 3" xfId="8700"/>
    <cellStyle name="20% - Accent4 21 3 2" xfId="25597"/>
    <cellStyle name="20% - Accent4 21 3 3" xfId="28380"/>
    <cellStyle name="20% - Accent4 21 4" xfId="8701"/>
    <cellStyle name="20% - Accent4 21 4 2" xfId="25598"/>
    <cellStyle name="20% - Accent4 21 4 3" xfId="28381"/>
    <cellStyle name="20% - Accent4 21 5" xfId="25593"/>
    <cellStyle name="20% - Accent4 21 6" xfId="28376"/>
    <cellStyle name="20% - Accent4 22" xfId="8702"/>
    <cellStyle name="20% - Accent4 22 2" xfId="8703"/>
    <cellStyle name="20% - Accent4 22 2 2" xfId="8704"/>
    <cellStyle name="20% - Accent4 22 2 2 2" xfId="25601"/>
    <cellStyle name="20% - Accent4 22 2 2 3" xfId="28384"/>
    <cellStyle name="20% - Accent4 22 2 3" xfId="8705"/>
    <cellStyle name="20% - Accent4 22 2 3 2" xfId="25602"/>
    <cellStyle name="20% - Accent4 22 2 3 3" xfId="28385"/>
    <cellStyle name="20% - Accent4 22 2 4" xfId="25600"/>
    <cellStyle name="20% - Accent4 22 2 5" xfId="28383"/>
    <cellStyle name="20% - Accent4 22 3" xfId="8706"/>
    <cellStyle name="20% - Accent4 22 3 2" xfId="25603"/>
    <cellStyle name="20% - Accent4 22 3 3" xfId="28386"/>
    <cellStyle name="20% - Accent4 22 4" xfId="8707"/>
    <cellStyle name="20% - Accent4 22 4 2" xfId="25604"/>
    <cellStyle name="20% - Accent4 22 4 3" xfId="28387"/>
    <cellStyle name="20% - Accent4 22 5" xfId="25599"/>
    <cellStyle name="20% - Accent4 22 6" xfId="28382"/>
    <cellStyle name="20% - Accent4 23" xfId="8708"/>
    <cellStyle name="20% - Accent4 24" xfId="8709"/>
    <cellStyle name="20% - Accent4 24 2" xfId="8710"/>
    <cellStyle name="20% - Accent4 24 2 2" xfId="8711"/>
    <cellStyle name="20% - Accent4 24 2 2 2" xfId="25607"/>
    <cellStyle name="20% - Accent4 24 2 2 3" xfId="28390"/>
    <cellStyle name="20% - Accent4 24 2 3" xfId="8712"/>
    <cellStyle name="20% - Accent4 24 2 3 2" xfId="25608"/>
    <cellStyle name="20% - Accent4 24 2 3 3" xfId="28391"/>
    <cellStyle name="20% - Accent4 24 2 4" xfId="25606"/>
    <cellStyle name="20% - Accent4 24 2 5" xfId="28389"/>
    <cellStyle name="20% - Accent4 24 3" xfId="8713"/>
    <cellStyle name="20% - Accent4 24 3 2" xfId="25609"/>
    <cellStyle name="20% - Accent4 24 3 3" xfId="28392"/>
    <cellStyle name="20% - Accent4 24 4" xfId="8714"/>
    <cellStyle name="20% - Accent4 24 4 2" xfId="25610"/>
    <cellStyle name="20% - Accent4 24 4 3" xfId="28393"/>
    <cellStyle name="20% - Accent4 24 5" xfId="25605"/>
    <cellStyle name="20% - Accent4 24 6" xfId="28388"/>
    <cellStyle name="20% - Accent4 25" xfId="8715"/>
    <cellStyle name="20% - Accent4 25 2" xfId="8716"/>
    <cellStyle name="20% - Accent4 25 2 2" xfId="8717"/>
    <cellStyle name="20% - Accent4 25 2 2 2" xfId="25613"/>
    <cellStyle name="20% - Accent4 25 2 2 3" xfId="28396"/>
    <cellStyle name="20% - Accent4 25 2 3" xfId="8718"/>
    <cellStyle name="20% - Accent4 25 2 3 2" xfId="25614"/>
    <cellStyle name="20% - Accent4 25 2 3 3" xfId="28397"/>
    <cellStyle name="20% - Accent4 25 2 4" xfId="25612"/>
    <cellStyle name="20% - Accent4 25 2 5" xfId="28395"/>
    <cellStyle name="20% - Accent4 25 3" xfId="8719"/>
    <cellStyle name="20% - Accent4 25 3 2" xfId="25615"/>
    <cellStyle name="20% - Accent4 25 3 3" xfId="28398"/>
    <cellStyle name="20% - Accent4 25 4" xfId="8720"/>
    <cellStyle name="20% - Accent4 25 4 2" xfId="25616"/>
    <cellStyle name="20% - Accent4 25 4 3" xfId="28399"/>
    <cellStyle name="20% - Accent4 25 5" xfId="25611"/>
    <cellStyle name="20% - Accent4 25 6" xfId="28394"/>
    <cellStyle name="20% - Accent4 26" xfId="8721"/>
    <cellStyle name="20% - Accent4 27" xfId="8722"/>
    <cellStyle name="20% - Accent4 27 2" xfId="8723"/>
    <cellStyle name="20% - Accent4 27 2 2" xfId="8724"/>
    <cellStyle name="20% - Accent4 27 2 2 2" xfId="25619"/>
    <cellStyle name="20% - Accent4 27 2 2 3" xfId="28402"/>
    <cellStyle name="20% - Accent4 27 2 3" xfId="8725"/>
    <cellStyle name="20% - Accent4 27 2 3 2" xfId="25620"/>
    <cellStyle name="20% - Accent4 27 2 3 3" xfId="28403"/>
    <cellStyle name="20% - Accent4 27 2 4" xfId="25618"/>
    <cellStyle name="20% - Accent4 27 2 5" xfId="28401"/>
    <cellStyle name="20% - Accent4 27 3" xfId="8726"/>
    <cellStyle name="20% - Accent4 27 3 2" xfId="25621"/>
    <cellStyle name="20% - Accent4 27 3 3" xfId="28404"/>
    <cellStyle name="20% - Accent4 27 4" xfId="8727"/>
    <cellStyle name="20% - Accent4 27 4 2" xfId="25622"/>
    <cellStyle name="20% - Accent4 27 4 3" xfId="28405"/>
    <cellStyle name="20% - Accent4 27 5" xfId="25617"/>
    <cellStyle name="20% - Accent4 27 6" xfId="28400"/>
    <cellStyle name="20% - Accent4 28" xfId="8728"/>
    <cellStyle name="20% - Accent4 28 2" xfId="8729"/>
    <cellStyle name="20% - Accent4 28 2 2" xfId="25624"/>
    <cellStyle name="20% - Accent4 28 2 3" xfId="28407"/>
    <cellStyle name="20% - Accent4 28 3" xfId="8730"/>
    <cellStyle name="20% - Accent4 28 3 2" xfId="25625"/>
    <cellStyle name="20% - Accent4 28 3 3" xfId="28408"/>
    <cellStyle name="20% - Accent4 28 4" xfId="25623"/>
    <cellStyle name="20% - Accent4 28 5" xfId="28406"/>
    <cellStyle name="20% - Accent4 29" xfId="8731"/>
    <cellStyle name="20% - Accent4 29 2" xfId="25626"/>
    <cellStyle name="20% - Accent4 29 3" xfId="28409"/>
    <cellStyle name="20% - Accent4 3" xfId="224"/>
    <cellStyle name="20% - Accent4 3 10" xfId="3678"/>
    <cellStyle name="20% - Accent4 3 10 2" xfId="4348"/>
    <cellStyle name="20% - Accent4 3 10 2 2" xfId="8732"/>
    <cellStyle name="20% - Accent4 3 10 3" xfId="8733"/>
    <cellStyle name="20% - Accent4 3 10 4" xfId="8734"/>
    <cellStyle name="20% - Accent4 3 10 5" xfId="8735"/>
    <cellStyle name="20% - Accent4 3 11" xfId="8736"/>
    <cellStyle name="20% - Accent4 3 11 2" xfId="8737"/>
    <cellStyle name="20% - Accent4 3 11 3" xfId="8738"/>
    <cellStyle name="20% - Accent4 3 12" xfId="8739"/>
    <cellStyle name="20% - Accent4 3 12 2" xfId="8740"/>
    <cellStyle name="20% - Accent4 3 12 3" xfId="8741"/>
    <cellStyle name="20% - Accent4 3 13" xfId="8742"/>
    <cellStyle name="20% - Accent4 3 13 2" xfId="8743"/>
    <cellStyle name="20% - Accent4 3 13 3" xfId="8744"/>
    <cellStyle name="20% - Accent4 3 14" xfId="8745"/>
    <cellStyle name="20% - Accent4 3 15" xfId="8746"/>
    <cellStyle name="20% - Accent4 3 2" xfId="1451"/>
    <cellStyle name="20% - Accent4 3 2 10" xfId="8747"/>
    <cellStyle name="20% - Accent4 3 2 10 2" xfId="8748"/>
    <cellStyle name="20% - Accent4 3 2 10 3" xfId="8749"/>
    <cellStyle name="20% - Accent4 3 2 11" xfId="8750"/>
    <cellStyle name="20% - Accent4 3 2 11 2" xfId="8751"/>
    <cellStyle name="20% - Accent4 3 2 11 3" xfId="8752"/>
    <cellStyle name="20% - Accent4 3 2 12" xfId="8753"/>
    <cellStyle name="20% - Accent4 3 2 12 2" xfId="8754"/>
    <cellStyle name="20% - Accent4 3 2 12 3" xfId="8755"/>
    <cellStyle name="20% - Accent4 3 2 13" xfId="8756"/>
    <cellStyle name="20% - Accent4 3 2 14" xfId="8757"/>
    <cellStyle name="20% - Accent4 3 2 15" xfId="8758"/>
    <cellStyle name="20% - Accent4 3 2 2" xfId="1835"/>
    <cellStyle name="20% - Accent4 3 2 2 2" xfId="8759"/>
    <cellStyle name="20% - Accent4 3 2 2 3" xfId="8760"/>
    <cellStyle name="20% - Accent4 3 2 3" xfId="2210"/>
    <cellStyle name="20% - Accent4 3 2 3 2" xfId="8761"/>
    <cellStyle name="20% - Accent4 3 2 3 3" xfId="8762"/>
    <cellStyle name="20% - Accent4 3 2 4" xfId="2584"/>
    <cellStyle name="20% - Accent4 3 2 4 2" xfId="8763"/>
    <cellStyle name="20% - Accent4 3 2 4 3" xfId="8764"/>
    <cellStyle name="20% - Accent4 3 2 5" xfId="2956"/>
    <cellStyle name="20% - Accent4 3 2 5 2" xfId="8765"/>
    <cellStyle name="20% - Accent4 3 2 5 3" xfId="8766"/>
    <cellStyle name="20% - Accent4 3 2 6" xfId="3328"/>
    <cellStyle name="20% - Accent4 3 2 6 2" xfId="8767"/>
    <cellStyle name="20% - Accent4 3 2 6 3" xfId="8768"/>
    <cellStyle name="20% - Accent4 3 2 7" xfId="4349"/>
    <cellStyle name="20% - Accent4 3 2 7 2" xfId="8770"/>
    <cellStyle name="20% - Accent4 3 2 7 3" xfId="8771"/>
    <cellStyle name="20% - Accent4 3 2 7 4" xfId="8769"/>
    <cellStyle name="20% - Accent4 3 2 8" xfId="8772"/>
    <cellStyle name="20% - Accent4 3 2 8 2" xfId="8773"/>
    <cellStyle name="20% - Accent4 3 2 8 3" xfId="8774"/>
    <cellStyle name="20% - Accent4 3 2 9" xfId="8775"/>
    <cellStyle name="20% - Accent4 3 2 9 2" xfId="8776"/>
    <cellStyle name="20% - Accent4 3 2 9 3" xfId="8777"/>
    <cellStyle name="20% - Accent4 3 3" xfId="1578"/>
    <cellStyle name="20% - Accent4 3 3 2" xfId="1912"/>
    <cellStyle name="20% - Accent4 3 3 3" xfId="2287"/>
    <cellStyle name="20% - Accent4 3 3 4" xfId="2660"/>
    <cellStyle name="20% - Accent4 3 3 5" xfId="3033"/>
    <cellStyle name="20% - Accent4 3 3 6" xfId="3404"/>
    <cellStyle name="20% - Accent4 3 3 7" xfId="4350"/>
    <cellStyle name="20% - Accent4 3 4" xfId="1715"/>
    <cellStyle name="20% - Accent4 3 4 2" xfId="1956"/>
    <cellStyle name="20% - Accent4 3 4 3" xfId="2331"/>
    <cellStyle name="20% - Accent4 3 4 4" xfId="2704"/>
    <cellStyle name="20% - Accent4 3 4 5" xfId="3077"/>
    <cellStyle name="20% - Accent4 3 4 6" xfId="3448"/>
    <cellStyle name="20% - Accent4 3 5" xfId="2050"/>
    <cellStyle name="20% - Accent4 3 5 2" xfId="8778"/>
    <cellStyle name="20% - Accent4 3 5 3" xfId="8779"/>
    <cellStyle name="20% - Accent4 3 5 4" xfId="8780"/>
    <cellStyle name="20% - Accent4 3 6" xfId="2424"/>
    <cellStyle name="20% - Accent4 3 6 2" xfId="8781"/>
    <cellStyle name="20% - Accent4 3 6 3" xfId="8782"/>
    <cellStyle name="20% - Accent4 3 6 4" xfId="8783"/>
    <cellStyle name="20% - Accent4 3 7" xfId="2796"/>
    <cellStyle name="20% - Accent4 3 7 2" xfId="8784"/>
    <cellStyle name="20% - Accent4 3 7 3" xfId="8785"/>
    <cellStyle name="20% - Accent4 3 7 4" xfId="8786"/>
    <cellStyle name="20% - Accent4 3 8" xfId="3167"/>
    <cellStyle name="20% - Accent4 3 8 2" xfId="8787"/>
    <cellStyle name="20% - Accent4 3 8 3" xfId="8788"/>
    <cellStyle name="20% - Accent4 3 8 4" xfId="8789"/>
    <cellStyle name="20% - Accent4 3 9" xfId="3542"/>
    <cellStyle name="20% - Accent4 3 9 2" xfId="4351"/>
    <cellStyle name="20% - Accent4 3 9 2 2" xfId="8790"/>
    <cellStyle name="20% - Accent4 3 9 3" xfId="8791"/>
    <cellStyle name="20% - Accent4 3 9 4" xfId="8792"/>
    <cellStyle name="20% - Accent4 3 9 5" xfId="8793"/>
    <cellStyle name="20% - Accent4 30" xfId="28145"/>
    <cellStyle name="20% - Accent4 4" xfId="238"/>
    <cellStyle name="20% - Accent4 4 10" xfId="3722"/>
    <cellStyle name="20% - Accent4 4 10 2" xfId="4353"/>
    <cellStyle name="20% - Accent4 4 10 2 2" xfId="8795"/>
    <cellStyle name="20% - Accent4 4 10 3" xfId="8796"/>
    <cellStyle name="20% - Accent4 4 10 4" xfId="8797"/>
    <cellStyle name="20% - Accent4 4 10 5" xfId="8798"/>
    <cellStyle name="20% - Accent4 4 11" xfId="1306"/>
    <cellStyle name="20% - Accent4 4 11 10" xfId="25627"/>
    <cellStyle name="20% - Accent4 4 11 11" xfId="28411"/>
    <cellStyle name="20% - Accent4 4 11 2" xfId="4150"/>
    <cellStyle name="20% - Accent4 4 11 2 2" xfId="5342"/>
    <cellStyle name="20% - Accent4 4 11 2 2 2" xfId="6072"/>
    <cellStyle name="20% - Accent4 4 11 2 2 2 2" xfId="25630"/>
    <cellStyle name="20% - Accent4 4 11 2 2 3" xfId="8801"/>
    <cellStyle name="20% - Accent4 4 11 2 2 4" xfId="25629"/>
    <cellStyle name="20% - Accent4 4 11 2 3" xfId="5652"/>
    <cellStyle name="20% - Accent4 4 11 2 3 2" xfId="6073"/>
    <cellStyle name="20% - Accent4 4 11 2 3 2 2" xfId="25632"/>
    <cellStyle name="20% - Accent4 4 11 2 3 3" xfId="25631"/>
    <cellStyle name="20% - Accent4 4 11 2 4" xfId="4355"/>
    <cellStyle name="20% - Accent4 4 11 2 4 2" xfId="6074"/>
    <cellStyle name="20% - Accent4 4 11 2 4 2 2" xfId="25634"/>
    <cellStyle name="20% - Accent4 4 11 2 4 3" xfId="25633"/>
    <cellStyle name="20% - Accent4 4 11 2 5" xfId="6071"/>
    <cellStyle name="20% - Accent4 4 11 2 5 2" xfId="25635"/>
    <cellStyle name="20% - Accent4 4 11 2 6" xfId="8800"/>
    <cellStyle name="20% - Accent4 4 11 2 6 2" xfId="25636"/>
    <cellStyle name="20% - Accent4 4 11 2 7" xfId="25002"/>
    <cellStyle name="20% - Accent4 4 11 2 8" xfId="25628"/>
    <cellStyle name="20% - Accent4 4 11 2 9" xfId="28412"/>
    <cellStyle name="20% - Accent4 4 11 3" xfId="5341"/>
    <cellStyle name="20% - Accent4 4 11 3 2" xfId="6075"/>
    <cellStyle name="20% - Accent4 4 11 3 2 2" xfId="25638"/>
    <cellStyle name="20% - Accent4 4 11 3 3" xfId="8802"/>
    <cellStyle name="20% - Accent4 4 11 3 4" xfId="25637"/>
    <cellStyle name="20% - Accent4 4 11 4" xfId="5651"/>
    <cellStyle name="20% - Accent4 4 11 4 2" xfId="6076"/>
    <cellStyle name="20% - Accent4 4 11 4 2 2" xfId="25640"/>
    <cellStyle name="20% - Accent4 4 11 4 3" xfId="8803"/>
    <cellStyle name="20% - Accent4 4 11 4 4" xfId="25639"/>
    <cellStyle name="20% - Accent4 4 11 5" xfId="4354"/>
    <cellStyle name="20% - Accent4 4 11 5 2" xfId="6077"/>
    <cellStyle name="20% - Accent4 4 11 5 2 2" xfId="8805"/>
    <cellStyle name="20% - Accent4 4 11 5 2 2 2" xfId="25643"/>
    <cellStyle name="20% - Accent4 4 11 5 2 3" xfId="25642"/>
    <cellStyle name="20% - Accent4 4 11 5 2 4" xfId="28414"/>
    <cellStyle name="20% - Accent4 4 11 5 3" xfId="8806"/>
    <cellStyle name="20% - Accent4 4 11 5 3 2" xfId="25644"/>
    <cellStyle name="20% - Accent4 4 11 5 3 3" xfId="28415"/>
    <cellStyle name="20% - Accent4 4 11 5 4" xfId="8804"/>
    <cellStyle name="20% - Accent4 4 11 5 4 2" xfId="25645"/>
    <cellStyle name="20% - Accent4 4 11 5 5" xfId="25641"/>
    <cellStyle name="20% - Accent4 4 11 5 6" xfId="28413"/>
    <cellStyle name="20% - Accent4 4 11 6" xfId="6070"/>
    <cellStyle name="20% - Accent4 4 11 6 2" xfId="8807"/>
    <cellStyle name="20% - Accent4 4 11 6 2 2" xfId="25647"/>
    <cellStyle name="20% - Accent4 4 11 6 3" xfId="25646"/>
    <cellStyle name="20% - Accent4 4 11 6 4" xfId="28416"/>
    <cellStyle name="20% - Accent4 4 11 7" xfId="8808"/>
    <cellStyle name="20% - Accent4 4 11 7 2" xfId="25648"/>
    <cellStyle name="20% - Accent4 4 11 7 3" xfId="28417"/>
    <cellStyle name="20% - Accent4 4 11 8" xfId="8799"/>
    <cellStyle name="20% - Accent4 4 11 8 2" xfId="25649"/>
    <cellStyle name="20% - Accent4 4 11 9" xfId="24882"/>
    <cellStyle name="20% - Accent4 4 12" xfId="4356"/>
    <cellStyle name="20% - Accent4 4 12 2" xfId="5343"/>
    <cellStyle name="20% - Accent4 4 12 2 2" xfId="6079"/>
    <cellStyle name="20% - Accent4 4 12 2 2 2" xfId="25652"/>
    <cellStyle name="20% - Accent4 4 12 2 3" xfId="8810"/>
    <cellStyle name="20% - Accent4 4 12 2 4" xfId="25651"/>
    <cellStyle name="20% - Accent4 4 12 3" xfId="5653"/>
    <cellStyle name="20% - Accent4 4 12 3 2" xfId="6080"/>
    <cellStyle name="20% - Accent4 4 12 3 2 2" xfId="25654"/>
    <cellStyle name="20% - Accent4 4 12 3 3" xfId="8811"/>
    <cellStyle name="20% - Accent4 4 12 3 4" xfId="25653"/>
    <cellStyle name="20% - Accent4 4 12 4" xfId="6078"/>
    <cellStyle name="20% - Accent4 4 12 4 2" xfId="8812"/>
    <cellStyle name="20% - Accent4 4 12 4 3" xfId="25655"/>
    <cellStyle name="20% - Accent4 4 12 5" xfId="8809"/>
    <cellStyle name="20% - Accent4 4 12 5 2" xfId="25656"/>
    <cellStyle name="20% - Accent4 4 12 6" xfId="25650"/>
    <cellStyle name="20% - Accent4 4 12 7" xfId="28418"/>
    <cellStyle name="20% - Accent4 4 13" xfId="5340"/>
    <cellStyle name="20% - Accent4 4 13 2" xfId="6081"/>
    <cellStyle name="20% - Accent4 4 13 2 2" xfId="8814"/>
    <cellStyle name="20% - Accent4 4 13 2 3" xfId="25658"/>
    <cellStyle name="20% - Accent4 4 13 3" xfId="8815"/>
    <cellStyle name="20% - Accent4 4 13 4" xfId="8813"/>
    <cellStyle name="20% - Accent4 4 13 5" xfId="25657"/>
    <cellStyle name="20% - Accent4 4 14" xfId="5650"/>
    <cellStyle name="20% - Accent4 4 14 2" xfId="6082"/>
    <cellStyle name="20% - Accent4 4 14 2 2" xfId="25660"/>
    <cellStyle name="20% - Accent4 4 14 3" xfId="8816"/>
    <cellStyle name="20% - Accent4 4 14 4" xfId="25659"/>
    <cellStyle name="20% - Accent4 4 15" xfId="4352"/>
    <cellStyle name="20% - Accent4 4 15 2" xfId="6083"/>
    <cellStyle name="20% - Accent4 4 15 2 2" xfId="25662"/>
    <cellStyle name="20% - Accent4 4 15 3" xfId="8817"/>
    <cellStyle name="20% - Accent4 4 15 4" xfId="25661"/>
    <cellStyle name="20% - Accent4 4 16" xfId="8818"/>
    <cellStyle name="20% - Accent4 4 17" xfId="8819"/>
    <cellStyle name="20% - Accent4 4 17 2" xfId="8820"/>
    <cellStyle name="20% - Accent4 4 17 2 2" xfId="25664"/>
    <cellStyle name="20% - Accent4 4 17 2 3" xfId="28420"/>
    <cellStyle name="20% - Accent4 4 17 3" xfId="8821"/>
    <cellStyle name="20% - Accent4 4 17 3 2" xfId="25665"/>
    <cellStyle name="20% - Accent4 4 17 3 3" xfId="28421"/>
    <cellStyle name="20% - Accent4 4 17 4" xfId="25663"/>
    <cellStyle name="20% - Accent4 4 17 5" xfId="28419"/>
    <cellStyle name="20% - Accent4 4 18" xfId="8822"/>
    <cellStyle name="20% - Accent4 4 18 2" xfId="25666"/>
    <cellStyle name="20% - Accent4 4 18 3" xfId="28422"/>
    <cellStyle name="20% - Accent4 4 19" xfId="8823"/>
    <cellStyle name="20% - Accent4 4 19 2" xfId="25667"/>
    <cellStyle name="20% - Accent4 4 19 3" xfId="28423"/>
    <cellStyle name="20% - Accent4 4 2" xfId="1496"/>
    <cellStyle name="20% - Accent4 4 2 10" xfId="8824"/>
    <cellStyle name="20% - Accent4 4 2 10 2" xfId="8825"/>
    <cellStyle name="20% - Accent4 4 2 10 3" xfId="8826"/>
    <cellStyle name="20% - Accent4 4 2 11" xfId="8827"/>
    <cellStyle name="20% - Accent4 4 2 11 2" xfId="8828"/>
    <cellStyle name="20% - Accent4 4 2 11 3" xfId="8829"/>
    <cellStyle name="20% - Accent4 4 2 12" xfId="8830"/>
    <cellStyle name="20% - Accent4 4 2 12 2" xfId="8831"/>
    <cellStyle name="20% - Accent4 4 2 12 3" xfId="8832"/>
    <cellStyle name="20% - Accent4 4 2 13" xfId="8833"/>
    <cellStyle name="20% - Accent4 4 2 14" xfId="8834"/>
    <cellStyle name="20% - Accent4 4 2 15" xfId="8835"/>
    <cellStyle name="20% - Accent4 4 2 16" xfId="8836"/>
    <cellStyle name="20% - Accent4 4 2 2" xfId="4357"/>
    <cellStyle name="20% - Accent4 4 2 2 2" xfId="8838"/>
    <cellStyle name="20% - Accent4 4 2 2 3" xfId="8839"/>
    <cellStyle name="20% - Accent4 4 2 2 4" xfId="8837"/>
    <cellStyle name="20% - Accent4 4 2 3" xfId="8840"/>
    <cellStyle name="20% - Accent4 4 2 3 2" xfId="8841"/>
    <cellStyle name="20% - Accent4 4 2 3 3" xfId="8842"/>
    <cellStyle name="20% - Accent4 4 2 4" xfId="8843"/>
    <cellStyle name="20% - Accent4 4 2 4 2" xfId="8844"/>
    <cellStyle name="20% - Accent4 4 2 4 3" xfId="8845"/>
    <cellStyle name="20% - Accent4 4 2 5" xfId="8846"/>
    <cellStyle name="20% - Accent4 4 2 5 2" xfId="8847"/>
    <cellStyle name="20% - Accent4 4 2 5 3" xfId="8848"/>
    <cellStyle name="20% - Accent4 4 2 6" xfId="8849"/>
    <cellStyle name="20% - Accent4 4 2 6 2" xfId="8850"/>
    <cellStyle name="20% - Accent4 4 2 6 3" xfId="8851"/>
    <cellStyle name="20% - Accent4 4 2 7" xfId="8852"/>
    <cellStyle name="20% - Accent4 4 2 7 2" xfId="8853"/>
    <cellStyle name="20% - Accent4 4 2 7 3" xfId="8854"/>
    <cellStyle name="20% - Accent4 4 2 8" xfId="8855"/>
    <cellStyle name="20% - Accent4 4 2 8 2" xfId="8856"/>
    <cellStyle name="20% - Accent4 4 2 8 3" xfId="8857"/>
    <cellStyle name="20% - Accent4 4 2 9" xfId="8858"/>
    <cellStyle name="20% - Accent4 4 2 9 2" xfId="8859"/>
    <cellStyle name="20% - Accent4 4 2 9 3" xfId="8860"/>
    <cellStyle name="20% - Accent4 4 20" xfId="8794"/>
    <cellStyle name="20% - Accent4 4 20 2" xfId="25668"/>
    <cellStyle name="20% - Accent4 4 21" xfId="28410"/>
    <cellStyle name="20% - Accent4 4 3" xfId="1621"/>
    <cellStyle name="20% - Accent4 4 3 2" xfId="4358"/>
    <cellStyle name="20% - Accent4 4 3 2 2" xfId="8861"/>
    <cellStyle name="20% - Accent4 4 3 3" xfId="8862"/>
    <cellStyle name="20% - Accent4 4 3 4" xfId="8863"/>
    <cellStyle name="20% - Accent4 4 3 5" xfId="8864"/>
    <cellStyle name="20% - Accent4 4 4" xfId="1801"/>
    <cellStyle name="20% - Accent4 4 4 2" xfId="8865"/>
    <cellStyle name="20% - Accent4 4 4 3" xfId="8866"/>
    <cellStyle name="20% - Accent4 4 4 4" xfId="8867"/>
    <cellStyle name="20% - Accent4 4 5" xfId="2137"/>
    <cellStyle name="20% - Accent4 4 5 2" xfId="8868"/>
    <cellStyle name="20% - Accent4 4 5 3" xfId="8869"/>
    <cellStyle name="20% - Accent4 4 5 4" xfId="8870"/>
    <cellStyle name="20% - Accent4 4 6" xfId="2511"/>
    <cellStyle name="20% - Accent4 4 6 2" xfId="8871"/>
    <cellStyle name="20% - Accent4 4 6 3" xfId="8872"/>
    <cellStyle name="20% - Accent4 4 6 4" xfId="8873"/>
    <cellStyle name="20% - Accent4 4 7" xfId="2883"/>
    <cellStyle name="20% - Accent4 4 7 2" xfId="8874"/>
    <cellStyle name="20% - Accent4 4 7 3" xfId="8875"/>
    <cellStyle name="20% - Accent4 4 7 4" xfId="8876"/>
    <cellStyle name="20% - Accent4 4 8" xfId="3254"/>
    <cellStyle name="20% - Accent4 4 8 2" xfId="8877"/>
    <cellStyle name="20% - Accent4 4 8 3" xfId="8878"/>
    <cellStyle name="20% - Accent4 4 8 4" xfId="8879"/>
    <cellStyle name="20% - Accent4 4 9" xfId="3585"/>
    <cellStyle name="20% - Accent4 4 9 2" xfId="4359"/>
    <cellStyle name="20% - Accent4 4 9 2 2" xfId="8880"/>
    <cellStyle name="20% - Accent4 4 9 3" xfId="8881"/>
    <cellStyle name="20% - Accent4 4 9 4" xfId="8882"/>
    <cellStyle name="20% - Accent4 4 9 5" xfId="8883"/>
    <cellStyle name="20% - Accent4 5" xfId="371"/>
    <cellStyle name="20% - Accent4 5 10" xfId="8884"/>
    <cellStyle name="20% - Accent4 5 10 2" xfId="8885"/>
    <cellStyle name="20% - Accent4 5 10 3" xfId="8886"/>
    <cellStyle name="20% - Accent4 5 11" xfId="8887"/>
    <cellStyle name="20% - Accent4 5 11 2" xfId="8888"/>
    <cellStyle name="20% - Accent4 5 11 3" xfId="8889"/>
    <cellStyle name="20% - Accent4 5 12" xfId="8890"/>
    <cellStyle name="20% - Accent4 5 12 2" xfId="8891"/>
    <cellStyle name="20% - Accent4 5 12 3" xfId="8892"/>
    <cellStyle name="20% - Accent4 5 13" xfId="8893"/>
    <cellStyle name="20% - Accent4 5 13 2" xfId="8894"/>
    <cellStyle name="20% - Accent4 5 13 3" xfId="8895"/>
    <cellStyle name="20% - Accent4 5 14" xfId="8896"/>
    <cellStyle name="20% - Accent4 5 15" xfId="8897"/>
    <cellStyle name="20% - Accent4 5 16" xfId="8898"/>
    <cellStyle name="20% - Accent4 5 17" xfId="8899"/>
    <cellStyle name="20% - Accent4 5 2" xfId="1865"/>
    <cellStyle name="20% - Accent4 5 2 10" xfId="8900"/>
    <cellStyle name="20% - Accent4 5 2 10 2" xfId="8901"/>
    <cellStyle name="20% - Accent4 5 2 10 3" xfId="8902"/>
    <cellStyle name="20% - Accent4 5 2 11" xfId="8903"/>
    <cellStyle name="20% - Accent4 5 2 11 2" xfId="8904"/>
    <cellStyle name="20% - Accent4 5 2 11 3" xfId="8905"/>
    <cellStyle name="20% - Accent4 5 2 12" xfId="8906"/>
    <cellStyle name="20% - Accent4 5 2 12 2" xfId="8907"/>
    <cellStyle name="20% - Accent4 5 2 12 3" xfId="8908"/>
    <cellStyle name="20% - Accent4 5 2 13" xfId="8909"/>
    <cellStyle name="20% - Accent4 5 2 14" xfId="8910"/>
    <cellStyle name="20% - Accent4 5 2 15" xfId="8911"/>
    <cellStyle name="20% - Accent4 5 2 2" xfId="8912"/>
    <cellStyle name="20% - Accent4 5 2 2 2" xfId="8913"/>
    <cellStyle name="20% - Accent4 5 2 2 3" xfId="8914"/>
    <cellStyle name="20% - Accent4 5 2 3" xfId="8915"/>
    <cellStyle name="20% - Accent4 5 2 3 2" xfId="8916"/>
    <cellStyle name="20% - Accent4 5 2 3 3" xfId="8917"/>
    <cellStyle name="20% - Accent4 5 2 4" xfId="8918"/>
    <cellStyle name="20% - Accent4 5 2 4 2" xfId="8919"/>
    <cellStyle name="20% - Accent4 5 2 4 3" xfId="8920"/>
    <cellStyle name="20% - Accent4 5 2 5" xfId="8921"/>
    <cellStyle name="20% - Accent4 5 2 5 2" xfId="8922"/>
    <cellStyle name="20% - Accent4 5 2 5 3" xfId="8923"/>
    <cellStyle name="20% - Accent4 5 2 6" xfId="8924"/>
    <cellStyle name="20% - Accent4 5 2 6 2" xfId="8925"/>
    <cellStyle name="20% - Accent4 5 2 6 3" xfId="8926"/>
    <cellStyle name="20% - Accent4 5 2 7" xfId="8927"/>
    <cellStyle name="20% - Accent4 5 2 7 2" xfId="8928"/>
    <cellStyle name="20% - Accent4 5 2 7 3" xfId="8929"/>
    <cellStyle name="20% - Accent4 5 2 8" xfId="8930"/>
    <cellStyle name="20% - Accent4 5 2 8 2" xfId="8931"/>
    <cellStyle name="20% - Accent4 5 2 8 3" xfId="8932"/>
    <cellStyle name="20% - Accent4 5 2 9" xfId="8933"/>
    <cellStyle name="20% - Accent4 5 2 9 2" xfId="8934"/>
    <cellStyle name="20% - Accent4 5 2 9 3" xfId="8935"/>
    <cellStyle name="20% - Accent4 5 3" xfId="2240"/>
    <cellStyle name="20% - Accent4 5 3 2" xfId="8936"/>
    <cellStyle name="20% - Accent4 5 3 3" xfId="8937"/>
    <cellStyle name="20% - Accent4 5 3 4" xfId="8938"/>
    <cellStyle name="20% - Accent4 5 4" xfId="2614"/>
    <cellStyle name="20% - Accent4 5 4 2" xfId="8939"/>
    <cellStyle name="20% - Accent4 5 4 3" xfId="8940"/>
    <cellStyle name="20% - Accent4 5 4 4" xfId="8941"/>
    <cellStyle name="20% - Accent4 5 5" xfId="2986"/>
    <cellStyle name="20% - Accent4 5 5 2" xfId="8942"/>
    <cellStyle name="20% - Accent4 5 5 3" xfId="8943"/>
    <cellStyle name="20% - Accent4 5 5 4" xfId="8944"/>
    <cellStyle name="20% - Accent4 5 6" xfId="3358"/>
    <cellStyle name="20% - Accent4 5 6 2" xfId="8945"/>
    <cellStyle name="20% - Accent4 5 6 3" xfId="8946"/>
    <cellStyle name="20% - Accent4 5 6 4" xfId="8947"/>
    <cellStyle name="20% - Accent4 5 7" xfId="4360"/>
    <cellStyle name="20% - Accent4 5 7 2" xfId="8949"/>
    <cellStyle name="20% - Accent4 5 7 3" xfId="8950"/>
    <cellStyle name="20% - Accent4 5 7 4" xfId="8948"/>
    <cellStyle name="20% - Accent4 5 8" xfId="8951"/>
    <cellStyle name="20% - Accent4 5 8 2" xfId="8952"/>
    <cellStyle name="20% - Accent4 5 8 3" xfId="8953"/>
    <cellStyle name="20% - Accent4 5 9" xfId="8954"/>
    <cellStyle name="20% - Accent4 5 9 2" xfId="8955"/>
    <cellStyle name="20% - Accent4 5 9 3" xfId="8956"/>
    <cellStyle name="20% - Accent4 6" xfId="372"/>
    <cellStyle name="20% - Accent4 6 10" xfId="5344"/>
    <cellStyle name="20% - Accent4 6 10 2" xfId="6085"/>
    <cellStyle name="20% - Accent4 6 10 2 2" xfId="8959"/>
    <cellStyle name="20% - Accent4 6 10 2 3" xfId="25671"/>
    <cellStyle name="20% - Accent4 6 10 3" xfId="8960"/>
    <cellStyle name="20% - Accent4 6 10 4" xfId="8958"/>
    <cellStyle name="20% - Accent4 6 10 5" xfId="25670"/>
    <cellStyle name="20% - Accent4 6 11" xfId="5654"/>
    <cellStyle name="20% - Accent4 6 11 2" xfId="6086"/>
    <cellStyle name="20% - Accent4 6 11 2 2" xfId="8962"/>
    <cellStyle name="20% - Accent4 6 11 2 3" xfId="25673"/>
    <cellStyle name="20% - Accent4 6 11 3" xfId="8963"/>
    <cellStyle name="20% - Accent4 6 11 4" xfId="8961"/>
    <cellStyle name="20% - Accent4 6 11 5" xfId="25672"/>
    <cellStyle name="20% - Accent4 6 12" xfId="4361"/>
    <cellStyle name="20% - Accent4 6 12 2" xfId="6087"/>
    <cellStyle name="20% - Accent4 6 12 2 2" xfId="8965"/>
    <cellStyle name="20% - Accent4 6 12 2 3" xfId="25675"/>
    <cellStyle name="20% - Accent4 6 12 3" xfId="8966"/>
    <cellStyle name="20% - Accent4 6 12 4" xfId="8964"/>
    <cellStyle name="20% - Accent4 6 12 5" xfId="25674"/>
    <cellStyle name="20% - Accent4 6 13" xfId="6084"/>
    <cellStyle name="20% - Accent4 6 13 2" xfId="8967"/>
    <cellStyle name="20% - Accent4 6 13 3" xfId="25676"/>
    <cellStyle name="20% - Accent4 6 14" xfId="8968"/>
    <cellStyle name="20% - Accent4 6 15" xfId="8969"/>
    <cellStyle name="20% - Accent4 6 16" xfId="8970"/>
    <cellStyle name="20% - Accent4 6 16 2" xfId="8971"/>
    <cellStyle name="20% - Accent4 6 16 2 2" xfId="25678"/>
    <cellStyle name="20% - Accent4 6 16 2 3" xfId="28426"/>
    <cellStyle name="20% - Accent4 6 16 3" xfId="8972"/>
    <cellStyle name="20% - Accent4 6 16 3 2" xfId="25679"/>
    <cellStyle name="20% - Accent4 6 16 3 3" xfId="28427"/>
    <cellStyle name="20% - Accent4 6 16 4" xfId="25677"/>
    <cellStyle name="20% - Accent4 6 16 5" xfId="28425"/>
    <cellStyle name="20% - Accent4 6 17" xfId="8973"/>
    <cellStyle name="20% - Accent4 6 17 2" xfId="25680"/>
    <cellStyle name="20% - Accent4 6 17 3" xfId="28428"/>
    <cellStyle name="20% - Accent4 6 18" xfId="8974"/>
    <cellStyle name="20% - Accent4 6 18 2" xfId="25681"/>
    <cellStyle name="20% - Accent4 6 18 3" xfId="28429"/>
    <cellStyle name="20% - Accent4 6 19" xfId="8957"/>
    <cellStyle name="20% - Accent4 6 19 2" xfId="25682"/>
    <cellStyle name="20% - Accent4 6 2" xfId="1972"/>
    <cellStyle name="20% - Accent4 6 2 2" xfId="4362"/>
    <cellStyle name="20% - Accent4 6 2 2 2" xfId="8975"/>
    <cellStyle name="20% - Accent4 6 2 3" xfId="8976"/>
    <cellStyle name="20% - Accent4 6 2 4" xfId="8977"/>
    <cellStyle name="20% - Accent4 6 2 5" xfId="8978"/>
    <cellStyle name="20% - Accent4 6 20" xfId="24834"/>
    <cellStyle name="20% - Accent4 6 21" xfId="25669"/>
    <cellStyle name="20% - Accent4 6 22" xfId="28424"/>
    <cellStyle name="20% - Accent4 6 3" xfId="2347"/>
    <cellStyle name="20% - Accent4 6 3 2" xfId="4363"/>
    <cellStyle name="20% - Accent4 6 3 2 2" xfId="8979"/>
    <cellStyle name="20% - Accent4 6 3 3" xfId="8980"/>
    <cellStyle name="20% - Accent4 6 3 4" xfId="8981"/>
    <cellStyle name="20% - Accent4 6 3 5" xfId="8982"/>
    <cellStyle name="20% - Accent4 6 4" xfId="2720"/>
    <cellStyle name="20% - Accent4 6 4 2" xfId="4364"/>
    <cellStyle name="20% - Accent4 6 4 2 2" xfId="8983"/>
    <cellStyle name="20% - Accent4 6 4 3" xfId="8984"/>
    <cellStyle name="20% - Accent4 6 4 4" xfId="8985"/>
    <cellStyle name="20% - Accent4 6 4 5" xfId="8986"/>
    <cellStyle name="20% - Accent4 6 5" xfId="3093"/>
    <cellStyle name="20% - Accent4 6 5 2" xfId="4365"/>
    <cellStyle name="20% - Accent4 6 5 2 2" xfId="8987"/>
    <cellStyle name="20% - Accent4 6 5 3" xfId="8988"/>
    <cellStyle name="20% - Accent4 6 5 4" xfId="8989"/>
    <cellStyle name="20% - Accent4 6 5 5" xfId="8990"/>
    <cellStyle name="20% - Accent4 6 6" xfId="3464"/>
    <cellStyle name="20% - Accent4 6 6 2" xfId="4366"/>
    <cellStyle name="20% - Accent4 6 6 2 2" xfId="8991"/>
    <cellStyle name="20% - Accent4 6 6 3" xfId="8992"/>
    <cellStyle name="20% - Accent4 6 6 4" xfId="8993"/>
    <cellStyle name="20% - Accent4 6 6 5" xfId="8994"/>
    <cellStyle name="20% - Accent4 6 7" xfId="3770"/>
    <cellStyle name="20% - Accent4 6 7 2" xfId="4367"/>
    <cellStyle name="20% - Accent4 6 7 2 2" xfId="8995"/>
    <cellStyle name="20% - Accent4 6 7 3" xfId="8996"/>
    <cellStyle name="20% - Accent4 6 7 4" xfId="8997"/>
    <cellStyle name="20% - Accent4 6 7 5" xfId="8998"/>
    <cellStyle name="20% - Accent4 6 8" xfId="1367"/>
    <cellStyle name="20% - Accent4 6 8 10" xfId="25683"/>
    <cellStyle name="20% - Accent4 6 8 11" xfId="28430"/>
    <cellStyle name="20% - Accent4 6 8 2" xfId="4167"/>
    <cellStyle name="20% - Accent4 6 8 2 2" xfId="5346"/>
    <cellStyle name="20% - Accent4 6 8 2 2 2" xfId="6090"/>
    <cellStyle name="20% - Accent4 6 8 2 2 2 2" xfId="25686"/>
    <cellStyle name="20% - Accent4 6 8 2 2 3" xfId="9001"/>
    <cellStyle name="20% - Accent4 6 8 2 2 4" xfId="25685"/>
    <cellStyle name="20% - Accent4 6 8 2 3" xfId="5656"/>
    <cellStyle name="20% - Accent4 6 8 2 3 2" xfId="6091"/>
    <cellStyle name="20% - Accent4 6 8 2 3 2 2" xfId="25688"/>
    <cellStyle name="20% - Accent4 6 8 2 3 3" xfId="25687"/>
    <cellStyle name="20% - Accent4 6 8 2 4" xfId="4369"/>
    <cellStyle name="20% - Accent4 6 8 2 4 2" xfId="6092"/>
    <cellStyle name="20% - Accent4 6 8 2 4 2 2" xfId="25690"/>
    <cellStyle name="20% - Accent4 6 8 2 4 3" xfId="25689"/>
    <cellStyle name="20% - Accent4 6 8 2 5" xfId="6089"/>
    <cellStyle name="20% - Accent4 6 8 2 5 2" xfId="25691"/>
    <cellStyle name="20% - Accent4 6 8 2 6" xfId="9000"/>
    <cellStyle name="20% - Accent4 6 8 2 6 2" xfId="25692"/>
    <cellStyle name="20% - Accent4 6 8 2 7" xfId="25019"/>
    <cellStyle name="20% - Accent4 6 8 2 8" xfId="25684"/>
    <cellStyle name="20% - Accent4 6 8 2 9" xfId="28431"/>
    <cellStyle name="20% - Accent4 6 8 3" xfId="5345"/>
    <cellStyle name="20% - Accent4 6 8 3 2" xfId="6093"/>
    <cellStyle name="20% - Accent4 6 8 3 2 2" xfId="25694"/>
    <cellStyle name="20% - Accent4 6 8 3 3" xfId="9002"/>
    <cellStyle name="20% - Accent4 6 8 3 4" xfId="25693"/>
    <cellStyle name="20% - Accent4 6 8 4" xfId="5655"/>
    <cellStyle name="20% - Accent4 6 8 4 2" xfId="6094"/>
    <cellStyle name="20% - Accent4 6 8 4 2 2" xfId="25696"/>
    <cellStyle name="20% - Accent4 6 8 4 3" xfId="9003"/>
    <cellStyle name="20% - Accent4 6 8 4 4" xfId="25695"/>
    <cellStyle name="20% - Accent4 6 8 5" xfId="4368"/>
    <cellStyle name="20% - Accent4 6 8 5 2" xfId="6095"/>
    <cellStyle name="20% - Accent4 6 8 5 2 2" xfId="9005"/>
    <cellStyle name="20% - Accent4 6 8 5 2 2 2" xfId="25699"/>
    <cellStyle name="20% - Accent4 6 8 5 2 3" xfId="25698"/>
    <cellStyle name="20% - Accent4 6 8 5 2 4" xfId="28433"/>
    <cellStyle name="20% - Accent4 6 8 5 3" xfId="9006"/>
    <cellStyle name="20% - Accent4 6 8 5 3 2" xfId="25700"/>
    <cellStyle name="20% - Accent4 6 8 5 3 3" xfId="28434"/>
    <cellStyle name="20% - Accent4 6 8 5 4" xfId="9004"/>
    <cellStyle name="20% - Accent4 6 8 5 4 2" xfId="25701"/>
    <cellStyle name="20% - Accent4 6 8 5 5" xfId="25697"/>
    <cellStyle name="20% - Accent4 6 8 5 6" xfId="28432"/>
    <cellStyle name="20% - Accent4 6 8 6" xfId="6088"/>
    <cellStyle name="20% - Accent4 6 8 6 2" xfId="9007"/>
    <cellStyle name="20% - Accent4 6 8 6 2 2" xfId="25703"/>
    <cellStyle name="20% - Accent4 6 8 6 3" xfId="25702"/>
    <cellStyle name="20% - Accent4 6 8 6 4" xfId="28435"/>
    <cellStyle name="20% - Accent4 6 8 7" xfId="9008"/>
    <cellStyle name="20% - Accent4 6 8 7 2" xfId="25704"/>
    <cellStyle name="20% - Accent4 6 8 7 3" xfId="28436"/>
    <cellStyle name="20% - Accent4 6 8 8" xfId="8999"/>
    <cellStyle name="20% - Accent4 6 8 8 2" xfId="25705"/>
    <cellStyle name="20% - Accent4 6 8 9" xfId="24899"/>
    <cellStyle name="20% - Accent4 6 9" xfId="3820"/>
    <cellStyle name="20% - Accent4 6 9 2" xfId="5347"/>
    <cellStyle name="20% - Accent4 6 9 2 2" xfId="6097"/>
    <cellStyle name="20% - Accent4 6 9 2 2 2" xfId="25708"/>
    <cellStyle name="20% - Accent4 6 9 2 3" xfId="9010"/>
    <cellStyle name="20% - Accent4 6 9 2 4" xfId="25707"/>
    <cellStyle name="20% - Accent4 6 9 3" xfId="5657"/>
    <cellStyle name="20% - Accent4 6 9 3 2" xfId="6098"/>
    <cellStyle name="20% - Accent4 6 9 3 2 2" xfId="25710"/>
    <cellStyle name="20% - Accent4 6 9 3 3" xfId="9011"/>
    <cellStyle name="20% - Accent4 6 9 3 4" xfId="25709"/>
    <cellStyle name="20% - Accent4 6 9 4" xfId="4370"/>
    <cellStyle name="20% - Accent4 6 9 4 2" xfId="6099"/>
    <cellStyle name="20% - Accent4 6 9 4 2 2" xfId="25712"/>
    <cellStyle name="20% - Accent4 6 9 4 3" xfId="9012"/>
    <cellStyle name="20% - Accent4 6 9 4 4" xfId="25711"/>
    <cellStyle name="20% - Accent4 6 9 5" xfId="6096"/>
    <cellStyle name="20% - Accent4 6 9 5 2" xfId="25713"/>
    <cellStyle name="20% - Accent4 6 9 6" xfId="9009"/>
    <cellStyle name="20% - Accent4 6 9 6 2" xfId="25714"/>
    <cellStyle name="20% - Accent4 6 9 7" xfId="24956"/>
    <cellStyle name="20% - Accent4 6 9 8" xfId="25706"/>
    <cellStyle name="20% - Accent4 6 9 9" xfId="28437"/>
    <cellStyle name="20% - Accent4 7" xfId="373"/>
    <cellStyle name="20% - Accent4 7 10" xfId="9013"/>
    <cellStyle name="20% - Accent4 7 10 2" xfId="9014"/>
    <cellStyle name="20% - Accent4 7 10 3" xfId="9015"/>
    <cellStyle name="20% - Accent4 7 11" xfId="9016"/>
    <cellStyle name="20% - Accent4 7 11 2" xfId="9017"/>
    <cellStyle name="20% - Accent4 7 11 3" xfId="9018"/>
    <cellStyle name="20% - Accent4 7 12" xfId="9019"/>
    <cellStyle name="20% - Accent4 7 12 2" xfId="9020"/>
    <cellStyle name="20% - Accent4 7 12 3" xfId="9021"/>
    <cellStyle name="20% - Accent4 7 13" xfId="9022"/>
    <cellStyle name="20% - Accent4 7 14" xfId="9023"/>
    <cellStyle name="20% - Accent4 7 15" xfId="9024"/>
    <cellStyle name="20% - Accent4 7 16" xfId="9025"/>
    <cellStyle name="20% - Accent4 7 2" xfId="4371"/>
    <cellStyle name="20% - Accent4 7 2 2" xfId="9027"/>
    <cellStyle name="20% - Accent4 7 2 3" xfId="9028"/>
    <cellStyle name="20% - Accent4 7 2 4" xfId="9026"/>
    <cellStyle name="20% - Accent4 7 3" xfId="9029"/>
    <cellStyle name="20% - Accent4 7 3 2" xfId="9030"/>
    <cellStyle name="20% - Accent4 7 3 3" xfId="9031"/>
    <cellStyle name="20% - Accent4 7 4" xfId="9032"/>
    <cellStyle name="20% - Accent4 7 4 2" xfId="9033"/>
    <cellStyle name="20% - Accent4 7 4 3" xfId="9034"/>
    <cellStyle name="20% - Accent4 7 5" xfId="9035"/>
    <cellStyle name="20% - Accent4 7 5 2" xfId="9036"/>
    <cellStyle name="20% - Accent4 7 5 3" xfId="9037"/>
    <cellStyle name="20% - Accent4 7 6" xfId="9038"/>
    <cellStyle name="20% - Accent4 7 6 2" xfId="9039"/>
    <cellStyle name="20% - Accent4 7 6 3" xfId="9040"/>
    <cellStyle name="20% - Accent4 7 7" xfId="9041"/>
    <cellStyle name="20% - Accent4 7 7 2" xfId="9042"/>
    <cellStyle name="20% - Accent4 7 7 3" xfId="9043"/>
    <cellStyle name="20% - Accent4 7 8" xfId="9044"/>
    <cellStyle name="20% - Accent4 7 8 2" xfId="9045"/>
    <cellStyle name="20% - Accent4 7 8 3" xfId="9046"/>
    <cellStyle name="20% - Accent4 7 9" xfId="9047"/>
    <cellStyle name="20% - Accent4 7 9 2" xfId="9048"/>
    <cellStyle name="20% - Accent4 7 9 3" xfId="9049"/>
    <cellStyle name="20% - Accent4 8" xfId="529"/>
    <cellStyle name="20% - Accent4 8 10" xfId="24848"/>
    <cellStyle name="20% - Accent4 8 11" xfId="25715"/>
    <cellStyle name="20% - Accent4 8 12" xfId="28438"/>
    <cellStyle name="20% - Accent4 8 2" xfId="1378"/>
    <cellStyle name="20% - Accent4 8 2 10" xfId="25716"/>
    <cellStyle name="20% - Accent4 8 2 11" xfId="28439"/>
    <cellStyle name="20% - Accent4 8 2 2" xfId="4178"/>
    <cellStyle name="20% - Accent4 8 2 2 2" xfId="5350"/>
    <cellStyle name="20% - Accent4 8 2 2 2 2" xfId="6103"/>
    <cellStyle name="20% - Accent4 8 2 2 2 2 2" xfId="25719"/>
    <cellStyle name="20% - Accent4 8 2 2 2 3" xfId="9053"/>
    <cellStyle name="20% - Accent4 8 2 2 2 4" xfId="25718"/>
    <cellStyle name="20% - Accent4 8 2 2 3" xfId="5660"/>
    <cellStyle name="20% - Accent4 8 2 2 3 2" xfId="6104"/>
    <cellStyle name="20% - Accent4 8 2 2 3 2 2" xfId="25721"/>
    <cellStyle name="20% - Accent4 8 2 2 3 3" xfId="25720"/>
    <cellStyle name="20% - Accent4 8 2 2 4" xfId="4374"/>
    <cellStyle name="20% - Accent4 8 2 2 4 2" xfId="6105"/>
    <cellStyle name="20% - Accent4 8 2 2 4 2 2" xfId="25723"/>
    <cellStyle name="20% - Accent4 8 2 2 4 3" xfId="25722"/>
    <cellStyle name="20% - Accent4 8 2 2 5" xfId="6102"/>
    <cellStyle name="20% - Accent4 8 2 2 5 2" xfId="25724"/>
    <cellStyle name="20% - Accent4 8 2 2 6" xfId="9052"/>
    <cellStyle name="20% - Accent4 8 2 2 6 2" xfId="25725"/>
    <cellStyle name="20% - Accent4 8 2 2 7" xfId="25030"/>
    <cellStyle name="20% - Accent4 8 2 2 8" xfId="25717"/>
    <cellStyle name="20% - Accent4 8 2 2 9" xfId="28440"/>
    <cellStyle name="20% - Accent4 8 2 3" xfId="5349"/>
    <cellStyle name="20% - Accent4 8 2 3 2" xfId="6106"/>
    <cellStyle name="20% - Accent4 8 2 3 2 2" xfId="25727"/>
    <cellStyle name="20% - Accent4 8 2 3 3" xfId="9054"/>
    <cellStyle name="20% - Accent4 8 2 3 4" xfId="25726"/>
    <cellStyle name="20% - Accent4 8 2 4" xfId="5659"/>
    <cellStyle name="20% - Accent4 8 2 4 2" xfId="6107"/>
    <cellStyle name="20% - Accent4 8 2 4 2 2" xfId="25729"/>
    <cellStyle name="20% - Accent4 8 2 4 3" xfId="9055"/>
    <cellStyle name="20% - Accent4 8 2 4 4" xfId="25728"/>
    <cellStyle name="20% - Accent4 8 2 5" xfId="4373"/>
    <cellStyle name="20% - Accent4 8 2 5 2" xfId="6108"/>
    <cellStyle name="20% - Accent4 8 2 5 2 2" xfId="9057"/>
    <cellStyle name="20% - Accent4 8 2 5 2 2 2" xfId="25732"/>
    <cellStyle name="20% - Accent4 8 2 5 2 3" xfId="25731"/>
    <cellStyle name="20% - Accent4 8 2 5 2 4" xfId="28442"/>
    <cellStyle name="20% - Accent4 8 2 5 3" xfId="9058"/>
    <cellStyle name="20% - Accent4 8 2 5 3 2" xfId="25733"/>
    <cellStyle name="20% - Accent4 8 2 5 3 3" xfId="28443"/>
    <cellStyle name="20% - Accent4 8 2 5 4" xfId="9056"/>
    <cellStyle name="20% - Accent4 8 2 5 4 2" xfId="25734"/>
    <cellStyle name="20% - Accent4 8 2 5 5" xfId="25730"/>
    <cellStyle name="20% - Accent4 8 2 5 6" xfId="28441"/>
    <cellStyle name="20% - Accent4 8 2 6" xfId="6101"/>
    <cellStyle name="20% - Accent4 8 2 6 2" xfId="9059"/>
    <cellStyle name="20% - Accent4 8 2 6 2 2" xfId="25736"/>
    <cellStyle name="20% - Accent4 8 2 6 3" xfId="25735"/>
    <cellStyle name="20% - Accent4 8 2 6 4" xfId="28444"/>
    <cellStyle name="20% - Accent4 8 2 7" xfId="9060"/>
    <cellStyle name="20% - Accent4 8 2 7 2" xfId="25737"/>
    <cellStyle name="20% - Accent4 8 2 7 3" xfId="28445"/>
    <cellStyle name="20% - Accent4 8 2 8" xfId="9051"/>
    <cellStyle name="20% - Accent4 8 2 8 2" xfId="25738"/>
    <cellStyle name="20% - Accent4 8 2 9" xfId="24910"/>
    <cellStyle name="20% - Accent4 8 3" xfId="3834"/>
    <cellStyle name="20% - Accent4 8 3 2" xfId="5351"/>
    <cellStyle name="20% - Accent4 8 3 2 2" xfId="6110"/>
    <cellStyle name="20% - Accent4 8 3 2 2 2" xfId="25741"/>
    <cellStyle name="20% - Accent4 8 3 2 3" xfId="9062"/>
    <cellStyle name="20% - Accent4 8 3 2 4" xfId="25740"/>
    <cellStyle name="20% - Accent4 8 3 3" xfId="5661"/>
    <cellStyle name="20% - Accent4 8 3 3 2" xfId="6111"/>
    <cellStyle name="20% - Accent4 8 3 3 2 2" xfId="25743"/>
    <cellStyle name="20% - Accent4 8 3 3 3" xfId="25742"/>
    <cellStyle name="20% - Accent4 8 3 4" xfId="4375"/>
    <cellStyle name="20% - Accent4 8 3 4 2" xfId="6112"/>
    <cellStyle name="20% - Accent4 8 3 4 2 2" xfId="25745"/>
    <cellStyle name="20% - Accent4 8 3 4 3" xfId="25744"/>
    <cellStyle name="20% - Accent4 8 3 5" xfId="6109"/>
    <cellStyle name="20% - Accent4 8 3 5 2" xfId="25746"/>
    <cellStyle name="20% - Accent4 8 3 6" xfId="9061"/>
    <cellStyle name="20% - Accent4 8 3 6 2" xfId="25747"/>
    <cellStyle name="20% - Accent4 8 3 7" xfId="24970"/>
    <cellStyle name="20% - Accent4 8 3 8" xfId="25739"/>
    <cellStyle name="20% - Accent4 8 3 9" xfId="28446"/>
    <cellStyle name="20% - Accent4 8 4" xfId="5348"/>
    <cellStyle name="20% - Accent4 8 4 2" xfId="6113"/>
    <cellStyle name="20% - Accent4 8 4 2 2" xfId="25749"/>
    <cellStyle name="20% - Accent4 8 4 3" xfId="9063"/>
    <cellStyle name="20% - Accent4 8 4 4" xfId="25748"/>
    <cellStyle name="20% - Accent4 8 5" xfId="5658"/>
    <cellStyle name="20% - Accent4 8 5 2" xfId="6114"/>
    <cellStyle name="20% - Accent4 8 5 2 2" xfId="25751"/>
    <cellStyle name="20% - Accent4 8 5 3" xfId="9064"/>
    <cellStyle name="20% - Accent4 8 5 4" xfId="25750"/>
    <cellStyle name="20% - Accent4 8 6" xfId="4372"/>
    <cellStyle name="20% - Accent4 8 6 2" xfId="6115"/>
    <cellStyle name="20% - Accent4 8 6 2 2" xfId="9066"/>
    <cellStyle name="20% - Accent4 8 6 2 2 2" xfId="25754"/>
    <cellStyle name="20% - Accent4 8 6 2 3" xfId="25753"/>
    <cellStyle name="20% - Accent4 8 6 2 4" xfId="28448"/>
    <cellStyle name="20% - Accent4 8 6 3" xfId="9067"/>
    <cellStyle name="20% - Accent4 8 6 3 2" xfId="25755"/>
    <cellStyle name="20% - Accent4 8 6 3 3" xfId="28449"/>
    <cellStyle name="20% - Accent4 8 6 4" xfId="9065"/>
    <cellStyle name="20% - Accent4 8 6 4 2" xfId="25756"/>
    <cellStyle name="20% - Accent4 8 6 5" xfId="25752"/>
    <cellStyle name="20% - Accent4 8 6 6" xfId="28447"/>
    <cellStyle name="20% - Accent4 8 7" xfId="6100"/>
    <cellStyle name="20% - Accent4 8 7 2" xfId="9068"/>
    <cellStyle name="20% - Accent4 8 7 2 2" xfId="25758"/>
    <cellStyle name="20% - Accent4 8 7 3" xfId="25757"/>
    <cellStyle name="20% - Accent4 8 7 4" xfId="28450"/>
    <cellStyle name="20% - Accent4 8 8" xfId="9069"/>
    <cellStyle name="20% - Accent4 8 8 2" xfId="25759"/>
    <cellStyle name="20% - Accent4 8 8 3" xfId="28451"/>
    <cellStyle name="20% - Accent4 8 9" xfId="9050"/>
    <cellStyle name="20% - Accent4 8 9 2" xfId="25760"/>
    <cellStyle name="20% - Accent4 9" xfId="530"/>
    <cellStyle name="20% - Accent4 9 2" xfId="4376"/>
    <cellStyle name="20% - Accent4 9 2 2" xfId="9071"/>
    <cellStyle name="20% - Accent4 9 2 3" xfId="9072"/>
    <cellStyle name="20% - Accent4 9 2 4" xfId="9070"/>
    <cellStyle name="20% - Accent4 9 3" xfId="9073"/>
    <cellStyle name="20% - Accent4 9 4" xfId="9074"/>
    <cellStyle name="20% - Accent4 9 5" xfId="9075"/>
    <cellStyle name="20% - Accent4 9 6" xfId="9076"/>
    <cellStyle name="20% - Accent5" xfId="7111" builtinId="46" customBuiltin="1"/>
    <cellStyle name="20% - Accent5 10" xfId="656"/>
    <cellStyle name="20% - Accent5 10 2" xfId="4377"/>
    <cellStyle name="20% - Accent5 10 2 2" xfId="9077"/>
    <cellStyle name="20% - Accent5 10 3" xfId="9078"/>
    <cellStyle name="20% - Accent5 10 4" xfId="9079"/>
    <cellStyle name="20% - Accent5 10 5" xfId="9080"/>
    <cellStyle name="20% - Accent5 11" xfId="657"/>
    <cellStyle name="20% - Accent5 11 2" xfId="4378"/>
    <cellStyle name="20% - Accent5 11 2 2" xfId="9081"/>
    <cellStyle name="20% - Accent5 11 3" xfId="9082"/>
    <cellStyle name="20% - Accent5 11 4" xfId="9083"/>
    <cellStyle name="20% - Accent5 11 5" xfId="9084"/>
    <cellStyle name="20% - Accent5 12" xfId="810"/>
    <cellStyle name="20% - Accent5 12 2" xfId="9086"/>
    <cellStyle name="20% - Accent5 12 3" xfId="9087"/>
    <cellStyle name="20% - Accent5 12 4" xfId="9085"/>
    <cellStyle name="20% - Accent5 13" xfId="811"/>
    <cellStyle name="20% - Accent5 13 2" xfId="3849"/>
    <cellStyle name="20% - Accent5 13 2 2" xfId="6117"/>
    <cellStyle name="20% - Accent5 13 2 2 2" xfId="25763"/>
    <cellStyle name="20% - Accent5 13 2 3" xfId="9089"/>
    <cellStyle name="20% - Accent5 13 2 4" xfId="24985"/>
    <cellStyle name="20% - Accent5 13 2 5" xfId="25762"/>
    <cellStyle name="20% - Accent5 13 3" xfId="6116"/>
    <cellStyle name="20% - Accent5 13 3 2" xfId="9090"/>
    <cellStyle name="20% - Accent5 13 3 3" xfId="25764"/>
    <cellStyle name="20% - Accent5 13 4" xfId="9088"/>
    <cellStyle name="20% - Accent5 13 5" xfId="24864"/>
    <cellStyle name="20% - Accent5 13 6" xfId="25761"/>
    <cellStyle name="20% - Accent5 14" xfId="929"/>
    <cellStyle name="20% - Accent5 14 2" xfId="9092"/>
    <cellStyle name="20% - Accent5 14 3" xfId="9093"/>
    <cellStyle name="20% - Accent5 14 4" xfId="9091"/>
    <cellStyle name="20% - Accent5 15" xfId="9094"/>
    <cellStyle name="20% - Accent5 15 2" xfId="9095"/>
    <cellStyle name="20% - Accent5 15 3" xfId="9096"/>
    <cellStyle name="20% - Accent5 16" xfId="9097"/>
    <cellStyle name="20% - Accent5 16 2" xfId="9098"/>
    <cellStyle name="20% - Accent5 16 3" xfId="9099"/>
    <cellStyle name="20% - Accent5 17" xfId="9100"/>
    <cellStyle name="20% - Accent5 17 2" xfId="9101"/>
    <cellStyle name="20% - Accent5 17 3" xfId="9102"/>
    <cellStyle name="20% - Accent5 18" xfId="9103"/>
    <cellStyle name="20% - Accent5 18 2" xfId="9104"/>
    <cellStyle name="20% - Accent5 18 3" xfId="9105"/>
    <cellStyle name="20% - Accent5 19" xfId="9106"/>
    <cellStyle name="20% - Accent5 19 2" xfId="9107"/>
    <cellStyle name="20% - Accent5 2" xfId="72"/>
    <cellStyle name="20% - Accent5 2 10" xfId="1671"/>
    <cellStyle name="20% - Accent5 2 10 2" xfId="4379"/>
    <cellStyle name="20% - Accent5 2 10 2 2" xfId="9108"/>
    <cellStyle name="20% - Accent5 2 10 3" xfId="9109"/>
    <cellStyle name="20% - Accent5 2 10 4" xfId="9110"/>
    <cellStyle name="20% - Accent5 2 10 5" xfId="9111"/>
    <cellStyle name="20% - Accent5 2 11" xfId="1923"/>
    <cellStyle name="20% - Accent5 2 11 2" xfId="4380"/>
    <cellStyle name="20% - Accent5 2 11 2 2" xfId="9112"/>
    <cellStyle name="20% - Accent5 2 11 3" xfId="9113"/>
    <cellStyle name="20% - Accent5 2 11 4" xfId="9114"/>
    <cellStyle name="20% - Accent5 2 11 5" xfId="9115"/>
    <cellStyle name="20% - Accent5 2 12" xfId="2342"/>
    <cellStyle name="20% - Accent5 2 12 2" xfId="4381"/>
    <cellStyle name="20% - Accent5 2 12 2 2" xfId="9116"/>
    <cellStyle name="20% - Accent5 2 12 3" xfId="9117"/>
    <cellStyle name="20% - Accent5 2 12 4" xfId="9118"/>
    <cellStyle name="20% - Accent5 2 12 5" xfId="9119"/>
    <cellStyle name="20% - Accent5 2 13" xfId="2715"/>
    <cellStyle name="20% - Accent5 2 13 2" xfId="4382"/>
    <cellStyle name="20% - Accent5 2 13 2 2" xfId="9120"/>
    <cellStyle name="20% - Accent5 2 13 3" xfId="9121"/>
    <cellStyle name="20% - Accent5 2 13 4" xfId="9122"/>
    <cellStyle name="20% - Accent5 2 13 5" xfId="9123"/>
    <cellStyle name="20% - Accent5 2 14" xfId="3044"/>
    <cellStyle name="20% - Accent5 2 14 2" xfId="4383"/>
    <cellStyle name="20% - Accent5 2 14 2 2" xfId="9124"/>
    <cellStyle name="20% - Accent5 2 14 3" xfId="9125"/>
    <cellStyle name="20% - Accent5 2 14 4" xfId="9126"/>
    <cellStyle name="20% - Accent5 2 14 5" xfId="9127"/>
    <cellStyle name="20% - Accent5 2 15" xfId="3415"/>
    <cellStyle name="20% - Accent5 2 15 2" xfId="4384"/>
    <cellStyle name="20% - Accent5 2 15 2 2" xfId="9128"/>
    <cellStyle name="20% - Accent5 2 15 3" xfId="9129"/>
    <cellStyle name="20% - Accent5 2 16" xfId="3636"/>
    <cellStyle name="20% - Accent5 2 16 2" xfId="4385"/>
    <cellStyle name="20% - Accent5 2 16 2 2" xfId="9130"/>
    <cellStyle name="20% - Accent5 2 16 3" xfId="9131"/>
    <cellStyle name="20% - Accent5 2 17" xfId="24471"/>
    <cellStyle name="20% - Accent5 2 2" xfId="116"/>
    <cellStyle name="20% - Accent5 2 2 10" xfId="9132"/>
    <cellStyle name="20% - Accent5 2 2 10 2" xfId="9133"/>
    <cellStyle name="20% - Accent5 2 2 10 3" xfId="9134"/>
    <cellStyle name="20% - Accent5 2 2 11" xfId="9135"/>
    <cellStyle name="20% - Accent5 2 2 11 2" xfId="9136"/>
    <cellStyle name="20% - Accent5 2 2 11 3" xfId="9137"/>
    <cellStyle name="20% - Accent5 2 2 12" xfId="9138"/>
    <cellStyle name="20% - Accent5 2 2 12 2" xfId="9139"/>
    <cellStyle name="20% - Accent5 2 2 12 3" xfId="9140"/>
    <cellStyle name="20% - Accent5 2 2 13" xfId="9141"/>
    <cellStyle name="20% - Accent5 2 2 14" xfId="9142"/>
    <cellStyle name="20% - Accent5 2 2 15" xfId="9143"/>
    <cellStyle name="20% - Accent5 2 2 2" xfId="187"/>
    <cellStyle name="20% - Accent5 2 2 2 2" xfId="9144"/>
    <cellStyle name="20% - Accent5 2 2 2 3" xfId="9145"/>
    <cellStyle name="20% - Accent5 2 2 3" xfId="351"/>
    <cellStyle name="20% - Accent5 2 2 3 2" xfId="9146"/>
    <cellStyle name="20% - Accent5 2 2 3 3" xfId="9147"/>
    <cellStyle name="20% - Accent5 2 2 4" xfId="2173"/>
    <cellStyle name="20% - Accent5 2 2 4 2" xfId="9148"/>
    <cellStyle name="20% - Accent5 2 2 4 3" xfId="9149"/>
    <cellStyle name="20% - Accent5 2 2 5" xfId="2547"/>
    <cellStyle name="20% - Accent5 2 2 5 2" xfId="9150"/>
    <cellStyle name="20% - Accent5 2 2 5 3" xfId="9151"/>
    <cellStyle name="20% - Accent5 2 2 6" xfId="2919"/>
    <cellStyle name="20% - Accent5 2 2 6 2" xfId="9152"/>
    <cellStyle name="20% - Accent5 2 2 6 3" xfId="9153"/>
    <cellStyle name="20% - Accent5 2 2 7" xfId="3291"/>
    <cellStyle name="20% - Accent5 2 2 7 2" xfId="9154"/>
    <cellStyle name="20% - Accent5 2 2 7 3" xfId="9155"/>
    <cellStyle name="20% - Accent5 2 2 8" xfId="4386"/>
    <cellStyle name="20% - Accent5 2 2 8 2" xfId="9157"/>
    <cellStyle name="20% - Accent5 2 2 8 3" xfId="9158"/>
    <cellStyle name="20% - Accent5 2 2 8 4" xfId="9156"/>
    <cellStyle name="20% - Accent5 2 2 9" xfId="9159"/>
    <cellStyle name="20% - Accent5 2 2 9 2" xfId="9160"/>
    <cellStyle name="20% - Accent5 2 2 9 3" xfId="9161"/>
    <cellStyle name="20% - Accent5 2 3" xfId="281"/>
    <cellStyle name="20% - Accent5 2 3 2" xfId="1349"/>
    <cellStyle name="20% - Accent5 2 3 2 2" xfId="9162"/>
    <cellStyle name="20% - Accent5 2 3 2 3" xfId="9163"/>
    <cellStyle name="20% - Accent5 2 3 3" xfId="9164"/>
    <cellStyle name="20% - Accent5 2 3 4" xfId="9165"/>
    <cellStyle name="20% - Accent5 2 4" xfId="374"/>
    <cellStyle name="20% - Accent5 2 4 2" xfId="9166"/>
    <cellStyle name="20% - Accent5 2 4 2 2" xfId="9167"/>
    <cellStyle name="20% - Accent5 2 4 2 3" xfId="9168"/>
    <cellStyle name="20% - Accent5 2 4 3" xfId="9169"/>
    <cellStyle name="20% - Accent5 2 4 4" xfId="9170"/>
    <cellStyle name="20% - Accent5 2 5" xfId="531"/>
    <cellStyle name="20% - Accent5 2 5 2" xfId="9171"/>
    <cellStyle name="20% - Accent5 2 5 3" xfId="9172"/>
    <cellStyle name="20% - Accent5 2 6" xfId="658"/>
    <cellStyle name="20% - Accent5 2 6 2" xfId="9173"/>
    <cellStyle name="20% - Accent5 2 6 3" xfId="9174"/>
    <cellStyle name="20% - Accent5 2 7" xfId="659"/>
    <cellStyle name="20% - Accent5 2 7 2" xfId="9175"/>
    <cellStyle name="20% - Accent5 2 7 3" xfId="9176"/>
    <cellStyle name="20% - Accent5 2 8" xfId="812"/>
    <cellStyle name="20% - Accent5 2 8 2" xfId="1400"/>
    <cellStyle name="20% - Accent5 2 8 2 2" xfId="9177"/>
    <cellStyle name="20% - Accent5 2 8 3" xfId="9178"/>
    <cellStyle name="20% - Accent5 2 8 4" xfId="9179"/>
    <cellStyle name="20% - Accent5 2 8 5" xfId="9180"/>
    <cellStyle name="20% - Accent5 2 9" xfId="930"/>
    <cellStyle name="20% - Accent5 2 9 2" xfId="1440"/>
    <cellStyle name="20% - Accent5 2 9 2 2" xfId="9181"/>
    <cellStyle name="20% - Accent5 2 9 3" xfId="9182"/>
    <cellStyle name="20% - Accent5 2 9 4" xfId="9183"/>
    <cellStyle name="20% - Accent5 2 9 5" xfId="9184"/>
    <cellStyle name="20% - Accent5 20" xfId="9185"/>
    <cellStyle name="20% - Accent5 21" xfId="9186"/>
    <cellStyle name="20% - Accent5 21 2" xfId="9187"/>
    <cellStyle name="20% - Accent5 21 2 2" xfId="9188"/>
    <cellStyle name="20% - Accent5 21 2 2 2" xfId="25767"/>
    <cellStyle name="20% - Accent5 21 2 2 3" xfId="28454"/>
    <cellStyle name="20% - Accent5 21 2 3" xfId="9189"/>
    <cellStyle name="20% - Accent5 21 2 3 2" xfId="25768"/>
    <cellStyle name="20% - Accent5 21 2 3 3" xfId="28455"/>
    <cellStyle name="20% - Accent5 21 2 4" xfId="25766"/>
    <cellStyle name="20% - Accent5 21 2 5" xfId="28453"/>
    <cellStyle name="20% - Accent5 21 3" xfId="9190"/>
    <cellStyle name="20% - Accent5 21 3 2" xfId="25769"/>
    <cellStyle name="20% - Accent5 21 3 3" xfId="28456"/>
    <cellStyle name="20% - Accent5 21 4" xfId="9191"/>
    <cellStyle name="20% - Accent5 21 4 2" xfId="25770"/>
    <cellStyle name="20% - Accent5 21 4 3" xfId="28457"/>
    <cellStyle name="20% - Accent5 21 5" xfId="25765"/>
    <cellStyle name="20% - Accent5 21 6" xfId="28452"/>
    <cellStyle name="20% - Accent5 22" xfId="9192"/>
    <cellStyle name="20% - Accent5 22 2" xfId="9193"/>
    <cellStyle name="20% - Accent5 22 2 2" xfId="9194"/>
    <cellStyle name="20% - Accent5 22 2 2 2" xfId="25773"/>
    <cellStyle name="20% - Accent5 22 2 2 3" xfId="28460"/>
    <cellStyle name="20% - Accent5 22 2 3" xfId="9195"/>
    <cellStyle name="20% - Accent5 22 2 3 2" xfId="25774"/>
    <cellStyle name="20% - Accent5 22 2 3 3" xfId="28461"/>
    <cellStyle name="20% - Accent5 22 2 4" xfId="25772"/>
    <cellStyle name="20% - Accent5 22 2 5" xfId="28459"/>
    <cellStyle name="20% - Accent5 22 3" xfId="9196"/>
    <cellStyle name="20% - Accent5 22 3 2" xfId="25775"/>
    <cellStyle name="20% - Accent5 22 3 3" xfId="28462"/>
    <cellStyle name="20% - Accent5 22 4" xfId="9197"/>
    <cellStyle name="20% - Accent5 22 4 2" xfId="25776"/>
    <cellStyle name="20% - Accent5 22 4 3" xfId="28463"/>
    <cellStyle name="20% - Accent5 22 5" xfId="25771"/>
    <cellStyle name="20% - Accent5 22 6" xfId="28458"/>
    <cellStyle name="20% - Accent5 23" xfId="9198"/>
    <cellStyle name="20% - Accent5 24" xfId="9199"/>
    <cellStyle name="20% - Accent5 24 2" xfId="9200"/>
    <cellStyle name="20% - Accent5 24 2 2" xfId="9201"/>
    <cellStyle name="20% - Accent5 24 2 2 2" xfId="25779"/>
    <cellStyle name="20% - Accent5 24 2 2 3" xfId="28466"/>
    <cellStyle name="20% - Accent5 24 2 3" xfId="9202"/>
    <cellStyle name="20% - Accent5 24 2 3 2" xfId="25780"/>
    <cellStyle name="20% - Accent5 24 2 3 3" xfId="28467"/>
    <cellStyle name="20% - Accent5 24 2 4" xfId="25778"/>
    <cellStyle name="20% - Accent5 24 2 5" xfId="28465"/>
    <cellStyle name="20% - Accent5 24 3" xfId="9203"/>
    <cellStyle name="20% - Accent5 24 3 2" xfId="25781"/>
    <cellStyle name="20% - Accent5 24 3 3" xfId="28468"/>
    <cellStyle name="20% - Accent5 24 4" xfId="9204"/>
    <cellStyle name="20% - Accent5 24 4 2" xfId="25782"/>
    <cellStyle name="20% - Accent5 24 4 3" xfId="28469"/>
    <cellStyle name="20% - Accent5 24 5" xfId="25777"/>
    <cellStyle name="20% - Accent5 24 6" xfId="28464"/>
    <cellStyle name="20% - Accent5 25" xfId="9205"/>
    <cellStyle name="20% - Accent5 25 2" xfId="9206"/>
    <cellStyle name="20% - Accent5 25 2 2" xfId="9207"/>
    <cellStyle name="20% - Accent5 25 2 2 2" xfId="25785"/>
    <cellStyle name="20% - Accent5 25 2 2 3" xfId="28472"/>
    <cellStyle name="20% - Accent5 25 2 3" xfId="9208"/>
    <cellStyle name="20% - Accent5 25 2 3 2" xfId="25786"/>
    <cellStyle name="20% - Accent5 25 2 3 3" xfId="28473"/>
    <cellStyle name="20% - Accent5 25 2 4" xfId="25784"/>
    <cellStyle name="20% - Accent5 25 2 5" xfId="28471"/>
    <cellStyle name="20% - Accent5 25 3" xfId="9209"/>
    <cellStyle name="20% - Accent5 25 3 2" xfId="25787"/>
    <cellStyle name="20% - Accent5 25 3 3" xfId="28474"/>
    <cellStyle name="20% - Accent5 25 4" xfId="9210"/>
    <cellStyle name="20% - Accent5 25 4 2" xfId="25788"/>
    <cellStyle name="20% - Accent5 25 4 3" xfId="28475"/>
    <cellStyle name="20% - Accent5 25 5" xfId="25783"/>
    <cellStyle name="20% - Accent5 25 6" xfId="28470"/>
    <cellStyle name="20% - Accent5 26" xfId="9211"/>
    <cellStyle name="20% - Accent5 27" xfId="9212"/>
    <cellStyle name="20% - Accent5 27 2" xfId="9213"/>
    <cellStyle name="20% - Accent5 27 2 2" xfId="9214"/>
    <cellStyle name="20% - Accent5 27 2 2 2" xfId="25791"/>
    <cellStyle name="20% - Accent5 27 2 2 3" xfId="28478"/>
    <cellStyle name="20% - Accent5 27 2 3" xfId="9215"/>
    <cellStyle name="20% - Accent5 27 2 3 2" xfId="25792"/>
    <cellStyle name="20% - Accent5 27 2 3 3" xfId="28479"/>
    <cellStyle name="20% - Accent5 27 2 4" xfId="25790"/>
    <cellStyle name="20% - Accent5 27 2 5" xfId="28477"/>
    <cellStyle name="20% - Accent5 27 3" xfId="9216"/>
    <cellStyle name="20% - Accent5 27 3 2" xfId="25793"/>
    <cellStyle name="20% - Accent5 27 3 3" xfId="28480"/>
    <cellStyle name="20% - Accent5 27 4" xfId="9217"/>
    <cellStyle name="20% - Accent5 27 4 2" xfId="25794"/>
    <cellStyle name="20% - Accent5 27 4 3" xfId="28481"/>
    <cellStyle name="20% - Accent5 27 5" xfId="25789"/>
    <cellStyle name="20% - Accent5 27 6" xfId="28476"/>
    <cellStyle name="20% - Accent5 28" xfId="9218"/>
    <cellStyle name="20% - Accent5 28 2" xfId="9219"/>
    <cellStyle name="20% - Accent5 28 2 2" xfId="25796"/>
    <cellStyle name="20% - Accent5 28 2 3" xfId="28483"/>
    <cellStyle name="20% - Accent5 28 3" xfId="9220"/>
    <cellStyle name="20% - Accent5 28 3 2" xfId="25797"/>
    <cellStyle name="20% - Accent5 28 3 3" xfId="28484"/>
    <cellStyle name="20% - Accent5 28 4" xfId="25795"/>
    <cellStyle name="20% - Accent5 28 5" xfId="28482"/>
    <cellStyle name="20% - Accent5 29" xfId="9221"/>
    <cellStyle name="20% - Accent5 29 2" xfId="25798"/>
    <cellStyle name="20% - Accent5 29 3" xfId="28485"/>
    <cellStyle name="20% - Accent5 3" xfId="228"/>
    <cellStyle name="20% - Accent5 3 10" xfId="3679"/>
    <cellStyle name="20% - Accent5 3 10 2" xfId="4387"/>
    <cellStyle name="20% - Accent5 3 10 2 2" xfId="9222"/>
    <cellStyle name="20% - Accent5 3 10 3" xfId="9223"/>
    <cellStyle name="20% - Accent5 3 10 4" xfId="9224"/>
    <cellStyle name="20% - Accent5 3 10 5" xfId="9225"/>
    <cellStyle name="20% - Accent5 3 11" xfId="9226"/>
    <cellStyle name="20% - Accent5 3 11 2" xfId="9227"/>
    <cellStyle name="20% - Accent5 3 11 3" xfId="9228"/>
    <cellStyle name="20% - Accent5 3 12" xfId="9229"/>
    <cellStyle name="20% - Accent5 3 12 2" xfId="9230"/>
    <cellStyle name="20% - Accent5 3 12 3" xfId="9231"/>
    <cellStyle name="20% - Accent5 3 13" xfId="9232"/>
    <cellStyle name="20% - Accent5 3 13 2" xfId="9233"/>
    <cellStyle name="20% - Accent5 3 13 3" xfId="9234"/>
    <cellStyle name="20% - Accent5 3 14" xfId="9235"/>
    <cellStyle name="20% - Accent5 3 15" xfId="9236"/>
    <cellStyle name="20% - Accent5 3 2" xfId="1452"/>
    <cellStyle name="20% - Accent5 3 2 10" xfId="9237"/>
    <cellStyle name="20% - Accent5 3 2 10 2" xfId="9238"/>
    <cellStyle name="20% - Accent5 3 2 10 3" xfId="9239"/>
    <cellStyle name="20% - Accent5 3 2 11" xfId="9240"/>
    <cellStyle name="20% - Accent5 3 2 11 2" xfId="9241"/>
    <cellStyle name="20% - Accent5 3 2 11 3" xfId="9242"/>
    <cellStyle name="20% - Accent5 3 2 12" xfId="9243"/>
    <cellStyle name="20% - Accent5 3 2 12 2" xfId="9244"/>
    <cellStyle name="20% - Accent5 3 2 12 3" xfId="9245"/>
    <cellStyle name="20% - Accent5 3 2 13" xfId="9246"/>
    <cellStyle name="20% - Accent5 3 2 14" xfId="9247"/>
    <cellStyle name="20% - Accent5 3 2 15" xfId="9248"/>
    <cellStyle name="20% - Accent5 3 2 2" xfId="1839"/>
    <cellStyle name="20% - Accent5 3 2 2 2" xfId="9249"/>
    <cellStyle name="20% - Accent5 3 2 2 3" xfId="9250"/>
    <cellStyle name="20% - Accent5 3 2 3" xfId="2214"/>
    <cellStyle name="20% - Accent5 3 2 3 2" xfId="9251"/>
    <cellStyle name="20% - Accent5 3 2 3 3" xfId="9252"/>
    <cellStyle name="20% - Accent5 3 2 4" xfId="2588"/>
    <cellStyle name="20% - Accent5 3 2 4 2" xfId="9253"/>
    <cellStyle name="20% - Accent5 3 2 4 3" xfId="9254"/>
    <cellStyle name="20% - Accent5 3 2 5" xfId="2960"/>
    <cellStyle name="20% - Accent5 3 2 5 2" xfId="9255"/>
    <cellStyle name="20% - Accent5 3 2 5 3" xfId="9256"/>
    <cellStyle name="20% - Accent5 3 2 6" xfId="3332"/>
    <cellStyle name="20% - Accent5 3 2 6 2" xfId="9257"/>
    <cellStyle name="20% - Accent5 3 2 6 3" xfId="9258"/>
    <cellStyle name="20% - Accent5 3 2 7" xfId="4388"/>
    <cellStyle name="20% - Accent5 3 2 7 2" xfId="9260"/>
    <cellStyle name="20% - Accent5 3 2 7 3" xfId="9261"/>
    <cellStyle name="20% - Accent5 3 2 7 4" xfId="9259"/>
    <cellStyle name="20% - Accent5 3 2 8" xfId="9262"/>
    <cellStyle name="20% - Accent5 3 2 8 2" xfId="9263"/>
    <cellStyle name="20% - Accent5 3 2 8 3" xfId="9264"/>
    <cellStyle name="20% - Accent5 3 2 9" xfId="9265"/>
    <cellStyle name="20% - Accent5 3 2 9 2" xfId="9266"/>
    <cellStyle name="20% - Accent5 3 2 9 3" xfId="9267"/>
    <cellStyle name="20% - Accent5 3 3" xfId="1579"/>
    <cellStyle name="20% - Accent5 3 3 2" xfId="1916"/>
    <cellStyle name="20% - Accent5 3 3 3" xfId="2291"/>
    <cellStyle name="20% - Accent5 3 3 4" xfId="2664"/>
    <cellStyle name="20% - Accent5 3 3 5" xfId="3037"/>
    <cellStyle name="20% - Accent5 3 3 6" xfId="3408"/>
    <cellStyle name="20% - Accent5 3 3 7" xfId="4389"/>
    <cellStyle name="20% - Accent5 3 4" xfId="1716"/>
    <cellStyle name="20% - Accent5 3 4 2" xfId="1960"/>
    <cellStyle name="20% - Accent5 3 4 3" xfId="2335"/>
    <cellStyle name="20% - Accent5 3 4 4" xfId="2708"/>
    <cellStyle name="20% - Accent5 3 4 5" xfId="3081"/>
    <cellStyle name="20% - Accent5 3 4 6" xfId="3452"/>
    <cellStyle name="20% - Accent5 3 5" xfId="2051"/>
    <cellStyle name="20% - Accent5 3 5 2" xfId="9268"/>
    <cellStyle name="20% - Accent5 3 5 3" xfId="9269"/>
    <cellStyle name="20% - Accent5 3 5 4" xfId="9270"/>
    <cellStyle name="20% - Accent5 3 6" xfId="2425"/>
    <cellStyle name="20% - Accent5 3 6 2" xfId="9271"/>
    <cellStyle name="20% - Accent5 3 6 3" xfId="9272"/>
    <cellStyle name="20% - Accent5 3 6 4" xfId="9273"/>
    <cellStyle name="20% - Accent5 3 7" xfId="2797"/>
    <cellStyle name="20% - Accent5 3 7 2" xfId="9274"/>
    <cellStyle name="20% - Accent5 3 7 3" xfId="9275"/>
    <cellStyle name="20% - Accent5 3 7 4" xfId="9276"/>
    <cellStyle name="20% - Accent5 3 8" xfId="3168"/>
    <cellStyle name="20% - Accent5 3 8 2" xfId="9277"/>
    <cellStyle name="20% - Accent5 3 8 3" xfId="9278"/>
    <cellStyle name="20% - Accent5 3 8 4" xfId="9279"/>
    <cellStyle name="20% - Accent5 3 9" xfId="3543"/>
    <cellStyle name="20% - Accent5 3 9 2" xfId="4390"/>
    <cellStyle name="20% - Accent5 3 9 2 2" xfId="9280"/>
    <cellStyle name="20% - Accent5 3 9 3" xfId="9281"/>
    <cellStyle name="20% - Accent5 3 9 4" xfId="9282"/>
    <cellStyle name="20% - Accent5 3 9 5" xfId="9283"/>
    <cellStyle name="20% - Accent5 30" xfId="28146"/>
    <cellStyle name="20% - Accent5 4" xfId="239"/>
    <cellStyle name="20% - Accent5 4 10" xfId="3723"/>
    <cellStyle name="20% - Accent5 4 10 2" xfId="4392"/>
    <cellStyle name="20% - Accent5 4 10 2 2" xfId="9285"/>
    <cellStyle name="20% - Accent5 4 10 3" xfId="9286"/>
    <cellStyle name="20% - Accent5 4 10 4" xfId="9287"/>
    <cellStyle name="20% - Accent5 4 10 5" xfId="9288"/>
    <cellStyle name="20% - Accent5 4 11" xfId="1310"/>
    <cellStyle name="20% - Accent5 4 11 10" xfId="25799"/>
    <cellStyle name="20% - Accent5 4 11 11" xfId="28487"/>
    <cellStyle name="20% - Accent5 4 11 2" xfId="4152"/>
    <cellStyle name="20% - Accent5 4 11 2 2" xfId="5354"/>
    <cellStyle name="20% - Accent5 4 11 2 2 2" xfId="6120"/>
    <cellStyle name="20% - Accent5 4 11 2 2 2 2" xfId="25802"/>
    <cellStyle name="20% - Accent5 4 11 2 2 3" xfId="9291"/>
    <cellStyle name="20% - Accent5 4 11 2 2 4" xfId="25801"/>
    <cellStyle name="20% - Accent5 4 11 2 3" xfId="5664"/>
    <cellStyle name="20% - Accent5 4 11 2 3 2" xfId="6121"/>
    <cellStyle name="20% - Accent5 4 11 2 3 2 2" xfId="25804"/>
    <cellStyle name="20% - Accent5 4 11 2 3 3" xfId="25803"/>
    <cellStyle name="20% - Accent5 4 11 2 4" xfId="4394"/>
    <cellStyle name="20% - Accent5 4 11 2 4 2" xfId="6122"/>
    <cellStyle name="20% - Accent5 4 11 2 4 2 2" xfId="25806"/>
    <cellStyle name="20% - Accent5 4 11 2 4 3" xfId="25805"/>
    <cellStyle name="20% - Accent5 4 11 2 5" xfId="6119"/>
    <cellStyle name="20% - Accent5 4 11 2 5 2" xfId="25807"/>
    <cellStyle name="20% - Accent5 4 11 2 6" xfId="9290"/>
    <cellStyle name="20% - Accent5 4 11 2 6 2" xfId="25808"/>
    <cellStyle name="20% - Accent5 4 11 2 7" xfId="25004"/>
    <cellStyle name="20% - Accent5 4 11 2 8" xfId="25800"/>
    <cellStyle name="20% - Accent5 4 11 2 9" xfId="28488"/>
    <cellStyle name="20% - Accent5 4 11 3" xfId="5353"/>
    <cellStyle name="20% - Accent5 4 11 3 2" xfId="6123"/>
    <cellStyle name="20% - Accent5 4 11 3 2 2" xfId="25810"/>
    <cellStyle name="20% - Accent5 4 11 3 3" xfId="9292"/>
    <cellStyle name="20% - Accent5 4 11 3 4" xfId="25809"/>
    <cellStyle name="20% - Accent5 4 11 4" xfId="5663"/>
    <cellStyle name="20% - Accent5 4 11 4 2" xfId="6124"/>
    <cellStyle name="20% - Accent5 4 11 4 2 2" xfId="25812"/>
    <cellStyle name="20% - Accent5 4 11 4 3" xfId="9293"/>
    <cellStyle name="20% - Accent5 4 11 4 4" xfId="25811"/>
    <cellStyle name="20% - Accent5 4 11 5" xfId="4393"/>
    <cellStyle name="20% - Accent5 4 11 5 2" xfId="6125"/>
    <cellStyle name="20% - Accent5 4 11 5 2 2" xfId="9295"/>
    <cellStyle name="20% - Accent5 4 11 5 2 2 2" xfId="25815"/>
    <cellStyle name="20% - Accent5 4 11 5 2 3" xfId="25814"/>
    <cellStyle name="20% - Accent5 4 11 5 2 4" xfId="28490"/>
    <cellStyle name="20% - Accent5 4 11 5 3" xfId="9296"/>
    <cellStyle name="20% - Accent5 4 11 5 3 2" xfId="25816"/>
    <cellStyle name="20% - Accent5 4 11 5 3 3" xfId="28491"/>
    <cellStyle name="20% - Accent5 4 11 5 4" xfId="9294"/>
    <cellStyle name="20% - Accent5 4 11 5 4 2" xfId="25817"/>
    <cellStyle name="20% - Accent5 4 11 5 5" xfId="25813"/>
    <cellStyle name="20% - Accent5 4 11 5 6" xfId="28489"/>
    <cellStyle name="20% - Accent5 4 11 6" xfId="6118"/>
    <cellStyle name="20% - Accent5 4 11 6 2" xfId="9297"/>
    <cellStyle name="20% - Accent5 4 11 6 2 2" xfId="25819"/>
    <cellStyle name="20% - Accent5 4 11 6 3" xfId="25818"/>
    <cellStyle name="20% - Accent5 4 11 6 4" xfId="28492"/>
    <cellStyle name="20% - Accent5 4 11 7" xfId="9298"/>
    <cellStyle name="20% - Accent5 4 11 7 2" xfId="25820"/>
    <cellStyle name="20% - Accent5 4 11 7 3" xfId="28493"/>
    <cellStyle name="20% - Accent5 4 11 8" xfId="9289"/>
    <cellStyle name="20% - Accent5 4 11 8 2" xfId="25821"/>
    <cellStyle name="20% - Accent5 4 11 9" xfId="24884"/>
    <cellStyle name="20% - Accent5 4 12" xfId="4395"/>
    <cellStyle name="20% - Accent5 4 12 2" xfId="5355"/>
    <cellStyle name="20% - Accent5 4 12 2 2" xfId="6127"/>
    <cellStyle name="20% - Accent5 4 12 2 2 2" xfId="25824"/>
    <cellStyle name="20% - Accent5 4 12 2 3" xfId="9300"/>
    <cellStyle name="20% - Accent5 4 12 2 4" xfId="25823"/>
    <cellStyle name="20% - Accent5 4 12 3" xfId="5665"/>
    <cellStyle name="20% - Accent5 4 12 3 2" xfId="6128"/>
    <cellStyle name="20% - Accent5 4 12 3 2 2" xfId="25826"/>
    <cellStyle name="20% - Accent5 4 12 3 3" xfId="9301"/>
    <cellStyle name="20% - Accent5 4 12 3 4" xfId="25825"/>
    <cellStyle name="20% - Accent5 4 12 4" xfId="6126"/>
    <cellStyle name="20% - Accent5 4 12 4 2" xfId="9302"/>
    <cellStyle name="20% - Accent5 4 12 4 3" xfId="25827"/>
    <cellStyle name="20% - Accent5 4 12 5" xfId="9299"/>
    <cellStyle name="20% - Accent5 4 12 5 2" xfId="25828"/>
    <cellStyle name="20% - Accent5 4 12 6" xfId="25822"/>
    <cellStyle name="20% - Accent5 4 12 7" xfId="28494"/>
    <cellStyle name="20% - Accent5 4 13" xfId="5352"/>
    <cellStyle name="20% - Accent5 4 13 2" xfId="6129"/>
    <cellStyle name="20% - Accent5 4 13 2 2" xfId="9304"/>
    <cellStyle name="20% - Accent5 4 13 2 3" xfId="25830"/>
    <cellStyle name="20% - Accent5 4 13 3" xfId="9305"/>
    <cellStyle name="20% - Accent5 4 13 4" xfId="9303"/>
    <cellStyle name="20% - Accent5 4 13 5" xfId="25829"/>
    <cellStyle name="20% - Accent5 4 14" xfId="5662"/>
    <cellStyle name="20% - Accent5 4 14 2" xfId="6130"/>
    <cellStyle name="20% - Accent5 4 14 2 2" xfId="25832"/>
    <cellStyle name="20% - Accent5 4 14 3" xfId="9306"/>
    <cellStyle name="20% - Accent5 4 14 4" xfId="25831"/>
    <cellStyle name="20% - Accent5 4 15" xfId="4391"/>
    <cellStyle name="20% - Accent5 4 15 2" xfId="6131"/>
    <cellStyle name="20% - Accent5 4 15 2 2" xfId="25834"/>
    <cellStyle name="20% - Accent5 4 15 3" xfId="9307"/>
    <cellStyle name="20% - Accent5 4 15 4" xfId="25833"/>
    <cellStyle name="20% - Accent5 4 16" xfId="9308"/>
    <cellStyle name="20% - Accent5 4 17" xfId="9309"/>
    <cellStyle name="20% - Accent5 4 17 2" xfId="9310"/>
    <cellStyle name="20% - Accent5 4 17 2 2" xfId="25836"/>
    <cellStyle name="20% - Accent5 4 17 2 3" xfId="28496"/>
    <cellStyle name="20% - Accent5 4 17 3" xfId="9311"/>
    <cellStyle name="20% - Accent5 4 17 3 2" xfId="25837"/>
    <cellStyle name="20% - Accent5 4 17 3 3" xfId="28497"/>
    <cellStyle name="20% - Accent5 4 17 4" xfId="25835"/>
    <cellStyle name="20% - Accent5 4 17 5" xfId="28495"/>
    <cellStyle name="20% - Accent5 4 18" xfId="9312"/>
    <cellStyle name="20% - Accent5 4 18 2" xfId="25838"/>
    <cellStyle name="20% - Accent5 4 18 3" xfId="28498"/>
    <cellStyle name="20% - Accent5 4 19" xfId="9313"/>
    <cellStyle name="20% - Accent5 4 19 2" xfId="25839"/>
    <cellStyle name="20% - Accent5 4 19 3" xfId="28499"/>
    <cellStyle name="20% - Accent5 4 2" xfId="1497"/>
    <cellStyle name="20% - Accent5 4 2 10" xfId="9314"/>
    <cellStyle name="20% - Accent5 4 2 10 2" xfId="9315"/>
    <cellStyle name="20% - Accent5 4 2 10 3" xfId="9316"/>
    <cellStyle name="20% - Accent5 4 2 11" xfId="9317"/>
    <cellStyle name="20% - Accent5 4 2 11 2" xfId="9318"/>
    <cellStyle name="20% - Accent5 4 2 11 3" xfId="9319"/>
    <cellStyle name="20% - Accent5 4 2 12" xfId="9320"/>
    <cellStyle name="20% - Accent5 4 2 12 2" xfId="9321"/>
    <cellStyle name="20% - Accent5 4 2 12 3" xfId="9322"/>
    <cellStyle name="20% - Accent5 4 2 13" xfId="9323"/>
    <cellStyle name="20% - Accent5 4 2 14" xfId="9324"/>
    <cellStyle name="20% - Accent5 4 2 15" xfId="9325"/>
    <cellStyle name="20% - Accent5 4 2 16" xfId="9326"/>
    <cellStyle name="20% - Accent5 4 2 2" xfId="4396"/>
    <cellStyle name="20% - Accent5 4 2 2 2" xfId="9328"/>
    <cellStyle name="20% - Accent5 4 2 2 3" xfId="9329"/>
    <cellStyle name="20% - Accent5 4 2 2 4" xfId="9327"/>
    <cellStyle name="20% - Accent5 4 2 3" xfId="9330"/>
    <cellStyle name="20% - Accent5 4 2 3 2" xfId="9331"/>
    <cellStyle name="20% - Accent5 4 2 3 3" xfId="9332"/>
    <cellStyle name="20% - Accent5 4 2 4" xfId="9333"/>
    <cellStyle name="20% - Accent5 4 2 4 2" xfId="9334"/>
    <cellStyle name="20% - Accent5 4 2 4 3" xfId="9335"/>
    <cellStyle name="20% - Accent5 4 2 5" xfId="9336"/>
    <cellStyle name="20% - Accent5 4 2 5 2" xfId="9337"/>
    <cellStyle name="20% - Accent5 4 2 5 3" xfId="9338"/>
    <cellStyle name="20% - Accent5 4 2 6" xfId="9339"/>
    <cellStyle name="20% - Accent5 4 2 6 2" xfId="9340"/>
    <cellStyle name="20% - Accent5 4 2 6 3" xfId="9341"/>
    <cellStyle name="20% - Accent5 4 2 7" xfId="9342"/>
    <cellStyle name="20% - Accent5 4 2 7 2" xfId="9343"/>
    <cellStyle name="20% - Accent5 4 2 7 3" xfId="9344"/>
    <cellStyle name="20% - Accent5 4 2 8" xfId="9345"/>
    <cellStyle name="20% - Accent5 4 2 8 2" xfId="9346"/>
    <cellStyle name="20% - Accent5 4 2 8 3" xfId="9347"/>
    <cellStyle name="20% - Accent5 4 2 9" xfId="9348"/>
    <cellStyle name="20% - Accent5 4 2 9 2" xfId="9349"/>
    <cellStyle name="20% - Accent5 4 2 9 3" xfId="9350"/>
    <cellStyle name="20% - Accent5 4 20" xfId="9284"/>
    <cellStyle name="20% - Accent5 4 20 2" xfId="25840"/>
    <cellStyle name="20% - Accent5 4 21" xfId="28486"/>
    <cellStyle name="20% - Accent5 4 3" xfId="1622"/>
    <cellStyle name="20% - Accent5 4 3 2" xfId="4397"/>
    <cellStyle name="20% - Accent5 4 3 2 2" xfId="9351"/>
    <cellStyle name="20% - Accent5 4 3 3" xfId="9352"/>
    <cellStyle name="20% - Accent5 4 3 4" xfId="9353"/>
    <cellStyle name="20% - Accent5 4 3 5" xfId="9354"/>
    <cellStyle name="20% - Accent5 4 4" xfId="1800"/>
    <cellStyle name="20% - Accent5 4 4 2" xfId="9355"/>
    <cellStyle name="20% - Accent5 4 4 3" xfId="9356"/>
    <cellStyle name="20% - Accent5 4 4 4" xfId="9357"/>
    <cellStyle name="20% - Accent5 4 5" xfId="2136"/>
    <cellStyle name="20% - Accent5 4 5 2" xfId="9358"/>
    <cellStyle name="20% - Accent5 4 5 3" xfId="9359"/>
    <cellStyle name="20% - Accent5 4 5 4" xfId="9360"/>
    <cellStyle name="20% - Accent5 4 6" xfId="2510"/>
    <cellStyle name="20% - Accent5 4 6 2" xfId="9361"/>
    <cellStyle name="20% - Accent5 4 6 3" xfId="9362"/>
    <cellStyle name="20% - Accent5 4 6 4" xfId="9363"/>
    <cellStyle name="20% - Accent5 4 7" xfId="2882"/>
    <cellStyle name="20% - Accent5 4 7 2" xfId="9364"/>
    <cellStyle name="20% - Accent5 4 7 3" xfId="9365"/>
    <cellStyle name="20% - Accent5 4 7 4" xfId="9366"/>
    <cellStyle name="20% - Accent5 4 8" xfId="3253"/>
    <cellStyle name="20% - Accent5 4 8 2" xfId="9367"/>
    <cellStyle name="20% - Accent5 4 8 3" xfId="9368"/>
    <cellStyle name="20% - Accent5 4 8 4" xfId="9369"/>
    <cellStyle name="20% - Accent5 4 9" xfId="3586"/>
    <cellStyle name="20% - Accent5 4 9 2" xfId="4398"/>
    <cellStyle name="20% - Accent5 4 9 2 2" xfId="9370"/>
    <cellStyle name="20% - Accent5 4 9 3" xfId="9371"/>
    <cellStyle name="20% - Accent5 4 9 4" xfId="9372"/>
    <cellStyle name="20% - Accent5 4 9 5" xfId="9373"/>
    <cellStyle name="20% - Accent5 5" xfId="375"/>
    <cellStyle name="20% - Accent5 5 10" xfId="9374"/>
    <cellStyle name="20% - Accent5 5 10 2" xfId="9375"/>
    <cellStyle name="20% - Accent5 5 10 3" xfId="9376"/>
    <cellStyle name="20% - Accent5 5 11" xfId="9377"/>
    <cellStyle name="20% - Accent5 5 11 2" xfId="9378"/>
    <cellStyle name="20% - Accent5 5 11 3" xfId="9379"/>
    <cellStyle name="20% - Accent5 5 12" xfId="9380"/>
    <cellStyle name="20% - Accent5 5 12 2" xfId="9381"/>
    <cellStyle name="20% - Accent5 5 12 3" xfId="9382"/>
    <cellStyle name="20% - Accent5 5 13" xfId="9383"/>
    <cellStyle name="20% - Accent5 5 13 2" xfId="9384"/>
    <cellStyle name="20% - Accent5 5 13 3" xfId="9385"/>
    <cellStyle name="20% - Accent5 5 14" xfId="9386"/>
    <cellStyle name="20% - Accent5 5 15" xfId="9387"/>
    <cellStyle name="20% - Accent5 5 16" xfId="9388"/>
    <cellStyle name="20% - Accent5 5 17" xfId="9389"/>
    <cellStyle name="20% - Accent5 5 2" xfId="1864"/>
    <cellStyle name="20% - Accent5 5 2 10" xfId="9390"/>
    <cellStyle name="20% - Accent5 5 2 10 2" xfId="9391"/>
    <cellStyle name="20% - Accent5 5 2 10 3" xfId="9392"/>
    <cellStyle name="20% - Accent5 5 2 11" xfId="9393"/>
    <cellStyle name="20% - Accent5 5 2 11 2" xfId="9394"/>
    <cellStyle name="20% - Accent5 5 2 11 3" xfId="9395"/>
    <cellStyle name="20% - Accent5 5 2 12" xfId="9396"/>
    <cellStyle name="20% - Accent5 5 2 12 2" xfId="9397"/>
    <cellStyle name="20% - Accent5 5 2 12 3" xfId="9398"/>
    <cellStyle name="20% - Accent5 5 2 13" xfId="9399"/>
    <cellStyle name="20% - Accent5 5 2 14" xfId="9400"/>
    <cellStyle name="20% - Accent5 5 2 15" xfId="9401"/>
    <cellStyle name="20% - Accent5 5 2 2" xfId="9402"/>
    <cellStyle name="20% - Accent5 5 2 2 2" xfId="9403"/>
    <cellStyle name="20% - Accent5 5 2 2 3" xfId="9404"/>
    <cellStyle name="20% - Accent5 5 2 3" xfId="9405"/>
    <cellStyle name="20% - Accent5 5 2 3 2" xfId="9406"/>
    <cellStyle name="20% - Accent5 5 2 3 3" xfId="9407"/>
    <cellStyle name="20% - Accent5 5 2 4" xfId="9408"/>
    <cellStyle name="20% - Accent5 5 2 4 2" xfId="9409"/>
    <cellStyle name="20% - Accent5 5 2 4 3" xfId="9410"/>
    <cellStyle name="20% - Accent5 5 2 5" xfId="9411"/>
    <cellStyle name="20% - Accent5 5 2 5 2" xfId="9412"/>
    <cellStyle name="20% - Accent5 5 2 5 3" xfId="9413"/>
    <cellStyle name="20% - Accent5 5 2 6" xfId="9414"/>
    <cellStyle name="20% - Accent5 5 2 6 2" xfId="9415"/>
    <cellStyle name="20% - Accent5 5 2 6 3" xfId="9416"/>
    <cellStyle name="20% - Accent5 5 2 7" xfId="9417"/>
    <cellStyle name="20% - Accent5 5 2 7 2" xfId="9418"/>
    <cellStyle name="20% - Accent5 5 2 7 3" xfId="9419"/>
    <cellStyle name="20% - Accent5 5 2 8" xfId="9420"/>
    <cellStyle name="20% - Accent5 5 2 8 2" xfId="9421"/>
    <cellStyle name="20% - Accent5 5 2 8 3" xfId="9422"/>
    <cellStyle name="20% - Accent5 5 2 9" xfId="9423"/>
    <cellStyle name="20% - Accent5 5 2 9 2" xfId="9424"/>
    <cellStyle name="20% - Accent5 5 2 9 3" xfId="9425"/>
    <cellStyle name="20% - Accent5 5 3" xfId="2239"/>
    <cellStyle name="20% - Accent5 5 3 2" xfId="9426"/>
    <cellStyle name="20% - Accent5 5 3 3" xfId="9427"/>
    <cellStyle name="20% - Accent5 5 3 4" xfId="9428"/>
    <cellStyle name="20% - Accent5 5 4" xfId="2613"/>
    <cellStyle name="20% - Accent5 5 4 2" xfId="9429"/>
    <cellStyle name="20% - Accent5 5 4 3" xfId="9430"/>
    <cellStyle name="20% - Accent5 5 4 4" xfId="9431"/>
    <cellStyle name="20% - Accent5 5 5" xfId="2985"/>
    <cellStyle name="20% - Accent5 5 5 2" xfId="9432"/>
    <cellStyle name="20% - Accent5 5 5 3" xfId="9433"/>
    <cellStyle name="20% - Accent5 5 5 4" xfId="9434"/>
    <cellStyle name="20% - Accent5 5 6" xfId="3357"/>
    <cellStyle name="20% - Accent5 5 6 2" xfId="9435"/>
    <cellStyle name="20% - Accent5 5 6 3" xfId="9436"/>
    <cellStyle name="20% - Accent5 5 6 4" xfId="9437"/>
    <cellStyle name="20% - Accent5 5 7" xfId="4399"/>
    <cellStyle name="20% - Accent5 5 7 2" xfId="9439"/>
    <cellStyle name="20% - Accent5 5 7 3" xfId="9440"/>
    <cellStyle name="20% - Accent5 5 7 4" xfId="9438"/>
    <cellStyle name="20% - Accent5 5 8" xfId="9441"/>
    <cellStyle name="20% - Accent5 5 8 2" xfId="9442"/>
    <cellStyle name="20% - Accent5 5 8 3" xfId="9443"/>
    <cellStyle name="20% - Accent5 5 9" xfId="9444"/>
    <cellStyle name="20% - Accent5 5 9 2" xfId="9445"/>
    <cellStyle name="20% - Accent5 5 9 3" xfId="9446"/>
    <cellStyle name="20% - Accent5 6" xfId="376"/>
    <cellStyle name="20% - Accent5 6 10" xfId="5356"/>
    <cellStyle name="20% - Accent5 6 10 2" xfId="6133"/>
    <cellStyle name="20% - Accent5 6 10 2 2" xfId="9449"/>
    <cellStyle name="20% - Accent5 6 10 2 3" xfId="25843"/>
    <cellStyle name="20% - Accent5 6 10 3" xfId="9450"/>
    <cellStyle name="20% - Accent5 6 10 4" xfId="9448"/>
    <cellStyle name="20% - Accent5 6 10 5" xfId="25842"/>
    <cellStyle name="20% - Accent5 6 11" xfId="5666"/>
    <cellStyle name="20% - Accent5 6 11 2" xfId="6134"/>
    <cellStyle name="20% - Accent5 6 11 2 2" xfId="9452"/>
    <cellStyle name="20% - Accent5 6 11 2 3" xfId="25845"/>
    <cellStyle name="20% - Accent5 6 11 3" xfId="9453"/>
    <cellStyle name="20% - Accent5 6 11 4" xfId="9451"/>
    <cellStyle name="20% - Accent5 6 11 5" xfId="25844"/>
    <cellStyle name="20% - Accent5 6 12" xfId="4400"/>
    <cellStyle name="20% - Accent5 6 12 2" xfId="6135"/>
    <cellStyle name="20% - Accent5 6 12 2 2" xfId="9455"/>
    <cellStyle name="20% - Accent5 6 12 2 3" xfId="25847"/>
    <cellStyle name="20% - Accent5 6 12 3" xfId="9456"/>
    <cellStyle name="20% - Accent5 6 12 4" xfId="9454"/>
    <cellStyle name="20% - Accent5 6 12 5" xfId="25846"/>
    <cellStyle name="20% - Accent5 6 13" xfId="6132"/>
    <cellStyle name="20% - Accent5 6 13 2" xfId="9457"/>
    <cellStyle name="20% - Accent5 6 13 3" xfId="25848"/>
    <cellStyle name="20% - Accent5 6 14" xfId="9458"/>
    <cellStyle name="20% - Accent5 6 15" xfId="9459"/>
    <cellStyle name="20% - Accent5 6 16" xfId="9460"/>
    <cellStyle name="20% - Accent5 6 16 2" xfId="9461"/>
    <cellStyle name="20% - Accent5 6 16 2 2" xfId="25850"/>
    <cellStyle name="20% - Accent5 6 16 2 3" xfId="28502"/>
    <cellStyle name="20% - Accent5 6 16 3" xfId="9462"/>
    <cellStyle name="20% - Accent5 6 16 3 2" xfId="25851"/>
    <cellStyle name="20% - Accent5 6 16 3 3" xfId="28503"/>
    <cellStyle name="20% - Accent5 6 16 4" xfId="25849"/>
    <cellStyle name="20% - Accent5 6 16 5" xfId="28501"/>
    <cellStyle name="20% - Accent5 6 17" xfId="9463"/>
    <cellStyle name="20% - Accent5 6 17 2" xfId="25852"/>
    <cellStyle name="20% - Accent5 6 17 3" xfId="28504"/>
    <cellStyle name="20% - Accent5 6 18" xfId="9464"/>
    <cellStyle name="20% - Accent5 6 18 2" xfId="25853"/>
    <cellStyle name="20% - Accent5 6 18 3" xfId="28505"/>
    <cellStyle name="20% - Accent5 6 19" xfId="9447"/>
    <cellStyle name="20% - Accent5 6 19 2" xfId="25854"/>
    <cellStyle name="20% - Accent5 6 2" xfId="1973"/>
    <cellStyle name="20% - Accent5 6 2 2" xfId="4401"/>
    <cellStyle name="20% - Accent5 6 2 2 2" xfId="9465"/>
    <cellStyle name="20% - Accent5 6 2 3" xfId="9466"/>
    <cellStyle name="20% - Accent5 6 2 4" xfId="9467"/>
    <cellStyle name="20% - Accent5 6 2 5" xfId="9468"/>
    <cellStyle name="20% - Accent5 6 20" xfId="24835"/>
    <cellStyle name="20% - Accent5 6 21" xfId="25841"/>
    <cellStyle name="20% - Accent5 6 22" xfId="28500"/>
    <cellStyle name="20% - Accent5 6 3" xfId="2348"/>
    <cellStyle name="20% - Accent5 6 3 2" xfId="4402"/>
    <cellStyle name="20% - Accent5 6 3 2 2" xfId="9469"/>
    <cellStyle name="20% - Accent5 6 3 3" xfId="9470"/>
    <cellStyle name="20% - Accent5 6 3 4" xfId="9471"/>
    <cellStyle name="20% - Accent5 6 3 5" xfId="9472"/>
    <cellStyle name="20% - Accent5 6 4" xfId="2721"/>
    <cellStyle name="20% - Accent5 6 4 2" xfId="4403"/>
    <cellStyle name="20% - Accent5 6 4 2 2" xfId="9473"/>
    <cellStyle name="20% - Accent5 6 4 3" xfId="9474"/>
    <cellStyle name="20% - Accent5 6 4 4" xfId="9475"/>
    <cellStyle name="20% - Accent5 6 4 5" xfId="9476"/>
    <cellStyle name="20% - Accent5 6 5" xfId="3094"/>
    <cellStyle name="20% - Accent5 6 5 2" xfId="4404"/>
    <cellStyle name="20% - Accent5 6 5 2 2" xfId="9477"/>
    <cellStyle name="20% - Accent5 6 5 3" xfId="9478"/>
    <cellStyle name="20% - Accent5 6 5 4" xfId="9479"/>
    <cellStyle name="20% - Accent5 6 5 5" xfId="9480"/>
    <cellStyle name="20% - Accent5 6 6" xfId="3465"/>
    <cellStyle name="20% - Accent5 6 6 2" xfId="4405"/>
    <cellStyle name="20% - Accent5 6 6 2 2" xfId="9481"/>
    <cellStyle name="20% - Accent5 6 6 3" xfId="9482"/>
    <cellStyle name="20% - Accent5 6 6 4" xfId="9483"/>
    <cellStyle name="20% - Accent5 6 6 5" xfId="9484"/>
    <cellStyle name="20% - Accent5 6 7" xfId="3771"/>
    <cellStyle name="20% - Accent5 6 7 2" xfId="4406"/>
    <cellStyle name="20% - Accent5 6 7 2 2" xfId="9485"/>
    <cellStyle name="20% - Accent5 6 7 3" xfId="9486"/>
    <cellStyle name="20% - Accent5 6 7 4" xfId="9487"/>
    <cellStyle name="20% - Accent5 6 7 5" xfId="9488"/>
    <cellStyle name="20% - Accent5 6 8" xfId="1369"/>
    <cellStyle name="20% - Accent5 6 8 10" xfId="25855"/>
    <cellStyle name="20% - Accent5 6 8 11" xfId="28506"/>
    <cellStyle name="20% - Accent5 6 8 2" xfId="4169"/>
    <cellStyle name="20% - Accent5 6 8 2 2" xfId="5358"/>
    <cellStyle name="20% - Accent5 6 8 2 2 2" xfId="6138"/>
    <cellStyle name="20% - Accent5 6 8 2 2 2 2" xfId="25858"/>
    <cellStyle name="20% - Accent5 6 8 2 2 3" xfId="9491"/>
    <cellStyle name="20% - Accent5 6 8 2 2 4" xfId="25857"/>
    <cellStyle name="20% - Accent5 6 8 2 3" xfId="5668"/>
    <cellStyle name="20% - Accent5 6 8 2 3 2" xfId="6139"/>
    <cellStyle name="20% - Accent5 6 8 2 3 2 2" xfId="25860"/>
    <cellStyle name="20% - Accent5 6 8 2 3 3" xfId="25859"/>
    <cellStyle name="20% - Accent5 6 8 2 4" xfId="4408"/>
    <cellStyle name="20% - Accent5 6 8 2 4 2" xfId="6140"/>
    <cellStyle name="20% - Accent5 6 8 2 4 2 2" xfId="25862"/>
    <cellStyle name="20% - Accent5 6 8 2 4 3" xfId="25861"/>
    <cellStyle name="20% - Accent5 6 8 2 5" xfId="6137"/>
    <cellStyle name="20% - Accent5 6 8 2 5 2" xfId="25863"/>
    <cellStyle name="20% - Accent5 6 8 2 6" xfId="9490"/>
    <cellStyle name="20% - Accent5 6 8 2 6 2" xfId="25864"/>
    <cellStyle name="20% - Accent5 6 8 2 7" xfId="25021"/>
    <cellStyle name="20% - Accent5 6 8 2 8" xfId="25856"/>
    <cellStyle name="20% - Accent5 6 8 2 9" xfId="28507"/>
    <cellStyle name="20% - Accent5 6 8 3" xfId="5357"/>
    <cellStyle name="20% - Accent5 6 8 3 2" xfId="6141"/>
    <cellStyle name="20% - Accent5 6 8 3 2 2" xfId="25866"/>
    <cellStyle name="20% - Accent5 6 8 3 3" xfId="9492"/>
    <cellStyle name="20% - Accent5 6 8 3 4" xfId="25865"/>
    <cellStyle name="20% - Accent5 6 8 4" xfId="5667"/>
    <cellStyle name="20% - Accent5 6 8 4 2" xfId="6142"/>
    <cellStyle name="20% - Accent5 6 8 4 2 2" xfId="25868"/>
    <cellStyle name="20% - Accent5 6 8 4 3" xfId="9493"/>
    <cellStyle name="20% - Accent5 6 8 4 4" xfId="25867"/>
    <cellStyle name="20% - Accent5 6 8 5" xfId="4407"/>
    <cellStyle name="20% - Accent5 6 8 5 2" xfId="6143"/>
    <cellStyle name="20% - Accent5 6 8 5 2 2" xfId="9495"/>
    <cellStyle name="20% - Accent5 6 8 5 2 2 2" xfId="25871"/>
    <cellStyle name="20% - Accent5 6 8 5 2 3" xfId="25870"/>
    <cellStyle name="20% - Accent5 6 8 5 2 4" xfId="28509"/>
    <cellStyle name="20% - Accent5 6 8 5 3" xfId="9496"/>
    <cellStyle name="20% - Accent5 6 8 5 3 2" xfId="25872"/>
    <cellStyle name="20% - Accent5 6 8 5 3 3" xfId="28510"/>
    <cellStyle name="20% - Accent5 6 8 5 4" xfId="9494"/>
    <cellStyle name="20% - Accent5 6 8 5 4 2" xfId="25873"/>
    <cellStyle name="20% - Accent5 6 8 5 5" xfId="25869"/>
    <cellStyle name="20% - Accent5 6 8 5 6" xfId="28508"/>
    <cellStyle name="20% - Accent5 6 8 6" xfId="6136"/>
    <cellStyle name="20% - Accent5 6 8 6 2" xfId="9497"/>
    <cellStyle name="20% - Accent5 6 8 6 2 2" xfId="25875"/>
    <cellStyle name="20% - Accent5 6 8 6 3" xfId="25874"/>
    <cellStyle name="20% - Accent5 6 8 6 4" xfId="28511"/>
    <cellStyle name="20% - Accent5 6 8 7" xfId="9498"/>
    <cellStyle name="20% - Accent5 6 8 7 2" xfId="25876"/>
    <cellStyle name="20% - Accent5 6 8 7 3" xfId="28512"/>
    <cellStyle name="20% - Accent5 6 8 8" xfId="9489"/>
    <cellStyle name="20% - Accent5 6 8 8 2" xfId="25877"/>
    <cellStyle name="20% - Accent5 6 8 9" xfId="24901"/>
    <cellStyle name="20% - Accent5 6 9" xfId="3821"/>
    <cellStyle name="20% - Accent5 6 9 2" xfId="5359"/>
    <cellStyle name="20% - Accent5 6 9 2 2" xfId="6145"/>
    <cellStyle name="20% - Accent5 6 9 2 2 2" xfId="25880"/>
    <cellStyle name="20% - Accent5 6 9 2 3" xfId="9500"/>
    <cellStyle name="20% - Accent5 6 9 2 4" xfId="25879"/>
    <cellStyle name="20% - Accent5 6 9 3" xfId="5669"/>
    <cellStyle name="20% - Accent5 6 9 3 2" xfId="6146"/>
    <cellStyle name="20% - Accent5 6 9 3 2 2" xfId="25882"/>
    <cellStyle name="20% - Accent5 6 9 3 3" xfId="9501"/>
    <cellStyle name="20% - Accent5 6 9 3 4" xfId="25881"/>
    <cellStyle name="20% - Accent5 6 9 4" xfId="4409"/>
    <cellStyle name="20% - Accent5 6 9 4 2" xfId="6147"/>
    <cellStyle name="20% - Accent5 6 9 4 2 2" xfId="25884"/>
    <cellStyle name="20% - Accent5 6 9 4 3" xfId="9502"/>
    <cellStyle name="20% - Accent5 6 9 4 4" xfId="25883"/>
    <cellStyle name="20% - Accent5 6 9 5" xfId="6144"/>
    <cellStyle name="20% - Accent5 6 9 5 2" xfId="25885"/>
    <cellStyle name="20% - Accent5 6 9 6" xfId="9499"/>
    <cellStyle name="20% - Accent5 6 9 6 2" xfId="25886"/>
    <cellStyle name="20% - Accent5 6 9 7" xfId="24957"/>
    <cellStyle name="20% - Accent5 6 9 8" xfId="25878"/>
    <cellStyle name="20% - Accent5 6 9 9" xfId="28513"/>
    <cellStyle name="20% - Accent5 7" xfId="377"/>
    <cellStyle name="20% - Accent5 7 10" xfId="9503"/>
    <cellStyle name="20% - Accent5 7 10 2" xfId="9504"/>
    <cellStyle name="20% - Accent5 7 10 3" xfId="9505"/>
    <cellStyle name="20% - Accent5 7 11" xfId="9506"/>
    <cellStyle name="20% - Accent5 7 11 2" xfId="9507"/>
    <cellStyle name="20% - Accent5 7 11 3" xfId="9508"/>
    <cellStyle name="20% - Accent5 7 12" xfId="9509"/>
    <cellStyle name="20% - Accent5 7 12 2" xfId="9510"/>
    <cellStyle name="20% - Accent5 7 12 3" xfId="9511"/>
    <cellStyle name="20% - Accent5 7 13" xfId="9512"/>
    <cellStyle name="20% - Accent5 7 14" xfId="9513"/>
    <cellStyle name="20% - Accent5 7 15" xfId="9514"/>
    <cellStyle name="20% - Accent5 7 16" xfId="9515"/>
    <cellStyle name="20% - Accent5 7 2" xfId="4410"/>
    <cellStyle name="20% - Accent5 7 2 2" xfId="9517"/>
    <cellStyle name="20% - Accent5 7 2 3" xfId="9518"/>
    <cellStyle name="20% - Accent5 7 2 4" xfId="9516"/>
    <cellStyle name="20% - Accent5 7 3" xfId="9519"/>
    <cellStyle name="20% - Accent5 7 3 2" xfId="9520"/>
    <cellStyle name="20% - Accent5 7 3 3" xfId="9521"/>
    <cellStyle name="20% - Accent5 7 4" xfId="9522"/>
    <cellStyle name="20% - Accent5 7 4 2" xfId="9523"/>
    <cellStyle name="20% - Accent5 7 4 3" xfId="9524"/>
    <cellStyle name="20% - Accent5 7 5" xfId="9525"/>
    <cellStyle name="20% - Accent5 7 5 2" xfId="9526"/>
    <cellStyle name="20% - Accent5 7 5 3" xfId="9527"/>
    <cellStyle name="20% - Accent5 7 6" xfId="9528"/>
    <cellStyle name="20% - Accent5 7 6 2" xfId="9529"/>
    <cellStyle name="20% - Accent5 7 6 3" xfId="9530"/>
    <cellStyle name="20% - Accent5 7 7" xfId="9531"/>
    <cellStyle name="20% - Accent5 7 7 2" xfId="9532"/>
    <cellStyle name="20% - Accent5 7 7 3" xfId="9533"/>
    <cellStyle name="20% - Accent5 7 8" xfId="9534"/>
    <cellStyle name="20% - Accent5 7 8 2" xfId="9535"/>
    <cellStyle name="20% - Accent5 7 8 3" xfId="9536"/>
    <cellStyle name="20% - Accent5 7 9" xfId="9537"/>
    <cellStyle name="20% - Accent5 7 9 2" xfId="9538"/>
    <cellStyle name="20% - Accent5 7 9 3" xfId="9539"/>
    <cellStyle name="20% - Accent5 8" xfId="532"/>
    <cellStyle name="20% - Accent5 8 10" xfId="24849"/>
    <cellStyle name="20% - Accent5 8 11" xfId="25887"/>
    <cellStyle name="20% - Accent5 8 12" xfId="28514"/>
    <cellStyle name="20% - Accent5 8 2" xfId="1380"/>
    <cellStyle name="20% - Accent5 8 2 10" xfId="25888"/>
    <cellStyle name="20% - Accent5 8 2 11" xfId="28515"/>
    <cellStyle name="20% - Accent5 8 2 2" xfId="4180"/>
    <cellStyle name="20% - Accent5 8 2 2 2" xfId="5362"/>
    <cellStyle name="20% - Accent5 8 2 2 2 2" xfId="6151"/>
    <cellStyle name="20% - Accent5 8 2 2 2 2 2" xfId="25891"/>
    <cellStyle name="20% - Accent5 8 2 2 2 3" xfId="9543"/>
    <cellStyle name="20% - Accent5 8 2 2 2 4" xfId="25890"/>
    <cellStyle name="20% - Accent5 8 2 2 3" xfId="5672"/>
    <cellStyle name="20% - Accent5 8 2 2 3 2" xfId="6152"/>
    <cellStyle name="20% - Accent5 8 2 2 3 2 2" xfId="25893"/>
    <cellStyle name="20% - Accent5 8 2 2 3 3" xfId="25892"/>
    <cellStyle name="20% - Accent5 8 2 2 4" xfId="4413"/>
    <cellStyle name="20% - Accent5 8 2 2 4 2" xfId="6153"/>
    <cellStyle name="20% - Accent5 8 2 2 4 2 2" xfId="25895"/>
    <cellStyle name="20% - Accent5 8 2 2 4 3" xfId="25894"/>
    <cellStyle name="20% - Accent5 8 2 2 5" xfId="6150"/>
    <cellStyle name="20% - Accent5 8 2 2 5 2" xfId="25896"/>
    <cellStyle name="20% - Accent5 8 2 2 6" xfId="9542"/>
    <cellStyle name="20% - Accent5 8 2 2 6 2" xfId="25897"/>
    <cellStyle name="20% - Accent5 8 2 2 7" xfId="25032"/>
    <cellStyle name="20% - Accent5 8 2 2 8" xfId="25889"/>
    <cellStyle name="20% - Accent5 8 2 2 9" xfId="28516"/>
    <cellStyle name="20% - Accent5 8 2 3" xfId="5361"/>
    <cellStyle name="20% - Accent5 8 2 3 2" xfId="6154"/>
    <cellStyle name="20% - Accent5 8 2 3 2 2" xfId="25899"/>
    <cellStyle name="20% - Accent5 8 2 3 3" xfId="9544"/>
    <cellStyle name="20% - Accent5 8 2 3 4" xfId="25898"/>
    <cellStyle name="20% - Accent5 8 2 4" xfId="5671"/>
    <cellStyle name="20% - Accent5 8 2 4 2" xfId="6155"/>
    <cellStyle name="20% - Accent5 8 2 4 2 2" xfId="25901"/>
    <cellStyle name="20% - Accent5 8 2 4 3" xfId="9545"/>
    <cellStyle name="20% - Accent5 8 2 4 4" xfId="25900"/>
    <cellStyle name="20% - Accent5 8 2 5" xfId="4412"/>
    <cellStyle name="20% - Accent5 8 2 5 2" xfId="6156"/>
    <cellStyle name="20% - Accent5 8 2 5 2 2" xfId="9547"/>
    <cellStyle name="20% - Accent5 8 2 5 2 2 2" xfId="25904"/>
    <cellStyle name="20% - Accent5 8 2 5 2 3" xfId="25903"/>
    <cellStyle name="20% - Accent5 8 2 5 2 4" xfId="28518"/>
    <cellStyle name="20% - Accent5 8 2 5 3" xfId="9548"/>
    <cellStyle name="20% - Accent5 8 2 5 3 2" xfId="25905"/>
    <cellStyle name="20% - Accent5 8 2 5 3 3" xfId="28519"/>
    <cellStyle name="20% - Accent5 8 2 5 4" xfId="9546"/>
    <cellStyle name="20% - Accent5 8 2 5 4 2" xfId="25906"/>
    <cellStyle name="20% - Accent5 8 2 5 5" xfId="25902"/>
    <cellStyle name="20% - Accent5 8 2 5 6" xfId="28517"/>
    <cellStyle name="20% - Accent5 8 2 6" xfId="6149"/>
    <cellStyle name="20% - Accent5 8 2 6 2" xfId="9549"/>
    <cellStyle name="20% - Accent5 8 2 6 2 2" xfId="25908"/>
    <cellStyle name="20% - Accent5 8 2 6 3" xfId="25907"/>
    <cellStyle name="20% - Accent5 8 2 6 4" xfId="28520"/>
    <cellStyle name="20% - Accent5 8 2 7" xfId="9550"/>
    <cellStyle name="20% - Accent5 8 2 7 2" xfId="25909"/>
    <cellStyle name="20% - Accent5 8 2 7 3" xfId="28521"/>
    <cellStyle name="20% - Accent5 8 2 8" xfId="9541"/>
    <cellStyle name="20% - Accent5 8 2 8 2" xfId="25910"/>
    <cellStyle name="20% - Accent5 8 2 9" xfId="24912"/>
    <cellStyle name="20% - Accent5 8 3" xfId="3835"/>
    <cellStyle name="20% - Accent5 8 3 2" xfId="5363"/>
    <cellStyle name="20% - Accent5 8 3 2 2" xfId="6158"/>
    <cellStyle name="20% - Accent5 8 3 2 2 2" xfId="25913"/>
    <cellStyle name="20% - Accent5 8 3 2 3" xfId="9552"/>
    <cellStyle name="20% - Accent5 8 3 2 4" xfId="25912"/>
    <cellStyle name="20% - Accent5 8 3 3" xfId="5673"/>
    <cellStyle name="20% - Accent5 8 3 3 2" xfId="6159"/>
    <cellStyle name="20% - Accent5 8 3 3 2 2" xfId="25915"/>
    <cellStyle name="20% - Accent5 8 3 3 3" xfId="25914"/>
    <cellStyle name="20% - Accent5 8 3 4" xfId="4414"/>
    <cellStyle name="20% - Accent5 8 3 4 2" xfId="6160"/>
    <cellStyle name="20% - Accent5 8 3 4 2 2" xfId="25917"/>
    <cellStyle name="20% - Accent5 8 3 4 3" xfId="25916"/>
    <cellStyle name="20% - Accent5 8 3 5" xfId="6157"/>
    <cellStyle name="20% - Accent5 8 3 5 2" xfId="25918"/>
    <cellStyle name="20% - Accent5 8 3 6" xfId="9551"/>
    <cellStyle name="20% - Accent5 8 3 6 2" xfId="25919"/>
    <cellStyle name="20% - Accent5 8 3 7" xfId="24971"/>
    <cellStyle name="20% - Accent5 8 3 8" xfId="25911"/>
    <cellStyle name="20% - Accent5 8 3 9" xfId="28522"/>
    <cellStyle name="20% - Accent5 8 4" xfId="5360"/>
    <cellStyle name="20% - Accent5 8 4 2" xfId="6161"/>
    <cellStyle name="20% - Accent5 8 4 2 2" xfId="25921"/>
    <cellStyle name="20% - Accent5 8 4 3" xfId="9553"/>
    <cellStyle name="20% - Accent5 8 4 4" xfId="25920"/>
    <cellStyle name="20% - Accent5 8 5" xfId="5670"/>
    <cellStyle name="20% - Accent5 8 5 2" xfId="6162"/>
    <cellStyle name="20% - Accent5 8 5 2 2" xfId="25923"/>
    <cellStyle name="20% - Accent5 8 5 3" xfId="9554"/>
    <cellStyle name="20% - Accent5 8 5 4" xfId="25922"/>
    <cellStyle name="20% - Accent5 8 6" xfId="4411"/>
    <cellStyle name="20% - Accent5 8 6 2" xfId="6163"/>
    <cellStyle name="20% - Accent5 8 6 2 2" xfId="9556"/>
    <cellStyle name="20% - Accent5 8 6 2 2 2" xfId="25926"/>
    <cellStyle name="20% - Accent5 8 6 2 3" xfId="25925"/>
    <cellStyle name="20% - Accent5 8 6 2 4" xfId="28524"/>
    <cellStyle name="20% - Accent5 8 6 3" xfId="9557"/>
    <cellStyle name="20% - Accent5 8 6 3 2" xfId="25927"/>
    <cellStyle name="20% - Accent5 8 6 3 3" xfId="28525"/>
    <cellStyle name="20% - Accent5 8 6 4" xfId="9555"/>
    <cellStyle name="20% - Accent5 8 6 4 2" xfId="25928"/>
    <cellStyle name="20% - Accent5 8 6 5" xfId="25924"/>
    <cellStyle name="20% - Accent5 8 6 6" xfId="28523"/>
    <cellStyle name="20% - Accent5 8 7" xfId="6148"/>
    <cellStyle name="20% - Accent5 8 7 2" xfId="9558"/>
    <cellStyle name="20% - Accent5 8 7 2 2" xfId="25930"/>
    <cellStyle name="20% - Accent5 8 7 3" xfId="25929"/>
    <cellStyle name="20% - Accent5 8 7 4" xfId="28526"/>
    <cellStyle name="20% - Accent5 8 8" xfId="9559"/>
    <cellStyle name="20% - Accent5 8 8 2" xfId="25931"/>
    <cellStyle name="20% - Accent5 8 8 3" xfId="28527"/>
    <cellStyle name="20% - Accent5 8 9" xfId="9540"/>
    <cellStyle name="20% - Accent5 8 9 2" xfId="25932"/>
    <cellStyle name="20% - Accent5 9" xfId="533"/>
    <cellStyle name="20% - Accent5 9 2" xfId="4415"/>
    <cellStyle name="20% - Accent5 9 2 2" xfId="9561"/>
    <cellStyle name="20% - Accent5 9 2 3" xfId="9562"/>
    <cellStyle name="20% - Accent5 9 2 4" xfId="9560"/>
    <cellStyle name="20% - Accent5 9 3" xfId="9563"/>
    <cellStyle name="20% - Accent5 9 4" xfId="9564"/>
    <cellStyle name="20% - Accent5 9 5" xfId="9565"/>
    <cellStyle name="20% - Accent5 9 6" xfId="9566"/>
    <cellStyle name="20% - Accent6" xfId="7112" builtinId="50" customBuiltin="1"/>
    <cellStyle name="20% - Accent6 10" xfId="660"/>
    <cellStyle name="20% - Accent6 10 2" xfId="4416"/>
    <cellStyle name="20% - Accent6 10 2 2" xfId="9567"/>
    <cellStyle name="20% - Accent6 10 3" xfId="9568"/>
    <cellStyle name="20% - Accent6 10 4" xfId="9569"/>
    <cellStyle name="20% - Accent6 10 5" xfId="9570"/>
    <cellStyle name="20% - Accent6 11" xfId="661"/>
    <cellStyle name="20% - Accent6 11 2" xfId="4417"/>
    <cellStyle name="20% - Accent6 11 2 2" xfId="9571"/>
    <cellStyle name="20% - Accent6 11 3" xfId="9572"/>
    <cellStyle name="20% - Accent6 11 4" xfId="9573"/>
    <cellStyle name="20% - Accent6 11 5" xfId="9574"/>
    <cellStyle name="20% - Accent6 12" xfId="813"/>
    <cellStyle name="20% - Accent6 12 2" xfId="9576"/>
    <cellStyle name="20% - Accent6 12 3" xfId="9577"/>
    <cellStyle name="20% - Accent6 12 4" xfId="9575"/>
    <cellStyle name="20% - Accent6 13" xfId="814"/>
    <cellStyle name="20% - Accent6 13 2" xfId="3850"/>
    <cellStyle name="20% - Accent6 13 2 2" xfId="6165"/>
    <cellStyle name="20% - Accent6 13 2 2 2" xfId="25935"/>
    <cellStyle name="20% - Accent6 13 2 3" xfId="9579"/>
    <cellStyle name="20% - Accent6 13 2 4" xfId="24986"/>
    <cellStyle name="20% - Accent6 13 2 5" xfId="25934"/>
    <cellStyle name="20% - Accent6 13 3" xfId="6164"/>
    <cellStyle name="20% - Accent6 13 3 2" xfId="9580"/>
    <cellStyle name="20% - Accent6 13 3 3" xfId="25936"/>
    <cellStyle name="20% - Accent6 13 4" xfId="9578"/>
    <cellStyle name="20% - Accent6 13 5" xfId="24865"/>
    <cellStyle name="20% - Accent6 13 6" xfId="25933"/>
    <cellStyle name="20% - Accent6 14" xfId="931"/>
    <cellStyle name="20% - Accent6 14 2" xfId="9582"/>
    <cellStyle name="20% - Accent6 14 3" xfId="9583"/>
    <cellStyle name="20% - Accent6 14 4" xfId="9581"/>
    <cellStyle name="20% - Accent6 15" xfId="9584"/>
    <cellStyle name="20% - Accent6 15 2" xfId="9585"/>
    <cellStyle name="20% - Accent6 15 3" xfId="9586"/>
    <cellStyle name="20% - Accent6 16" xfId="9587"/>
    <cellStyle name="20% - Accent6 16 2" xfId="9588"/>
    <cellStyle name="20% - Accent6 16 3" xfId="9589"/>
    <cellStyle name="20% - Accent6 17" xfId="9590"/>
    <cellStyle name="20% - Accent6 17 2" xfId="9591"/>
    <cellStyle name="20% - Accent6 17 3" xfId="9592"/>
    <cellStyle name="20% - Accent6 18" xfId="9593"/>
    <cellStyle name="20% - Accent6 18 2" xfId="9594"/>
    <cellStyle name="20% - Accent6 18 3" xfId="9595"/>
    <cellStyle name="20% - Accent6 19" xfId="9596"/>
    <cellStyle name="20% - Accent6 19 2" xfId="9597"/>
    <cellStyle name="20% - Accent6 2" xfId="73"/>
    <cellStyle name="20% - Accent6 2 10" xfId="1672"/>
    <cellStyle name="20% - Accent6 2 10 2" xfId="4418"/>
    <cellStyle name="20% - Accent6 2 10 2 2" xfId="9598"/>
    <cellStyle name="20% - Accent6 2 10 3" xfId="9599"/>
    <cellStyle name="20% - Accent6 2 10 4" xfId="9600"/>
    <cellStyle name="20% - Accent6 2 10 5" xfId="9601"/>
    <cellStyle name="20% - Accent6 2 11" xfId="1846"/>
    <cellStyle name="20% - Accent6 2 11 2" xfId="4419"/>
    <cellStyle name="20% - Accent6 2 11 2 2" xfId="9602"/>
    <cellStyle name="20% - Accent6 2 11 3" xfId="9603"/>
    <cellStyle name="20% - Accent6 2 11 4" xfId="9604"/>
    <cellStyle name="20% - Accent6 2 11 5" xfId="9605"/>
    <cellStyle name="20% - Accent6 2 12" xfId="2298"/>
    <cellStyle name="20% - Accent6 2 12 2" xfId="4420"/>
    <cellStyle name="20% - Accent6 2 12 2 2" xfId="9606"/>
    <cellStyle name="20% - Accent6 2 12 3" xfId="9607"/>
    <cellStyle name="20% - Accent6 2 12 4" xfId="9608"/>
    <cellStyle name="20% - Accent6 2 12 5" xfId="9609"/>
    <cellStyle name="20% - Accent6 2 13" xfId="2671"/>
    <cellStyle name="20% - Accent6 2 13 2" xfId="4421"/>
    <cellStyle name="20% - Accent6 2 13 2 2" xfId="9610"/>
    <cellStyle name="20% - Accent6 2 13 3" xfId="9611"/>
    <cellStyle name="20% - Accent6 2 13 4" xfId="9612"/>
    <cellStyle name="20% - Accent6 2 13 5" xfId="9613"/>
    <cellStyle name="20% - Accent6 2 14" xfId="2967"/>
    <cellStyle name="20% - Accent6 2 14 2" xfId="4422"/>
    <cellStyle name="20% - Accent6 2 14 2 2" xfId="9614"/>
    <cellStyle name="20% - Accent6 2 14 3" xfId="9615"/>
    <cellStyle name="20% - Accent6 2 14 4" xfId="9616"/>
    <cellStyle name="20% - Accent6 2 14 5" xfId="9617"/>
    <cellStyle name="20% - Accent6 2 15" xfId="3339"/>
    <cellStyle name="20% - Accent6 2 15 2" xfId="4423"/>
    <cellStyle name="20% - Accent6 2 15 2 2" xfId="9618"/>
    <cellStyle name="20% - Accent6 2 15 3" xfId="9619"/>
    <cellStyle name="20% - Accent6 2 16" xfId="3637"/>
    <cellStyle name="20% - Accent6 2 16 2" xfId="4424"/>
    <cellStyle name="20% - Accent6 2 16 2 2" xfId="9620"/>
    <cellStyle name="20% - Accent6 2 16 3" xfId="9621"/>
    <cellStyle name="20% - Accent6 2 17" xfId="24472"/>
    <cellStyle name="20% - Accent6 2 2" xfId="117"/>
    <cellStyle name="20% - Accent6 2 2 10" xfId="9622"/>
    <cellStyle name="20% - Accent6 2 2 10 2" xfId="9623"/>
    <cellStyle name="20% - Accent6 2 2 10 3" xfId="9624"/>
    <cellStyle name="20% - Accent6 2 2 11" xfId="9625"/>
    <cellStyle name="20% - Accent6 2 2 11 2" xfId="9626"/>
    <cellStyle name="20% - Accent6 2 2 11 3" xfId="9627"/>
    <cellStyle name="20% - Accent6 2 2 12" xfId="9628"/>
    <cellStyle name="20% - Accent6 2 2 12 2" xfId="9629"/>
    <cellStyle name="20% - Accent6 2 2 12 3" xfId="9630"/>
    <cellStyle name="20% - Accent6 2 2 13" xfId="9631"/>
    <cellStyle name="20% - Accent6 2 2 14" xfId="9632"/>
    <cellStyle name="20% - Accent6 2 2 15" xfId="9633"/>
    <cellStyle name="20% - Accent6 2 2 16" xfId="24572"/>
    <cellStyle name="20% - Accent6 2 2 2" xfId="191"/>
    <cellStyle name="20% - Accent6 2 2 2 2" xfId="9634"/>
    <cellStyle name="20% - Accent6 2 2 2 3" xfId="9635"/>
    <cellStyle name="20% - Accent6 2 2 3" xfId="355"/>
    <cellStyle name="20% - Accent6 2 2 3 2" xfId="9636"/>
    <cellStyle name="20% - Accent6 2 2 3 3" xfId="9637"/>
    <cellStyle name="20% - Accent6 2 2 4" xfId="2177"/>
    <cellStyle name="20% - Accent6 2 2 4 2" xfId="9638"/>
    <cellStyle name="20% - Accent6 2 2 4 3" xfId="9639"/>
    <cellStyle name="20% - Accent6 2 2 5" xfId="2551"/>
    <cellStyle name="20% - Accent6 2 2 5 2" xfId="9640"/>
    <cellStyle name="20% - Accent6 2 2 5 3" xfId="9641"/>
    <cellStyle name="20% - Accent6 2 2 6" xfId="2923"/>
    <cellStyle name="20% - Accent6 2 2 6 2" xfId="9642"/>
    <cellStyle name="20% - Accent6 2 2 6 3" xfId="9643"/>
    <cellStyle name="20% - Accent6 2 2 7" xfId="3295"/>
    <cellStyle name="20% - Accent6 2 2 7 2" xfId="9644"/>
    <cellStyle name="20% - Accent6 2 2 7 3" xfId="9645"/>
    <cellStyle name="20% - Accent6 2 2 8" xfId="4425"/>
    <cellStyle name="20% - Accent6 2 2 8 2" xfId="9647"/>
    <cellStyle name="20% - Accent6 2 2 8 3" xfId="9648"/>
    <cellStyle name="20% - Accent6 2 2 8 4" xfId="9646"/>
    <cellStyle name="20% - Accent6 2 2 9" xfId="9649"/>
    <cellStyle name="20% - Accent6 2 2 9 2" xfId="9650"/>
    <cellStyle name="20% - Accent6 2 2 9 3" xfId="9651"/>
    <cellStyle name="20% - Accent6 2 3" xfId="282"/>
    <cellStyle name="20% - Accent6 2 3 2" xfId="1353"/>
    <cellStyle name="20% - Accent6 2 3 2 2" xfId="9652"/>
    <cellStyle name="20% - Accent6 2 3 2 3" xfId="9653"/>
    <cellStyle name="20% - Accent6 2 3 3" xfId="9654"/>
    <cellStyle name="20% - Accent6 2 3 4" xfId="9655"/>
    <cellStyle name="20% - Accent6 2 4" xfId="378"/>
    <cellStyle name="20% - Accent6 2 4 2" xfId="9656"/>
    <cellStyle name="20% - Accent6 2 4 2 2" xfId="9657"/>
    <cellStyle name="20% - Accent6 2 4 2 3" xfId="9658"/>
    <cellStyle name="20% - Accent6 2 4 3" xfId="9659"/>
    <cellStyle name="20% - Accent6 2 4 4" xfId="9660"/>
    <cellStyle name="20% - Accent6 2 5" xfId="534"/>
    <cellStyle name="20% - Accent6 2 5 2" xfId="9661"/>
    <cellStyle name="20% - Accent6 2 5 3" xfId="9662"/>
    <cellStyle name="20% - Accent6 2 6" xfId="662"/>
    <cellStyle name="20% - Accent6 2 6 2" xfId="9663"/>
    <cellStyle name="20% - Accent6 2 6 3" xfId="9664"/>
    <cellStyle name="20% - Accent6 2 7" xfId="663"/>
    <cellStyle name="20% - Accent6 2 7 2" xfId="9665"/>
    <cellStyle name="20% - Accent6 2 7 3" xfId="9666"/>
    <cellStyle name="20% - Accent6 2 8" xfId="815"/>
    <cellStyle name="20% - Accent6 2 8 2" xfId="1401"/>
    <cellStyle name="20% - Accent6 2 8 2 2" xfId="9667"/>
    <cellStyle name="20% - Accent6 2 8 3" xfId="9668"/>
    <cellStyle name="20% - Accent6 2 8 4" xfId="9669"/>
    <cellStyle name="20% - Accent6 2 8 5" xfId="9670"/>
    <cellStyle name="20% - Accent6 2 9" xfId="932"/>
    <cellStyle name="20% - Accent6 2 9 2" xfId="1489"/>
    <cellStyle name="20% - Accent6 2 9 2 2" xfId="9671"/>
    <cellStyle name="20% - Accent6 2 9 3" xfId="9672"/>
    <cellStyle name="20% - Accent6 2 9 4" xfId="9673"/>
    <cellStyle name="20% - Accent6 2 9 5" xfId="9674"/>
    <cellStyle name="20% - Accent6 20" xfId="9675"/>
    <cellStyle name="20% - Accent6 21" xfId="9676"/>
    <cellStyle name="20% - Accent6 21 2" xfId="9677"/>
    <cellStyle name="20% - Accent6 21 2 2" xfId="9678"/>
    <cellStyle name="20% - Accent6 21 2 2 2" xfId="25939"/>
    <cellStyle name="20% - Accent6 21 2 2 3" xfId="28530"/>
    <cellStyle name="20% - Accent6 21 2 3" xfId="9679"/>
    <cellStyle name="20% - Accent6 21 2 3 2" xfId="25940"/>
    <cellStyle name="20% - Accent6 21 2 3 3" xfId="28531"/>
    <cellStyle name="20% - Accent6 21 2 4" xfId="25938"/>
    <cellStyle name="20% - Accent6 21 2 5" xfId="28529"/>
    <cellStyle name="20% - Accent6 21 3" xfId="9680"/>
    <cellStyle name="20% - Accent6 21 3 2" xfId="25941"/>
    <cellStyle name="20% - Accent6 21 3 3" xfId="28532"/>
    <cellStyle name="20% - Accent6 21 4" xfId="9681"/>
    <cellStyle name="20% - Accent6 21 4 2" xfId="25942"/>
    <cellStyle name="20% - Accent6 21 4 3" xfId="28533"/>
    <cellStyle name="20% - Accent6 21 5" xfId="25937"/>
    <cellStyle name="20% - Accent6 21 6" xfId="28528"/>
    <cellStyle name="20% - Accent6 22" xfId="9682"/>
    <cellStyle name="20% - Accent6 22 2" xfId="9683"/>
    <cellStyle name="20% - Accent6 22 2 2" xfId="9684"/>
    <cellStyle name="20% - Accent6 22 2 2 2" xfId="25945"/>
    <cellStyle name="20% - Accent6 22 2 2 3" xfId="28536"/>
    <cellStyle name="20% - Accent6 22 2 3" xfId="9685"/>
    <cellStyle name="20% - Accent6 22 2 3 2" xfId="25946"/>
    <cellStyle name="20% - Accent6 22 2 3 3" xfId="28537"/>
    <cellStyle name="20% - Accent6 22 2 4" xfId="25944"/>
    <cellStyle name="20% - Accent6 22 2 5" xfId="28535"/>
    <cellStyle name="20% - Accent6 22 3" xfId="9686"/>
    <cellStyle name="20% - Accent6 22 3 2" xfId="25947"/>
    <cellStyle name="20% - Accent6 22 3 3" xfId="28538"/>
    <cellStyle name="20% - Accent6 22 4" xfId="9687"/>
    <cellStyle name="20% - Accent6 22 4 2" xfId="25948"/>
    <cellStyle name="20% - Accent6 22 4 3" xfId="28539"/>
    <cellStyle name="20% - Accent6 22 5" xfId="25943"/>
    <cellStyle name="20% - Accent6 22 6" xfId="28534"/>
    <cellStyle name="20% - Accent6 23" xfId="9688"/>
    <cellStyle name="20% - Accent6 24" xfId="9689"/>
    <cellStyle name="20% - Accent6 24 2" xfId="9690"/>
    <cellStyle name="20% - Accent6 24 2 2" xfId="9691"/>
    <cellStyle name="20% - Accent6 24 2 2 2" xfId="25951"/>
    <cellStyle name="20% - Accent6 24 2 2 3" xfId="28542"/>
    <cellStyle name="20% - Accent6 24 2 3" xfId="9692"/>
    <cellStyle name="20% - Accent6 24 2 3 2" xfId="25952"/>
    <cellStyle name="20% - Accent6 24 2 3 3" xfId="28543"/>
    <cellStyle name="20% - Accent6 24 2 4" xfId="25950"/>
    <cellStyle name="20% - Accent6 24 2 5" xfId="28541"/>
    <cellStyle name="20% - Accent6 24 3" xfId="9693"/>
    <cellStyle name="20% - Accent6 24 3 2" xfId="25953"/>
    <cellStyle name="20% - Accent6 24 3 3" xfId="28544"/>
    <cellStyle name="20% - Accent6 24 4" xfId="9694"/>
    <cellStyle name="20% - Accent6 24 4 2" xfId="25954"/>
    <cellStyle name="20% - Accent6 24 4 3" xfId="28545"/>
    <cellStyle name="20% - Accent6 24 5" xfId="25949"/>
    <cellStyle name="20% - Accent6 24 6" xfId="28540"/>
    <cellStyle name="20% - Accent6 25" xfId="9695"/>
    <cellStyle name="20% - Accent6 25 2" xfId="9696"/>
    <cellStyle name="20% - Accent6 25 2 2" xfId="9697"/>
    <cellStyle name="20% - Accent6 25 2 2 2" xfId="25957"/>
    <cellStyle name="20% - Accent6 25 2 2 3" xfId="28548"/>
    <cellStyle name="20% - Accent6 25 2 3" xfId="9698"/>
    <cellStyle name="20% - Accent6 25 2 3 2" xfId="25958"/>
    <cellStyle name="20% - Accent6 25 2 3 3" xfId="28549"/>
    <cellStyle name="20% - Accent6 25 2 4" xfId="25956"/>
    <cellStyle name="20% - Accent6 25 2 5" xfId="28547"/>
    <cellStyle name="20% - Accent6 25 3" xfId="9699"/>
    <cellStyle name="20% - Accent6 25 3 2" xfId="25959"/>
    <cellStyle name="20% - Accent6 25 3 3" xfId="28550"/>
    <cellStyle name="20% - Accent6 25 4" xfId="9700"/>
    <cellStyle name="20% - Accent6 25 4 2" xfId="25960"/>
    <cellStyle name="20% - Accent6 25 4 3" xfId="28551"/>
    <cellStyle name="20% - Accent6 25 5" xfId="25955"/>
    <cellStyle name="20% - Accent6 25 6" xfId="28546"/>
    <cellStyle name="20% - Accent6 26" xfId="9701"/>
    <cellStyle name="20% - Accent6 27" xfId="9702"/>
    <cellStyle name="20% - Accent6 27 2" xfId="9703"/>
    <cellStyle name="20% - Accent6 27 2 2" xfId="9704"/>
    <cellStyle name="20% - Accent6 27 2 2 2" xfId="25963"/>
    <cellStyle name="20% - Accent6 27 2 2 3" xfId="28554"/>
    <cellStyle name="20% - Accent6 27 2 3" xfId="9705"/>
    <cellStyle name="20% - Accent6 27 2 3 2" xfId="25964"/>
    <cellStyle name="20% - Accent6 27 2 3 3" xfId="28555"/>
    <cellStyle name="20% - Accent6 27 2 4" xfId="25962"/>
    <cellStyle name="20% - Accent6 27 2 5" xfId="28553"/>
    <cellStyle name="20% - Accent6 27 3" xfId="9706"/>
    <cellStyle name="20% - Accent6 27 3 2" xfId="25965"/>
    <cellStyle name="20% - Accent6 27 3 3" xfId="28556"/>
    <cellStyle name="20% - Accent6 27 4" xfId="9707"/>
    <cellStyle name="20% - Accent6 27 4 2" xfId="25966"/>
    <cellStyle name="20% - Accent6 27 4 3" xfId="28557"/>
    <cellStyle name="20% - Accent6 27 5" xfId="25961"/>
    <cellStyle name="20% - Accent6 27 6" xfId="28552"/>
    <cellStyle name="20% - Accent6 28" xfId="9708"/>
    <cellStyle name="20% - Accent6 28 2" xfId="9709"/>
    <cellStyle name="20% - Accent6 28 2 2" xfId="25968"/>
    <cellStyle name="20% - Accent6 28 2 3" xfId="28559"/>
    <cellStyle name="20% - Accent6 28 3" xfId="9710"/>
    <cellStyle name="20% - Accent6 28 3 2" xfId="25969"/>
    <cellStyle name="20% - Accent6 28 3 3" xfId="28560"/>
    <cellStyle name="20% - Accent6 28 4" xfId="25967"/>
    <cellStyle name="20% - Accent6 28 5" xfId="28558"/>
    <cellStyle name="20% - Accent6 29" xfId="9711"/>
    <cellStyle name="20% - Accent6 29 2" xfId="25970"/>
    <cellStyle name="20% - Accent6 29 3" xfId="28561"/>
    <cellStyle name="20% - Accent6 3" xfId="232"/>
    <cellStyle name="20% - Accent6 3 10" xfId="3680"/>
    <cellStyle name="20% - Accent6 3 10 2" xfId="4426"/>
    <cellStyle name="20% - Accent6 3 10 2 2" xfId="9712"/>
    <cellStyle name="20% - Accent6 3 10 3" xfId="9713"/>
    <cellStyle name="20% - Accent6 3 10 4" xfId="9714"/>
    <cellStyle name="20% - Accent6 3 10 5" xfId="9715"/>
    <cellStyle name="20% - Accent6 3 11" xfId="9716"/>
    <cellStyle name="20% - Accent6 3 11 2" xfId="9717"/>
    <cellStyle name="20% - Accent6 3 11 3" xfId="9718"/>
    <cellStyle name="20% - Accent6 3 12" xfId="9719"/>
    <cellStyle name="20% - Accent6 3 12 2" xfId="9720"/>
    <cellStyle name="20% - Accent6 3 12 3" xfId="9721"/>
    <cellStyle name="20% - Accent6 3 13" xfId="9722"/>
    <cellStyle name="20% - Accent6 3 13 2" xfId="9723"/>
    <cellStyle name="20% - Accent6 3 13 3" xfId="9724"/>
    <cellStyle name="20% - Accent6 3 14" xfId="9725"/>
    <cellStyle name="20% - Accent6 3 15" xfId="9726"/>
    <cellStyle name="20% - Accent6 3 16" xfId="24507"/>
    <cellStyle name="20% - Accent6 3 2" xfId="1453"/>
    <cellStyle name="20% - Accent6 3 2 10" xfId="9727"/>
    <cellStyle name="20% - Accent6 3 2 10 2" xfId="9728"/>
    <cellStyle name="20% - Accent6 3 2 10 3" xfId="9729"/>
    <cellStyle name="20% - Accent6 3 2 11" xfId="9730"/>
    <cellStyle name="20% - Accent6 3 2 11 2" xfId="9731"/>
    <cellStyle name="20% - Accent6 3 2 11 3" xfId="9732"/>
    <cellStyle name="20% - Accent6 3 2 12" xfId="9733"/>
    <cellStyle name="20% - Accent6 3 2 12 2" xfId="9734"/>
    <cellStyle name="20% - Accent6 3 2 12 3" xfId="9735"/>
    <cellStyle name="20% - Accent6 3 2 13" xfId="9736"/>
    <cellStyle name="20% - Accent6 3 2 14" xfId="9737"/>
    <cellStyle name="20% - Accent6 3 2 15" xfId="9738"/>
    <cellStyle name="20% - Accent6 3 2 2" xfId="1843"/>
    <cellStyle name="20% - Accent6 3 2 2 2" xfId="9739"/>
    <cellStyle name="20% - Accent6 3 2 2 3" xfId="9740"/>
    <cellStyle name="20% - Accent6 3 2 3" xfId="2218"/>
    <cellStyle name="20% - Accent6 3 2 3 2" xfId="9741"/>
    <cellStyle name="20% - Accent6 3 2 3 3" xfId="9742"/>
    <cellStyle name="20% - Accent6 3 2 4" xfId="2592"/>
    <cellStyle name="20% - Accent6 3 2 4 2" xfId="9743"/>
    <cellStyle name="20% - Accent6 3 2 4 3" xfId="9744"/>
    <cellStyle name="20% - Accent6 3 2 5" xfId="2964"/>
    <cellStyle name="20% - Accent6 3 2 5 2" xfId="9745"/>
    <cellStyle name="20% - Accent6 3 2 5 3" xfId="9746"/>
    <cellStyle name="20% - Accent6 3 2 6" xfId="3336"/>
    <cellStyle name="20% - Accent6 3 2 6 2" xfId="9747"/>
    <cellStyle name="20% - Accent6 3 2 6 3" xfId="9748"/>
    <cellStyle name="20% - Accent6 3 2 7" xfId="4427"/>
    <cellStyle name="20% - Accent6 3 2 7 2" xfId="9750"/>
    <cellStyle name="20% - Accent6 3 2 7 3" xfId="9751"/>
    <cellStyle name="20% - Accent6 3 2 7 4" xfId="9749"/>
    <cellStyle name="20% - Accent6 3 2 8" xfId="9752"/>
    <cellStyle name="20% - Accent6 3 2 8 2" xfId="9753"/>
    <cellStyle name="20% - Accent6 3 2 8 3" xfId="9754"/>
    <cellStyle name="20% - Accent6 3 2 9" xfId="9755"/>
    <cellStyle name="20% - Accent6 3 2 9 2" xfId="9756"/>
    <cellStyle name="20% - Accent6 3 2 9 3" xfId="9757"/>
    <cellStyle name="20% - Accent6 3 3" xfId="1580"/>
    <cellStyle name="20% - Accent6 3 3 2" xfId="1920"/>
    <cellStyle name="20% - Accent6 3 3 3" xfId="2295"/>
    <cellStyle name="20% - Accent6 3 3 4" xfId="2668"/>
    <cellStyle name="20% - Accent6 3 3 5" xfId="3041"/>
    <cellStyle name="20% - Accent6 3 3 6" xfId="3412"/>
    <cellStyle name="20% - Accent6 3 3 7" xfId="4428"/>
    <cellStyle name="20% - Accent6 3 4" xfId="1717"/>
    <cellStyle name="20% - Accent6 3 4 2" xfId="1964"/>
    <cellStyle name="20% - Accent6 3 4 3" xfId="2339"/>
    <cellStyle name="20% - Accent6 3 4 4" xfId="2712"/>
    <cellStyle name="20% - Accent6 3 4 5" xfId="3085"/>
    <cellStyle name="20% - Accent6 3 4 6" xfId="3456"/>
    <cellStyle name="20% - Accent6 3 5" xfId="2052"/>
    <cellStyle name="20% - Accent6 3 5 2" xfId="9758"/>
    <cellStyle name="20% - Accent6 3 5 3" xfId="9759"/>
    <cellStyle name="20% - Accent6 3 5 4" xfId="9760"/>
    <cellStyle name="20% - Accent6 3 6" xfId="2426"/>
    <cellStyle name="20% - Accent6 3 6 2" xfId="9761"/>
    <cellStyle name="20% - Accent6 3 6 3" xfId="9762"/>
    <cellStyle name="20% - Accent6 3 6 4" xfId="9763"/>
    <cellStyle name="20% - Accent6 3 7" xfId="2798"/>
    <cellStyle name="20% - Accent6 3 7 2" xfId="9764"/>
    <cellStyle name="20% - Accent6 3 7 3" xfId="9765"/>
    <cellStyle name="20% - Accent6 3 7 4" xfId="9766"/>
    <cellStyle name="20% - Accent6 3 8" xfId="3169"/>
    <cellStyle name="20% - Accent6 3 8 2" xfId="9767"/>
    <cellStyle name="20% - Accent6 3 8 3" xfId="9768"/>
    <cellStyle name="20% - Accent6 3 8 4" xfId="9769"/>
    <cellStyle name="20% - Accent6 3 9" xfId="3544"/>
    <cellStyle name="20% - Accent6 3 9 2" xfId="4429"/>
    <cellStyle name="20% - Accent6 3 9 2 2" xfId="9770"/>
    <cellStyle name="20% - Accent6 3 9 3" xfId="9771"/>
    <cellStyle name="20% - Accent6 3 9 4" xfId="9772"/>
    <cellStyle name="20% - Accent6 3 9 5" xfId="9773"/>
    <cellStyle name="20% - Accent6 30" xfId="28147"/>
    <cellStyle name="20% - Accent6 4" xfId="240"/>
    <cellStyle name="20% - Accent6 4 10" xfId="3724"/>
    <cellStyle name="20% - Accent6 4 10 2" xfId="4431"/>
    <cellStyle name="20% - Accent6 4 10 2 2" xfId="9775"/>
    <cellStyle name="20% - Accent6 4 10 3" xfId="9776"/>
    <cellStyle name="20% - Accent6 4 10 4" xfId="9777"/>
    <cellStyle name="20% - Accent6 4 10 5" xfId="9778"/>
    <cellStyle name="20% - Accent6 4 11" xfId="1314"/>
    <cellStyle name="20% - Accent6 4 11 10" xfId="25971"/>
    <cellStyle name="20% - Accent6 4 11 11" xfId="28563"/>
    <cellStyle name="20% - Accent6 4 11 2" xfId="4154"/>
    <cellStyle name="20% - Accent6 4 11 2 2" xfId="5366"/>
    <cellStyle name="20% - Accent6 4 11 2 2 2" xfId="6168"/>
    <cellStyle name="20% - Accent6 4 11 2 2 2 2" xfId="25974"/>
    <cellStyle name="20% - Accent6 4 11 2 2 3" xfId="9781"/>
    <cellStyle name="20% - Accent6 4 11 2 2 4" xfId="25973"/>
    <cellStyle name="20% - Accent6 4 11 2 3" xfId="5676"/>
    <cellStyle name="20% - Accent6 4 11 2 3 2" xfId="6169"/>
    <cellStyle name="20% - Accent6 4 11 2 3 2 2" xfId="25976"/>
    <cellStyle name="20% - Accent6 4 11 2 3 3" xfId="25975"/>
    <cellStyle name="20% - Accent6 4 11 2 4" xfId="4433"/>
    <cellStyle name="20% - Accent6 4 11 2 4 2" xfId="6170"/>
    <cellStyle name="20% - Accent6 4 11 2 4 2 2" xfId="25978"/>
    <cellStyle name="20% - Accent6 4 11 2 4 3" xfId="25977"/>
    <cellStyle name="20% - Accent6 4 11 2 5" xfId="6167"/>
    <cellStyle name="20% - Accent6 4 11 2 5 2" xfId="25979"/>
    <cellStyle name="20% - Accent6 4 11 2 6" xfId="9780"/>
    <cellStyle name="20% - Accent6 4 11 2 6 2" xfId="25980"/>
    <cellStyle name="20% - Accent6 4 11 2 7" xfId="25006"/>
    <cellStyle name="20% - Accent6 4 11 2 8" xfId="25972"/>
    <cellStyle name="20% - Accent6 4 11 2 9" xfId="28564"/>
    <cellStyle name="20% - Accent6 4 11 3" xfId="5365"/>
    <cellStyle name="20% - Accent6 4 11 3 2" xfId="6171"/>
    <cellStyle name="20% - Accent6 4 11 3 2 2" xfId="25982"/>
    <cellStyle name="20% - Accent6 4 11 3 3" xfId="9782"/>
    <cellStyle name="20% - Accent6 4 11 3 4" xfId="25981"/>
    <cellStyle name="20% - Accent6 4 11 4" xfId="5675"/>
    <cellStyle name="20% - Accent6 4 11 4 2" xfId="6172"/>
    <cellStyle name="20% - Accent6 4 11 4 2 2" xfId="25984"/>
    <cellStyle name="20% - Accent6 4 11 4 3" xfId="9783"/>
    <cellStyle name="20% - Accent6 4 11 4 4" xfId="25983"/>
    <cellStyle name="20% - Accent6 4 11 5" xfId="4432"/>
    <cellStyle name="20% - Accent6 4 11 5 2" xfId="6173"/>
    <cellStyle name="20% - Accent6 4 11 5 2 2" xfId="9785"/>
    <cellStyle name="20% - Accent6 4 11 5 2 2 2" xfId="25987"/>
    <cellStyle name="20% - Accent6 4 11 5 2 3" xfId="25986"/>
    <cellStyle name="20% - Accent6 4 11 5 2 4" xfId="28566"/>
    <cellStyle name="20% - Accent6 4 11 5 3" xfId="9786"/>
    <cellStyle name="20% - Accent6 4 11 5 3 2" xfId="25988"/>
    <cellStyle name="20% - Accent6 4 11 5 3 3" xfId="28567"/>
    <cellStyle name="20% - Accent6 4 11 5 4" xfId="9784"/>
    <cellStyle name="20% - Accent6 4 11 5 4 2" xfId="25989"/>
    <cellStyle name="20% - Accent6 4 11 5 5" xfId="25985"/>
    <cellStyle name="20% - Accent6 4 11 5 6" xfId="28565"/>
    <cellStyle name="20% - Accent6 4 11 6" xfId="6166"/>
    <cellStyle name="20% - Accent6 4 11 6 2" xfId="9787"/>
    <cellStyle name="20% - Accent6 4 11 6 2 2" xfId="25991"/>
    <cellStyle name="20% - Accent6 4 11 6 3" xfId="25990"/>
    <cellStyle name="20% - Accent6 4 11 6 4" xfId="28568"/>
    <cellStyle name="20% - Accent6 4 11 7" xfId="9788"/>
    <cellStyle name="20% - Accent6 4 11 7 2" xfId="25992"/>
    <cellStyle name="20% - Accent6 4 11 7 3" xfId="28569"/>
    <cellStyle name="20% - Accent6 4 11 8" xfId="9779"/>
    <cellStyle name="20% - Accent6 4 11 8 2" xfId="25993"/>
    <cellStyle name="20% - Accent6 4 11 9" xfId="24886"/>
    <cellStyle name="20% - Accent6 4 12" xfId="4434"/>
    <cellStyle name="20% - Accent6 4 12 2" xfId="5367"/>
    <cellStyle name="20% - Accent6 4 12 2 2" xfId="6175"/>
    <cellStyle name="20% - Accent6 4 12 2 2 2" xfId="25996"/>
    <cellStyle name="20% - Accent6 4 12 2 3" xfId="9790"/>
    <cellStyle name="20% - Accent6 4 12 2 4" xfId="25995"/>
    <cellStyle name="20% - Accent6 4 12 3" xfId="5677"/>
    <cellStyle name="20% - Accent6 4 12 3 2" xfId="6176"/>
    <cellStyle name="20% - Accent6 4 12 3 2 2" xfId="25998"/>
    <cellStyle name="20% - Accent6 4 12 3 3" xfId="9791"/>
    <cellStyle name="20% - Accent6 4 12 3 4" xfId="25997"/>
    <cellStyle name="20% - Accent6 4 12 4" xfId="6174"/>
    <cellStyle name="20% - Accent6 4 12 4 2" xfId="9792"/>
    <cellStyle name="20% - Accent6 4 12 4 3" xfId="25999"/>
    <cellStyle name="20% - Accent6 4 12 5" xfId="9789"/>
    <cellStyle name="20% - Accent6 4 12 5 2" xfId="26000"/>
    <cellStyle name="20% - Accent6 4 12 6" xfId="25994"/>
    <cellStyle name="20% - Accent6 4 12 7" xfId="28570"/>
    <cellStyle name="20% - Accent6 4 13" xfId="5364"/>
    <cellStyle name="20% - Accent6 4 13 2" xfId="6177"/>
    <cellStyle name="20% - Accent6 4 13 2 2" xfId="9794"/>
    <cellStyle name="20% - Accent6 4 13 2 3" xfId="26002"/>
    <cellStyle name="20% - Accent6 4 13 3" xfId="9795"/>
    <cellStyle name="20% - Accent6 4 13 4" xfId="9793"/>
    <cellStyle name="20% - Accent6 4 13 5" xfId="26001"/>
    <cellStyle name="20% - Accent6 4 14" xfId="5674"/>
    <cellStyle name="20% - Accent6 4 14 2" xfId="6178"/>
    <cellStyle name="20% - Accent6 4 14 2 2" xfId="26004"/>
    <cellStyle name="20% - Accent6 4 14 3" xfId="9796"/>
    <cellStyle name="20% - Accent6 4 14 4" xfId="26003"/>
    <cellStyle name="20% - Accent6 4 15" xfId="4430"/>
    <cellStyle name="20% - Accent6 4 15 2" xfId="6179"/>
    <cellStyle name="20% - Accent6 4 15 2 2" xfId="26006"/>
    <cellStyle name="20% - Accent6 4 15 3" xfId="9797"/>
    <cellStyle name="20% - Accent6 4 15 4" xfId="26005"/>
    <cellStyle name="20% - Accent6 4 16" xfId="9798"/>
    <cellStyle name="20% - Accent6 4 17" xfId="9799"/>
    <cellStyle name="20% - Accent6 4 17 2" xfId="9800"/>
    <cellStyle name="20% - Accent6 4 17 2 2" xfId="26008"/>
    <cellStyle name="20% - Accent6 4 17 2 3" xfId="28572"/>
    <cellStyle name="20% - Accent6 4 17 3" xfId="9801"/>
    <cellStyle name="20% - Accent6 4 17 3 2" xfId="26009"/>
    <cellStyle name="20% - Accent6 4 17 3 3" xfId="28573"/>
    <cellStyle name="20% - Accent6 4 17 4" xfId="26007"/>
    <cellStyle name="20% - Accent6 4 17 5" xfId="28571"/>
    <cellStyle name="20% - Accent6 4 18" xfId="9802"/>
    <cellStyle name="20% - Accent6 4 18 2" xfId="26010"/>
    <cellStyle name="20% - Accent6 4 18 3" xfId="28574"/>
    <cellStyle name="20% - Accent6 4 19" xfId="9803"/>
    <cellStyle name="20% - Accent6 4 19 2" xfId="26011"/>
    <cellStyle name="20% - Accent6 4 19 3" xfId="28575"/>
    <cellStyle name="20% - Accent6 4 2" xfId="1498"/>
    <cellStyle name="20% - Accent6 4 2 10" xfId="9804"/>
    <cellStyle name="20% - Accent6 4 2 10 2" xfId="9805"/>
    <cellStyle name="20% - Accent6 4 2 10 3" xfId="9806"/>
    <cellStyle name="20% - Accent6 4 2 11" xfId="9807"/>
    <cellStyle name="20% - Accent6 4 2 11 2" xfId="9808"/>
    <cellStyle name="20% - Accent6 4 2 11 3" xfId="9809"/>
    <cellStyle name="20% - Accent6 4 2 12" xfId="9810"/>
    <cellStyle name="20% - Accent6 4 2 12 2" xfId="9811"/>
    <cellStyle name="20% - Accent6 4 2 12 3" xfId="9812"/>
    <cellStyle name="20% - Accent6 4 2 13" xfId="9813"/>
    <cellStyle name="20% - Accent6 4 2 14" xfId="9814"/>
    <cellStyle name="20% - Accent6 4 2 15" xfId="9815"/>
    <cellStyle name="20% - Accent6 4 2 16" xfId="9816"/>
    <cellStyle name="20% - Accent6 4 2 2" xfId="4435"/>
    <cellStyle name="20% - Accent6 4 2 2 2" xfId="9818"/>
    <cellStyle name="20% - Accent6 4 2 2 3" xfId="9819"/>
    <cellStyle name="20% - Accent6 4 2 2 4" xfId="9817"/>
    <cellStyle name="20% - Accent6 4 2 3" xfId="9820"/>
    <cellStyle name="20% - Accent6 4 2 3 2" xfId="9821"/>
    <cellStyle name="20% - Accent6 4 2 3 3" xfId="9822"/>
    <cellStyle name="20% - Accent6 4 2 4" xfId="9823"/>
    <cellStyle name="20% - Accent6 4 2 4 2" xfId="9824"/>
    <cellStyle name="20% - Accent6 4 2 4 3" xfId="9825"/>
    <cellStyle name="20% - Accent6 4 2 5" xfId="9826"/>
    <cellStyle name="20% - Accent6 4 2 5 2" xfId="9827"/>
    <cellStyle name="20% - Accent6 4 2 5 3" xfId="9828"/>
    <cellStyle name="20% - Accent6 4 2 6" xfId="9829"/>
    <cellStyle name="20% - Accent6 4 2 6 2" xfId="9830"/>
    <cellStyle name="20% - Accent6 4 2 6 3" xfId="9831"/>
    <cellStyle name="20% - Accent6 4 2 7" xfId="9832"/>
    <cellStyle name="20% - Accent6 4 2 7 2" xfId="9833"/>
    <cellStyle name="20% - Accent6 4 2 7 3" xfId="9834"/>
    <cellStyle name="20% - Accent6 4 2 8" xfId="9835"/>
    <cellStyle name="20% - Accent6 4 2 8 2" xfId="9836"/>
    <cellStyle name="20% - Accent6 4 2 8 3" xfId="9837"/>
    <cellStyle name="20% - Accent6 4 2 9" xfId="9838"/>
    <cellStyle name="20% - Accent6 4 2 9 2" xfId="9839"/>
    <cellStyle name="20% - Accent6 4 2 9 3" xfId="9840"/>
    <cellStyle name="20% - Accent6 4 20" xfId="9774"/>
    <cellStyle name="20% - Accent6 4 20 2" xfId="26012"/>
    <cellStyle name="20% - Accent6 4 21" xfId="28562"/>
    <cellStyle name="20% - Accent6 4 3" xfId="1623"/>
    <cellStyle name="20% - Accent6 4 3 2" xfId="4436"/>
    <cellStyle name="20% - Accent6 4 3 2 2" xfId="9841"/>
    <cellStyle name="20% - Accent6 4 3 3" xfId="9842"/>
    <cellStyle name="20% - Accent6 4 3 4" xfId="9843"/>
    <cellStyle name="20% - Accent6 4 3 5" xfId="9844"/>
    <cellStyle name="20% - Accent6 4 4" xfId="1799"/>
    <cellStyle name="20% - Accent6 4 4 2" xfId="9845"/>
    <cellStyle name="20% - Accent6 4 4 3" xfId="9846"/>
    <cellStyle name="20% - Accent6 4 4 4" xfId="9847"/>
    <cellStyle name="20% - Accent6 4 5" xfId="2135"/>
    <cellStyle name="20% - Accent6 4 5 2" xfId="9848"/>
    <cellStyle name="20% - Accent6 4 5 3" xfId="9849"/>
    <cellStyle name="20% - Accent6 4 5 4" xfId="9850"/>
    <cellStyle name="20% - Accent6 4 6" xfId="2509"/>
    <cellStyle name="20% - Accent6 4 6 2" xfId="9851"/>
    <cellStyle name="20% - Accent6 4 6 3" xfId="9852"/>
    <cellStyle name="20% - Accent6 4 6 4" xfId="9853"/>
    <cellStyle name="20% - Accent6 4 7" xfId="2881"/>
    <cellStyle name="20% - Accent6 4 7 2" xfId="9854"/>
    <cellStyle name="20% - Accent6 4 7 3" xfId="9855"/>
    <cellStyle name="20% - Accent6 4 7 4" xfId="9856"/>
    <cellStyle name="20% - Accent6 4 8" xfId="3252"/>
    <cellStyle name="20% - Accent6 4 8 2" xfId="9857"/>
    <cellStyle name="20% - Accent6 4 8 3" xfId="9858"/>
    <cellStyle name="20% - Accent6 4 8 4" xfId="9859"/>
    <cellStyle name="20% - Accent6 4 9" xfId="3587"/>
    <cellStyle name="20% - Accent6 4 9 2" xfId="4437"/>
    <cellStyle name="20% - Accent6 4 9 2 2" xfId="9860"/>
    <cellStyle name="20% - Accent6 4 9 3" xfId="9861"/>
    <cellStyle name="20% - Accent6 4 9 4" xfId="9862"/>
    <cellStyle name="20% - Accent6 4 9 5" xfId="9863"/>
    <cellStyle name="20% - Accent6 5" xfId="379"/>
    <cellStyle name="20% - Accent6 5 10" xfId="9864"/>
    <cellStyle name="20% - Accent6 5 10 2" xfId="9865"/>
    <cellStyle name="20% - Accent6 5 10 3" xfId="9866"/>
    <cellStyle name="20% - Accent6 5 11" xfId="9867"/>
    <cellStyle name="20% - Accent6 5 11 2" xfId="9868"/>
    <cellStyle name="20% - Accent6 5 11 3" xfId="9869"/>
    <cellStyle name="20% - Accent6 5 12" xfId="9870"/>
    <cellStyle name="20% - Accent6 5 12 2" xfId="9871"/>
    <cellStyle name="20% - Accent6 5 12 3" xfId="9872"/>
    <cellStyle name="20% - Accent6 5 13" xfId="9873"/>
    <cellStyle name="20% - Accent6 5 13 2" xfId="9874"/>
    <cellStyle name="20% - Accent6 5 13 3" xfId="9875"/>
    <cellStyle name="20% - Accent6 5 14" xfId="9876"/>
    <cellStyle name="20% - Accent6 5 15" xfId="9877"/>
    <cellStyle name="20% - Accent6 5 16" xfId="9878"/>
    <cellStyle name="20% - Accent6 5 17" xfId="9879"/>
    <cellStyle name="20% - Accent6 5 2" xfId="1863"/>
    <cellStyle name="20% - Accent6 5 2 10" xfId="9880"/>
    <cellStyle name="20% - Accent6 5 2 10 2" xfId="9881"/>
    <cellStyle name="20% - Accent6 5 2 10 3" xfId="9882"/>
    <cellStyle name="20% - Accent6 5 2 11" xfId="9883"/>
    <cellStyle name="20% - Accent6 5 2 11 2" xfId="9884"/>
    <cellStyle name="20% - Accent6 5 2 11 3" xfId="9885"/>
    <cellStyle name="20% - Accent6 5 2 12" xfId="9886"/>
    <cellStyle name="20% - Accent6 5 2 12 2" xfId="9887"/>
    <cellStyle name="20% - Accent6 5 2 12 3" xfId="9888"/>
    <cellStyle name="20% - Accent6 5 2 13" xfId="9889"/>
    <cellStyle name="20% - Accent6 5 2 14" xfId="9890"/>
    <cellStyle name="20% - Accent6 5 2 15" xfId="9891"/>
    <cellStyle name="20% - Accent6 5 2 2" xfId="9892"/>
    <cellStyle name="20% - Accent6 5 2 2 2" xfId="9893"/>
    <cellStyle name="20% - Accent6 5 2 2 3" xfId="9894"/>
    <cellStyle name="20% - Accent6 5 2 3" xfId="9895"/>
    <cellStyle name="20% - Accent6 5 2 3 2" xfId="9896"/>
    <cellStyle name="20% - Accent6 5 2 3 3" xfId="9897"/>
    <cellStyle name="20% - Accent6 5 2 4" xfId="9898"/>
    <cellStyle name="20% - Accent6 5 2 4 2" xfId="9899"/>
    <cellStyle name="20% - Accent6 5 2 4 3" xfId="9900"/>
    <cellStyle name="20% - Accent6 5 2 5" xfId="9901"/>
    <cellStyle name="20% - Accent6 5 2 5 2" xfId="9902"/>
    <cellStyle name="20% - Accent6 5 2 5 3" xfId="9903"/>
    <cellStyle name="20% - Accent6 5 2 6" xfId="9904"/>
    <cellStyle name="20% - Accent6 5 2 6 2" xfId="9905"/>
    <cellStyle name="20% - Accent6 5 2 6 3" xfId="9906"/>
    <cellStyle name="20% - Accent6 5 2 7" xfId="9907"/>
    <cellStyle name="20% - Accent6 5 2 7 2" xfId="9908"/>
    <cellStyle name="20% - Accent6 5 2 7 3" xfId="9909"/>
    <cellStyle name="20% - Accent6 5 2 8" xfId="9910"/>
    <cellStyle name="20% - Accent6 5 2 8 2" xfId="9911"/>
    <cellStyle name="20% - Accent6 5 2 8 3" xfId="9912"/>
    <cellStyle name="20% - Accent6 5 2 9" xfId="9913"/>
    <cellStyle name="20% - Accent6 5 2 9 2" xfId="9914"/>
    <cellStyle name="20% - Accent6 5 2 9 3" xfId="9915"/>
    <cellStyle name="20% - Accent6 5 3" xfId="2238"/>
    <cellStyle name="20% - Accent6 5 3 2" xfId="9916"/>
    <cellStyle name="20% - Accent6 5 3 3" xfId="9917"/>
    <cellStyle name="20% - Accent6 5 3 4" xfId="9918"/>
    <cellStyle name="20% - Accent6 5 4" xfId="2612"/>
    <cellStyle name="20% - Accent6 5 4 2" xfId="9919"/>
    <cellStyle name="20% - Accent6 5 4 3" xfId="9920"/>
    <cellStyle name="20% - Accent6 5 4 4" xfId="9921"/>
    <cellStyle name="20% - Accent6 5 5" xfId="2984"/>
    <cellStyle name="20% - Accent6 5 5 2" xfId="9922"/>
    <cellStyle name="20% - Accent6 5 5 3" xfId="9923"/>
    <cellStyle name="20% - Accent6 5 5 4" xfId="9924"/>
    <cellStyle name="20% - Accent6 5 6" xfId="3356"/>
    <cellStyle name="20% - Accent6 5 6 2" xfId="9925"/>
    <cellStyle name="20% - Accent6 5 6 3" xfId="9926"/>
    <cellStyle name="20% - Accent6 5 6 4" xfId="9927"/>
    <cellStyle name="20% - Accent6 5 7" xfId="4438"/>
    <cellStyle name="20% - Accent6 5 7 2" xfId="9929"/>
    <cellStyle name="20% - Accent6 5 7 3" xfId="9930"/>
    <cellStyle name="20% - Accent6 5 7 4" xfId="9928"/>
    <cellStyle name="20% - Accent6 5 8" xfId="9931"/>
    <cellStyle name="20% - Accent6 5 8 2" xfId="9932"/>
    <cellStyle name="20% - Accent6 5 8 3" xfId="9933"/>
    <cellStyle name="20% - Accent6 5 9" xfId="9934"/>
    <cellStyle name="20% - Accent6 5 9 2" xfId="9935"/>
    <cellStyle name="20% - Accent6 5 9 3" xfId="9936"/>
    <cellStyle name="20% - Accent6 6" xfId="380"/>
    <cellStyle name="20% - Accent6 6 10" xfId="5368"/>
    <cellStyle name="20% - Accent6 6 10 2" xfId="6181"/>
    <cellStyle name="20% - Accent6 6 10 2 2" xfId="9939"/>
    <cellStyle name="20% - Accent6 6 10 2 3" xfId="26015"/>
    <cellStyle name="20% - Accent6 6 10 3" xfId="9940"/>
    <cellStyle name="20% - Accent6 6 10 4" xfId="9938"/>
    <cellStyle name="20% - Accent6 6 10 5" xfId="26014"/>
    <cellStyle name="20% - Accent6 6 11" xfId="5678"/>
    <cellStyle name="20% - Accent6 6 11 2" xfId="6182"/>
    <cellStyle name="20% - Accent6 6 11 2 2" xfId="9942"/>
    <cellStyle name="20% - Accent6 6 11 2 3" xfId="26017"/>
    <cellStyle name="20% - Accent6 6 11 3" xfId="9943"/>
    <cellStyle name="20% - Accent6 6 11 4" xfId="9941"/>
    <cellStyle name="20% - Accent6 6 11 5" xfId="26016"/>
    <cellStyle name="20% - Accent6 6 12" xfId="4439"/>
    <cellStyle name="20% - Accent6 6 12 2" xfId="6183"/>
    <cellStyle name="20% - Accent6 6 12 2 2" xfId="9945"/>
    <cellStyle name="20% - Accent6 6 12 2 3" xfId="26019"/>
    <cellStyle name="20% - Accent6 6 12 3" xfId="9946"/>
    <cellStyle name="20% - Accent6 6 12 4" xfId="9944"/>
    <cellStyle name="20% - Accent6 6 12 5" xfId="26018"/>
    <cellStyle name="20% - Accent6 6 13" xfId="6180"/>
    <cellStyle name="20% - Accent6 6 13 2" xfId="9947"/>
    <cellStyle name="20% - Accent6 6 13 3" xfId="26020"/>
    <cellStyle name="20% - Accent6 6 14" xfId="9948"/>
    <cellStyle name="20% - Accent6 6 15" xfId="9949"/>
    <cellStyle name="20% - Accent6 6 16" xfId="9950"/>
    <cellStyle name="20% - Accent6 6 16 2" xfId="9951"/>
    <cellStyle name="20% - Accent6 6 16 2 2" xfId="26022"/>
    <cellStyle name="20% - Accent6 6 16 2 3" xfId="28578"/>
    <cellStyle name="20% - Accent6 6 16 3" xfId="9952"/>
    <cellStyle name="20% - Accent6 6 16 3 2" xfId="26023"/>
    <cellStyle name="20% - Accent6 6 16 3 3" xfId="28579"/>
    <cellStyle name="20% - Accent6 6 16 4" xfId="26021"/>
    <cellStyle name="20% - Accent6 6 16 5" xfId="28577"/>
    <cellStyle name="20% - Accent6 6 17" xfId="9953"/>
    <cellStyle name="20% - Accent6 6 17 2" xfId="26024"/>
    <cellStyle name="20% - Accent6 6 17 3" xfId="28580"/>
    <cellStyle name="20% - Accent6 6 18" xfId="9954"/>
    <cellStyle name="20% - Accent6 6 18 2" xfId="26025"/>
    <cellStyle name="20% - Accent6 6 18 3" xfId="28581"/>
    <cellStyle name="20% - Accent6 6 19" xfId="9937"/>
    <cellStyle name="20% - Accent6 6 19 2" xfId="26026"/>
    <cellStyle name="20% - Accent6 6 2" xfId="1974"/>
    <cellStyle name="20% - Accent6 6 2 2" xfId="4440"/>
    <cellStyle name="20% - Accent6 6 2 2 2" xfId="9955"/>
    <cellStyle name="20% - Accent6 6 2 3" xfId="9956"/>
    <cellStyle name="20% - Accent6 6 2 4" xfId="9957"/>
    <cellStyle name="20% - Accent6 6 2 5" xfId="9958"/>
    <cellStyle name="20% - Accent6 6 20" xfId="24836"/>
    <cellStyle name="20% - Accent6 6 21" xfId="26013"/>
    <cellStyle name="20% - Accent6 6 22" xfId="28576"/>
    <cellStyle name="20% - Accent6 6 3" xfId="2349"/>
    <cellStyle name="20% - Accent6 6 3 2" xfId="4441"/>
    <cellStyle name="20% - Accent6 6 3 2 2" xfId="9959"/>
    <cellStyle name="20% - Accent6 6 3 3" xfId="9960"/>
    <cellStyle name="20% - Accent6 6 3 4" xfId="9961"/>
    <cellStyle name="20% - Accent6 6 3 5" xfId="9962"/>
    <cellStyle name="20% - Accent6 6 4" xfId="2722"/>
    <cellStyle name="20% - Accent6 6 4 2" xfId="4442"/>
    <cellStyle name="20% - Accent6 6 4 2 2" xfId="9963"/>
    <cellStyle name="20% - Accent6 6 4 3" xfId="9964"/>
    <cellStyle name="20% - Accent6 6 4 4" xfId="9965"/>
    <cellStyle name="20% - Accent6 6 4 5" xfId="9966"/>
    <cellStyle name="20% - Accent6 6 5" xfId="3095"/>
    <cellStyle name="20% - Accent6 6 5 2" xfId="4443"/>
    <cellStyle name="20% - Accent6 6 5 2 2" xfId="9967"/>
    <cellStyle name="20% - Accent6 6 5 3" xfId="9968"/>
    <cellStyle name="20% - Accent6 6 5 4" xfId="9969"/>
    <cellStyle name="20% - Accent6 6 5 5" xfId="9970"/>
    <cellStyle name="20% - Accent6 6 6" xfId="3466"/>
    <cellStyle name="20% - Accent6 6 6 2" xfId="4444"/>
    <cellStyle name="20% - Accent6 6 6 2 2" xfId="9971"/>
    <cellStyle name="20% - Accent6 6 6 3" xfId="9972"/>
    <cellStyle name="20% - Accent6 6 6 4" xfId="9973"/>
    <cellStyle name="20% - Accent6 6 6 5" xfId="9974"/>
    <cellStyle name="20% - Accent6 6 7" xfId="3772"/>
    <cellStyle name="20% - Accent6 6 7 2" xfId="4445"/>
    <cellStyle name="20% - Accent6 6 7 2 2" xfId="9975"/>
    <cellStyle name="20% - Accent6 6 7 3" xfId="9976"/>
    <cellStyle name="20% - Accent6 6 7 4" xfId="9977"/>
    <cellStyle name="20% - Accent6 6 7 5" xfId="9978"/>
    <cellStyle name="20% - Accent6 6 8" xfId="1365"/>
    <cellStyle name="20% - Accent6 6 8 10" xfId="26027"/>
    <cellStyle name="20% - Accent6 6 8 11" xfId="28582"/>
    <cellStyle name="20% - Accent6 6 8 2" xfId="4165"/>
    <cellStyle name="20% - Accent6 6 8 2 2" xfId="5370"/>
    <cellStyle name="20% - Accent6 6 8 2 2 2" xfId="6186"/>
    <cellStyle name="20% - Accent6 6 8 2 2 2 2" xfId="26030"/>
    <cellStyle name="20% - Accent6 6 8 2 2 3" xfId="9981"/>
    <cellStyle name="20% - Accent6 6 8 2 2 4" xfId="26029"/>
    <cellStyle name="20% - Accent6 6 8 2 3" xfId="5680"/>
    <cellStyle name="20% - Accent6 6 8 2 3 2" xfId="6187"/>
    <cellStyle name="20% - Accent6 6 8 2 3 2 2" xfId="26032"/>
    <cellStyle name="20% - Accent6 6 8 2 3 3" xfId="26031"/>
    <cellStyle name="20% - Accent6 6 8 2 4" xfId="4447"/>
    <cellStyle name="20% - Accent6 6 8 2 4 2" xfId="6188"/>
    <cellStyle name="20% - Accent6 6 8 2 4 2 2" xfId="26034"/>
    <cellStyle name="20% - Accent6 6 8 2 4 3" xfId="26033"/>
    <cellStyle name="20% - Accent6 6 8 2 5" xfId="6185"/>
    <cellStyle name="20% - Accent6 6 8 2 5 2" xfId="26035"/>
    <cellStyle name="20% - Accent6 6 8 2 6" xfId="9980"/>
    <cellStyle name="20% - Accent6 6 8 2 6 2" xfId="26036"/>
    <cellStyle name="20% - Accent6 6 8 2 7" xfId="25017"/>
    <cellStyle name="20% - Accent6 6 8 2 8" xfId="26028"/>
    <cellStyle name="20% - Accent6 6 8 2 9" xfId="28583"/>
    <cellStyle name="20% - Accent6 6 8 3" xfId="5369"/>
    <cellStyle name="20% - Accent6 6 8 3 2" xfId="6189"/>
    <cellStyle name="20% - Accent6 6 8 3 2 2" xfId="26038"/>
    <cellStyle name="20% - Accent6 6 8 3 3" xfId="9982"/>
    <cellStyle name="20% - Accent6 6 8 3 4" xfId="26037"/>
    <cellStyle name="20% - Accent6 6 8 4" xfId="5679"/>
    <cellStyle name="20% - Accent6 6 8 4 2" xfId="6190"/>
    <cellStyle name="20% - Accent6 6 8 4 2 2" xfId="26040"/>
    <cellStyle name="20% - Accent6 6 8 4 3" xfId="9983"/>
    <cellStyle name="20% - Accent6 6 8 4 4" xfId="26039"/>
    <cellStyle name="20% - Accent6 6 8 5" xfId="4446"/>
    <cellStyle name="20% - Accent6 6 8 5 2" xfId="6191"/>
    <cellStyle name="20% - Accent6 6 8 5 2 2" xfId="9985"/>
    <cellStyle name="20% - Accent6 6 8 5 2 2 2" xfId="26043"/>
    <cellStyle name="20% - Accent6 6 8 5 2 3" xfId="26042"/>
    <cellStyle name="20% - Accent6 6 8 5 2 4" xfId="28585"/>
    <cellStyle name="20% - Accent6 6 8 5 3" xfId="9986"/>
    <cellStyle name="20% - Accent6 6 8 5 3 2" xfId="26044"/>
    <cellStyle name="20% - Accent6 6 8 5 3 3" xfId="28586"/>
    <cellStyle name="20% - Accent6 6 8 5 4" xfId="9984"/>
    <cellStyle name="20% - Accent6 6 8 5 4 2" xfId="26045"/>
    <cellStyle name="20% - Accent6 6 8 5 5" xfId="26041"/>
    <cellStyle name="20% - Accent6 6 8 5 6" xfId="28584"/>
    <cellStyle name="20% - Accent6 6 8 6" xfId="6184"/>
    <cellStyle name="20% - Accent6 6 8 6 2" xfId="9987"/>
    <cellStyle name="20% - Accent6 6 8 6 2 2" xfId="26047"/>
    <cellStyle name="20% - Accent6 6 8 6 3" xfId="26046"/>
    <cellStyle name="20% - Accent6 6 8 6 4" xfId="28587"/>
    <cellStyle name="20% - Accent6 6 8 7" xfId="9988"/>
    <cellStyle name="20% - Accent6 6 8 7 2" xfId="26048"/>
    <cellStyle name="20% - Accent6 6 8 7 3" xfId="28588"/>
    <cellStyle name="20% - Accent6 6 8 8" xfId="9979"/>
    <cellStyle name="20% - Accent6 6 8 8 2" xfId="26049"/>
    <cellStyle name="20% - Accent6 6 8 9" xfId="24897"/>
    <cellStyle name="20% - Accent6 6 9" xfId="3822"/>
    <cellStyle name="20% - Accent6 6 9 2" xfId="5371"/>
    <cellStyle name="20% - Accent6 6 9 2 2" xfId="6193"/>
    <cellStyle name="20% - Accent6 6 9 2 2 2" xfId="26052"/>
    <cellStyle name="20% - Accent6 6 9 2 3" xfId="9990"/>
    <cellStyle name="20% - Accent6 6 9 2 4" xfId="26051"/>
    <cellStyle name="20% - Accent6 6 9 3" xfId="5681"/>
    <cellStyle name="20% - Accent6 6 9 3 2" xfId="6194"/>
    <cellStyle name="20% - Accent6 6 9 3 2 2" xfId="26054"/>
    <cellStyle name="20% - Accent6 6 9 3 3" xfId="9991"/>
    <cellStyle name="20% - Accent6 6 9 3 4" xfId="26053"/>
    <cellStyle name="20% - Accent6 6 9 4" xfId="4448"/>
    <cellStyle name="20% - Accent6 6 9 4 2" xfId="6195"/>
    <cellStyle name="20% - Accent6 6 9 4 2 2" xfId="26056"/>
    <cellStyle name="20% - Accent6 6 9 4 3" xfId="9992"/>
    <cellStyle name="20% - Accent6 6 9 4 4" xfId="26055"/>
    <cellStyle name="20% - Accent6 6 9 5" xfId="6192"/>
    <cellStyle name="20% - Accent6 6 9 5 2" xfId="26057"/>
    <cellStyle name="20% - Accent6 6 9 6" xfId="9989"/>
    <cellStyle name="20% - Accent6 6 9 6 2" xfId="26058"/>
    <cellStyle name="20% - Accent6 6 9 7" xfId="24958"/>
    <cellStyle name="20% - Accent6 6 9 8" xfId="26050"/>
    <cellStyle name="20% - Accent6 6 9 9" xfId="28589"/>
    <cellStyle name="20% - Accent6 7" xfId="381"/>
    <cellStyle name="20% - Accent6 7 10" xfId="9993"/>
    <cellStyle name="20% - Accent6 7 10 2" xfId="9994"/>
    <cellStyle name="20% - Accent6 7 10 3" xfId="9995"/>
    <cellStyle name="20% - Accent6 7 11" xfId="9996"/>
    <cellStyle name="20% - Accent6 7 11 2" xfId="9997"/>
    <cellStyle name="20% - Accent6 7 11 3" xfId="9998"/>
    <cellStyle name="20% - Accent6 7 12" xfId="9999"/>
    <cellStyle name="20% - Accent6 7 12 2" xfId="10000"/>
    <cellStyle name="20% - Accent6 7 12 3" xfId="10001"/>
    <cellStyle name="20% - Accent6 7 13" xfId="10002"/>
    <cellStyle name="20% - Accent6 7 14" xfId="10003"/>
    <cellStyle name="20% - Accent6 7 15" xfId="10004"/>
    <cellStyle name="20% - Accent6 7 16" xfId="10005"/>
    <cellStyle name="20% - Accent6 7 2" xfId="4449"/>
    <cellStyle name="20% - Accent6 7 2 2" xfId="10007"/>
    <cellStyle name="20% - Accent6 7 2 3" xfId="10008"/>
    <cellStyle name="20% - Accent6 7 2 4" xfId="10006"/>
    <cellStyle name="20% - Accent6 7 3" xfId="10009"/>
    <cellStyle name="20% - Accent6 7 3 2" xfId="10010"/>
    <cellStyle name="20% - Accent6 7 3 3" xfId="10011"/>
    <cellStyle name="20% - Accent6 7 4" xfId="10012"/>
    <cellStyle name="20% - Accent6 7 4 2" xfId="10013"/>
    <cellStyle name="20% - Accent6 7 4 3" xfId="10014"/>
    <cellStyle name="20% - Accent6 7 5" xfId="10015"/>
    <cellStyle name="20% - Accent6 7 5 2" xfId="10016"/>
    <cellStyle name="20% - Accent6 7 5 3" xfId="10017"/>
    <cellStyle name="20% - Accent6 7 6" xfId="10018"/>
    <cellStyle name="20% - Accent6 7 6 2" xfId="10019"/>
    <cellStyle name="20% - Accent6 7 6 3" xfId="10020"/>
    <cellStyle name="20% - Accent6 7 7" xfId="10021"/>
    <cellStyle name="20% - Accent6 7 7 2" xfId="10022"/>
    <cellStyle name="20% - Accent6 7 7 3" xfId="10023"/>
    <cellStyle name="20% - Accent6 7 8" xfId="10024"/>
    <cellStyle name="20% - Accent6 7 8 2" xfId="10025"/>
    <cellStyle name="20% - Accent6 7 8 3" xfId="10026"/>
    <cellStyle name="20% - Accent6 7 9" xfId="10027"/>
    <cellStyle name="20% - Accent6 7 9 2" xfId="10028"/>
    <cellStyle name="20% - Accent6 7 9 3" xfId="10029"/>
    <cellStyle name="20% - Accent6 8" xfId="535"/>
    <cellStyle name="20% - Accent6 8 10" xfId="24850"/>
    <cellStyle name="20% - Accent6 8 11" xfId="26059"/>
    <cellStyle name="20% - Accent6 8 12" xfId="28590"/>
    <cellStyle name="20% - Accent6 8 2" xfId="1382"/>
    <cellStyle name="20% - Accent6 8 2 10" xfId="26060"/>
    <cellStyle name="20% - Accent6 8 2 11" xfId="28591"/>
    <cellStyle name="20% - Accent6 8 2 2" xfId="4182"/>
    <cellStyle name="20% - Accent6 8 2 2 2" xfId="5374"/>
    <cellStyle name="20% - Accent6 8 2 2 2 2" xfId="6199"/>
    <cellStyle name="20% - Accent6 8 2 2 2 2 2" xfId="26063"/>
    <cellStyle name="20% - Accent6 8 2 2 2 3" xfId="10033"/>
    <cellStyle name="20% - Accent6 8 2 2 2 4" xfId="26062"/>
    <cellStyle name="20% - Accent6 8 2 2 3" xfId="5684"/>
    <cellStyle name="20% - Accent6 8 2 2 3 2" xfId="6200"/>
    <cellStyle name="20% - Accent6 8 2 2 3 2 2" xfId="26065"/>
    <cellStyle name="20% - Accent6 8 2 2 3 3" xfId="26064"/>
    <cellStyle name="20% - Accent6 8 2 2 4" xfId="4452"/>
    <cellStyle name="20% - Accent6 8 2 2 4 2" xfId="6201"/>
    <cellStyle name="20% - Accent6 8 2 2 4 2 2" xfId="26067"/>
    <cellStyle name="20% - Accent6 8 2 2 4 3" xfId="26066"/>
    <cellStyle name="20% - Accent6 8 2 2 5" xfId="6198"/>
    <cellStyle name="20% - Accent6 8 2 2 5 2" xfId="26068"/>
    <cellStyle name="20% - Accent6 8 2 2 6" xfId="10032"/>
    <cellStyle name="20% - Accent6 8 2 2 6 2" xfId="26069"/>
    <cellStyle name="20% - Accent6 8 2 2 7" xfId="25034"/>
    <cellStyle name="20% - Accent6 8 2 2 8" xfId="26061"/>
    <cellStyle name="20% - Accent6 8 2 2 9" xfId="28592"/>
    <cellStyle name="20% - Accent6 8 2 3" xfId="5373"/>
    <cellStyle name="20% - Accent6 8 2 3 2" xfId="6202"/>
    <cellStyle name="20% - Accent6 8 2 3 2 2" xfId="26071"/>
    <cellStyle name="20% - Accent6 8 2 3 3" xfId="10034"/>
    <cellStyle name="20% - Accent6 8 2 3 4" xfId="26070"/>
    <cellStyle name="20% - Accent6 8 2 4" xfId="5683"/>
    <cellStyle name="20% - Accent6 8 2 4 2" xfId="6203"/>
    <cellStyle name="20% - Accent6 8 2 4 2 2" xfId="26073"/>
    <cellStyle name="20% - Accent6 8 2 4 3" xfId="10035"/>
    <cellStyle name="20% - Accent6 8 2 4 4" xfId="26072"/>
    <cellStyle name="20% - Accent6 8 2 5" xfId="4451"/>
    <cellStyle name="20% - Accent6 8 2 5 2" xfId="6204"/>
    <cellStyle name="20% - Accent6 8 2 5 2 2" xfId="10037"/>
    <cellStyle name="20% - Accent6 8 2 5 2 2 2" xfId="26076"/>
    <cellStyle name="20% - Accent6 8 2 5 2 3" xfId="26075"/>
    <cellStyle name="20% - Accent6 8 2 5 2 4" xfId="28594"/>
    <cellStyle name="20% - Accent6 8 2 5 3" xfId="10038"/>
    <cellStyle name="20% - Accent6 8 2 5 3 2" xfId="26077"/>
    <cellStyle name="20% - Accent6 8 2 5 3 3" xfId="28595"/>
    <cellStyle name="20% - Accent6 8 2 5 4" xfId="10036"/>
    <cellStyle name="20% - Accent6 8 2 5 4 2" xfId="26078"/>
    <cellStyle name="20% - Accent6 8 2 5 5" xfId="26074"/>
    <cellStyle name="20% - Accent6 8 2 5 6" xfId="28593"/>
    <cellStyle name="20% - Accent6 8 2 6" xfId="6197"/>
    <cellStyle name="20% - Accent6 8 2 6 2" xfId="10039"/>
    <cellStyle name="20% - Accent6 8 2 6 2 2" xfId="26080"/>
    <cellStyle name="20% - Accent6 8 2 6 3" xfId="26079"/>
    <cellStyle name="20% - Accent6 8 2 6 4" xfId="28596"/>
    <cellStyle name="20% - Accent6 8 2 7" xfId="10040"/>
    <cellStyle name="20% - Accent6 8 2 7 2" xfId="26081"/>
    <cellStyle name="20% - Accent6 8 2 7 3" xfId="28597"/>
    <cellStyle name="20% - Accent6 8 2 8" xfId="10031"/>
    <cellStyle name="20% - Accent6 8 2 8 2" xfId="26082"/>
    <cellStyle name="20% - Accent6 8 2 9" xfId="24914"/>
    <cellStyle name="20% - Accent6 8 3" xfId="3836"/>
    <cellStyle name="20% - Accent6 8 3 2" xfId="5375"/>
    <cellStyle name="20% - Accent6 8 3 2 2" xfId="6206"/>
    <cellStyle name="20% - Accent6 8 3 2 2 2" xfId="26085"/>
    <cellStyle name="20% - Accent6 8 3 2 3" xfId="10042"/>
    <cellStyle name="20% - Accent6 8 3 2 4" xfId="26084"/>
    <cellStyle name="20% - Accent6 8 3 3" xfId="5685"/>
    <cellStyle name="20% - Accent6 8 3 3 2" xfId="6207"/>
    <cellStyle name="20% - Accent6 8 3 3 2 2" xfId="26087"/>
    <cellStyle name="20% - Accent6 8 3 3 3" xfId="26086"/>
    <cellStyle name="20% - Accent6 8 3 4" xfId="4453"/>
    <cellStyle name="20% - Accent6 8 3 4 2" xfId="6208"/>
    <cellStyle name="20% - Accent6 8 3 4 2 2" xfId="26089"/>
    <cellStyle name="20% - Accent6 8 3 4 3" xfId="26088"/>
    <cellStyle name="20% - Accent6 8 3 5" xfId="6205"/>
    <cellStyle name="20% - Accent6 8 3 5 2" xfId="26090"/>
    <cellStyle name="20% - Accent6 8 3 6" xfId="10041"/>
    <cellStyle name="20% - Accent6 8 3 6 2" xfId="26091"/>
    <cellStyle name="20% - Accent6 8 3 7" xfId="24972"/>
    <cellStyle name="20% - Accent6 8 3 8" xfId="26083"/>
    <cellStyle name="20% - Accent6 8 3 9" xfId="28598"/>
    <cellStyle name="20% - Accent6 8 4" xfId="5372"/>
    <cellStyle name="20% - Accent6 8 4 2" xfId="6209"/>
    <cellStyle name="20% - Accent6 8 4 2 2" xfId="26093"/>
    <cellStyle name="20% - Accent6 8 4 3" xfId="10043"/>
    <cellStyle name="20% - Accent6 8 4 4" xfId="26092"/>
    <cellStyle name="20% - Accent6 8 5" xfId="5682"/>
    <cellStyle name="20% - Accent6 8 5 2" xfId="6210"/>
    <cellStyle name="20% - Accent6 8 5 2 2" xfId="26095"/>
    <cellStyle name="20% - Accent6 8 5 3" xfId="10044"/>
    <cellStyle name="20% - Accent6 8 5 4" xfId="26094"/>
    <cellStyle name="20% - Accent6 8 6" xfId="4450"/>
    <cellStyle name="20% - Accent6 8 6 2" xfId="6211"/>
    <cellStyle name="20% - Accent6 8 6 2 2" xfId="10046"/>
    <cellStyle name="20% - Accent6 8 6 2 2 2" xfId="26098"/>
    <cellStyle name="20% - Accent6 8 6 2 3" xfId="26097"/>
    <cellStyle name="20% - Accent6 8 6 2 4" xfId="28600"/>
    <cellStyle name="20% - Accent6 8 6 3" xfId="10047"/>
    <cellStyle name="20% - Accent6 8 6 3 2" xfId="26099"/>
    <cellStyle name="20% - Accent6 8 6 3 3" xfId="28601"/>
    <cellStyle name="20% - Accent6 8 6 4" xfId="10045"/>
    <cellStyle name="20% - Accent6 8 6 4 2" xfId="26100"/>
    <cellStyle name="20% - Accent6 8 6 5" xfId="26096"/>
    <cellStyle name="20% - Accent6 8 6 6" xfId="28599"/>
    <cellStyle name="20% - Accent6 8 7" xfId="6196"/>
    <cellStyle name="20% - Accent6 8 7 2" xfId="10048"/>
    <cellStyle name="20% - Accent6 8 7 2 2" xfId="26102"/>
    <cellStyle name="20% - Accent6 8 7 3" xfId="26101"/>
    <cellStyle name="20% - Accent6 8 7 4" xfId="28602"/>
    <cellStyle name="20% - Accent6 8 8" xfId="10049"/>
    <cellStyle name="20% - Accent6 8 8 2" xfId="26103"/>
    <cellStyle name="20% - Accent6 8 8 3" xfId="28603"/>
    <cellStyle name="20% - Accent6 8 9" xfId="10030"/>
    <cellStyle name="20% - Accent6 8 9 2" xfId="26104"/>
    <cellStyle name="20% - Accent6 9" xfId="536"/>
    <cellStyle name="20% - Accent6 9 2" xfId="4454"/>
    <cellStyle name="20% - Accent6 9 2 2" xfId="10051"/>
    <cellStyle name="20% - Accent6 9 2 3" xfId="10052"/>
    <cellStyle name="20% - Accent6 9 2 4" xfId="10050"/>
    <cellStyle name="20% - Accent6 9 3" xfId="10053"/>
    <cellStyle name="20% - Accent6 9 4" xfId="10054"/>
    <cellStyle name="20% - Accent6 9 5" xfId="10055"/>
    <cellStyle name="20% - Accent6 9 6" xfId="10056"/>
    <cellStyle name="40% - Accent1" xfId="7106" builtinId="31" customBuiltin="1"/>
    <cellStyle name="40% - Accent1 10" xfId="664"/>
    <cellStyle name="40% - Accent1 10 2" xfId="4455"/>
    <cellStyle name="40% - Accent1 10 2 2" xfId="10057"/>
    <cellStyle name="40% - Accent1 10 3" xfId="10058"/>
    <cellStyle name="40% - Accent1 10 4" xfId="10059"/>
    <cellStyle name="40% - Accent1 10 5" xfId="10060"/>
    <cellStyle name="40% - Accent1 11" xfId="665"/>
    <cellStyle name="40% - Accent1 11 2" xfId="4456"/>
    <cellStyle name="40% - Accent1 11 2 2" xfId="10061"/>
    <cellStyle name="40% - Accent1 11 3" xfId="10062"/>
    <cellStyle name="40% - Accent1 11 4" xfId="10063"/>
    <cellStyle name="40% - Accent1 11 5" xfId="10064"/>
    <cellStyle name="40% - Accent1 12" xfId="816"/>
    <cellStyle name="40% - Accent1 12 2" xfId="10066"/>
    <cellStyle name="40% - Accent1 12 3" xfId="10067"/>
    <cellStyle name="40% - Accent1 12 4" xfId="10065"/>
    <cellStyle name="40% - Accent1 13" xfId="817"/>
    <cellStyle name="40% - Accent1 13 2" xfId="3851"/>
    <cellStyle name="40% - Accent1 13 2 2" xfId="6213"/>
    <cellStyle name="40% - Accent1 13 2 2 2" xfId="26107"/>
    <cellStyle name="40% - Accent1 13 2 3" xfId="10069"/>
    <cellStyle name="40% - Accent1 13 2 4" xfId="24987"/>
    <cellStyle name="40% - Accent1 13 2 5" xfId="26106"/>
    <cellStyle name="40% - Accent1 13 3" xfId="6212"/>
    <cellStyle name="40% - Accent1 13 3 2" xfId="10070"/>
    <cellStyle name="40% - Accent1 13 3 3" xfId="26108"/>
    <cellStyle name="40% - Accent1 13 4" xfId="10068"/>
    <cellStyle name="40% - Accent1 13 5" xfId="24866"/>
    <cellStyle name="40% - Accent1 13 6" xfId="26105"/>
    <cellStyle name="40% - Accent1 14" xfId="933"/>
    <cellStyle name="40% - Accent1 14 2" xfId="10072"/>
    <cellStyle name="40% - Accent1 14 3" xfId="10073"/>
    <cellStyle name="40% - Accent1 14 4" xfId="10071"/>
    <cellStyle name="40% - Accent1 15" xfId="10074"/>
    <cellStyle name="40% - Accent1 15 2" xfId="10075"/>
    <cellStyle name="40% - Accent1 15 3" xfId="10076"/>
    <cellStyle name="40% - Accent1 16" xfId="10077"/>
    <cellStyle name="40% - Accent1 16 2" xfId="10078"/>
    <cellStyle name="40% - Accent1 16 3" xfId="10079"/>
    <cellStyle name="40% - Accent1 17" xfId="10080"/>
    <cellStyle name="40% - Accent1 17 2" xfId="10081"/>
    <cellStyle name="40% - Accent1 17 3" xfId="10082"/>
    <cellStyle name="40% - Accent1 18" xfId="10083"/>
    <cellStyle name="40% - Accent1 18 2" xfId="10084"/>
    <cellStyle name="40% - Accent1 18 3" xfId="10085"/>
    <cellStyle name="40% - Accent1 19" xfId="10086"/>
    <cellStyle name="40% - Accent1 19 2" xfId="10087"/>
    <cellStyle name="40% - Accent1 2" xfId="74"/>
    <cellStyle name="40% - Accent1 2 10" xfId="1673"/>
    <cellStyle name="40% - Accent1 2 10 2" xfId="4457"/>
    <cellStyle name="40% - Accent1 2 10 2 2" xfId="10088"/>
    <cellStyle name="40% - Accent1 2 10 3" xfId="10089"/>
    <cellStyle name="40% - Accent1 2 10 4" xfId="10090"/>
    <cellStyle name="40% - Accent1 2 10 5" xfId="10091"/>
    <cellStyle name="40% - Accent1 2 11" xfId="1793"/>
    <cellStyle name="40% - Accent1 2 11 2" xfId="4458"/>
    <cellStyle name="40% - Accent1 2 11 2 2" xfId="10092"/>
    <cellStyle name="40% - Accent1 2 11 3" xfId="10093"/>
    <cellStyle name="40% - Accent1 2 11 4" xfId="10094"/>
    <cellStyle name="40% - Accent1 2 11 5" xfId="10095"/>
    <cellStyle name="40% - Accent1 2 12" xfId="2221"/>
    <cellStyle name="40% - Accent1 2 12 2" xfId="4459"/>
    <cellStyle name="40% - Accent1 2 12 2 2" xfId="10096"/>
    <cellStyle name="40% - Accent1 2 12 3" xfId="10097"/>
    <cellStyle name="40% - Accent1 2 12 4" xfId="10098"/>
    <cellStyle name="40% - Accent1 2 12 5" xfId="10099"/>
    <cellStyle name="40% - Accent1 2 13" xfId="2595"/>
    <cellStyle name="40% - Accent1 2 13 2" xfId="4460"/>
    <cellStyle name="40% - Accent1 2 13 2 2" xfId="10100"/>
    <cellStyle name="40% - Accent1 2 13 3" xfId="10101"/>
    <cellStyle name="40% - Accent1 2 13 4" xfId="10102"/>
    <cellStyle name="40% - Accent1 2 13 5" xfId="10103"/>
    <cellStyle name="40% - Accent1 2 14" xfId="2875"/>
    <cellStyle name="40% - Accent1 2 14 2" xfId="4461"/>
    <cellStyle name="40% - Accent1 2 14 2 2" xfId="10104"/>
    <cellStyle name="40% - Accent1 2 14 3" xfId="10105"/>
    <cellStyle name="40% - Accent1 2 14 4" xfId="10106"/>
    <cellStyle name="40% - Accent1 2 14 5" xfId="10107"/>
    <cellStyle name="40% - Accent1 2 15" xfId="3246"/>
    <cellStyle name="40% - Accent1 2 15 2" xfId="4462"/>
    <cellStyle name="40% - Accent1 2 15 2 2" xfId="10108"/>
    <cellStyle name="40% - Accent1 2 15 3" xfId="10109"/>
    <cellStyle name="40% - Accent1 2 16" xfId="3638"/>
    <cellStyle name="40% - Accent1 2 16 2" xfId="4463"/>
    <cellStyle name="40% - Accent1 2 16 2 2" xfId="10110"/>
    <cellStyle name="40% - Accent1 2 16 3" xfId="10111"/>
    <cellStyle name="40% - Accent1 2 17" xfId="24473"/>
    <cellStyle name="40% - Accent1 2 2" xfId="118"/>
    <cellStyle name="40% - Accent1 2 2 10" xfId="10112"/>
    <cellStyle name="40% - Accent1 2 2 10 2" xfId="10113"/>
    <cellStyle name="40% - Accent1 2 2 10 3" xfId="10114"/>
    <cellStyle name="40% - Accent1 2 2 11" xfId="10115"/>
    <cellStyle name="40% - Accent1 2 2 11 2" xfId="10116"/>
    <cellStyle name="40% - Accent1 2 2 11 3" xfId="10117"/>
    <cellStyle name="40% - Accent1 2 2 12" xfId="10118"/>
    <cellStyle name="40% - Accent1 2 2 12 2" xfId="10119"/>
    <cellStyle name="40% - Accent1 2 2 12 3" xfId="10120"/>
    <cellStyle name="40% - Accent1 2 2 13" xfId="10121"/>
    <cellStyle name="40% - Accent1 2 2 14" xfId="10122"/>
    <cellStyle name="40% - Accent1 2 2 15" xfId="10123"/>
    <cellStyle name="40% - Accent1 2 2 2" xfId="172"/>
    <cellStyle name="40% - Accent1 2 2 2 2" xfId="10124"/>
    <cellStyle name="40% - Accent1 2 2 2 3" xfId="10125"/>
    <cellStyle name="40% - Accent1 2 2 3" xfId="336"/>
    <cellStyle name="40% - Accent1 2 2 3 2" xfId="10126"/>
    <cellStyle name="40% - Accent1 2 2 3 3" xfId="10127"/>
    <cellStyle name="40% - Accent1 2 2 4" xfId="2158"/>
    <cellStyle name="40% - Accent1 2 2 4 2" xfId="10128"/>
    <cellStyle name="40% - Accent1 2 2 4 3" xfId="10129"/>
    <cellStyle name="40% - Accent1 2 2 5" xfId="2532"/>
    <cellStyle name="40% - Accent1 2 2 5 2" xfId="10130"/>
    <cellStyle name="40% - Accent1 2 2 5 3" xfId="10131"/>
    <cellStyle name="40% - Accent1 2 2 6" xfId="2904"/>
    <cellStyle name="40% - Accent1 2 2 6 2" xfId="10132"/>
    <cellStyle name="40% - Accent1 2 2 6 3" xfId="10133"/>
    <cellStyle name="40% - Accent1 2 2 7" xfId="3276"/>
    <cellStyle name="40% - Accent1 2 2 7 2" xfId="10134"/>
    <cellStyle name="40% - Accent1 2 2 7 3" xfId="10135"/>
    <cellStyle name="40% - Accent1 2 2 8" xfId="4464"/>
    <cellStyle name="40% - Accent1 2 2 8 2" xfId="10137"/>
    <cellStyle name="40% - Accent1 2 2 8 3" xfId="10138"/>
    <cellStyle name="40% - Accent1 2 2 8 4" xfId="10136"/>
    <cellStyle name="40% - Accent1 2 2 9" xfId="10139"/>
    <cellStyle name="40% - Accent1 2 2 9 2" xfId="10140"/>
    <cellStyle name="40% - Accent1 2 2 9 3" xfId="10141"/>
    <cellStyle name="40% - Accent1 2 3" xfId="283"/>
    <cellStyle name="40% - Accent1 2 3 2" xfId="1334"/>
    <cellStyle name="40% - Accent1 2 3 2 2" xfId="10142"/>
    <cellStyle name="40% - Accent1 2 3 2 3" xfId="10143"/>
    <cellStyle name="40% - Accent1 2 3 3" xfId="10144"/>
    <cellStyle name="40% - Accent1 2 3 4" xfId="10145"/>
    <cellStyle name="40% - Accent1 2 4" xfId="382"/>
    <cellStyle name="40% - Accent1 2 4 2" xfId="10146"/>
    <cellStyle name="40% - Accent1 2 4 2 2" xfId="10147"/>
    <cellStyle name="40% - Accent1 2 4 2 3" xfId="10148"/>
    <cellStyle name="40% - Accent1 2 4 3" xfId="10149"/>
    <cellStyle name="40% - Accent1 2 4 4" xfId="10150"/>
    <cellStyle name="40% - Accent1 2 5" xfId="537"/>
    <cellStyle name="40% - Accent1 2 5 2" xfId="10151"/>
    <cellStyle name="40% - Accent1 2 5 3" xfId="10152"/>
    <cellStyle name="40% - Accent1 2 6" xfId="666"/>
    <cellStyle name="40% - Accent1 2 6 2" xfId="10153"/>
    <cellStyle name="40% - Accent1 2 6 3" xfId="10154"/>
    <cellStyle name="40% - Accent1 2 7" xfId="667"/>
    <cellStyle name="40% - Accent1 2 7 2" xfId="10155"/>
    <cellStyle name="40% - Accent1 2 7 3" xfId="10156"/>
    <cellStyle name="40% - Accent1 2 8" xfId="818"/>
    <cellStyle name="40% - Accent1 2 8 2" xfId="1402"/>
    <cellStyle name="40% - Accent1 2 8 2 2" xfId="10157"/>
    <cellStyle name="40% - Accent1 2 8 3" xfId="10158"/>
    <cellStyle name="40% - Accent1 2 8 4" xfId="10159"/>
    <cellStyle name="40% - Accent1 2 8 5" xfId="10160"/>
    <cellStyle name="40% - Accent1 2 9" xfId="934"/>
    <cellStyle name="40% - Accent1 2 9 2" xfId="1395"/>
    <cellStyle name="40% - Accent1 2 9 2 2" xfId="10161"/>
    <cellStyle name="40% - Accent1 2 9 3" xfId="10162"/>
    <cellStyle name="40% - Accent1 2 9 4" xfId="10163"/>
    <cellStyle name="40% - Accent1 2 9 5" xfId="10164"/>
    <cellStyle name="40% - Accent1 20" xfId="10165"/>
    <cellStyle name="40% - Accent1 21" xfId="10166"/>
    <cellStyle name="40% - Accent1 21 2" xfId="10167"/>
    <cellStyle name="40% - Accent1 21 2 2" xfId="10168"/>
    <cellStyle name="40% - Accent1 21 2 2 2" xfId="26111"/>
    <cellStyle name="40% - Accent1 21 2 2 3" xfId="28606"/>
    <cellStyle name="40% - Accent1 21 2 3" xfId="10169"/>
    <cellStyle name="40% - Accent1 21 2 3 2" xfId="26112"/>
    <cellStyle name="40% - Accent1 21 2 3 3" xfId="28607"/>
    <cellStyle name="40% - Accent1 21 2 4" xfId="26110"/>
    <cellStyle name="40% - Accent1 21 2 5" xfId="28605"/>
    <cellStyle name="40% - Accent1 21 3" xfId="10170"/>
    <cellStyle name="40% - Accent1 21 3 2" xfId="26113"/>
    <cellStyle name="40% - Accent1 21 3 3" xfId="28608"/>
    <cellStyle name="40% - Accent1 21 4" xfId="10171"/>
    <cellStyle name="40% - Accent1 21 4 2" xfId="26114"/>
    <cellStyle name="40% - Accent1 21 4 3" xfId="28609"/>
    <cellStyle name="40% - Accent1 21 5" xfId="26109"/>
    <cellStyle name="40% - Accent1 21 6" xfId="28604"/>
    <cellStyle name="40% - Accent1 22" xfId="10172"/>
    <cellStyle name="40% - Accent1 22 2" xfId="10173"/>
    <cellStyle name="40% - Accent1 22 2 2" xfId="10174"/>
    <cellStyle name="40% - Accent1 22 2 2 2" xfId="26117"/>
    <cellStyle name="40% - Accent1 22 2 2 3" xfId="28612"/>
    <cellStyle name="40% - Accent1 22 2 3" xfId="10175"/>
    <cellStyle name="40% - Accent1 22 2 3 2" xfId="26118"/>
    <cellStyle name="40% - Accent1 22 2 3 3" xfId="28613"/>
    <cellStyle name="40% - Accent1 22 2 4" xfId="26116"/>
    <cellStyle name="40% - Accent1 22 2 5" xfId="28611"/>
    <cellStyle name="40% - Accent1 22 3" xfId="10176"/>
    <cellStyle name="40% - Accent1 22 3 2" xfId="26119"/>
    <cellStyle name="40% - Accent1 22 3 3" xfId="28614"/>
    <cellStyle name="40% - Accent1 22 4" xfId="10177"/>
    <cellStyle name="40% - Accent1 22 4 2" xfId="26120"/>
    <cellStyle name="40% - Accent1 22 4 3" xfId="28615"/>
    <cellStyle name="40% - Accent1 22 5" xfId="26115"/>
    <cellStyle name="40% - Accent1 22 6" xfId="28610"/>
    <cellStyle name="40% - Accent1 23" xfId="10178"/>
    <cellStyle name="40% - Accent1 24" xfId="10179"/>
    <cellStyle name="40% - Accent1 24 2" xfId="10180"/>
    <cellStyle name="40% - Accent1 24 2 2" xfId="10181"/>
    <cellStyle name="40% - Accent1 24 2 2 2" xfId="26123"/>
    <cellStyle name="40% - Accent1 24 2 2 3" xfId="28618"/>
    <cellStyle name="40% - Accent1 24 2 3" xfId="10182"/>
    <cellStyle name="40% - Accent1 24 2 3 2" xfId="26124"/>
    <cellStyle name="40% - Accent1 24 2 3 3" xfId="28619"/>
    <cellStyle name="40% - Accent1 24 2 4" xfId="26122"/>
    <cellStyle name="40% - Accent1 24 2 5" xfId="28617"/>
    <cellStyle name="40% - Accent1 24 3" xfId="10183"/>
    <cellStyle name="40% - Accent1 24 3 2" xfId="26125"/>
    <cellStyle name="40% - Accent1 24 3 3" xfId="28620"/>
    <cellStyle name="40% - Accent1 24 4" xfId="10184"/>
    <cellStyle name="40% - Accent1 24 4 2" xfId="26126"/>
    <cellStyle name="40% - Accent1 24 4 3" xfId="28621"/>
    <cellStyle name="40% - Accent1 24 5" xfId="26121"/>
    <cellStyle name="40% - Accent1 24 6" xfId="28616"/>
    <cellStyle name="40% - Accent1 25" xfId="10185"/>
    <cellStyle name="40% - Accent1 25 2" xfId="10186"/>
    <cellStyle name="40% - Accent1 25 2 2" xfId="10187"/>
    <cellStyle name="40% - Accent1 25 2 2 2" xfId="26129"/>
    <cellStyle name="40% - Accent1 25 2 2 3" xfId="28624"/>
    <cellStyle name="40% - Accent1 25 2 3" xfId="10188"/>
    <cellStyle name="40% - Accent1 25 2 3 2" xfId="26130"/>
    <cellStyle name="40% - Accent1 25 2 3 3" xfId="28625"/>
    <cellStyle name="40% - Accent1 25 2 4" xfId="26128"/>
    <cellStyle name="40% - Accent1 25 2 5" xfId="28623"/>
    <cellStyle name="40% - Accent1 25 3" xfId="10189"/>
    <cellStyle name="40% - Accent1 25 3 2" xfId="26131"/>
    <cellStyle name="40% - Accent1 25 3 3" xfId="28626"/>
    <cellStyle name="40% - Accent1 25 4" xfId="10190"/>
    <cellStyle name="40% - Accent1 25 4 2" xfId="26132"/>
    <cellStyle name="40% - Accent1 25 4 3" xfId="28627"/>
    <cellStyle name="40% - Accent1 25 5" xfId="26127"/>
    <cellStyle name="40% - Accent1 25 6" xfId="28622"/>
    <cellStyle name="40% - Accent1 26" xfId="10191"/>
    <cellStyle name="40% - Accent1 27" xfId="10192"/>
    <cellStyle name="40% - Accent1 27 2" xfId="10193"/>
    <cellStyle name="40% - Accent1 27 2 2" xfId="10194"/>
    <cellStyle name="40% - Accent1 27 2 2 2" xfId="26135"/>
    <cellStyle name="40% - Accent1 27 2 2 3" xfId="28630"/>
    <cellStyle name="40% - Accent1 27 2 3" xfId="10195"/>
    <cellStyle name="40% - Accent1 27 2 3 2" xfId="26136"/>
    <cellStyle name="40% - Accent1 27 2 3 3" xfId="28631"/>
    <cellStyle name="40% - Accent1 27 2 4" xfId="26134"/>
    <cellStyle name="40% - Accent1 27 2 5" xfId="28629"/>
    <cellStyle name="40% - Accent1 27 3" xfId="10196"/>
    <cellStyle name="40% - Accent1 27 3 2" xfId="26137"/>
    <cellStyle name="40% - Accent1 27 3 3" xfId="28632"/>
    <cellStyle name="40% - Accent1 27 4" xfId="10197"/>
    <cellStyle name="40% - Accent1 27 4 2" xfId="26138"/>
    <cellStyle name="40% - Accent1 27 4 3" xfId="28633"/>
    <cellStyle name="40% - Accent1 27 5" xfId="26133"/>
    <cellStyle name="40% - Accent1 27 6" xfId="28628"/>
    <cellStyle name="40% - Accent1 28" xfId="10198"/>
    <cellStyle name="40% - Accent1 28 2" xfId="10199"/>
    <cellStyle name="40% - Accent1 28 2 2" xfId="26140"/>
    <cellStyle name="40% - Accent1 28 2 3" xfId="28635"/>
    <cellStyle name="40% - Accent1 28 3" xfId="10200"/>
    <cellStyle name="40% - Accent1 28 3 2" xfId="26141"/>
    <cellStyle name="40% - Accent1 28 3 3" xfId="28636"/>
    <cellStyle name="40% - Accent1 28 4" xfId="26139"/>
    <cellStyle name="40% - Accent1 28 5" xfId="28634"/>
    <cellStyle name="40% - Accent1 29" xfId="10201"/>
    <cellStyle name="40% - Accent1 29 2" xfId="26142"/>
    <cellStyle name="40% - Accent1 29 3" xfId="28637"/>
    <cellStyle name="40% - Accent1 3" xfId="213"/>
    <cellStyle name="40% - Accent1 3 10" xfId="3681"/>
    <cellStyle name="40% - Accent1 3 10 2" xfId="4465"/>
    <cellStyle name="40% - Accent1 3 10 2 2" xfId="10202"/>
    <cellStyle name="40% - Accent1 3 10 3" xfId="10203"/>
    <cellStyle name="40% - Accent1 3 10 4" xfId="10204"/>
    <cellStyle name="40% - Accent1 3 10 5" xfId="10205"/>
    <cellStyle name="40% - Accent1 3 11" xfId="10206"/>
    <cellStyle name="40% - Accent1 3 11 2" xfId="10207"/>
    <cellStyle name="40% - Accent1 3 11 3" xfId="10208"/>
    <cellStyle name="40% - Accent1 3 12" xfId="10209"/>
    <cellStyle name="40% - Accent1 3 12 2" xfId="10210"/>
    <cellStyle name="40% - Accent1 3 12 3" xfId="10211"/>
    <cellStyle name="40% - Accent1 3 13" xfId="10212"/>
    <cellStyle name="40% - Accent1 3 13 2" xfId="10213"/>
    <cellStyle name="40% - Accent1 3 13 3" xfId="10214"/>
    <cellStyle name="40% - Accent1 3 14" xfId="10215"/>
    <cellStyle name="40% - Accent1 3 15" xfId="10216"/>
    <cellStyle name="40% - Accent1 3 2" xfId="1454"/>
    <cellStyle name="40% - Accent1 3 2 10" xfId="10217"/>
    <cellStyle name="40% - Accent1 3 2 10 2" xfId="10218"/>
    <cellStyle name="40% - Accent1 3 2 10 3" xfId="10219"/>
    <cellStyle name="40% - Accent1 3 2 11" xfId="10220"/>
    <cellStyle name="40% - Accent1 3 2 11 2" xfId="10221"/>
    <cellStyle name="40% - Accent1 3 2 11 3" xfId="10222"/>
    <cellStyle name="40% - Accent1 3 2 12" xfId="10223"/>
    <cellStyle name="40% - Accent1 3 2 12 2" xfId="10224"/>
    <cellStyle name="40% - Accent1 3 2 12 3" xfId="10225"/>
    <cellStyle name="40% - Accent1 3 2 13" xfId="10226"/>
    <cellStyle name="40% - Accent1 3 2 14" xfId="10227"/>
    <cellStyle name="40% - Accent1 3 2 15" xfId="10228"/>
    <cellStyle name="40% - Accent1 3 2 2" xfId="1824"/>
    <cellStyle name="40% - Accent1 3 2 2 2" xfId="10229"/>
    <cellStyle name="40% - Accent1 3 2 2 3" xfId="10230"/>
    <cellStyle name="40% - Accent1 3 2 3" xfId="2199"/>
    <cellStyle name="40% - Accent1 3 2 3 2" xfId="10231"/>
    <cellStyle name="40% - Accent1 3 2 3 3" xfId="10232"/>
    <cellStyle name="40% - Accent1 3 2 4" xfId="2573"/>
    <cellStyle name="40% - Accent1 3 2 4 2" xfId="10233"/>
    <cellStyle name="40% - Accent1 3 2 4 3" xfId="10234"/>
    <cellStyle name="40% - Accent1 3 2 5" xfId="2945"/>
    <cellStyle name="40% - Accent1 3 2 5 2" xfId="10235"/>
    <cellStyle name="40% - Accent1 3 2 5 3" xfId="10236"/>
    <cellStyle name="40% - Accent1 3 2 6" xfId="3317"/>
    <cellStyle name="40% - Accent1 3 2 6 2" xfId="10237"/>
    <cellStyle name="40% - Accent1 3 2 6 3" xfId="10238"/>
    <cellStyle name="40% - Accent1 3 2 7" xfId="4466"/>
    <cellStyle name="40% - Accent1 3 2 7 2" xfId="10240"/>
    <cellStyle name="40% - Accent1 3 2 7 3" xfId="10241"/>
    <cellStyle name="40% - Accent1 3 2 7 4" xfId="10239"/>
    <cellStyle name="40% - Accent1 3 2 8" xfId="10242"/>
    <cellStyle name="40% - Accent1 3 2 8 2" xfId="10243"/>
    <cellStyle name="40% - Accent1 3 2 8 3" xfId="10244"/>
    <cellStyle name="40% - Accent1 3 2 9" xfId="10245"/>
    <cellStyle name="40% - Accent1 3 2 9 2" xfId="10246"/>
    <cellStyle name="40% - Accent1 3 2 9 3" xfId="10247"/>
    <cellStyle name="40% - Accent1 3 3" xfId="1581"/>
    <cellStyle name="40% - Accent1 3 3 2" xfId="1901"/>
    <cellStyle name="40% - Accent1 3 3 3" xfId="2276"/>
    <cellStyle name="40% - Accent1 3 3 4" xfId="2649"/>
    <cellStyle name="40% - Accent1 3 3 5" xfId="3022"/>
    <cellStyle name="40% - Accent1 3 3 6" xfId="3393"/>
    <cellStyle name="40% - Accent1 3 3 7" xfId="4467"/>
    <cellStyle name="40% - Accent1 3 4" xfId="1718"/>
    <cellStyle name="40% - Accent1 3 4 2" xfId="1945"/>
    <cellStyle name="40% - Accent1 3 4 3" xfId="2320"/>
    <cellStyle name="40% - Accent1 3 4 4" xfId="2693"/>
    <cellStyle name="40% - Accent1 3 4 5" xfId="3066"/>
    <cellStyle name="40% - Accent1 3 4 6" xfId="3437"/>
    <cellStyle name="40% - Accent1 3 5" xfId="2053"/>
    <cellStyle name="40% - Accent1 3 5 2" xfId="10248"/>
    <cellStyle name="40% - Accent1 3 5 3" xfId="10249"/>
    <cellStyle name="40% - Accent1 3 5 4" xfId="10250"/>
    <cellStyle name="40% - Accent1 3 6" xfId="2427"/>
    <cellStyle name="40% - Accent1 3 6 2" xfId="10251"/>
    <cellStyle name="40% - Accent1 3 6 3" xfId="10252"/>
    <cellStyle name="40% - Accent1 3 6 4" xfId="10253"/>
    <cellStyle name="40% - Accent1 3 7" xfId="2799"/>
    <cellStyle name="40% - Accent1 3 7 2" xfId="10254"/>
    <cellStyle name="40% - Accent1 3 7 3" xfId="10255"/>
    <cellStyle name="40% - Accent1 3 7 4" xfId="10256"/>
    <cellStyle name="40% - Accent1 3 8" xfId="3170"/>
    <cellStyle name="40% - Accent1 3 8 2" xfId="10257"/>
    <cellStyle name="40% - Accent1 3 8 3" xfId="10258"/>
    <cellStyle name="40% - Accent1 3 8 4" xfId="10259"/>
    <cellStyle name="40% - Accent1 3 9" xfId="3545"/>
    <cellStyle name="40% - Accent1 3 9 2" xfId="4468"/>
    <cellStyle name="40% - Accent1 3 9 2 2" xfId="10260"/>
    <cellStyle name="40% - Accent1 3 9 3" xfId="10261"/>
    <cellStyle name="40% - Accent1 3 9 4" xfId="10262"/>
    <cellStyle name="40% - Accent1 3 9 5" xfId="10263"/>
    <cellStyle name="40% - Accent1 30" xfId="28141"/>
    <cellStyle name="40% - Accent1 4" xfId="241"/>
    <cellStyle name="40% - Accent1 4 10" xfId="3725"/>
    <cellStyle name="40% - Accent1 4 10 2" xfId="4470"/>
    <cellStyle name="40% - Accent1 4 10 2 2" xfId="10265"/>
    <cellStyle name="40% - Accent1 4 10 3" xfId="10266"/>
    <cellStyle name="40% - Accent1 4 10 4" xfId="10267"/>
    <cellStyle name="40% - Accent1 4 10 5" xfId="10268"/>
    <cellStyle name="40% - Accent1 4 11" xfId="1295"/>
    <cellStyle name="40% - Accent1 4 11 10" xfId="26143"/>
    <cellStyle name="40% - Accent1 4 11 11" xfId="28639"/>
    <cellStyle name="40% - Accent1 4 11 2" xfId="4145"/>
    <cellStyle name="40% - Accent1 4 11 2 2" xfId="5378"/>
    <cellStyle name="40% - Accent1 4 11 2 2 2" xfId="6216"/>
    <cellStyle name="40% - Accent1 4 11 2 2 2 2" xfId="26146"/>
    <cellStyle name="40% - Accent1 4 11 2 2 3" xfId="10271"/>
    <cellStyle name="40% - Accent1 4 11 2 2 4" xfId="26145"/>
    <cellStyle name="40% - Accent1 4 11 2 3" xfId="5688"/>
    <cellStyle name="40% - Accent1 4 11 2 3 2" xfId="6217"/>
    <cellStyle name="40% - Accent1 4 11 2 3 2 2" xfId="26148"/>
    <cellStyle name="40% - Accent1 4 11 2 3 3" xfId="26147"/>
    <cellStyle name="40% - Accent1 4 11 2 4" xfId="4472"/>
    <cellStyle name="40% - Accent1 4 11 2 4 2" xfId="6218"/>
    <cellStyle name="40% - Accent1 4 11 2 4 2 2" xfId="26150"/>
    <cellStyle name="40% - Accent1 4 11 2 4 3" xfId="26149"/>
    <cellStyle name="40% - Accent1 4 11 2 5" xfId="6215"/>
    <cellStyle name="40% - Accent1 4 11 2 5 2" xfId="26151"/>
    <cellStyle name="40% - Accent1 4 11 2 6" xfId="10270"/>
    <cellStyle name="40% - Accent1 4 11 2 6 2" xfId="26152"/>
    <cellStyle name="40% - Accent1 4 11 2 7" xfId="24997"/>
    <cellStyle name="40% - Accent1 4 11 2 8" xfId="26144"/>
    <cellStyle name="40% - Accent1 4 11 2 9" xfId="28640"/>
    <cellStyle name="40% - Accent1 4 11 3" xfId="5377"/>
    <cellStyle name="40% - Accent1 4 11 3 2" xfId="6219"/>
    <cellStyle name="40% - Accent1 4 11 3 2 2" xfId="26154"/>
    <cellStyle name="40% - Accent1 4 11 3 3" xfId="10272"/>
    <cellStyle name="40% - Accent1 4 11 3 4" xfId="26153"/>
    <cellStyle name="40% - Accent1 4 11 4" xfId="5687"/>
    <cellStyle name="40% - Accent1 4 11 4 2" xfId="6220"/>
    <cellStyle name="40% - Accent1 4 11 4 2 2" xfId="26156"/>
    <cellStyle name="40% - Accent1 4 11 4 3" xfId="10273"/>
    <cellStyle name="40% - Accent1 4 11 4 4" xfId="26155"/>
    <cellStyle name="40% - Accent1 4 11 5" xfId="4471"/>
    <cellStyle name="40% - Accent1 4 11 5 2" xfId="6221"/>
    <cellStyle name="40% - Accent1 4 11 5 2 2" xfId="10275"/>
    <cellStyle name="40% - Accent1 4 11 5 2 2 2" xfId="26159"/>
    <cellStyle name="40% - Accent1 4 11 5 2 3" xfId="26158"/>
    <cellStyle name="40% - Accent1 4 11 5 2 4" xfId="28642"/>
    <cellStyle name="40% - Accent1 4 11 5 3" xfId="10276"/>
    <cellStyle name="40% - Accent1 4 11 5 3 2" xfId="26160"/>
    <cellStyle name="40% - Accent1 4 11 5 3 3" xfId="28643"/>
    <cellStyle name="40% - Accent1 4 11 5 4" xfId="10274"/>
    <cellStyle name="40% - Accent1 4 11 5 4 2" xfId="26161"/>
    <cellStyle name="40% - Accent1 4 11 5 5" xfId="26157"/>
    <cellStyle name="40% - Accent1 4 11 5 6" xfId="28641"/>
    <cellStyle name="40% - Accent1 4 11 6" xfId="6214"/>
    <cellStyle name="40% - Accent1 4 11 6 2" xfId="10277"/>
    <cellStyle name="40% - Accent1 4 11 6 2 2" xfId="26163"/>
    <cellStyle name="40% - Accent1 4 11 6 3" xfId="26162"/>
    <cellStyle name="40% - Accent1 4 11 6 4" xfId="28644"/>
    <cellStyle name="40% - Accent1 4 11 7" xfId="10278"/>
    <cellStyle name="40% - Accent1 4 11 7 2" xfId="26164"/>
    <cellStyle name="40% - Accent1 4 11 7 3" xfId="28645"/>
    <cellStyle name="40% - Accent1 4 11 8" xfId="10269"/>
    <cellStyle name="40% - Accent1 4 11 8 2" xfId="26165"/>
    <cellStyle name="40% - Accent1 4 11 9" xfId="24877"/>
    <cellStyle name="40% - Accent1 4 12" xfId="4473"/>
    <cellStyle name="40% - Accent1 4 12 2" xfId="5379"/>
    <cellStyle name="40% - Accent1 4 12 2 2" xfId="6223"/>
    <cellStyle name="40% - Accent1 4 12 2 2 2" xfId="26168"/>
    <cellStyle name="40% - Accent1 4 12 2 3" xfId="10280"/>
    <cellStyle name="40% - Accent1 4 12 2 4" xfId="26167"/>
    <cellStyle name="40% - Accent1 4 12 3" xfId="5689"/>
    <cellStyle name="40% - Accent1 4 12 3 2" xfId="6224"/>
    <cellStyle name="40% - Accent1 4 12 3 2 2" xfId="26170"/>
    <cellStyle name="40% - Accent1 4 12 3 3" xfId="10281"/>
    <cellStyle name="40% - Accent1 4 12 3 4" xfId="26169"/>
    <cellStyle name="40% - Accent1 4 12 4" xfId="6222"/>
    <cellStyle name="40% - Accent1 4 12 4 2" xfId="10282"/>
    <cellStyle name="40% - Accent1 4 12 4 3" xfId="26171"/>
    <cellStyle name="40% - Accent1 4 12 5" xfId="10279"/>
    <cellStyle name="40% - Accent1 4 12 5 2" xfId="26172"/>
    <cellStyle name="40% - Accent1 4 12 6" xfId="26166"/>
    <cellStyle name="40% - Accent1 4 12 7" xfId="28646"/>
    <cellStyle name="40% - Accent1 4 13" xfId="5376"/>
    <cellStyle name="40% - Accent1 4 13 2" xfId="6225"/>
    <cellStyle name="40% - Accent1 4 13 2 2" xfId="10284"/>
    <cellStyle name="40% - Accent1 4 13 2 3" xfId="26174"/>
    <cellStyle name="40% - Accent1 4 13 3" xfId="10285"/>
    <cellStyle name="40% - Accent1 4 13 4" xfId="10283"/>
    <cellStyle name="40% - Accent1 4 13 5" xfId="26173"/>
    <cellStyle name="40% - Accent1 4 14" xfId="5686"/>
    <cellStyle name="40% - Accent1 4 14 2" xfId="6226"/>
    <cellStyle name="40% - Accent1 4 14 2 2" xfId="26176"/>
    <cellStyle name="40% - Accent1 4 14 3" xfId="10286"/>
    <cellStyle name="40% - Accent1 4 14 4" xfId="26175"/>
    <cellStyle name="40% - Accent1 4 15" xfId="4469"/>
    <cellStyle name="40% - Accent1 4 15 2" xfId="6227"/>
    <cellStyle name="40% - Accent1 4 15 2 2" xfId="26178"/>
    <cellStyle name="40% - Accent1 4 15 3" xfId="10287"/>
    <cellStyle name="40% - Accent1 4 15 4" xfId="26177"/>
    <cellStyle name="40% - Accent1 4 16" xfId="10288"/>
    <cellStyle name="40% - Accent1 4 17" xfId="10289"/>
    <cellStyle name="40% - Accent1 4 17 2" xfId="10290"/>
    <cellStyle name="40% - Accent1 4 17 2 2" xfId="26180"/>
    <cellStyle name="40% - Accent1 4 17 2 3" xfId="28648"/>
    <cellStyle name="40% - Accent1 4 17 3" xfId="10291"/>
    <cellStyle name="40% - Accent1 4 17 3 2" xfId="26181"/>
    <cellStyle name="40% - Accent1 4 17 3 3" xfId="28649"/>
    <cellStyle name="40% - Accent1 4 17 4" xfId="26179"/>
    <cellStyle name="40% - Accent1 4 17 5" xfId="28647"/>
    <cellStyle name="40% - Accent1 4 18" xfId="10292"/>
    <cellStyle name="40% - Accent1 4 18 2" xfId="26182"/>
    <cellStyle name="40% - Accent1 4 18 3" xfId="28650"/>
    <cellStyle name="40% - Accent1 4 19" xfId="10293"/>
    <cellStyle name="40% - Accent1 4 19 2" xfId="26183"/>
    <cellStyle name="40% - Accent1 4 19 3" xfId="28651"/>
    <cellStyle name="40% - Accent1 4 2" xfId="1499"/>
    <cellStyle name="40% - Accent1 4 2 10" xfId="10294"/>
    <cellStyle name="40% - Accent1 4 2 10 2" xfId="10295"/>
    <cellStyle name="40% - Accent1 4 2 10 3" xfId="10296"/>
    <cellStyle name="40% - Accent1 4 2 11" xfId="10297"/>
    <cellStyle name="40% - Accent1 4 2 11 2" xfId="10298"/>
    <cellStyle name="40% - Accent1 4 2 11 3" xfId="10299"/>
    <cellStyle name="40% - Accent1 4 2 12" xfId="10300"/>
    <cellStyle name="40% - Accent1 4 2 12 2" xfId="10301"/>
    <cellStyle name="40% - Accent1 4 2 12 3" xfId="10302"/>
    <cellStyle name="40% - Accent1 4 2 13" xfId="10303"/>
    <cellStyle name="40% - Accent1 4 2 14" xfId="10304"/>
    <cellStyle name="40% - Accent1 4 2 15" xfId="10305"/>
    <cellStyle name="40% - Accent1 4 2 16" xfId="10306"/>
    <cellStyle name="40% - Accent1 4 2 2" xfId="4474"/>
    <cellStyle name="40% - Accent1 4 2 2 2" xfId="10308"/>
    <cellStyle name="40% - Accent1 4 2 2 3" xfId="10309"/>
    <cellStyle name="40% - Accent1 4 2 2 4" xfId="10307"/>
    <cellStyle name="40% - Accent1 4 2 3" xfId="10310"/>
    <cellStyle name="40% - Accent1 4 2 3 2" xfId="10311"/>
    <cellStyle name="40% - Accent1 4 2 3 3" xfId="10312"/>
    <cellStyle name="40% - Accent1 4 2 4" xfId="10313"/>
    <cellStyle name="40% - Accent1 4 2 4 2" xfId="10314"/>
    <cellStyle name="40% - Accent1 4 2 4 3" xfId="10315"/>
    <cellStyle name="40% - Accent1 4 2 5" xfId="10316"/>
    <cellStyle name="40% - Accent1 4 2 5 2" xfId="10317"/>
    <cellStyle name="40% - Accent1 4 2 5 3" xfId="10318"/>
    <cellStyle name="40% - Accent1 4 2 6" xfId="10319"/>
    <cellStyle name="40% - Accent1 4 2 6 2" xfId="10320"/>
    <cellStyle name="40% - Accent1 4 2 6 3" xfId="10321"/>
    <cellStyle name="40% - Accent1 4 2 7" xfId="10322"/>
    <cellStyle name="40% - Accent1 4 2 7 2" xfId="10323"/>
    <cellStyle name="40% - Accent1 4 2 7 3" xfId="10324"/>
    <cellStyle name="40% - Accent1 4 2 8" xfId="10325"/>
    <cellStyle name="40% - Accent1 4 2 8 2" xfId="10326"/>
    <cellStyle name="40% - Accent1 4 2 8 3" xfId="10327"/>
    <cellStyle name="40% - Accent1 4 2 9" xfId="10328"/>
    <cellStyle name="40% - Accent1 4 2 9 2" xfId="10329"/>
    <cellStyle name="40% - Accent1 4 2 9 3" xfId="10330"/>
    <cellStyle name="40% - Accent1 4 20" xfId="10264"/>
    <cellStyle name="40% - Accent1 4 20 2" xfId="26184"/>
    <cellStyle name="40% - Accent1 4 21" xfId="28638"/>
    <cellStyle name="40% - Accent1 4 3" xfId="1624"/>
    <cellStyle name="40% - Accent1 4 3 2" xfId="4475"/>
    <cellStyle name="40% - Accent1 4 3 2 2" xfId="10331"/>
    <cellStyle name="40% - Accent1 4 3 3" xfId="10332"/>
    <cellStyle name="40% - Accent1 4 3 4" xfId="10333"/>
    <cellStyle name="40% - Accent1 4 3 5" xfId="10334"/>
    <cellStyle name="40% - Accent1 4 4" xfId="1798"/>
    <cellStyle name="40% - Accent1 4 4 2" xfId="10335"/>
    <cellStyle name="40% - Accent1 4 4 3" xfId="10336"/>
    <cellStyle name="40% - Accent1 4 4 4" xfId="10337"/>
    <cellStyle name="40% - Accent1 4 5" xfId="2134"/>
    <cellStyle name="40% - Accent1 4 5 2" xfId="10338"/>
    <cellStyle name="40% - Accent1 4 5 3" xfId="10339"/>
    <cellStyle name="40% - Accent1 4 5 4" xfId="10340"/>
    <cellStyle name="40% - Accent1 4 6" xfId="2508"/>
    <cellStyle name="40% - Accent1 4 6 2" xfId="10341"/>
    <cellStyle name="40% - Accent1 4 6 3" xfId="10342"/>
    <cellStyle name="40% - Accent1 4 6 4" xfId="10343"/>
    <cellStyle name="40% - Accent1 4 7" xfId="2880"/>
    <cellStyle name="40% - Accent1 4 7 2" xfId="10344"/>
    <cellStyle name="40% - Accent1 4 7 3" xfId="10345"/>
    <cellStyle name="40% - Accent1 4 7 4" xfId="10346"/>
    <cellStyle name="40% - Accent1 4 8" xfId="3251"/>
    <cellStyle name="40% - Accent1 4 8 2" xfId="10347"/>
    <cellStyle name="40% - Accent1 4 8 3" xfId="10348"/>
    <cellStyle name="40% - Accent1 4 8 4" xfId="10349"/>
    <cellStyle name="40% - Accent1 4 9" xfId="3588"/>
    <cellStyle name="40% - Accent1 4 9 2" xfId="4476"/>
    <cellStyle name="40% - Accent1 4 9 2 2" xfId="10350"/>
    <cellStyle name="40% - Accent1 4 9 3" xfId="10351"/>
    <cellStyle name="40% - Accent1 4 9 4" xfId="10352"/>
    <cellStyle name="40% - Accent1 4 9 5" xfId="10353"/>
    <cellStyle name="40% - Accent1 5" xfId="383"/>
    <cellStyle name="40% - Accent1 5 10" xfId="10354"/>
    <cellStyle name="40% - Accent1 5 10 2" xfId="10355"/>
    <cellStyle name="40% - Accent1 5 10 3" xfId="10356"/>
    <cellStyle name="40% - Accent1 5 11" xfId="10357"/>
    <cellStyle name="40% - Accent1 5 11 2" xfId="10358"/>
    <cellStyle name="40% - Accent1 5 11 3" xfId="10359"/>
    <cellStyle name="40% - Accent1 5 12" xfId="10360"/>
    <cellStyle name="40% - Accent1 5 12 2" xfId="10361"/>
    <cellStyle name="40% - Accent1 5 12 3" xfId="10362"/>
    <cellStyle name="40% - Accent1 5 13" xfId="10363"/>
    <cellStyle name="40% - Accent1 5 13 2" xfId="10364"/>
    <cellStyle name="40% - Accent1 5 13 3" xfId="10365"/>
    <cellStyle name="40% - Accent1 5 14" xfId="10366"/>
    <cellStyle name="40% - Accent1 5 15" xfId="10367"/>
    <cellStyle name="40% - Accent1 5 16" xfId="10368"/>
    <cellStyle name="40% - Accent1 5 17" xfId="10369"/>
    <cellStyle name="40% - Accent1 5 2" xfId="1862"/>
    <cellStyle name="40% - Accent1 5 2 10" xfId="10370"/>
    <cellStyle name="40% - Accent1 5 2 10 2" xfId="10371"/>
    <cellStyle name="40% - Accent1 5 2 10 3" xfId="10372"/>
    <cellStyle name="40% - Accent1 5 2 11" xfId="10373"/>
    <cellStyle name="40% - Accent1 5 2 11 2" xfId="10374"/>
    <cellStyle name="40% - Accent1 5 2 11 3" xfId="10375"/>
    <cellStyle name="40% - Accent1 5 2 12" xfId="10376"/>
    <cellStyle name="40% - Accent1 5 2 12 2" xfId="10377"/>
    <cellStyle name="40% - Accent1 5 2 12 3" xfId="10378"/>
    <cellStyle name="40% - Accent1 5 2 13" xfId="10379"/>
    <cellStyle name="40% - Accent1 5 2 14" xfId="10380"/>
    <cellStyle name="40% - Accent1 5 2 15" xfId="10381"/>
    <cellStyle name="40% - Accent1 5 2 2" xfId="10382"/>
    <cellStyle name="40% - Accent1 5 2 2 2" xfId="10383"/>
    <cellStyle name="40% - Accent1 5 2 2 3" xfId="10384"/>
    <cellStyle name="40% - Accent1 5 2 3" xfId="10385"/>
    <cellStyle name="40% - Accent1 5 2 3 2" xfId="10386"/>
    <cellStyle name="40% - Accent1 5 2 3 3" xfId="10387"/>
    <cellStyle name="40% - Accent1 5 2 4" xfId="10388"/>
    <cellStyle name="40% - Accent1 5 2 4 2" xfId="10389"/>
    <cellStyle name="40% - Accent1 5 2 4 3" xfId="10390"/>
    <cellStyle name="40% - Accent1 5 2 5" xfId="10391"/>
    <cellStyle name="40% - Accent1 5 2 5 2" xfId="10392"/>
    <cellStyle name="40% - Accent1 5 2 5 3" xfId="10393"/>
    <cellStyle name="40% - Accent1 5 2 6" xfId="10394"/>
    <cellStyle name="40% - Accent1 5 2 6 2" xfId="10395"/>
    <cellStyle name="40% - Accent1 5 2 6 3" xfId="10396"/>
    <cellStyle name="40% - Accent1 5 2 7" xfId="10397"/>
    <cellStyle name="40% - Accent1 5 2 7 2" xfId="10398"/>
    <cellStyle name="40% - Accent1 5 2 7 3" xfId="10399"/>
    <cellStyle name="40% - Accent1 5 2 8" xfId="10400"/>
    <cellStyle name="40% - Accent1 5 2 8 2" xfId="10401"/>
    <cellStyle name="40% - Accent1 5 2 8 3" xfId="10402"/>
    <cellStyle name="40% - Accent1 5 2 9" xfId="10403"/>
    <cellStyle name="40% - Accent1 5 2 9 2" xfId="10404"/>
    <cellStyle name="40% - Accent1 5 2 9 3" xfId="10405"/>
    <cellStyle name="40% - Accent1 5 3" xfId="2237"/>
    <cellStyle name="40% - Accent1 5 3 2" xfId="10406"/>
    <cellStyle name="40% - Accent1 5 3 3" xfId="10407"/>
    <cellStyle name="40% - Accent1 5 3 4" xfId="10408"/>
    <cellStyle name="40% - Accent1 5 4" xfId="2611"/>
    <cellStyle name="40% - Accent1 5 4 2" xfId="10409"/>
    <cellStyle name="40% - Accent1 5 4 3" xfId="10410"/>
    <cellStyle name="40% - Accent1 5 4 4" xfId="10411"/>
    <cellStyle name="40% - Accent1 5 5" xfId="2983"/>
    <cellStyle name="40% - Accent1 5 5 2" xfId="10412"/>
    <cellStyle name="40% - Accent1 5 5 3" xfId="10413"/>
    <cellStyle name="40% - Accent1 5 5 4" xfId="10414"/>
    <cellStyle name="40% - Accent1 5 6" xfId="3355"/>
    <cellStyle name="40% - Accent1 5 6 2" xfId="10415"/>
    <cellStyle name="40% - Accent1 5 6 3" xfId="10416"/>
    <cellStyle name="40% - Accent1 5 6 4" xfId="10417"/>
    <cellStyle name="40% - Accent1 5 7" xfId="4477"/>
    <cellStyle name="40% - Accent1 5 7 2" xfId="10419"/>
    <cellStyle name="40% - Accent1 5 7 3" xfId="10420"/>
    <cellStyle name="40% - Accent1 5 7 4" xfId="10418"/>
    <cellStyle name="40% - Accent1 5 8" xfId="10421"/>
    <cellStyle name="40% - Accent1 5 8 2" xfId="10422"/>
    <cellStyle name="40% - Accent1 5 8 3" xfId="10423"/>
    <cellStyle name="40% - Accent1 5 9" xfId="10424"/>
    <cellStyle name="40% - Accent1 5 9 2" xfId="10425"/>
    <cellStyle name="40% - Accent1 5 9 3" xfId="10426"/>
    <cellStyle name="40% - Accent1 6" xfId="384"/>
    <cellStyle name="40% - Accent1 6 10" xfId="5380"/>
    <cellStyle name="40% - Accent1 6 10 2" xfId="6229"/>
    <cellStyle name="40% - Accent1 6 10 2 2" xfId="10429"/>
    <cellStyle name="40% - Accent1 6 10 2 3" xfId="26187"/>
    <cellStyle name="40% - Accent1 6 10 3" xfId="10430"/>
    <cellStyle name="40% - Accent1 6 10 4" xfId="10428"/>
    <cellStyle name="40% - Accent1 6 10 5" xfId="26186"/>
    <cellStyle name="40% - Accent1 6 11" xfId="5690"/>
    <cellStyle name="40% - Accent1 6 11 2" xfId="6230"/>
    <cellStyle name="40% - Accent1 6 11 2 2" xfId="10432"/>
    <cellStyle name="40% - Accent1 6 11 2 3" xfId="26189"/>
    <cellStyle name="40% - Accent1 6 11 3" xfId="10433"/>
    <cellStyle name="40% - Accent1 6 11 4" xfId="10431"/>
    <cellStyle name="40% - Accent1 6 11 5" xfId="26188"/>
    <cellStyle name="40% - Accent1 6 12" xfId="4478"/>
    <cellStyle name="40% - Accent1 6 12 2" xfId="6231"/>
    <cellStyle name="40% - Accent1 6 12 2 2" xfId="10435"/>
    <cellStyle name="40% - Accent1 6 12 2 3" xfId="26191"/>
    <cellStyle name="40% - Accent1 6 12 3" xfId="10436"/>
    <cellStyle name="40% - Accent1 6 12 4" xfId="10434"/>
    <cellStyle name="40% - Accent1 6 12 5" xfId="26190"/>
    <cellStyle name="40% - Accent1 6 13" xfId="6228"/>
    <cellStyle name="40% - Accent1 6 13 2" xfId="10437"/>
    <cellStyle name="40% - Accent1 6 13 3" xfId="26192"/>
    <cellStyle name="40% - Accent1 6 14" xfId="10438"/>
    <cellStyle name="40% - Accent1 6 15" xfId="10439"/>
    <cellStyle name="40% - Accent1 6 16" xfId="10440"/>
    <cellStyle name="40% - Accent1 6 16 2" xfId="10441"/>
    <cellStyle name="40% - Accent1 6 16 2 2" xfId="26194"/>
    <cellStyle name="40% - Accent1 6 16 2 3" xfId="28654"/>
    <cellStyle name="40% - Accent1 6 16 3" xfId="10442"/>
    <cellStyle name="40% - Accent1 6 16 3 2" xfId="26195"/>
    <cellStyle name="40% - Accent1 6 16 3 3" xfId="28655"/>
    <cellStyle name="40% - Accent1 6 16 4" xfId="26193"/>
    <cellStyle name="40% - Accent1 6 16 5" xfId="28653"/>
    <cellStyle name="40% - Accent1 6 17" xfId="10443"/>
    <cellStyle name="40% - Accent1 6 17 2" xfId="26196"/>
    <cellStyle name="40% - Accent1 6 17 3" xfId="28656"/>
    <cellStyle name="40% - Accent1 6 18" xfId="10444"/>
    <cellStyle name="40% - Accent1 6 18 2" xfId="26197"/>
    <cellStyle name="40% - Accent1 6 18 3" xfId="28657"/>
    <cellStyle name="40% - Accent1 6 19" xfId="10427"/>
    <cellStyle name="40% - Accent1 6 19 2" xfId="26198"/>
    <cellStyle name="40% - Accent1 6 2" xfId="1975"/>
    <cellStyle name="40% - Accent1 6 2 2" xfId="4479"/>
    <cellStyle name="40% - Accent1 6 2 2 2" xfId="10445"/>
    <cellStyle name="40% - Accent1 6 2 3" xfId="10446"/>
    <cellStyle name="40% - Accent1 6 2 4" xfId="10447"/>
    <cellStyle name="40% - Accent1 6 2 5" xfId="10448"/>
    <cellStyle name="40% - Accent1 6 20" xfId="24837"/>
    <cellStyle name="40% - Accent1 6 21" xfId="26185"/>
    <cellStyle name="40% - Accent1 6 22" xfId="28652"/>
    <cellStyle name="40% - Accent1 6 3" xfId="2350"/>
    <cellStyle name="40% - Accent1 6 3 2" xfId="4480"/>
    <cellStyle name="40% - Accent1 6 3 2 2" xfId="10449"/>
    <cellStyle name="40% - Accent1 6 3 3" xfId="10450"/>
    <cellStyle name="40% - Accent1 6 3 4" xfId="10451"/>
    <cellStyle name="40% - Accent1 6 3 5" xfId="10452"/>
    <cellStyle name="40% - Accent1 6 4" xfId="2723"/>
    <cellStyle name="40% - Accent1 6 4 2" xfId="4481"/>
    <cellStyle name="40% - Accent1 6 4 2 2" xfId="10453"/>
    <cellStyle name="40% - Accent1 6 4 3" xfId="10454"/>
    <cellStyle name="40% - Accent1 6 4 4" xfId="10455"/>
    <cellStyle name="40% - Accent1 6 4 5" xfId="10456"/>
    <cellStyle name="40% - Accent1 6 5" xfId="3096"/>
    <cellStyle name="40% - Accent1 6 5 2" xfId="4482"/>
    <cellStyle name="40% - Accent1 6 5 2 2" xfId="10457"/>
    <cellStyle name="40% - Accent1 6 5 3" xfId="10458"/>
    <cellStyle name="40% - Accent1 6 5 4" xfId="10459"/>
    <cellStyle name="40% - Accent1 6 5 5" xfId="10460"/>
    <cellStyle name="40% - Accent1 6 6" xfId="3467"/>
    <cellStyle name="40% - Accent1 6 6 2" xfId="4483"/>
    <cellStyle name="40% - Accent1 6 6 2 2" xfId="10461"/>
    <cellStyle name="40% - Accent1 6 6 3" xfId="10462"/>
    <cellStyle name="40% - Accent1 6 6 4" xfId="10463"/>
    <cellStyle name="40% - Accent1 6 6 5" xfId="10464"/>
    <cellStyle name="40% - Accent1 6 7" xfId="3773"/>
    <cellStyle name="40% - Accent1 6 7 2" xfId="4484"/>
    <cellStyle name="40% - Accent1 6 7 2 2" xfId="10465"/>
    <cellStyle name="40% - Accent1 6 7 3" xfId="10466"/>
    <cellStyle name="40% - Accent1 6 7 4" xfId="10467"/>
    <cellStyle name="40% - Accent1 6 7 5" xfId="10468"/>
    <cellStyle name="40% - Accent1 6 8" xfId="1356"/>
    <cellStyle name="40% - Accent1 6 8 10" xfId="26199"/>
    <cellStyle name="40% - Accent1 6 8 11" xfId="28658"/>
    <cellStyle name="40% - Accent1 6 8 2" xfId="4156"/>
    <cellStyle name="40% - Accent1 6 8 2 2" xfId="5382"/>
    <cellStyle name="40% - Accent1 6 8 2 2 2" xfId="6234"/>
    <cellStyle name="40% - Accent1 6 8 2 2 2 2" xfId="26202"/>
    <cellStyle name="40% - Accent1 6 8 2 2 3" xfId="10471"/>
    <cellStyle name="40% - Accent1 6 8 2 2 4" xfId="26201"/>
    <cellStyle name="40% - Accent1 6 8 2 3" xfId="5692"/>
    <cellStyle name="40% - Accent1 6 8 2 3 2" xfId="6235"/>
    <cellStyle name="40% - Accent1 6 8 2 3 2 2" xfId="26204"/>
    <cellStyle name="40% - Accent1 6 8 2 3 3" xfId="26203"/>
    <cellStyle name="40% - Accent1 6 8 2 4" xfId="4486"/>
    <cellStyle name="40% - Accent1 6 8 2 4 2" xfId="6236"/>
    <cellStyle name="40% - Accent1 6 8 2 4 2 2" xfId="26206"/>
    <cellStyle name="40% - Accent1 6 8 2 4 3" xfId="26205"/>
    <cellStyle name="40% - Accent1 6 8 2 5" xfId="6233"/>
    <cellStyle name="40% - Accent1 6 8 2 5 2" xfId="26207"/>
    <cellStyle name="40% - Accent1 6 8 2 6" xfId="10470"/>
    <cellStyle name="40% - Accent1 6 8 2 6 2" xfId="26208"/>
    <cellStyle name="40% - Accent1 6 8 2 7" xfId="25008"/>
    <cellStyle name="40% - Accent1 6 8 2 8" xfId="26200"/>
    <cellStyle name="40% - Accent1 6 8 2 9" xfId="28659"/>
    <cellStyle name="40% - Accent1 6 8 3" xfId="5381"/>
    <cellStyle name="40% - Accent1 6 8 3 2" xfId="6237"/>
    <cellStyle name="40% - Accent1 6 8 3 2 2" xfId="26210"/>
    <cellStyle name="40% - Accent1 6 8 3 3" xfId="10472"/>
    <cellStyle name="40% - Accent1 6 8 3 4" xfId="26209"/>
    <cellStyle name="40% - Accent1 6 8 4" xfId="5691"/>
    <cellStyle name="40% - Accent1 6 8 4 2" xfId="6238"/>
    <cellStyle name="40% - Accent1 6 8 4 2 2" xfId="26212"/>
    <cellStyle name="40% - Accent1 6 8 4 3" xfId="10473"/>
    <cellStyle name="40% - Accent1 6 8 4 4" xfId="26211"/>
    <cellStyle name="40% - Accent1 6 8 5" xfId="4485"/>
    <cellStyle name="40% - Accent1 6 8 5 2" xfId="6239"/>
    <cellStyle name="40% - Accent1 6 8 5 2 2" xfId="10475"/>
    <cellStyle name="40% - Accent1 6 8 5 2 2 2" xfId="26215"/>
    <cellStyle name="40% - Accent1 6 8 5 2 3" xfId="26214"/>
    <cellStyle name="40% - Accent1 6 8 5 2 4" xfId="28661"/>
    <cellStyle name="40% - Accent1 6 8 5 3" xfId="10476"/>
    <cellStyle name="40% - Accent1 6 8 5 3 2" xfId="26216"/>
    <cellStyle name="40% - Accent1 6 8 5 3 3" xfId="28662"/>
    <cellStyle name="40% - Accent1 6 8 5 4" xfId="10474"/>
    <cellStyle name="40% - Accent1 6 8 5 4 2" xfId="26217"/>
    <cellStyle name="40% - Accent1 6 8 5 5" xfId="26213"/>
    <cellStyle name="40% - Accent1 6 8 5 6" xfId="28660"/>
    <cellStyle name="40% - Accent1 6 8 6" xfId="6232"/>
    <cellStyle name="40% - Accent1 6 8 6 2" xfId="10477"/>
    <cellStyle name="40% - Accent1 6 8 6 2 2" xfId="26219"/>
    <cellStyle name="40% - Accent1 6 8 6 3" xfId="26218"/>
    <cellStyle name="40% - Accent1 6 8 6 4" xfId="28663"/>
    <cellStyle name="40% - Accent1 6 8 7" xfId="10478"/>
    <cellStyle name="40% - Accent1 6 8 7 2" xfId="26220"/>
    <cellStyle name="40% - Accent1 6 8 7 3" xfId="28664"/>
    <cellStyle name="40% - Accent1 6 8 8" xfId="10469"/>
    <cellStyle name="40% - Accent1 6 8 8 2" xfId="26221"/>
    <cellStyle name="40% - Accent1 6 8 9" xfId="24888"/>
    <cellStyle name="40% - Accent1 6 9" xfId="3823"/>
    <cellStyle name="40% - Accent1 6 9 2" xfId="5383"/>
    <cellStyle name="40% - Accent1 6 9 2 2" xfId="6241"/>
    <cellStyle name="40% - Accent1 6 9 2 2 2" xfId="26224"/>
    <cellStyle name="40% - Accent1 6 9 2 3" xfId="10480"/>
    <cellStyle name="40% - Accent1 6 9 2 4" xfId="26223"/>
    <cellStyle name="40% - Accent1 6 9 3" xfId="5693"/>
    <cellStyle name="40% - Accent1 6 9 3 2" xfId="6242"/>
    <cellStyle name="40% - Accent1 6 9 3 2 2" xfId="26226"/>
    <cellStyle name="40% - Accent1 6 9 3 3" xfId="10481"/>
    <cellStyle name="40% - Accent1 6 9 3 4" xfId="26225"/>
    <cellStyle name="40% - Accent1 6 9 4" xfId="4487"/>
    <cellStyle name="40% - Accent1 6 9 4 2" xfId="6243"/>
    <cellStyle name="40% - Accent1 6 9 4 2 2" xfId="26228"/>
    <cellStyle name="40% - Accent1 6 9 4 3" xfId="10482"/>
    <cellStyle name="40% - Accent1 6 9 4 4" xfId="26227"/>
    <cellStyle name="40% - Accent1 6 9 5" xfId="6240"/>
    <cellStyle name="40% - Accent1 6 9 5 2" xfId="26229"/>
    <cellStyle name="40% - Accent1 6 9 6" xfId="10479"/>
    <cellStyle name="40% - Accent1 6 9 6 2" xfId="26230"/>
    <cellStyle name="40% - Accent1 6 9 7" xfId="24959"/>
    <cellStyle name="40% - Accent1 6 9 8" xfId="26222"/>
    <cellStyle name="40% - Accent1 6 9 9" xfId="28665"/>
    <cellStyle name="40% - Accent1 7" xfId="385"/>
    <cellStyle name="40% - Accent1 7 10" xfId="10483"/>
    <cellStyle name="40% - Accent1 7 10 2" xfId="10484"/>
    <cellStyle name="40% - Accent1 7 10 3" xfId="10485"/>
    <cellStyle name="40% - Accent1 7 11" xfId="10486"/>
    <cellStyle name="40% - Accent1 7 11 2" xfId="10487"/>
    <cellStyle name="40% - Accent1 7 11 3" xfId="10488"/>
    <cellStyle name="40% - Accent1 7 12" xfId="10489"/>
    <cellStyle name="40% - Accent1 7 12 2" xfId="10490"/>
    <cellStyle name="40% - Accent1 7 12 3" xfId="10491"/>
    <cellStyle name="40% - Accent1 7 13" xfId="10492"/>
    <cellStyle name="40% - Accent1 7 14" xfId="10493"/>
    <cellStyle name="40% - Accent1 7 15" xfId="10494"/>
    <cellStyle name="40% - Accent1 7 16" xfId="10495"/>
    <cellStyle name="40% - Accent1 7 2" xfId="4488"/>
    <cellStyle name="40% - Accent1 7 2 2" xfId="10497"/>
    <cellStyle name="40% - Accent1 7 2 3" xfId="10498"/>
    <cellStyle name="40% - Accent1 7 2 4" xfId="10496"/>
    <cellStyle name="40% - Accent1 7 3" xfId="10499"/>
    <cellStyle name="40% - Accent1 7 3 2" xfId="10500"/>
    <cellStyle name="40% - Accent1 7 3 3" xfId="10501"/>
    <cellStyle name="40% - Accent1 7 4" xfId="10502"/>
    <cellStyle name="40% - Accent1 7 4 2" xfId="10503"/>
    <cellStyle name="40% - Accent1 7 4 3" xfId="10504"/>
    <cellStyle name="40% - Accent1 7 5" xfId="10505"/>
    <cellStyle name="40% - Accent1 7 5 2" xfId="10506"/>
    <cellStyle name="40% - Accent1 7 5 3" xfId="10507"/>
    <cellStyle name="40% - Accent1 7 6" xfId="10508"/>
    <cellStyle name="40% - Accent1 7 6 2" xfId="10509"/>
    <cellStyle name="40% - Accent1 7 6 3" xfId="10510"/>
    <cellStyle name="40% - Accent1 7 7" xfId="10511"/>
    <cellStyle name="40% - Accent1 7 7 2" xfId="10512"/>
    <cellStyle name="40% - Accent1 7 7 3" xfId="10513"/>
    <cellStyle name="40% - Accent1 7 8" xfId="10514"/>
    <cellStyle name="40% - Accent1 7 8 2" xfId="10515"/>
    <cellStyle name="40% - Accent1 7 8 3" xfId="10516"/>
    <cellStyle name="40% - Accent1 7 9" xfId="10517"/>
    <cellStyle name="40% - Accent1 7 9 2" xfId="10518"/>
    <cellStyle name="40% - Accent1 7 9 3" xfId="10519"/>
    <cellStyle name="40% - Accent1 8" xfId="538"/>
    <cellStyle name="40% - Accent1 8 10" xfId="24851"/>
    <cellStyle name="40% - Accent1 8 11" xfId="26231"/>
    <cellStyle name="40% - Accent1 8 12" xfId="28666"/>
    <cellStyle name="40% - Accent1 8 2" xfId="1373"/>
    <cellStyle name="40% - Accent1 8 2 10" xfId="26232"/>
    <cellStyle name="40% - Accent1 8 2 11" xfId="28667"/>
    <cellStyle name="40% - Accent1 8 2 2" xfId="4173"/>
    <cellStyle name="40% - Accent1 8 2 2 2" xfId="5386"/>
    <cellStyle name="40% - Accent1 8 2 2 2 2" xfId="6247"/>
    <cellStyle name="40% - Accent1 8 2 2 2 2 2" xfId="26235"/>
    <cellStyle name="40% - Accent1 8 2 2 2 3" xfId="10523"/>
    <cellStyle name="40% - Accent1 8 2 2 2 4" xfId="26234"/>
    <cellStyle name="40% - Accent1 8 2 2 3" xfId="5696"/>
    <cellStyle name="40% - Accent1 8 2 2 3 2" xfId="6248"/>
    <cellStyle name="40% - Accent1 8 2 2 3 2 2" xfId="26237"/>
    <cellStyle name="40% - Accent1 8 2 2 3 3" xfId="26236"/>
    <cellStyle name="40% - Accent1 8 2 2 4" xfId="4491"/>
    <cellStyle name="40% - Accent1 8 2 2 4 2" xfId="6249"/>
    <cellStyle name="40% - Accent1 8 2 2 4 2 2" xfId="26239"/>
    <cellStyle name="40% - Accent1 8 2 2 4 3" xfId="26238"/>
    <cellStyle name="40% - Accent1 8 2 2 5" xfId="6246"/>
    <cellStyle name="40% - Accent1 8 2 2 5 2" xfId="26240"/>
    <cellStyle name="40% - Accent1 8 2 2 6" xfId="10522"/>
    <cellStyle name="40% - Accent1 8 2 2 6 2" xfId="26241"/>
    <cellStyle name="40% - Accent1 8 2 2 7" xfId="25025"/>
    <cellStyle name="40% - Accent1 8 2 2 8" xfId="26233"/>
    <cellStyle name="40% - Accent1 8 2 2 9" xfId="28668"/>
    <cellStyle name="40% - Accent1 8 2 3" xfId="5385"/>
    <cellStyle name="40% - Accent1 8 2 3 2" xfId="6250"/>
    <cellStyle name="40% - Accent1 8 2 3 2 2" xfId="26243"/>
    <cellStyle name="40% - Accent1 8 2 3 3" xfId="10524"/>
    <cellStyle name="40% - Accent1 8 2 3 4" xfId="26242"/>
    <cellStyle name="40% - Accent1 8 2 4" xfId="5695"/>
    <cellStyle name="40% - Accent1 8 2 4 2" xfId="6251"/>
    <cellStyle name="40% - Accent1 8 2 4 2 2" xfId="26245"/>
    <cellStyle name="40% - Accent1 8 2 4 3" xfId="10525"/>
    <cellStyle name="40% - Accent1 8 2 4 4" xfId="26244"/>
    <cellStyle name="40% - Accent1 8 2 5" xfId="4490"/>
    <cellStyle name="40% - Accent1 8 2 5 2" xfId="6252"/>
    <cellStyle name="40% - Accent1 8 2 5 2 2" xfId="10527"/>
    <cellStyle name="40% - Accent1 8 2 5 2 2 2" xfId="26248"/>
    <cellStyle name="40% - Accent1 8 2 5 2 3" xfId="26247"/>
    <cellStyle name="40% - Accent1 8 2 5 2 4" xfId="28670"/>
    <cellStyle name="40% - Accent1 8 2 5 3" xfId="10528"/>
    <cellStyle name="40% - Accent1 8 2 5 3 2" xfId="26249"/>
    <cellStyle name="40% - Accent1 8 2 5 3 3" xfId="28671"/>
    <cellStyle name="40% - Accent1 8 2 5 4" xfId="10526"/>
    <cellStyle name="40% - Accent1 8 2 5 4 2" xfId="26250"/>
    <cellStyle name="40% - Accent1 8 2 5 5" xfId="26246"/>
    <cellStyle name="40% - Accent1 8 2 5 6" xfId="28669"/>
    <cellStyle name="40% - Accent1 8 2 6" xfId="6245"/>
    <cellStyle name="40% - Accent1 8 2 6 2" xfId="10529"/>
    <cellStyle name="40% - Accent1 8 2 6 2 2" xfId="26252"/>
    <cellStyle name="40% - Accent1 8 2 6 3" xfId="26251"/>
    <cellStyle name="40% - Accent1 8 2 6 4" xfId="28672"/>
    <cellStyle name="40% - Accent1 8 2 7" xfId="10530"/>
    <cellStyle name="40% - Accent1 8 2 7 2" xfId="26253"/>
    <cellStyle name="40% - Accent1 8 2 7 3" xfId="28673"/>
    <cellStyle name="40% - Accent1 8 2 8" xfId="10521"/>
    <cellStyle name="40% - Accent1 8 2 8 2" xfId="26254"/>
    <cellStyle name="40% - Accent1 8 2 9" xfId="24905"/>
    <cellStyle name="40% - Accent1 8 3" xfId="3837"/>
    <cellStyle name="40% - Accent1 8 3 2" xfId="5387"/>
    <cellStyle name="40% - Accent1 8 3 2 2" xfId="6254"/>
    <cellStyle name="40% - Accent1 8 3 2 2 2" xfId="26257"/>
    <cellStyle name="40% - Accent1 8 3 2 3" xfId="10532"/>
    <cellStyle name="40% - Accent1 8 3 2 4" xfId="26256"/>
    <cellStyle name="40% - Accent1 8 3 3" xfId="5697"/>
    <cellStyle name="40% - Accent1 8 3 3 2" xfId="6255"/>
    <cellStyle name="40% - Accent1 8 3 3 2 2" xfId="26259"/>
    <cellStyle name="40% - Accent1 8 3 3 3" xfId="26258"/>
    <cellStyle name="40% - Accent1 8 3 4" xfId="4492"/>
    <cellStyle name="40% - Accent1 8 3 4 2" xfId="6256"/>
    <cellStyle name="40% - Accent1 8 3 4 2 2" xfId="26261"/>
    <cellStyle name="40% - Accent1 8 3 4 3" xfId="26260"/>
    <cellStyle name="40% - Accent1 8 3 5" xfId="6253"/>
    <cellStyle name="40% - Accent1 8 3 5 2" xfId="26262"/>
    <cellStyle name="40% - Accent1 8 3 6" xfId="10531"/>
    <cellStyle name="40% - Accent1 8 3 6 2" xfId="26263"/>
    <cellStyle name="40% - Accent1 8 3 7" xfId="24973"/>
    <cellStyle name="40% - Accent1 8 3 8" xfId="26255"/>
    <cellStyle name="40% - Accent1 8 3 9" xfId="28674"/>
    <cellStyle name="40% - Accent1 8 4" xfId="5384"/>
    <cellStyle name="40% - Accent1 8 4 2" xfId="6257"/>
    <cellStyle name="40% - Accent1 8 4 2 2" xfId="26265"/>
    <cellStyle name="40% - Accent1 8 4 3" xfId="10533"/>
    <cellStyle name="40% - Accent1 8 4 4" xfId="26264"/>
    <cellStyle name="40% - Accent1 8 5" xfId="5694"/>
    <cellStyle name="40% - Accent1 8 5 2" xfId="6258"/>
    <cellStyle name="40% - Accent1 8 5 2 2" xfId="26267"/>
    <cellStyle name="40% - Accent1 8 5 3" xfId="10534"/>
    <cellStyle name="40% - Accent1 8 5 4" xfId="26266"/>
    <cellStyle name="40% - Accent1 8 6" xfId="4489"/>
    <cellStyle name="40% - Accent1 8 6 2" xfId="6259"/>
    <cellStyle name="40% - Accent1 8 6 2 2" xfId="10536"/>
    <cellStyle name="40% - Accent1 8 6 2 2 2" xfId="26270"/>
    <cellStyle name="40% - Accent1 8 6 2 3" xfId="26269"/>
    <cellStyle name="40% - Accent1 8 6 2 4" xfId="28676"/>
    <cellStyle name="40% - Accent1 8 6 3" xfId="10537"/>
    <cellStyle name="40% - Accent1 8 6 3 2" xfId="26271"/>
    <cellStyle name="40% - Accent1 8 6 3 3" xfId="28677"/>
    <cellStyle name="40% - Accent1 8 6 4" xfId="10535"/>
    <cellStyle name="40% - Accent1 8 6 4 2" xfId="26272"/>
    <cellStyle name="40% - Accent1 8 6 5" xfId="26268"/>
    <cellStyle name="40% - Accent1 8 6 6" xfId="28675"/>
    <cellStyle name="40% - Accent1 8 7" xfId="6244"/>
    <cellStyle name="40% - Accent1 8 7 2" xfId="10538"/>
    <cellStyle name="40% - Accent1 8 7 2 2" xfId="26274"/>
    <cellStyle name="40% - Accent1 8 7 3" xfId="26273"/>
    <cellStyle name="40% - Accent1 8 7 4" xfId="28678"/>
    <cellStyle name="40% - Accent1 8 8" xfId="10539"/>
    <cellStyle name="40% - Accent1 8 8 2" xfId="26275"/>
    <cellStyle name="40% - Accent1 8 8 3" xfId="28679"/>
    <cellStyle name="40% - Accent1 8 9" xfId="10520"/>
    <cellStyle name="40% - Accent1 8 9 2" xfId="26276"/>
    <cellStyle name="40% - Accent1 9" xfId="539"/>
    <cellStyle name="40% - Accent1 9 2" xfId="4493"/>
    <cellStyle name="40% - Accent1 9 2 2" xfId="10541"/>
    <cellStyle name="40% - Accent1 9 2 3" xfId="10542"/>
    <cellStyle name="40% - Accent1 9 2 4" xfId="10540"/>
    <cellStyle name="40% - Accent1 9 3" xfId="10543"/>
    <cellStyle name="40% - Accent1 9 4" xfId="10544"/>
    <cellStyle name="40% - Accent1 9 5" xfId="10545"/>
    <cellStyle name="40% - Accent1 9 6" xfId="10546"/>
    <cellStyle name="40% - Accent2" xfId="7108" builtinId="35" customBuiltin="1"/>
    <cellStyle name="40% - Accent2 10" xfId="668"/>
    <cellStyle name="40% - Accent2 10 2" xfId="4494"/>
    <cellStyle name="40% - Accent2 10 2 2" xfId="10547"/>
    <cellStyle name="40% - Accent2 10 3" xfId="10548"/>
    <cellStyle name="40% - Accent2 10 4" xfId="10549"/>
    <cellStyle name="40% - Accent2 10 5" xfId="10550"/>
    <cellStyle name="40% - Accent2 11" xfId="669"/>
    <cellStyle name="40% - Accent2 11 2" xfId="4495"/>
    <cellStyle name="40% - Accent2 11 2 2" xfId="10551"/>
    <cellStyle name="40% - Accent2 11 3" xfId="10552"/>
    <cellStyle name="40% - Accent2 11 4" xfId="10553"/>
    <cellStyle name="40% - Accent2 11 5" xfId="10554"/>
    <cellStyle name="40% - Accent2 12" xfId="819"/>
    <cellStyle name="40% - Accent2 12 2" xfId="10556"/>
    <cellStyle name="40% - Accent2 12 3" xfId="10557"/>
    <cellStyle name="40% - Accent2 12 4" xfId="10555"/>
    <cellStyle name="40% - Accent2 13" xfId="820"/>
    <cellStyle name="40% - Accent2 13 2" xfId="3852"/>
    <cellStyle name="40% - Accent2 13 2 2" xfId="6261"/>
    <cellStyle name="40% - Accent2 13 2 2 2" xfId="26279"/>
    <cellStyle name="40% - Accent2 13 2 3" xfId="10559"/>
    <cellStyle name="40% - Accent2 13 2 4" xfId="24988"/>
    <cellStyle name="40% - Accent2 13 2 5" xfId="26278"/>
    <cellStyle name="40% - Accent2 13 3" xfId="6260"/>
    <cellStyle name="40% - Accent2 13 3 2" xfId="10560"/>
    <cellStyle name="40% - Accent2 13 3 3" xfId="26280"/>
    <cellStyle name="40% - Accent2 13 4" xfId="10558"/>
    <cellStyle name="40% - Accent2 13 5" xfId="24867"/>
    <cellStyle name="40% - Accent2 13 6" xfId="26277"/>
    <cellStyle name="40% - Accent2 14" xfId="935"/>
    <cellStyle name="40% - Accent2 14 2" xfId="10562"/>
    <cellStyle name="40% - Accent2 14 3" xfId="10563"/>
    <cellStyle name="40% - Accent2 14 4" xfId="10561"/>
    <cellStyle name="40% - Accent2 15" xfId="10564"/>
    <cellStyle name="40% - Accent2 15 2" xfId="10565"/>
    <cellStyle name="40% - Accent2 15 3" xfId="10566"/>
    <cellStyle name="40% - Accent2 16" xfId="10567"/>
    <cellStyle name="40% - Accent2 16 2" xfId="10568"/>
    <cellStyle name="40% - Accent2 16 3" xfId="10569"/>
    <cellStyle name="40% - Accent2 17" xfId="10570"/>
    <cellStyle name="40% - Accent2 17 2" xfId="10571"/>
    <cellStyle name="40% - Accent2 17 3" xfId="10572"/>
    <cellStyle name="40% - Accent2 18" xfId="10573"/>
    <cellStyle name="40% - Accent2 18 2" xfId="10574"/>
    <cellStyle name="40% - Accent2 18 3" xfId="10575"/>
    <cellStyle name="40% - Accent2 19" xfId="10576"/>
    <cellStyle name="40% - Accent2 19 2" xfId="10577"/>
    <cellStyle name="40% - Accent2 2" xfId="75"/>
    <cellStyle name="40% - Accent2 2 10" xfId="1674"/>
    <cellStyle name="40% - Accent2 2 10 2" xfId="4496"/>
    <cellStyle name="40% - Accent2 2 10 2 2" xfId="10578"/>
    <cellStyle name="40% - Accent2 2 10 3" xfId="10579"/>
    <cellStyle name="40% - Accent2 2 10 4" xfId="10580"/>
    <cellStyle name="40% - Accent2 2 10 5" xfId="10581"/>
    <cellStyle name="40% - Accent2 2 11" xfId="1663"/>
    <cellStyle name="40% - Accent2 2 11 2" xfId="4497"/>
    <cellStyle name="40% - Accent2 2 11 2 2" xfId="10582"/>
    <cellStyle name="40% - Accent2 2 11 3" xfId="10583"/>
    <cellStyle name="40% - Accent2 2 11 4" xfId="10584"/>
    <cellStyle name="40% - Accent2 2 11 5" xfId="10585"/>
    <cellStyle name="40% - Accent2 2 12" xfId="2129"/>
    <cellStyle name="40% - Accent2 2 12 2" xfId="4498"/>
    <cellStyle name="40% - Accent2 2 12 2 2" xfId="10586"/>
    <cellStyle name="40% - Accent2 2 12 3" xfId="10587"/>
    <cellStyle name="40% - Accent2 2 12 4" xfId="10588"/>
    <cellStyle name="40% - Accent2 2 12 5" xfId="10589"/>
    <cellStyle name="40% - Accent2 2 13" xfId="2503"/>
    <cellStyle name="40% - Accent2 2 13 2" xfId="4499"/>
    <cellStyle name="40% - Accent2 2 13 2 2" xfId="10590"/>
    <cellStyle name="40% - Accent2 2 13 3" xfId="10591"/>
    <cellStyle name="40% - Accent2 2 13 4" xfId="10592"/>
    <cellStyle name="40% - Accent2 2 13 5" xfId="10593"/>
    <cellStyle name="40% - Accent2 2 14" xfId="2417"/>
    <cellStyle name="40% - Accent2 2 14 2" xfId="4500"/>
    <cellStyle name="40% - Accent2 2 14 2 2" xfId="10594"/>
    <cellStyle name="40% - Accent2 2 14 3" xfId="10595"/>
    <cellStyle name="40% - Accent2 2 14 4" xfId="10596"/>
    <cellStyle name="40% - Accent2 2 14 5" xfId="10597"/>
    <cellStyle name="40% - Accent2 2 15" xfId="2789"/>
    <cellStyle name="40% - Accent2 2 15 2" xfId="4501"/>
    <cellStyle name="40% - Accent2 2 15 2 2" xfId="10598"/>
    <cellStyle name="40% - Accent2 2 15 3" xfId="10599"/>
    <cellStyle name="40% - Accent2 2 16" xfId="3639"/>
    <cellStyle name="40% - Accent2 2 16 2" xfId="4502"/>
    <cellStyle name="40% - Accent2 2 16 2 2" xfId="10600"/>
    <cellStyle name="40% - Accent2 2 16 3" xfId="10601"/>
    <cellStyle name="40% - Accent2 2 17" xfId="24474"/>
    <cellStyle name="40% - Accent2 2 2" xfId="119"/>
    <cellStyle name="40% - Accent2 2 2 10" xfId="10602"/>
    <cellStyle name="40% - Accent2 2 2 10 2" xfId="10603"/>
    <cellStyle name="40% - Accent2 2 2 10 3" xfId="10604"/>
    <cellStyle name="40% - Accent2 2 2 11" xfId="10605"/>
    <cellStyle name="40% - Accent2 2 2 11 2" xfId="10606"/>
    <cellStyle name="40% - Accent2 2 2 11 3" xfId="10607"/>
    <cellStyle name="40% - Accent2 2 2 12" xfId="10608"/>
    <cellStyle name="40% - Accent2 2 2 12 2" xfId="10609"/>
    <cellStyle name="40% - Accent2 2 2 12 3" xfId="10610"/>
    <cellStyle name="40% - Accent2 2 2 13" xfId="10611"/>
    <cellStyle name="40% - Accent2 2 2 14" xfId="10612"/>
    <cellStyle name="40% - Accent2 2 2 15" xfId="10613"/>
    <cellStyle name="40% - Accent2 2 2 2" xfId="176"/>
    <cellStyle name="40% - Accent2 2 2 2 2" xfId="10615"/>
    <cellStyle name="40% - Accent2 2 2 2 2 2" xfId="10616"/>
    <cellStyle name="40% - Accent2 2 2 2 3" xfId="10617"/>
    <cellStyle name="40% - Accent2 2 2 2 3 2" xfId="10618"/>
    <cellStyle name="40% - Accent2 2 2 2 4" xfId="10619"/>
    <cellStyle name="40% - Accent2 2 2 2 5" xfId="10614"/>
    <cellStyle name="40% - Accent2 2 2 3" xfId="340"/>
    <cellStyle name="40% - Accent2 2 2 3 2" xfId="10621"/>
    <cellStyle name="40% - Accent2 2 2 3 2 2" xfId="10622"/>
    <cellStyle name="40% - Accent2 2 2 3 3" xfId="10623"/>
    <cellStyle name="40% - Accent2 2 2 3 3 2" xfId="10624"/>
    <cellStyle name="40% - Accent2 2 2 3 4" xfId="10625"/>
    <cellStyle name="40% - Accent2 2 2 3 5" xfId="10620"/>
    <cellStyle name="40% - Accent2 2 2 4" xfId="2162"/>
    <cellStyle name="40% - Accent2 2 2 4 2" xfId="10627"/>
    <cellStyle name="40% - Accent2 2 2 4 2 2" xfId="10628"/>
    <cellStyle name="40% - Accent2 2 2 4 3" xfId="10629"/>
    <cellStyle name="40% - Accent2 2 2 4 3 2" xfId="10630"/>
    <cellStyle name="40% - Accent2 2 2 4 4" xfId="10631"/>
    <cellStyle name="40% - Accent2 2 2 4 5" xfId="10626"/>
    <cellStyle name="40% - Accent2 2 2 5" xfId="2536"/>
    <cellStyle name="40% - Accent2 2 2 5 2" xfId="10633"/>
    <cellStyle name="40% - Accent2 2 2 5 2 2" xfId="10634"/>
    <cellStyle name="40% - Accent2 2 2 5 3" xfId="10635"/>
    <cellStyle name="40% - Accent2 2 2 5 3 2" xfId="10636"/>
    <cellStyle name="40% - Accent2 2 2 5 4" xfId="10637"/>
    <cellStyle name="40% - Accent2 2 2 5 5" xfId="10632"/>
    <cellStyle name="40% - Accent2 2 2 6" xfId="2908"/>
    <cellStyle name="40% - Accent2 2 2 6 2" xfId="10639"/>
    <cellStyle name="40% - Accent2 2 2 6 2 2" xfId="10640"/>
    <cellStyle name="40% - Accent2 2 2 6 3" xfId="10641"/>
    <cellStyle name="40% - Accent2 2 2 6 3 2" xfId="10642"/>
    <cellStyle name="40% - Accent2 2 2 6 4" xfId="10643"/>
    <cellStyle name="40% - Accent2 2 2 6 5" xfId="10638"/>
    <cellStyle name="40% - Accent2 2 2 7" xfId="3280"/>
    <cellStyle name="40% - Accent2 2 2 7 2" xfId="10645"/>
    <cellStyle name="40% - Accent2 2 2 7 2 2" xfId="10646"/>
    <cellStyle name="40% - Accent2 2 2 7 3" xfId="10647"/>
    <cellStyle name="40% - Accent2 2 2 7 3 2" xfId="10648"/>
    <cellStyle name="40% - Accent2 2 2 7 4" xfId="10649"/>
    <cellStyle name="40% - Accent2 2 2 7 5" xfId="10644"/>
    <cellStyle name="40% - Accent2 2 2 8" xfId="4503"/>
    <cellStyle name="40% - Accent2 2 2 8 2" xfId="10651"/>
    <cellStyle name="40% - Accent2 2 2 8 2 2" xfId="10652"/>
    <cellStyle name="40% - Accent2 2 2 8 3" xfId="10653"/>
    <cellStyle name="40% - Accent2 2 2 8 3 2" xfId="10654"/>
    <cellStyle name="40% - Accent2 2 2 8 4" xfId="10655"/>
    <cellStyle name="40% - Accent2 2 2 8 5" xfId="10650"/>
    <cellStyle name="40% - Accent2 2 2 9" xfId="10656"/>
    <cellStyle name="40% - Accent2 2 2 9 2" xfId="10657"/>
    <cellStyle name="40% - Accent2 2 2 9 2 2" xfId="10658"/>
    <cellStyle name="40% - Accent2 2 2 9 3" xfId="10659"/>
    <cellStyle name="40% - Accent2 2 2 9 3 2" xfId="10660"/>
    <cellStyle name="40% - Accent2 2 2 9 4" xfId="10661"/>
    <cellStyle name="40% - Accent2 2 3" xfId="284"/>
    <cellStyle name="40% - Accent2 2 3 2" xfId="1338"/>
    <cellStyle name="40% - Accent2 2 3 2 2" xfId="10664"/>
    <cellStyle name="40% - Accent2 2 3 2 2 2" xfId="10665"/>
    <cellStyle name="40% - Accent2 2 3 2 3" xfId="10666"/>
    <cellStyle name="40% - Accent2 2 3 2 3 2" xfId="10667"/>
    <cellStyle name="40% - Accent2 2 3 2 4" xfId="10668"/>
    <cellStyle name="40% - Accent2 2 3 2 5" xfId="10663"/>
    <cellStyle name="40% - Accent2 2 3 3" xfId="10669"/>
    <cellStyle name="40% - Accent2 2 3 3 2" xfId="10670"/>
    <cellStyle name="40% - Accent2 2 3 4" xfId="10671"/>
    <cellStyle name="40% - Accent2 2 3 4 2" xfId="10672"/>
    <cellStyle name="40% - Accent2 2 3 5" xfId="10673"/>
    <cellStyle name="40% - Accent2 2 3 6" xfId="10662"/>
    <cellStyle name="40% - Accent2 2 4" xfId="386"/>
    <cellStyle name="40% - Accent2 2 4 2" xfId="10675"/>
    <cellStyle name="40% - Accent2 2 4 2 2" xfId="10676"/>
    <cellStyle name="40% - Accent2 2 4 2 2 2" xfId="10677"/>
    <cellStyle name="40% - Accent2 2 4 2 3" xfId="10678"/>
    <cellStyle name="40% - Accent2 2 4 2 3 2" xfId="10679"/>
    <cellStyle name="40% - Accent2 2 4 2 4" xfId="10680"/>
    <cellStyle name="40% - Accent2 2 4 3" xfId="10681"/>
    <cellStyle name="40% - Accent2 2 4 3 2" xfId="10682"/>
    <cellStyle name="40% - Accent2 2 4 4" xfId="10683"/>
    <cellStyle name="40% - Accent2 2 4 4 2" xfId="10684"/>
    <cellStyle name="40% - Accent2 2 4 5" xfId="10685"/>
    <cellStyle name="40% - Accent2 2 4 6" xfId="10674"/>
    <cellStyle name="40% - Accent2 2 5" xfId="540"/>
    <cellStyle name="40% - Accent2 2 5 2" xfId="10687"/>
    <cellStyle name="40% - Accent2 2 5 2 2" xfId="10688"/>
    <cellStyle name="40% - Accent2 2 5 3" xfId="10689"/>
    <cellStyle name="40% - Accent2 2 5 3 2" xfId="10690"/>
    <cellStyle name="40% - Accent2 2 5 4" xfId="10691"/>
    <cellStyle name="40% - Accent2 2 5 5" xfId="10686"/>
    <cellStyle name="40% - Accent2 2 6" xfId="670"/>
    <cellStyle name="40% - Accent2 2 6 2" xfId="10693"/>
    <cellStyle name="40% - Accent2 2 6 2 2" xfId="10694"/>
    <cellStyle name="40% - Accent2 2 6 3" xfId="10695"/>
    <cellStyle name="40% - Accent2 2 6 3 2" xfId="10696"/>
    <cellStyle name="40% - Accent2 2 6 4" xfId="10697"/>
    <cellStyle name="40% - Accent2 2 6 5" xfId="10692"/>
    <cellStyle name="40% - Accent2 2 7" xfId="671"/>
    <cellStyle name="40% - Accent2 2 7 2" xfId="10699"/>
    <cellStyle name="40% - Accent2 2 7 2 2" xfId="10700"/>
    <cellStyle name="40% - Accent2 2 7 3" xfId="10701"/>
    <cellStyle name="40% - Accent2 2 7 3 2" xfId="10702"/>
    <cellStyle name="40% - Accent2 2 7 4" xfId="10703"/>
    <cellStyle name="40% - Accent2 2 7 5" xfId="10698"/>
    <cellStyle name="40% - Accent2 2 8" xfId="821"/>
    <cellStyle name="40% - Accent2 2 8 2" xfId="1403"/>
    <cellStyle name="40% - Accent2 2 8 2 2" xfId="10706"/>
    <cellStyle name="40% - Accent2 2 8 2 3" xfId="10705"/>
    <cellStyle name="40% - Accent2 2 8 3" xfId="10707"/>
    <cellStyle name="40% - Accent2 2 8 3 2" xfId="10708"/>
    <cellStyle name="40% - Accent2 2 8 4" xfId="10709"/>
    <cellStyle name="40% - Accent2 2 8 4 2" xfId="10710"/>
    <cellStyle name="40% - Accent2 2 8 5" xfId="10711"/>
    <cellStyle name="40% - Accent2 2 8 5 2" xfId="10712"/>
    <cellStyle name="40% - Accent2 2 8 6" xfId="10713"/>
    <cellStyle name="40% - Accent2 2 8 7" xfId="10704"/>
    <cellStyle name="40% - Accent2 2 9" xfId="936"/>
    <cellStyle name="40% - Accent2 2 9 2" xfId="1445"/>
    <cellStyle name="40% - Accent2 2 9 2 2" xfId="10716"/>
    <cellStyle name="40% - Accent2 2 9 2 3" xfId="10715"/>
    <cellStyle name="40% - Accent2 2 9 3" xfId="10717"/>
    <cellStyle name="40% - Accent2 2 9 3 2" xfId="10718"/>
    <cellStyle name="40% - Accent2 2 9 4" xfId="10719"/>
    <cellStyle name="40% - Accent2 2 9 4 2" xfId="10720"/>
    <cellStyle name="40% - Accent2 2 9 5" xfId="10721"/>
    <cellStyle name="40% - Accent2 2 9 5 2" xfId="10722"/>
    <cellStyle name="40% - Accent2 2 9 6" xfId="10723"/>
    <cellStyle name="40% - Accent2 2 9 7" xfId="10714"/>
    <cellStyle name="40% - Accent2 20" xfId="10724"/>
    <cellStyle name="40% - Accent2 20 2" xfId="10725"/>
    <cellStyle name="40% - Accent2 21" xfId="10726"/>
    <cellStyle name="40% - Accent2 21 2" xfId="10727"/>
    <cellStyle name="40% - Accent2 21 2 2" xfId="10728"/>
    <cellStyle name="40% - Accent2 21 2 2 2" xfId="10729"/>
    <cellStyle name="40% - Accent2 21 2 3" xfId="10730"/>
    <cellStyle name="40% - Accent2 21 2 3 2" xfId="10731"/>
    <cellStyle name="40% - Accent2 21 2 4" xfId="10732"/>
    <cellStyle name="40% - Accent2 21 3" xfId="10733"/>
    <cellStyle name="40% - Accent2 21 3 2" xfId="10734"/>
    <cellStyle name="40% - Accent2 21 4" xfId="10735"/>
    <cellStyle name="40% - Accent2 21 4 2" xfId="10736"/>
    <cellStyle name="40% - Accent2 21 5" xfId="10737"/>
    <cellStyle name="40% - Accent2 22" xfId="10738"/>
    <cellStyle name="40% - Accent2 22 2" xfId="10739"/>
    <cellStyle name="40% - Accent2 22 2 2" xfId="10740"/>
    <cellStyle name="40% - Accent2 22 2 2 2" xfId="10741"/>
    <cellStyle name="40% - Accent2 22 2 3" xfId="10742"/>
    <cellStyle name="40% - Accent2 22 2 3 2" xfId="10743"/>
    <cellStyle name="40% - Accent2 22 2 4" xfId="10744"/>
    <cellStyle name="40% - Accent2 22 3" xfId="10745"/>
    <cellStyle name="40% - Accent2 22 3 2" xfId="10746"/>
    <cellStyle name="40% - Accent2 22 4" xfId="10747"/>
    <cellStyle name="40% - Accent2 22 4 2" xfId="10748"/>
    <cellStyle name="40% - Accent2 22 5" xfId="10749"/>
    <cellStyle name="40% - Accent2 23" xfId="10750"/>
    <cellStyle name="40% - Accent2 23 2" xfId="10751"/>
    <cellStyle name="40% - Accent2 24" xfId="10752"/>
    <cellStyle name="40% - Accent2 24 2" xfId="10753"/>
    <cellStyle name="40% - Accent2 24 2 2" xfId="10754"/>
    <cellStyle name="40% - Accent2 24 2 2 2" xfId="10755"/>
    <cellStyle name="40% - Accent2 24 2 3" xfId="10756"/>
    <cellStyle name="40% - Accent2 24 2 3 2" xfId="10757"/>
    <cellStyle name="40% - Accent2 24 2 4" xfId="10758"/>
    <cellStyle name="40% - Accent2 24 3" xfId="10759"/>
    <cellStyle name="40% - Accent2 24 3 2" xfId="10760"/>
    <cellStyle name="40% - Accent2 24 4" xfId="10761"/>
    <cellStyle name="40% - Accent2 24 4 2" xfId="10762"/>
    <cellStyle name="40% - Accent2 24 5" xfId="10763"/>
    <cellStyle name="40% - Accent2 25" xfId="10764"/>
    <cellStyle name="40% - Accent2 25 2" xfId="10765"/>
    <cellStyle name="40% - Accent2 25 2 2" xfId="10766"/>
    <cellStyle name="40% - Accent2 25 2 2 2" xfId="10767"/>
    <cellStyle name="40% - Accent2 25 2 3" xfId="10768"/>
    <cellStyle name="40% - Accent2 25 2 3 2" xfId="10769"/>
    <cellStyle name="40% - Accent2 25 2 4" xfId="10770"/>
    <cellStyle name="40% - Accent2 25 3" xfId="10771"/>
    <cellStyle name="40% - Accent2 25 3 2" xfId="10772"/>
    <cellStyle name="40% - Accent2 25 4" xfId="10773"/>
    <cellStyle name="40% - Accent2 25 4 2" xfId="10774"/>
    <cellStyle name="40% - Accent2 25 5" xfId="10775"/>
    <cellStyle name="40% - Accent2 26" xfId="10776"/>
    <cellStyle name="40% - Accent2 26 2" xfId="10777"/>
    <cellStyle name="40% - Accent2 27" xfId="10778"/>
    <cellStyle name="40% - Accent2 27 2" xfId="10779"/>
    <cellStyle name="40% - Accent2 27 2 2" xfId="10780"/>
    <cellStyle name="40% - Accent2 27 2 2 2" xfId="10781"/>
    <cellStyle name="40% - Accent2 27 2 3" xfId="10782"/>
    <cellStyle name="40% - Accent2 27 2 3 2" xfId="10783"/>
    <cellStyle name="40% - Accent2 27 2 4" xfId="10784"/>
    <cellStyle name="40% - Accent2 27 3" xfId="10785"/>
    <cellStyle name="40% - Accent2 27 3 2" xfId="10786"/>
    <cellStyle name="40% - Accent2 27 4" xfId="10787"/>
    <cellStyle name="40% - Accent2 27 4 2" xfId="10788"/>
    <cellStyle name="40% - Accent2 27 5" xfId="10789"/>
    <cellStyle name="40% - Accent2 28" xfId="10790"/>
    <cellStyle name="40% - Accent2 28 2" xfId="10791"/>
    <cellStyle name="40% - Accent2 28 2 2" xfId="10792"/>
    <cellStyle name="40% - Accent2 28 3" xfId="10793"/>
    <cellStyle name="40% - Accent2 28 3 2" xfId="10794"/>
    <cellStyle name="40% - Accent2 28 4" xfId="10795"/>
    <cellStyle name="40% - Accent2 29" xfId="10796"/>
    <cellStyle name="40% - Accent2 29 2" xfId="10797"/>
    <cellStyle name="40% - Accent2 3" xfId="217"/>
    <cellStyle name="40% - Accent2 3 10" xfId="3682"/>
    <cellStyle name="40% - Accent2 3 10 2" xfId="4504"/>
    <cellStyle name="40% - Accent2 3 10 2 2" xfId="10801"/>
    <cellStyle name="40% - Accent2 3 10 2 3" xfId="10800"/>
    <cellStyle name="40% - Accent2 3 10 3" xfId="10802"/>
    <cellStyle name="40% - Accent2 3 10 3 2" xfId="10803"/>
    <cellStyle name="40% - Accent2 3 10 4" xfId="10804"/>
    <cellStyle name="40% - Accent2 3 10 4 2" xfId="10805"/>
    <cellStyle name="40% - Accent2 3 10 5" xfId="10806"/>
    <cellStyle name="40% - Accent2 3 10 5 2" xfId="10807"/>
    <cellStyle name="40% - Accent2 3 10 6" xfId="10808"/>
    <cellStyle name="40% - Accent2 3 10 7" xfId="10799"/>
    <cellStyle name="40% - Accent2 3 11" xfId="10809"/>
    <cellStyle name="40% - Accent2 3 11 2" xfId="10810"/>
    <cellStyle name="40% - Accent2 3 11 2 2" xfId="10811"/>
    <cellStyle name="40% - Accent2 3 11 3" xfId="10812"/>
    <cellStyle name="40% - Accent2 3 11 3 2" xfId="10813"/>
    <cellStyle name="40% - Accent2 3 11 4" xfId="10814"/>
    <cellStyle name="40% - Accent2 3 12" xfId="10815"/>
    <cellStyle name="40% - Accent2 3 12 2" xfId="10816"/>
    <cellStyle name="40% - Accent2 3 12 2 2" xfId="10817"/>
    <cellStyle name="40% - Accent2 3 12 3" xfId="10818"/>
    <cellStyle name="40% - Accent2 3 12 3 2" xfId="10819"/>
    <cellStyle name="40% - Accent2 3 12 4" xfId="10820"/>
    <cellStyle name="40% - Accent2 3 13" xfId="10821"/>
    <cellStyle name="40% - Accent2 3 13 2" xfId="10822"/>
    <cellStyle name="40% - Accent2 3 13 2 2" xfId="10823"/>
    <cellStyle name="40% - Accent2 3 13 3" xfId="10824"/>
    <cellStyle name="40% - Accent2 3 13 3 2" xfId="10825"/>
    <cellStyle name="40% - Accent2 3 13 4" xfId="10826"/>
    <cellStyle name="40% - Accent2 3 14" xfId="10827"/>
    <cellStyle name="40% - Accent2 3 14 2" xfId="10828"/>
    <cellStyle name="40% - Accent2 3 15" xfId="10829"/>
    <cellStyle name="40% - Accent2 3 15 2" xfId="10830"/>
    <cellStyle name="40% - Accent2 3 16" xfId="10831"/>
    <cellStyle name="40% - Accent2 3 17" xfId="10798"/>
    <cellStyle name="40% - Accent2 3 2" xfId="1455"/>
    <cellStyle name="40% - Accent2 3 2 10" xfId="10833"/>
    <cellStyle name="40% - Accent2 3 2 10 2" xfId="10834"/>
    <cellStyle name="40% - Accent2 3 2 10 2 2" xfId="10835"/>
    <cellStyle name="40% - Accent2 3 2 10 3" xfId="10836"/>
    <cellStyle name="40% - Accent2 3 2 10 3 2" xfId="10837"/>
    <cellStyle name="40% - Accent2 3 2 10 4" xfId="10838"/>
    <cellStyle name="40% - Accent2 3 2 11" xfId="10839"/>
    <cellStyle name="40% - Accent2 3 2 11 2" xfId="10840"/>
    <cellStyle name="40% - Accent2 3 2 11 2 2" xfId="10841"/>
    <cellStyle name="40% - Accent2 3 2 11 3" xfId="10842"/>
    <cellStyle name="40% - Accent2 3 2 11 3 2" xfId="10843"/>
    <cellStyle name="40% - Accent2 3 2 11 4" xfId="10844"/>
    <cellStyle name="40% - Accent2 3 2 12" xfId="10845"/>
    <cellStyle name="40% - Accent2 3 2 12 2" xfId="10846"/>
    <cellStyle name="40% - Accent2 3 2 12 2 2" xfId="10847"/>
    <cellStyle name="40% - Accent2 3 2 12 3" xfId="10848"/>
    <cellStyle name="40% - Accent2 3 2 12 3 2" xfId="10849"/>
    <cellStyle name="40% - Accent2 3 2 12 4" xfId="10850"/>
    <cellStyle name="40% - Accent2 3 2 13" xfId="10851"/>
    <cellStyle name="40% - Accent2 3 2 13 2" xfId="10852"/>
    <cellStyle name="40% - Accent2 3 2 14" xfId="10853"/>
    <cellStyle name="40% - Accent2 3 2 14 2" xfId="10854"/>
    <cellStyle name="40% - Accent2 3 2 15" xfId="10855"/>
    <cellStyle name="40% - Accent2 3 2 15 2" xfId="10856"/>
    <cellStyle name="40% - Accent2 3 2 16" xfId="10857"/>
    <cellStyle name="40% - Accent2 3 2 17" xfId="10832"/>
    <cellStyle name="40% - Accent2 3 2 2" xfId="1828"/>
    <cellStyle name="40% - Accent2 3 2 2 2" xfId="10859"/>
    <cellStyle name="40% - Accent2 3 2 2 2 2" xfId="10860"/>
    <cellStyle name="40% - Accent2 3 2 2 3" xfId="10861"/>
    <cellStyle name="40% - Accent2 3 2 2 3 2" xfId="10862"/>
    <cellStyle name="40% - Accent2 3 2 2 4" xfId="10863"/>
    <cellStyle name="40% - Accent2 3 2 2 5" xfId="10858"/>
    <cellStyle name="40% - Accent2 3 2 3" xfId="2203"/>
    <cellStyle name="40% - Accent2 3 2 3 2" xfId="10865"/>
    <cellStyle name="40% - Accent2 3 2 3 2 2" xfId="10866"/>
    <cellStyle name="40% - Accent2 3 2 3 3" xfId="10867"/>
    <cellStyle name="40% - Accent2 3 2 3 3 2" xfId="10868"/>
    <cellStyle name="40% - Accent2 3 2 3 4" xfId="10869"/>
    <cellStyle name="40% - Accent2 3 2 3 5" xfId="10864"/>
    <cellStyle name="40% - Accent2 3 2 4" xfId="2577"/>
    <cellStyle name="40% - Accent2 3 2 4 2" xfId="10871"/>
    <cellStyle name="40% - Accent2 3 2 4 2 2" xfId="10872"/>
    <cellStyle name="40% - Accent2 3 2 4 3" xfId="10873"/>
    <cellStyle name="40% - Accent2 3 2 4 3 2" xfId="10874"/>
    <cellStyle name="40% - Accent2 3 2 4 4" xfId="10875"/>
    <cellStyle name="40% - Accent2 3 2 4 5" xfId="10870"/>
    <cellStyle name="40% - Accent2 3 2 5" xfId="2949"/>
    <cellStyle name="40% - Accent2 3 2 5 2" xfId="10877"/>
    <cellStyle name="40% - Accent2 3 2 5 2 2" xfId="10878"/>
    <cellStyle name="40% - Accent2 3 2 5 3" xfId="10879"/>
    <cellStyle name="40% - Accent2 3 2 5 3 2" xfId="10880"/>
    <cellStyle name="40% - Accent2 3 2 5 4" xfId="10881"/>
    <cellStyle name="40% - Accent2 3 2 5 5" xfId="10876"/>
    <cellStyle name="40% - Accent2 3 2 6" xfId="3321"/>
    <cellStyle name="40% - Accent2 3 2 6 2" xfId="10883"/>
    <cellStyle name="40% - Accent2 3 2 6 2 2" xfId="10884"/>
    <cellStyle name="40% - Accent2 3 2 6 3" xfId="10885"/>
    <cellStyle name="40% - Accent2 3 2 6 3 2" xfId="10886"/>
    <cellStyle name="40% - Accent2 3 2 6 4" xfId="10887"/>
    <cellStyle name="40% - Accent2 3 2 6 5" xfId="10882"/>
    <cellStyle name="40% - Accent2 3 2 7" xfId="4505"/>
    <cellStyle name="40% - Accent2 3 2 7 2" xfId="10889"/>
    <cellStyle name="40% - Accent2 3 2 7 2 2" xfId="10890"/>
    <cellStyle name="40% - Accent2 3 2 7 3" xfId="10891"/>
    <cellStyle name="40% - Accent2 3 2 7 3 2" xfId="10892"/>
    <cellStyle name="40% - Accent2 3 2 7 4" xfId="10893"/>
    <cellStyle name="40% - Accent2 3 2 7 5" xfId="10888"/>
    <cellStyle name="40% - Accent2 3 2 8" xfId="10894"/>
    <cellStyle name="40% - Accent2 3 2 8 2" xfId="10895"/>
    <cellStyle name="40% - Accent2 3 2 8 2 2" xfId="10896"/>
    <cellStyle name="40% - Accent2 3 2 8 3" xfId="10897"/>
    <cellStyle name="40% - Accent2 3 2 8 3 2" xfId="10898"/>
    <cellStyle name="40% - Accent2 3 2 8 4" xfId="10899"/>
    <cellStyle name="40% - Accent2 3 2 9" xfId="10900"/>
    <cellStyle name="40% - Accent2 3 2 9 2" xfId="10901"/>
    <cellStyle name="40% - Accent2 3 2 9 2 2" xfId="10902"/>
    <cellStyle name="40% - Accent2 3 2 9 3" xfId="10903"/>
    <cellStyle name="40% - Accent2 3 2 9 3 2" xfId="10904"/>
    <cellStyle name="40% - Accent2 3 2 9 4" xfId="10905"/>
    <cellStyle name="40% - Accent2 3 3" xfId="1582"/>
    <cellStyle name="40% - Accent2 3 3 2" xfId="1905"/>
    <cellStyle name="40% - Accent2 3 3 2 2" xfId="10908"/>
    <cellStyle name="40% - Accent2 3 3 2 3" xfId="10907"/>
    <cellStyle name="40% - Accent2 3 3 3" xfId="2280"/>
    <cellStyle name="40% - Accent2 3 3 3 2" xfId="10910"/>
    <cellStyle name="40% - Accent2 3 3 3 3" xfId="10909"/>
    <cellStyle name="40% - Accent2 3 3 4" xfId="2653"/>
    <cellStyle name="40% - Accent2 3 3 4 2" xfId="10912"/>
    <cellStyle name="40% - Accent2 3 3 4 3" xfId="10911"/>
    <cellStyle name="40% - Accent2 3 3 5" xfId="3026"/>
    <cellStyle name="40% - Accent2 3 3 5 2" xfId="10914"/>
    <cellStyle name="40% - Accent2 3 3 5 3" xfId="10913"/>
    <cellStyle name="40% - Accent2 3 3 6" xfId="3397"/>
    <cellStyle name="40% - Accent2 3 3 6 2" xfId="10916"/>
    <cellStyle name="40% - Accent2 3 3 6 3" xfId="10915"/>
    <cellStyle name="40% - Accent2 3 3 7" xfId="4506"/>
    <cellStyle name="40% - Accent2 3 3 7 2" xfId="10918"/>
    <cellStyle name="40% - Accent2 3 3 7 3" xfId="10917"/>
    <cellStyle name="40% - Accent2 3 3 8" xfId="10919"/>
    <cellStyle name="40% - Accent2 3 3 9" xfId="10906"/>
    <cellStyle name="40% - Accent2 3 4" xfId="1719"/>
    <cellStyle name="40% - Accent2 3 4 2" xfId="1949"/>
    <cellStyle name="40% - Accent2 3 4 2 2" xfId="10922"/>
    <cellStyle name="40% - Accent2 3 4 2 3" xfId="10921"/>
    <cellStyle name="40% - Accent2 3 4 3" xfId="2324"/>
    <cellStyle name="40% - Accent2 3 4 3 2" xfId="10924"/>
    <cellStyle name="40% - Accent2 3 4 3 3" xfId="10923"/>
    <cellStyle name="40% - Accent2 3 4 4" xfId="2697"/>
    <cellStyle name="40% - Accent2 3 4 4 2" xfId="10926"/>
    <cellStyle name="40% - Accent2 3 4 4 3" xfId="10925"/>
    <cellStyle name="40% - Accent2 3 4 5" xfId="3070"/>
    <cellStyle name="40% - Accent2 3 4 5 2" xfId="10928"/>
    <cellStyle name="40% - Accent2 3 4 5 3" xfId="10927"/>
    <cellStyle name="40% - Accent2 3 4 6" xfId="3441"/>
    <cellStyle name="40% - Accent2 3 4 6 2" xfId="10930"/>
    <cellStyle name="40% - Accent2 3 4 6 3" xfId="10929"/>
    <cellStyle name="40% - Accent2 3 4 7" xfId="10931"/>
    <cellStyle name="40% - Accent2 3 4 8" xfId="10920"/>
    <cellStyle name="40% - Accent2 3 5" xfId="2054"/>
    <cellStyle name="40% - Accent2 3 5 2" xfId="10933"/>
    <cellStyle name="40% - Accent2 3 5 2 2" xfId="10934"/>
    <cellStyle name="40% - Accent2 3 5 3" xfId="10935"/>
    <cellStyle name="40% - Accent2 3 5 3 2" xfId="10936"/>
    <cellStyle name="40% - Accent2 3 5 4" xfId="10937"/>
    <cellStyle name="40% - Accent2 3 5 4 2" xfId="10938"/>
    <cellStyle name="40% - Accent2 3 5 5" xfId="10939"/>
    <cellStyle name="40% - Accent2 3 5 6" xfId="10932"/>
    <cellStyle name="40% - Accent2 3 6" xfId="2428"/>
    <cellStyle name="40% - Accent2 3 6 2" xfId="10941"/>
    <cellStyle name="40% - Accent2 3 6 2 2" xfId="10942"/>
    <cellStyle name="40% - Accent2 3 6 3" xfId="10943"/>
    <cellStyle name="40% - Accent2 3 6 3 2" xfId="10944"/>
    <cellStyle name="40% - Accent2 3 6 4" xfId="10945"/>
    <cellStyle name="40% - Accent2 3 6 4 2" xfId="10946"/>
    <cellStyle name="40% - Accent2 3 6 5" xfId="10947"/>
    <cellStyle name="40% - Accent2 3 6 6" xfId="10940"/>
    <cellStyle name="40% - Accent2 3 7" xfId="2800"/>
    <cellStyle name="40% - Accent2 3 7 2" xfId="10949"/>
    <cellStyle name="40% - Accent2 3 7 2 2" xfId="10950"/>
    <cellStyle name="40% - Accent2 3 7 3" xfId="10951"/>
    <cellStyle name="40% - Accent2 3 7 3 2" xfId="10952"/>
    <cellStyle name="40% - Accent2 3 7 4" xfId="10953"/>
    <cellStyle name="40% - Accent2 3 7 4 2" xfId="10954"/>
    <cellStyle name="40% - Accent2 3 7 5" xfId="10955"/>
    <cellStyle name="40% - Accent2 3 7 6" xfId="10948"/>
    <cellStyle name="40% - Accent2 3 8" xfId="3171"/>
    <cellStyle name="40% - Accent2 3 8 2" xfId="10957"/>
    <cellStyle name="40% - Accent2 3 8 2 2" xfId="10958"/>
    <cellStyle name="40% - Accent2 3 8 3" xfId="10959"/>
    <cellStyle name="40% - Accent2 3 8 3 2" xfId="10960"/>
    <cellStyle name="40% - Accent2 3 8 4" xfId="10961"/>
    <cellStyle name="40% - Accent2 3 8 4 2" xfId="10962"/>
    <cellStyle name="40% - Accent2 3 8 5" xfId="10963"/>
    <cellStyle name="40% - Accent2 3 8 6" xfId="10956"/>
    <cellStyle name="40% - Accent2 3 9" xfId="3546"/>
    <cellStyle name="40% - Accent2 3 9 2" xfId="4507"/>
    <cellStyle name="40% - Accent2 3 9 2 2" xfId="10966"/>
    <cellStyle name="40% - Accent2 3 9 2 3" xfId="10965"/>
    <cellStyle name="40% - Accent2 3 9 3" xfId="10967"/>
    <cellStyle name="40% - Accent2 3 9 3 2" xfId="10968"/>
    <cellStyle name="40% - Accent2 3 9 4" xfId="10969"/>
    <cellStyle name="40% - Accent2 3 9 4 2" xfId="10970"/>
    <cellStyle name="40% - Accent2 3 9 5" xfId="10971"/>
    <cellStyle name="40% - Accent2 3 9 5 2" xfId="10972"/>
    <cellStyle name="40% - Accent2 3 9 6" xfId="10973"/>
    <cellStyle name="40% - Accent2 3 9 7" xfId="10964"/>
    <cellStyle name="40% - Accent2 30" xfId="28143"/>
    <cellStyle name="40% - Accent2 4" xfId="242"/>
    <cellStyle name="40% - Accent2 4 10" xfId="3726"/>
    <cellStyle name="40% - Accent2 4 10 2" xfId="4509"/>
    <cellStyle name="40% - Accent2 4 10 2 2" xfId="10977"/>
    <cellStyle name="40% - Accent2 4 10 2 3" xfId="10976"/>
    <cellStyle name="40% - Accent2 4 10 3" xfId="10978"/>
    <cellStyle name="40% - Accent2 4 10 3 2" xfId="10979"/>
    <cellStyle name="40% - Accent2 4 10 4" xfId="10980"/>
    <cellStyle name="40% - Accent2 4 10 4 2" xfId="10981"/>
    <cellStyle name="40% - Accent2 4 10 5" xfId="10982"/>
    <cellStyle name="40% - Accent2 4 10 5 2" xfId="10983"/>
    <cellStyle name="40% - Accent2 4 10 6" xfId="10984"/>
    <cellStyle name="40% - Accent2 4 10 7" xfId="10975"/>
    <cellStyle name="40% - Accent2 4 11" xfId="1299"/>
    <cellStyle name="40% - Accent2 4 11 10" xfId="24879"/>
    <cellStyle name="40% - Accent2 4 11 11" xfId="26281"/>
    <cellStyle name="40% - Accent2 4 11 2" xfId="4147"/>
    <cellStyle name="40% - Accent2 4 11 2 2" xfId="5390"/>
    <cellStyle name="40% - Accent2 4 11 2 2 2" xfId="6264"/>
    <cellStyle name="40% - Accent2 4 11 2 2 2 2" xfId="10988"/>
    <cellStyle name="40% - Accent2 4 11 2 2 2 3" xfId="26284"/>
    <cellStyle name="40% - Accent2 4 11 2 2 3" xfId="10987"/>
    <cellStyle name="40% - Accent2 4 11 2 2 4" xfId="26283"/>
    <cellStyle name="40% - Accent2 4 11 2 3" xfId="5700"/>
    <cellStyle name="40% - Accent2 4 11 2 3 2" xfId="6265"/>
    <cellStyle name="40% - Accent2 4 11 2 3 2 2" xfId="26286"/>
    <cellStyle name="40% - Accent2 4 11 2 3 3" xfId="10989"/>
    <cellStyle name="40% - Accent2 4 11 2 3 4" xfId="26285"/>
    <cellStyle name="40% - Accent2 4 11 2 4" xfId="4511"/>
    <cellStyle name="40% - Accent2 4 11 2 4 2" xfId="6266"/>
    <cellStyle name="40% - Accent2 4 11 2 4 2 2" xfId="26288"/>
    <cellStyle name="40% - Accent2 4 11 2 4 3" xfId="26287"/>
    <cellStyle name="40% - Accent2 4 11 2 5" xfId="6263"/>
    <cellStyle name="40% - Accent2 4 11 2 5 2" xfId="26289"/>
    <cellStyle name="40% - Accent2 4 11 2 6" xfId="10986"/>
    <cellStyle name="40% - Accent2 4 11 2 7" xfId="24999"/>
    <cellStyle name="40% - Accent2 4 11 2 8" xfId="26282"/>
    <cellStyle name="40% - Accent2 4 11 3" xfId="5389"/>
    <cellStyle name="40% - Accent2 4 11 3 2" xfId="6267"/>
    <cellStyle name="40% - Accent2 4 11 3 2 2" xfId="10991"/>
    <cellStyle name="40% - Accent2 4 11 3 2 3" xfId="26291"/>
    <cellStyle name="40% - Accent2 4 11 3 3" xfId="10990"/>
    <cellStyle name="40% - Accent2 4 11 3 4" xfId="26290"/>
    <cellStyle name="40% - Accent2 4 11 4" xfId="5699"/>
    <cellStyle name="40% - Accent2 4 11 4 2" xfId="6268"/>
    <cellStyle name="40% - Accent2 4 11 4 2 2" xfId="10993"/>
    <cellStyle name="40% - Accent2 4 11 4 2 3" xfId="26293"/>
    <cellStyle name="40% - Accent2 4 11 4 3" xfId="10992"/>
    <cellStyle name="40% - Accent2 4 11 4 4" xfId="26292"/>
    <cellStyle name="40% - Accent2 4 11 5" xfId="4510"/>
    <cellStyle name="40% - Accent2 4 11 5 2" xfId="6269"/>
    <cellStyle name="40% - Accent2 4 11 5 2 2" xfId="10996"/>
    <cellStyle name="40% - Accent2 4 11 5 2 3" xfId="10995"/>
    <cellStyle name="40% - Accent2 4 11 5 2 4" xfId="26295"/>
    <cellStyle name="40% - Accent2 4 11 5 3" xfId="10997"/>
    <cellStyle name="40% - Accent2 4 11 5 3 2" xfId="10998"/>
    <cellStyle name="40% - Accent2 4 11 5 4" xfId="10999"/>
    <cellStyle name="40% - Accent2 4 11 5 5" xfId="10994"/>
    <cellStyle name="40% - Accent2 4 11 5 6" xfId="26294"/>
    <cellStyle name="40% - Accent2 4 11 6" xfId="6262"/>
    <cellStyle name="40% - Accent2 4 11 6 2" xfId="11001"/>
    <cellStyle name="40% - Accent2 4 11 6 3" xfId="11000"/>
    <cellStyle name="40% - Accent2 4 11 6 4" xfId="26296"/>
    <cellStyle name="40% - Accent2 4 11 7" xfId="11002"/>
    <cellStyle name="40% - Accent2 4 11 7 2" xfId="11003"/>
    <cellStyle name="40% - Accent2 4 11 8" xfId="11004"/>
    <cellStyle name="40% - Accent2 4 11 9" xfId="10985"/>
    <cellStyle name="40% - Accent2 4 12" xfId="4512"/>
    <cellStyle name="40% - Accent2 4 12 2" xfId="5391"/>
    <cellStyle name="40% - Accent2 4 12 2 2" xfId="6271"/>
    <cellStyle name="40% - Accent2 4 12 2 2 2" xfId="11007"/>
    <cellStyle name="40% - Accent2 4 12 2 2 3" xfId="26299"/>
    <cellStyle name="40% - Accent2 4 12 2 3" xfId="11006"/>
    <cellStyle name="40% - Accent2 4 12 2 4" xfId="26298"/>
    <cellStyle name="40% - Accent2 4 12 3" xfId="5701"/>
    <cellStyle name="40% - Accent2 4 12 3 2" xfId="6272"/>
    <cellStyle name="40% - Accent2 4 12 3 2 2" xfId="11009"/>
    <cellStyle name="40% - Accent2 4 12 3 2 3" xfId="26301"/>
    <cellStyle name="40% - Accent2 4 12 3 3" xfId="11008"/>
    <cellStyle name="40% - Accent2 4 12 3 4" xfId="26300"/>
    <cellStyle name="40% - Accent2 4 12 4" xfId="6270"/>
    <cellStyle name="40% - Accent2 4 12 4 2" xfId="11011"/>
    <cellStyle name="40% - Accent2 4 12 4 3" xfId="11010"/>
    <cellStyle name="40% - Accent2 4 12 4 4" xfId="26302"/>
    <cellStyle name="40% - Accent2 4 12 5" xfId="11012"/>
    <cellStyle name="40% - Accent2 4 12 6" xfId="11005"/>
    <cellStyle name="40% - Accent2 4 12 7" xfId="26297"/>
    <cellStyle name="40% - Accent2 4 13" xfId="5388"/>
    <cellStyle name="40% - Accent2 4 13 2" xfId="6273"/>
    <cellStyle name="40% - Accent2 4 13 2 2" xfId="11015"/>
    <cellStyle name="40% - Accent2 4 13 2 3" xfId="11014"/>
    <cellStyle name="40% - Accent2 4 13 2 4" xfId="26304"/>
    <cellStyle name="40% - Accent2 4 13 3" xfId="11016"/>
    <cellStyle name="40% - Accent2 4 13 3 2" xfId="11017"/>
    <cellStyle name="40% - Accent2 4 13 4" xfId="11018"/>
    <cellStyle name="40% - Accent2 4 13 5" xfId="11013"/>
    <cellStyle name="40% - Accent2 4 13 6" xfId="26303"/>
    <cellStyle name="40% - Accent2 4 14" xfId="5698"/>
    <cellStyle name="40% - Accent2 4 14 2" xfId="6274"/>
    <cellStyle name="40% - Accent2 4 14 2 2" xfId="11020"/>
    <cellStyle name="40% - Accent2 4 14 2 3" xfId="26306"/>
    <cellStyle name="40% - Accent2 4 14 3" xfId="11019"/>
    <cellStyle name="40% - Accent2 4 14 4" xfId="26305"/>
    <cellStyle name="40% - Accent2 4 15" xfId="4508"/>
    <cellStyle name="40% - Accent2 4 15 2" xfId="6275"/>
    <cellStyle name="40% - Accent2 4 15 2 2" xfId="11022"/>
    <cellStyle name="40% - Accent2 4 15 2 3" xfId="26308"/>
    <cellStyle name="40% - Accent2 4 15 3" xfId="11021"/>
    <cellStyle name="40% - Accent2 4 15 4" xfId="26307"/>
    <cellStyle name="40% - Accent2 4 16" xfId="11023"/>
    <cellStyle name="40% - Accent2 4 16 2" xfId="11024"/>
    <cellStyle name="40% - Accent2 4 17" xfId="11025"/>
    <cellStyle name="40% - Accent2 4 17 2" xfId="11026"/>
    <cellStyle name="40% - Accent2 4 17 2 2" xfId="11027"/>
    <cellStyle name="40% - Accent2 4 17 3" xfId="11028"/>
    <cellStyle name="40% - Accent2 4 17 3 2" xfId="11029"/>
    <cellStyle name="40% - Accent2 4 17 4" xfId="11030"/>
    <cellStyle name="40% - Accent2 4 18" xfId="11031"/>
    <cellStyle name="40% - Accent2 4 18 2" xfId="11032"/>
    <cellStyle name="40% - Accent2 4 19" xfId="11033"/>
    <cellStyle name="40% - Accent2 4 19 2" xfId="11034"/>
    <cellStyle name="40% - Accent2 4 2" xfId="1500"/>
    <cellStyle name="40% - Accent2 4 2 10" xfId="11036"/>
    <cellStyle name="40% - Accent2 4 2 10 2" xfId="11037"/>
    <cellStyle name="40% - Accent2 4 2 10 2 2" xfId="11038"/>
    <cellStyle name="40% - Accent2 4 2 10 3" xfId="11039"/>
    <cellStyle name="40% - Accent2 4 2 10 3 2" xfId="11040"/>
    <cellStyle name="40% - Accent2 4 2 10 4" xfId="11041"/>
    <cellStyle name="40% - Accent2 4 2 11" xfId="11042"/>
    <cellStyle name="40% - Accent2 4 2 11 2" xfId="11043"/>
    <cellStyle name="40% - Accent2 4 2 11 2 2" xfId="11044"/>
    <cellStyle name="40% - Accent2 4 2 11 3" xfId="11045"/>
    <cellStyle name="40% - Accent2 4 2 11 3 2" xfId="11046"/>
    <cellStyle name="40% - Accent2 4 2 11 4" xfId="11047"/>
    <cellStyle name="40% - Accent2 4 2 12" xfId="11048"/>
    <cellStyle name="40% - Accent2 4 2 12 2" xfId="11049"/>
    <cellStyle name="40% - Accent2 4 2 12 2 2" xfId="11050"/>
    <cellStyle name="40% - Accent2 4 2 12 3" xfId="11051"/>
    <cellStyle name="40% - Accent2 4 2 12 3 2" xfId="11052"/>
    <cellStyle name="40% - Accent2 4 2 12 4" xfId="11053"/>
    <cellStyle name="40% - Accent2 4 2 13" xfId="11054"/>
    <cellStyle name="40% - Accent2 4 2 13 2" xfId="11055"/>
    <cellStyle name="40% - Accent2 4 2 14" xfId="11056"/>
    <cellStyle name="40% - Accent2 4 2 14 2" xfId="11057"/>
    <cellStyle name="40% - Accent2 4 2 15" xfId="11058"/>
    <cellStyle name="40% - Accent2 4 2 15 2" xfId="11059"/>
    <cellStyle name="40% - Accent2 4 2 16" xfId="11060"/>
    <cellStyle name="40% - Accent2 4 2 16 2" xfId="11061"/>
    <cellStyle name="40% - Accent2 4 2 17" xfId="11062"/>
    <cellStyle name="40% - Accent2 4 2 18" xfId="11035"/>
    <cellStyle name="40% - Accent2 4 2 2" xfId="4513"/>
    <cellStyle name="40% - Accent2 4 2 2 2" xfId="11064"/>
    <cellStyle name="40% - Accent2 4 2 2 2 2" xfId="11065"/>
    <cellStyle name="40% - Accent2 4 2 2 3" xfId="11066"/>
    <cellStyle name="40% - Accent2 4 2 2 3 2" xfId="11067"/>
    <cellStyle name="40% - Accent2 4 2 2 4" xfId="11068"/>
    <cellStyle name="40% - Accent2 4 2 2 5" xfId="11063"/>
    <cellStyle name="40% - Accent2 4 2 3" xfId="11069"/>
    <cellStyle name="40% - Accent2 4 2 3 2" xfId="11070"/>
    <cellStyle name="40% - Accent2 4 2 3 2 2" xfId="11071"/>
    <cellStyle name="40% - Accent2 4 2 3 3" xfId="11072"/>
    <cellStyle name="40% - Accent2 4 2 3 3 2" xfId="11073"/>
    <cellStyle name="40% - Accent2 4 2 3 4" xfId="11074"/>
    <cellStyle name="40% - Accent2 4 2 4" xfId="11075"/>
    <cellStyle name="40% - Accent2 4 2 4 2" xfId="11076"/>
    <cellStyle name="40% - Accent2 4 2 4 2 2" xfId="11077"/>
    <cellStyle name="40% - Accent2 4 2 4 3" xfId="11078"/>
    <cellStyle name="40% - Accent2 4 2 4 3 2" xfId="11079"/>
    <cellStyle name="40% - Accent2 4 2 4 4" xfId="11080"/>
    <cellStyle name="40% - Accent2 4 2 5" xfId="11081"/>
    <cellStyle name="40% - Accent2 4 2 5 2" xfId="11082"/>
    <cellStyle name="40% - Accent2 4 2 5 2 2" xfId="11083"/>
    <cellStyle name="40% - Accent2 4 2 5 3" xfId="11084"/>
    <cellStyle name="40% - Accent2 4 2 5 3 2" xfId="11085"/>
    <cellStyle name="40% - Accent2 4 2 5 4" xfId="11086"/>
    <cellStyle name="40% - Accent2 4 2 6" xfId="11087"/>
    <cellStyle name="40% - Accent2 4 2 6 2" xfId="11088"/>
    <cellStyle name="40% - Accent2 4 2 6 2 2" xfId="11089"/>
    <cellStyle name="40% - Accent2 4 2 6 3" xfId="11090"/>
    <cellStyle name="40% - Accent2 4 2 6 3 2" xfId="11091"/>
    <cellStyle name="40% - Accent2 4 2 6 4" xfId="11092"/>
    <cellStyle name="40% - Accent2 4 2 7" xfId="11093"/>
    <cellStyle name="40% - Accent2 4 2 7 2" xfId="11094"/>
    <cellStyle name="40% - Accent2 4 2 7 2 2" xfId="11095"/>
    <cellStyle name="40% - Accent2 4 2 7 3" xfId="11096"/>
    <cellStyle name="40% - Accent2 4 2 7 3 2" xfId="11097"/>
    <cellStyle name="40% - Accent2 4 2 7 4" xfId="11098"/>
    <cellStyle name="40% - Accent2 4 2 8" xfId="11099"/>
    <cellStyle name="40% - Accent2 4 2 8 2" xfId="11100"/>
    <cellStyle name="40% - Accent2 4 2 8 2 2" xfId="11101"/>
    <cellStyle name="40% - Accent2 4 2 8 3" xfId="11102"/>
    <cellStyle name="40% - Accent2 4 2 8 3 2" xfId="11103"/>
    <cellStyle name="40% - Accent2 4 2 8 4" xfId="11104"/>
    <cellStyle name="40% - Accent2 4 2 9" xfId="11105"/>
    <cellStyle name="40% - Accent2 4 2 9 2" xfId="11106"/>
    <cellStyle name="40% - Accent2 4 2 9 2 2" xfId="11107"/>
    <cellStyle name="40% - Accent2 4 2 9 3" xfId="11108"/>
    <cellStyle name="40% - Accent2 4 2 9 3 2" xfId="11109"/>
    <cellStyle name="40% - Accent2 4 2 9 4" xfId="11110"/>
    <cellStyle name="40% - Accent2 4 20" xfId="11111"/>
    <cellStyle name="40% - Accent2 4 21" xfId="10974"/>
    <cellStyle name="40% - Accent2 4 3" xfId="1625"/>
    <cellStyle name="40% - Accent2 4 3 2" xfId="4514"/>
    <cellStyle name="40% - Accent2 4 3 2 2" xfId="11114"/>
    <cellStyle name="40% - Accent2 4 3 2 3" xfId="11113"/>
    <cellStyle name="40% - Accent2 4 3 3" xfId="11115"/>
    <cellStyle name="40% - Accent2 4 3 3 2" xfId="11116"/>
    <cellStyle name="40% - Accent2 4 3 4" xfId="11117"/>
    <cellStyle name="40% - Accent2 4 3 4 2" xfId="11118"/>
    <cellStyle name="40% - Accent2 4 3 5" xfId="11119"/>
    <cellStyle name="40% - Accent2 4 3 5 2" xfId="11120"/>
    <cellStyle name="40% - Accent2 4 3 6" xfId="11121"/>
    <cellStyle name="40% - Accent2 4 3 7" xfId="11112"/>
    <cellStyle name="40% - Accent2 4 4" xfId="1755"/>
    <cellStyle name="40% - Accent2 4 4 2" xfId="11123"/>
    <cellStyle name="40% - Accent2 4 4 2 2" xfId="11124"/>
    <cellStyle name="40% - Accent2 4 4 3" xfId="11125"/>
    <cellStyle name="40% - Accent2 4 4 3 2" xfId="11126"/>
    <cellStyle name="40% - Accent2 4 4 4" xfId="11127"/>
    <cellStyle name="40% - Accent2 4 4 4 2" xfId="11128"/>
    <cellStyle name="40% - Accent2 4 4 5" xfId="11129"/>
    <cellStyle name="40% - Accent2 4 4 6" xfId="11122"/>
    <cellStyle name="40% - Accent2 4 5" xfId="2090"/>
    <cellStyle name="40% - Accent2 4 5 2" xfId="11131"/>
    <cellStyle name="40% - Accent2 4 5 2 2" xfId="11132"/>
    <cellStyle name="40% - Accent2 4 5 3" xfId="11133"/>
    <cellStyle name="40% - Accent2 4 5 3 2" xfId="11134"/>
    <cellStyle name="40% - Accent2 4 5 4" xfId="11135"/>
    <cellStyle name="40% - Accent2 4 5 4 2" xfId="11136"/>
    <cellStyle name="40% - Accent2 4 5 5" xfId="11137"/>
    <cellStyle name="40% - Accent2 4 5 6" xfId="11130"/>
    <cellStyle name="40% - Accent2 4 6" xfId="2464"/>
    <cellStyle name="40% - Accent2 4 6 2" xfId="11139"/>
    <cellStyle name="40% - Accent2 4 6 2 2" xfId="11140"/>
    <cellStyle name="40% - Accent2 4 6 3" xfId="11141"/>
    <cellStyle name="40% - Accent2 4 6 3 2" xfId="11142"/>
    <cellStyle name="40% - Accent2 4 6 4" xfId="11143"/>
    <cellStyle name="40% - Accent2 4 6 4 2" xfId="11144"/>
    <cellStyle name="40% - Accent2 4 6 5" xfId="11145"/>
    <cellStyle name="40% - Accent2 4 6 6" xfId="11138"/>
    <cellStyle name="40% - Accent2 4 7" xfId="2836"/>
    <cellStyle name="40% - Accent2 4 7 2" xfId="11147"/>
    <cellStyle name="40% - Accent2 4 7 2 2" xfId="11148"/>
    <cellStyle name="40% - Accent2 4 7 3" xfId="11149"/>
    <cellStyle name="40% - Accent2 4 7 3 2" xfId="11150"/>
    <cellStyle name="40% - Accent2 4 7 4" xfId="11151"/>
    <cellStyle name="40% - Accent2 4 7 4 2" xfId="11152"/>
    <cellStyle name="40% - Accent2 4 7 5" xfId="11153"/>
    <cellStyle name="40% - Accent2 4 7 6" xfId="11146"/>
    <cellStyle name="40% - Accent2 4 8" xfId="3207"/>
    <cellStyle name="40% - Accent2 4 8 2" xfId="11155"/>
    <cellStyle name="40% - Accent2 4 8 2 2" xfId="11156"/>
    <cellStyle name="40% - Accent2 4 8 3" xfId="11157"/>
    <cellStyle name="40% - Accent2 4 8 3 2" xfId="11158"/>
    <cellStyle name="40% - Accent2 4 8 4" xfId="11159"/>
    <cellStyle name="40% - Accent2 4 8 4 2" xfId="11160"/>
    <cellStyle name="40% - Accent2 4 8 5" xfId="11161"/>
    <cellStyle name="40% - Accent2 4 8 6" xfId="11154"/>
    <cellStyle name="40% - Accent2 4 9" xfId="3589"/>
    <cellStyle name="40% - Accent2 4 9 2" xfId="4515"/>
    <cellStyle name="40% - Accent2 4 9 2 2" xfId="11164"/>
    <cellStyle name="40% - Accent2 4 9 2 3" xfId="11163"/>
    <cellStyle name="40% - Accent2 4 9 3" xfId="11165"/>
    <cellStyle name="40% - Accent2 4 9 3 2" xfId="11166"/>
    <cellStyle name="40% - Accent2 4 9 4" xfId="11167"/>
    <cellStyle name="40% - Accent2 4 9 4 2" xfId="11168"/>
    <cellStyle name="40% - Accent2 4 9 5" xfId="11169"/>
    <cellStyle name="40% - Accent2 4 9 5 2" xfId="11170"/>
    <cellStyle name="40% - Accent2 4 9 6" xfId="11171"/>
    <cellStyle name="40% - Accent2 4 9 7" xfId="11162"/>
    <cellStyle name="40% - Accent2 5" xfId="387"/>
    <cellStyle name="40% - Accent2 5 10" xfId="11173"/>
    <cellStyle name="40% - Accent2 5 10 2" xfId="11174"/>
    <cellStyle name="40% - Accent2 5 10 2 2" xfId="11175"/>
    <cellStyle name="40% - Accent2 5 10 3" xfId="11176"/>
    <cellStyle name="40% - Accent2 5 10 3 2" xfId="11177"/>
    <cellStyle name="40% - Accent2 5 10 4" xfId="11178"/>
    <cellStyle name="40% - Accent2 5 11" xfId="11179"/>
    <cellStyle name="40% - Accent2 5 11 2" xfId="11180"/>
    <cellStyle name="40% - Accent2 5 11 2 2" xfId="11181"/>
    <cellStyle name="40% - Accent2 5 11 3" xfId="11182"/>
    <cellStyle name="40% - Accent2 5 11 3 2" xfId="11183"/>
    <cellStyle name="40% - Accent2 5 11 4" xfId="11184"/>
    <cellStyle name="40% - Accent2 5 12" xfId="11185"/>
    <cellStyle name="40% - Accent2 5 12 2" xfId="11186"/>
    <cellStyle name="40% - Accent2 5 12 2 2" xfId="11187"/>
    <cellStyle name="40% - Accent2 5 12 3" xfId="11188"/>
    <cellStyle name="40% - Accent2 5 12 3 2" xfId="11189"/>
    <cellStyle name="40% - Accent2 5 12 4" xfId="11190"/>
    <cellStyle name="40% - Accent2 5 13" xfId="11191"/>
    <cellStyle name="40% - Accent2 5 13 2" xfId="11192"/>
    <cellStyle name="40% - Accent2 5 13 2 2" xfId="11193"/>
    <cellStyle name="40% - Accent2 5 13 3" xfId="11194"/>
    <cellStyle name="40% - Accent2 5 13 3 2" xfId="11195"/>
    <cellStyle name="40% - Accent2 5 13 4" xfId="11196"/>
    <cellStyle name="40% - Accent2 5 14" xfId="11197"/>
    <cellStyle name="40% - Accent2 5 14 2" xfId="11198"/>
    <cellStyle name="40% - Accent2 5 15" xfId="11199"/>
    <cellStyle name="40% - Accent2 5 15 2" xfId="11200"/>
    <cellStyle name="40% - Accent2 5 16" xfId="11201"/>
    <cellStyle name="40% - Accent2 5 16 2" xfId="11202"/>
    <cellStyle name="40% - Accent2 5 17" xfId="11203"/>
    <cellStyle name="40% - Accent2 5 17 2" xfId="11204"/>
    <cellStyle name="40% - Accent2 5 18" xfId="11205"/>
    <cellStyle name="40% - Accent2 5 19" xfId="11172"/>
    <cellStyle name="40% - Accent2 5 2" xfId="1861"/>
    <cellStyle name="40% - Accent2 5 2 10" xfId="11207"/>
    <cellStyle name="40% - Accent2 5 2 10 2" xfId="11208"/>
    <cellStyle name="40% - Accent2 5 2 10 2 2" xfId="11209"/>
    <cellStyle name="40% - Accent2 5 2 10 3" xfId="11210"/>
    <cellStyle name="40% - Accent2 5 2 10 3 2" xfId="11211"/>
    <cellStyle name="40% - Accent2 5 2 10 4" xfId="11212"/>
    <cellStyle name="40% - Accent2 5 2 11" xfId="11213"/>
    <cellStyle name="40% - Accent2 5 2 11 2" xfId="11214"/>
    <cellStyle name="40% - Accent2 5 2 11 2 2" xfId="11215"/>
    <cellStyle name="40% - Accent2 5 2 11 3" xfId="11216"/>
    <cellStyle name="40% - Accent2 5 2 11 3 2" xfId="11217"/>
    <cellStyle name="40% - Accent2 5 2 11 4" xfId="11218"/>
    <cellStyle name="40% - Accent2 5 2 12" xfId="11219"/>
    <cellStyle name="40% - Accent2 5 2 12 2" xfId="11220"/>
    <cellStyle name="40% - Accent2 5 2 12 2 2" xfId="11221"/>
    <cellStyle name="40% - Accent2 5 2 12 3" xfId="11222"/>
    <cellStyle name="40% - Accent2 5 2 12 3 2" xfId="11223"/>
    <cellStyle name="40% - Accent2 5 2 12 4" xfId="11224"/>
    <cellStyle name="40% - Accent2 5 2 13" xfId="11225"/>
    <cellStyle name="40% - Accent2 5 2 13 2" xfId="11226"/>
    <cellStyle name="40% - Accent2 5 2 14" xfId="11227"/>
    <cellStyle name="40% - Accent2 5 2 14 2" xfId="11228"/>
    <cellStyle name="40% - Accent2 5 2 15" xfId="11229"/>
    <cellStyle name="40% - Accent2 5 2 15 2" xfId="11230"/>
    <cellStyle name="40% - Accent2 5 2 16" xfId="11231"/>
    <cellStyle name="40% - Accent2 5 2 17" xfId="11206"/>
    <cellStyle name="40% - Accent2 5 2 2" xfId="11232"/>
    <cellStyle name="40% - Accent2 5 2 2 2" xfId="11233"/>
    <cellStyle name="40% - Accent2 5 2 2 2 2" xfId="11234"/>
    <cellStyle name="40% - Accent2 5 2 2 3" xfId="11235"/>
    <cellStyle name="40% - Accent2 5 2 2 3 2" xfId="11236"/>
    <cellStyle name="40% - Accent2 5 2 2 4" xfId="11237"/>
    <cellStyle name="40% - Accent2 5 2 3" xfId="11238"/>
    <cellStyle name="40% - Accent2 5 2 3 2" xfId="11239"/>
    <cellStyle name="40% - Accent2 5 2 3 2 2" xfId="11240"/>
    <cellStyle name="40% - Accent2 5 2 3 3" xfId="11241"/>
    <cellStyle name="40% - Accent2 5 2 3 3 2" xfId="11242"/>
    <cellStyle name="40% - Accent2 5 2 3 4" xfId="11243"/>
    <cellStyle name="40% - Accent2 5 2 4" xfId="11244"/>
    <cellStyle name="40% - Accent2 5 2 4 2" xfId="11245"/>
    <cellStyle name="40% - Accent2 5 2 4 2 2" xfId="11246"/>
    <cellStyle name="40% - Accent2 5 2 4 3" xfId="11247"/>
    <cellStyle name="40% - Accent2 5 2 4 3 2" xfId="11248"/>
    <cellStyle name="40% - Accent2 5 2 4 4" xfId="11249"/>
    <cellStyle name="40% - Accent2 5 2 5" xfId="11250"/>
    <cellStyle name="40% - Accent2 5 2 5 2" xfId="11251"/>
    <cellStyle name="40% - Accent2 5 2 5 2 2" xfId="11252"/>
    <cellStyle name="40% - Accent2 5 2 5 3" xfId="11253"/>
    <cellStyle name="40% - Accent2 5 2 5 3 2" xfId="11254"/>
    <cellStyle name="40% - Accent2 5 2 5 4" xfId="11255"/>
    <cellStyle name="40% - Accent2 5 2 6" xfId="11256"/>
    <cellStyle name="40% - Accent2 5 2 6 2" xfId="11257"/>
    <cellStyle name="40% - Accent2 5 2 6 2 2" xfId="11258"/>
    <cellStyle name="40% - Accent2 5 2 6 3" xfId="11259"/>
    <cellStyle name="40% - Accent2 5 2 6 3 2" xfId="11260"/>
    <cellStyle name="40% - Accent2 5 2 6 4" xfId="11261"/>
    <cellStyle name="40% - Accent2 5 2 7" xfId="11262"/>
    <cellStyle name="40% - Accent2 5 2 7 2" xfId="11263"/>
    <cellStyle name="40% - Accent2 5 2 7 2 2" xfId="11264"/>
    <cellStyle name="40% - Accent2 5 2 7 3" xfId="11265"/>
    <cellStyle name="40% - Accent2 5 2 7 3 2" xfId="11266"/>
    <cellStyle name="40% - Accent2 5 2 7 4" xfId="11267"/>
    <cellStyle name="40% - Accent2 5 2 8" xfId="11268"/>
    <cellStyle name="40% - Accent2 5 2 8 2" xfId="11269"/>
    <cellStyle name="40% - Accent2 5 2 8 2 2" xfId="11270"/>
    <cellStyle name="40% - Accent2 5 2 8 3" xfId="11271"/>
    <cellStyle name="40% - Accent2 5 2 8 3 2" xfId="11272"/>
    <cellStyle name="40% - Accent2 5 2 8 4" xfId="11273"/>
    <cellStyle name="40% - Accent2 5 2 9" xfId="11274"/>
    <cellStyle name="40% - Accent2 5 2 9 2" xfId="11275"/>
    <cellStyle name="40% - Accent2 5 2 9 2 2" xfId="11276"/>
    <cellStyle name="40% - Accent2 5 2 9 3" xfId="11277"/>
    <cellStyle name="40% - Accent2 5 2 9 3 2" xfId="11278"/>
    <cellStyle name="40% - Accent2 5 2 9 4" xfId="11279"/>
    <cellStyle name="40% - Accent2 5 3" xfId="2236"/>
    <cellStyle name="40% - Accent2 5 3 2" xfId="11281"/>
    <cellStyle name="40% - Accent2 5 3 2 2" xfId="11282"/>
    <cellStyle name="40% - Accent2 5 3 3" xfId="11283"/>
    <cellStyle name="40% - Accent2 5 3 3 2" xfId="11284"/>
    <cellStyle name="40% - Accent2 5 3 4" xfId="11285"/>
    <cellStyle name="40% - Accent2 5 3 4 2" xfId="11286"/>
    <cellStyle name="40% - Accent2 5 3 5" xfId="11287"/>
    <cellStyle name="40% - Accent2 5 3 6" xfId="11280"/>
    <cellStyle name="40% - Accent2 5 4" xfId="2610"/>
    <cellStyle name="40% - Accent2 5 4 2" xfId="11289"/>
    <cellStyle name="40% - Accent2 5 4 2 2" xfId="11290"/>
    <cellStyle name="40% - Accent2 5 4 3" xfId="11291"/>
    <cellStyle name="40% - Accent2 5 4 3 2" xfId="11292"/>
    <cellStyle name="40% - Accent2 5 4 4" xfId="11293"/>
    <cellStyle name="40% - Accent2 5 4 4 2" xfId="11294"/>
    <cellStyle name="40% - Accent2 5 4 5" xfId="11295"/>
    <cellStyle name="40% - Accent2 5 4 6" xfId="11288"/>
    <cellStyle name="40% - Accent2 5 5" xfId="2982"/>
    <cellStyle name="40% - Accent2 5 5 2" xfId="11297"/>
    <cellStyle name="40% - Accent2 5 5 2 2" xfId="11298"/>
    <cellStyle name="40% - Accent2 5 5 3" xfId="11299"/>
    <cellStyle name="40% - Accent2 5 5 3 2" xfId="11300"/>
    <cellStyle name="40% - Accent2 5 5 4" xfId="11301"/>
    <cellStyle name="40% - Accent2 5 5 4 2" xfId="11302"/>
    <cellStyle name="40% - Accent2 5 5 5" xfId="11303"/>
    <cellStyle name="40% - Accent2 5 5 6" xfId="11296"/>
    <cellStyle name="40% - Accent2 5 6" xfId="3354"/>
    <cellStyle name="40% - Accent2 5 6 2" xfId="11305"/>
    <cellStyle name="40% - Accent2 5 6 2 2" xfId="11306"/>
    <cellStyle name="40% - Accent2 5 6 3" xfId="11307"/>
    <cellStyle name="40% - Accent2 5 6 3 2" xfId="11308"/>
    <cellStyle name="40% - Accent2 5 6 4" xfId="11309"/>
    <cellStyle name="40% - Accent2 5 6 4 2" xfId="11310"/>
    <cellStyle name="40% - Accent2 5 6 5" xfId="11311"/>
    <cellStyle name="40% - Accent2 5 6 6" xfId="11304"/>
    <cellStyle name="40% - Accent2 5 7" xfId="4516"/>
    <cellStyle name="40% - Accent2 5 7 2" xfId="11313"/>
    <cellStyle name="40% - Accent2 5 7 2 2" xfId="11314"/>
    <cellStyle name="40% - Accent2 5 7 3" xfId="11315"/>
    <cellStyle name="40% - Accent2 5 7 3 2" xfId="11316"/>
    <cellStyle name="40% - Accent2 5 7 4" xfId="11317"/>
    <cellStyle name="40% - Accent2 5 7 5" xfId="11312"/>
    <cellStyle name="40% - Accent2 5 8" xfId="11318"/>
    <cellStyle name="40% - Accent2 5 8 2" xfId="11319"/>
    <cellStyle name="40% - Accent2 5 8 2 2" xfId="11320"/>
    <cellStyle name="40% - Accent2 5 8 3" xfId="11321"/>
    <cellStyle name="40% - Accent2 5 8 3 2" xfId="11322"/>
    <cellStyle name="40% - Accent2 5 8 4" xfId="11323"/>
    <cellStyle name="40% - Accent2 5 9" xfId="11324"/>
    <cellStyle name="40% - Accent2 5 9 2" xfId="11325"/>
    <cellStyle name="40% - Accent2 5 9 2 2" xfId="11326"/>
    <cellStyle name="40% - Accent2 5 9 3" xfId="11327"/>
    <cellStyle name="40% - Accent2 5 9 3 2" xfId="11328"/>
    <cellStyle name="40% - Accent2 5 9 4" xfId="11329"/>
    <cellStyle name="40% - Accent2 6" xfId="388"/>
    <cellStyle name="40% - Accent2 6 10" xfId="5392"/>
    <cellStyle name="40% - Accent2 6 10 2" xfId="6277"/>
    <cellStyle name="40% - Accent2 6 10 2 2" xfId="11333"/>
    <cellStyle name="40% - Accent2 6 10 2 3" xfId="11332"/>
    <cellStyle name="40% - Accent2 6 10 2 4" xfId="26311"/>
    <cellStyle name="40% - Accent2 6 10 3" xfId="11334"/>
    <cellStyle name="40% - Accent2 6 10 3 2" xfId="11335"/>
    <cellStyle name="40% - Accent2 6 10 4" xfId="11336"/>
    <cellStyle name="40% - Accent2 6 10 5" xfId="11331"/>
    <cellStyle name="40% - Accent2 6 10 6" xfId="26310"/>
    <cellStyle name="40% - Accent2 6 11" xfId="5702"/>
    <cellStyle name="40% - Accent2 6 11 2" xfId="6278"/>
    <cellStyle name="40% - Accent2 6 11 2 2" xfId="11339"/>
    <cellStyle name="40% - Accent2 6 11 2 3" xfId="11338"/>
    <cellStyle name="40% - Accent2 6 11 2 4" xfId="26313"/>
    <cellStyle name="40% - Accent2 6 11 3" xfId="11340"/>
    <cellStyle name="40% - Accent2 6 11 3 2" xfId="11341"/>
    <cellStyle name="40% - Accent2 6 11 4" xfId="11342"/>
    <cellStyle name="40% - Accent2 6 11 5" xfId="11337"/>
    <cellStyle name="40% - Accent2 6 11 6" xfId="26312"/>
    <cellStyle name="40% - Accent2 6 12" xfId="4517"/>
    <cellStyle name="40% - Accent2 6 12 2" xfId="6279"/>
    <cellStyle name="40% - Accent2 6 12 2 2" xfId="11345"/>
    <cellStyle name="40% - Accent2 6 12 2 3" xfId="11344"/>
    <cellStyle name="40% - Accent2 6 12 2 4" xfId="26315"/>
    <cellStyle name="40% - Accent2 6 12 3" xfId="11346"/>
    <cellStyle name="40% - Accent2 6 12 3 2" xfId="11347"/>
    <cellStyle name="40% - Accent2 6 12 4" xfId="11348"/>
    <cellStyle name="40% - Accent2 6 12 5" xfId="11343"/>
    <cellStyle name="40% - Accent2 6 12 6" xfId="26314"/>
    <cellStyle name="40% - Accent2 6 13" xfId="6276"/>
    <cellStyle name="40% - Accent2 6 13 2" xfId="11350"/>
    <cellStyle name="40% - Accent2 6 13 3" xfId="11349"/>
    <cellStyle name="40% - Accent2 6 13 4" xfId="26316"/>
    <cellStyle name="40% - Accent2 6 14" xfId="11351"/>
    <cellStyle name="40% - Accent2 6 14 2" xfId="11352"/>
    <cellStyle name="40% - Accent2 6 15" xfId="11353"/>
    <cellStyle name="40% - Accent2 6 15 2" xfId="11354"/>
    <cellStyle name="40% - Accent2 6 16" xfId="11355"/>
    <cellStyle name="40% - Accent2 6 16 2" xfId="11356"/>
    <cellStyle name="40% - Accent2 6 16 2 2" xfId="11357"/>
    <cellStyle name="40% - Accent2 6 16 3" xfId="11358"/>
    <cellStyle name="40% - Accent2 6 16 3 2" xfId="11359"/>
    <cellStyle name="40% - Accent2 6 16 4" xfId="11360"/>
    <cellStyle name="40% - Accent2 6 17" xfId="11361"/>
    <cellStyle name="40% - Accent2 6 17 2" xfId="11362"/>
    <cellStyle name="40% - Accent2 6 18" xfId="11363"/>
    <cellStyle name="40% - Accent2 6 18 2" xfId="11364"/>
    <cellStyle name="40% - Accent2 6 19" xfId="11365"/>
    <cellStyle name="40% - Accent2 6 2" xfId="1976"/>
    <cellStyle name="40% - Accent2 6 2 2" xfId="4518"/>
    <cellStyle name="40% - Accent2 6 2 2 2" xfId="11368"/>
    <cellStyle name="40% - Accent2 6 2 2 3" xfId="11367"/>
    <cellStyle name="40% - Accent2 6 2 3" xfId="11369"/>
    <cellStyle name="40% - Accent2 6 2 3 2" xfId="11370"/>
    <cellStyle name="40% - Accent2 6 2 4" xfId="11371"/>
    <cellStyle name="40% - Accent2 6 2 4 2" xfId="11372"/>
    <cellStyle name="40% - Accent2 6 2 5" xfId="11373"/>
    <cellStyle name="40% - Accent2 6 2 5 2" xfId="11374"/>
    <cellStyle name="40% - Accent2 6 2 6" xfId="11375"/>
    <cellStyle name="40% - Accent2 6 2 7" xfId="11366"/>
    <cellStyle name="40% - Accent2 6 20" xfId="11330"/>
    <cellStyle name="40% - Accent2 6 21" xfId="24838"/>
    <cellStyle name="40% - Accent2 6 22" xfId="26309"/>
    <cellStyle name="40% - Accent2 6 3" xfId="2351"/>
    <cellStyle name="40% - Accent2 6 3 2" xfId="4519"/>
    <cellStyle name="40% - Accent2 6 3 2 2" xfId="11378"/>
    <cellStyle name="40% - Accent2 6 3 2 3" xfId="11377"/>
    <cellStyle name="40% - Accent2 6 3 3" xfId="11379"/>
    <cellStyle name="40% - Accent2 6 3 3 2" xfId="11380"/>
    <cellStyle name="40% - Accent2 6 3 4" xfId="11381"/>
    <cellStyle name="40% - Accent2 6 3 4 2" xfId="11382"/>
    <cellStyle name="40% - Accent2 6 3 5" xfId="11383"/>
    <cellStyle name="40% - Accent2 6 3 5 2" xfId="11384"/>
    <cellStyle name="40% - Accent2 6 3 6" xfId="11385"/>
    <cellStyle name="40% - Accent2 6 3 7" xfId="11376"/>
    <cellStyle name="40% - Accent2 6 4" xfId="2724"/>
    <cellStyle name="40% - Accent2 6 4 2" xfId="4520"/>
    <cellStyle name="40% - Accent2 6 4 2 2" xfId="11388"/>
    <cellStyle name="40% - Accent2 6 4 2 3" xfId="11387"/>
    <cellStyle name="40% - Accent2 6 4 3" xfId="11389"/>
    <cellStyle name="40% - Accent2 6 4 3 2" xfId="11390"/>
    <cellStyle name="40% - Accent2 6 4 4" xfId="11391"/>
    <cellStyle name="40% - Accent2 6 4 4 2" xfId="11392"/>
    <cellStyle name="40% - Accent2 6 4 5" xfId="11393"/>
    <cellStyle name="40% - Accent2 6 4 5 2" xfId="11394"/>
    <cellStyle name="40% - Accent2 6 4 6" xfId="11395"/>
    <cellStyle name="40% - Accent2 6 4 7" xfId="11386"/>
    <cellStyle name="40% - Accent2 6 5" xfId="3097"/>
    <cellStyle name="40% - Accent2 6 5 2" xfId="4521"/>
    <cellStyle name="40% - Accent2 6 5 2 2" xfId="11398"/>
    <cellStyle name="40% - Accent2 6 5 2 3" xfId="11397"/>
    <cellStyle name="40% - Accent2 6 5 3" xfId="11399"/>
    <cellStyle name="40% - Accent2 6 5 3 2" xfId="11400"/>
    <cellStyle name="40% - Accent2 6 5 4" xfId="11401"/>
    <cellStyle name="40% - Accent2 6 5 4 2" xfId="11402"/>
    <cellStyle name="40% - Accent2 6 5 5" xfId="11403"/>
    <cellStyle name="40% - Accent2 6 5 5 2" xfId="11404"/>
    <cellStyle name="40% - Accent2 6 5 6" xfId="11405"/>
    <cellStyle name="40% - Accent2 6 5 7" xfId="11396"/>
    <cellStyle name="40% - Accent2 6 6" xfId="3468"/>
    <cellStyle name="40% - Accent2 6 6 2" xfId="4522"/>
    <cellStyle name="40% - Accent2 6 6 2 2" xfId="11408"/>
    <cellStyle name="40% - Accent2 6 6 2 3" xfId="11407"/>
    <cellStyle name="40% - Accent2 6 6 3" xfId="11409"/>
    <cellStyle name="40% - Accent2 6 6 3 2" xfId="11410"/>
    <cellStyle name="40% - Accent2 6 6 4" xfId="11411"/>
    <cellStyle name="40% - Accent2 6 6 4 2" xfId="11412"/>
    <cellStyle name="40% - Accent2 6 6 5" xfId="11413"/>
    <cellStyle name="40% - Accent2 6 6 5 2" xfId="11414"/>
    <cellStyle name="40% - Accent2 6 6 6" xfId="11415"/>
    <cellStyle name="40% - Accent2 6 6 7" xfId="11406"/>
    <cellStyle name="40% - Accent2 6 7" xfId="3774"/>
    <cellStyle name="40% - Accent2 6 7 2" xfId="4523"/>
    <cellStyle name="40% - Accent2 6 7 2 2" xfId="11418"/>
    <cellStyle name="40% - Accent2 6 7 2 3" xfId="11417"/>
    <cellStyle name="40% - Accent2 6 7 3" xfId="11419"/>
    <cellStyle name="40% - Accent2 6 7 3 2" xfId="11420"/>
    <cellStyle name="40% - Accent2 6 7 4" xfId="11421"/>
    <cellStyle name="40% - Accent2 6 7 4 2" xfId="11422"/>
    <cellStyle name="40% - Accent2 6 7 5" xfId="11423"/>
    <cellStyle name="40% - Accent2 6 7 5 2" xfId="11424"/>
    <cellStyle name="40% - Accent2 6 7 6" xfId="11425"/>
    <cellStyle name="40% - Accent2 6 7 7" xfId="11416"/>
    <cellStyle name="40% - Accent2 6 8" xfId="1363"/>
    <cellStyle name="40% - Accent2 6 8 10" xfId="24895"/>
    <cellStyle name="40% - Accent2 6 8 11" xfId="26317"/>
    <cellStyle name="40% - Accent2 6 8 2" xfId="4163"/>
    <cellStyle name="40% - Accent2 6 8 2 2" xfId="5394"/>
    <cellStyle name="40% - Accent2 6 8 2 2 2" xfId="6282"/>
    <cellStyle name="40% - Accent2 6 8 2 2 2 2" xfId="11429"/>
    <cellStyle name="40% - Accent2 6 8 2 2 2 3" xfId="26320"/>
    <cellStyle name="40% - Accent2 6 8 2 2 3" xfId="11428"/>
    <cellStyle name="40% - Accent2 6 8 2 2 4" xfId="26319"/>
    <cellStyle name="40% - Accent2 6 8 2 3" xfId="5704"/>
    <cellStyle name="40% - Accent2 6 8 2 3 2" xfId="6283"/>
    <cellStyle name="40% - Accent2 6 8 2 3 2 2" xfId="26322"/>
    <cellStyle name="40% - Accent2 6 8 2 3 3" xfId="11430"/>
    <cellStyle name="40% - Accent2 6 8 2 3 4" xfId="26321"/>
    <cellStyle name="40% - Accent2 6 8 2 4" xfId="4525"/>
    <cellStyle name="40% - Accent2 6 8 2 4 2" xfId="6284"/>
    <cellStyle name="40% - Accent2 6 8 2 4 2 2" xfId="26324"/>
    <cellStyle name="40% - Accent2 6 8 2 4 3" xfId="26323"/>
    <cellStyle name="40% - Accent2 6 8 2 5" xfId="6281"/>
    <cellStyle name="40% - Accent2 6 8 2 5 2" xfId="26325"/>
    <cellStyle name="40% - Accent2 6 8 2 6" xfId="11427"/>
    <cellStyle name="40% - Accent2 6 8 2 7" xfId="25015"/>
    <cellStyle name="40% - Accent2 6 8 2 8" xfId="26318"/>
    <cellStyle name="40% - Accent2 6 8 3" xfId="5393"/>
    <cellStyle name="40% - Accent2 6 8 3 2" xfId="6285"/>
    <cellStyle name="40% - Accent2 6 8 3 2 2" xfId="11432"/>
    <cellStyle name="40% - Accent2 6 8 3 2 3" xfId="26327"/>
    <cellStyle name="40% - Accent2 6 8 3 3" xfId="11431"/>
    <cellStyle name="40% - Accent2 6 8 3 4" xfId="26326"/>
    <cellStyle name="40% - Accent2 6 8 4" xfId="5703"/>
    <cellStyle name="40% - Accent2 6 8 4 2" xfId="6286"/>
    <cellStyle name="40% - Accent2 6 8 4 2 2" xfId="11434"/>
    <cellStyle name="40% - Accent2 6 8 4 2 3" xfId="26329"/>
    <cellStyle name="40% - Accent2 6 8 4 3" xfId="11433"/>
    <cellStyle name="40% - Accent2 6 8 4 4" xfId="26328"/>
    <cellStyle name="40% - Accent2 6 8 5" xfId="4524"/>
    <cellStyle name="40% - Accent2 6 8 5 2" xfId="6287"/>
    <cellStyle name="40% - Accent2 6 8 5 2 2" xfId="11437"/>
    <cellStyle name="40% - Accent2 6 8 5 2 3" xfId="11436"/>
    <cellStyle name="40% - Accent2 6 8 5 2 4" xfId="26331"/>
    <cellStyle name="40% - Accent2 6 8 5 3" xfId="11438"/>
    <cellStyle name="40% - Accent2 6 8 5 3 2" xfId="11439"/>
    <cellStyle name="40% - Accent2 6 8 5 4" xfId="11440"/>
    <cellStyle name="40% - Accent2 6 8 5 5" xfId="11435"/>
    <cellStyle name="40% - Accent2 6 8 5 6" xfId="26330"/>
    <cellStyle name="40% - Accent2 6 8 6" xfId="6280"/>
    <cellStyle name="40% - Accent2 6 8 6 2" xfId="11442"/>
    <cellStyle name="40% - Accent2 6 8 6 3" xfId="11441"/>
    <cellStyle name="40% - Accent2 6 8 6 4" xfId="26332"/>
    <cellStyle name="40% - Accent2 6 8 7" xfId="11443"/>
    <cellStyle name="40% - Accent2 6 8 7 2" xfId="11444"/>
    <cellStyle name="40% - Accent2 6 8 8" xfId="11445"/>
    <cellStyle name="40% - Accent2 6 8 9" xfId="11426"/>
    <cellStyle name="40% - Accent2 6 9" xfId="3824"/>
    <cellStyle name="40% - Accent2 6 9 2" xfId="5395"/>
    <cellStyle name="40% - Accent2 6 9 2 2" xfId="6289"/>
    <cellStyle name="40% - Accent2 6 9 2 2 2" xfId="11448"/>
    <cellStyle name="40% - Accent2 6 9 2 2 3" xfId="26335"/>
    <cellStyle name="40% - Accent2 6 9 2 3" xfId="11447"/>
    <cellStyle name="40% - Accent2 6 9 2 4" xfId="26334"/>
    <cellStyle name="40% - Accent2 6 9 3" xfId="5705"/>
    <cellStyle name="40% - Accent2 6 9 3 2" xfId="6290"/>
    <cellStyle name="40% - Accent2 6 9 3 2 2" xfId="11450"/>
    <cellStyle name="40% - Accent2 6 9 3 2 3" xfId="26337"/>
    <cellStyle name="40% - Accent2 6 9 3 3" xfId="11449"/>
    <cellStyle name="40% - Accent2 6 9 3 4" xfId="26336"/>
    <cellStyle name="40% - Accent2 6 9 4" xfId="4526"/>
    <cellStyle name="40% - Accent2 6 9 4 2" xfId="6291"/>
    <cellStyle name="40% - Accent2 6 9 4 2 2" xfId="11452"/>
    <cellStyle name="40% - Accent2 6 9 4 2 3" xfId="26339"/>
    <cellStyle name="40% - Accent2 6 9 4 3" xfId="11451"/>
    <cellStyle name="40% - Accent2 6 9 4 4" xfId="26338"/>
    <cellStyle name="40% - Accent2 6 9 5" xfId="6288"/>
    <cellStyle name="40% - Accent2 6 9 5 2" xfId="11453"/>
    <cellStyle name="40% - Accent2 6 9 5 3" xfId="26340"/>
    <cellStyle name="40% - Accent2 6 9 6" xfId="11446"/>
    <cellStyle name="40% - Accent2 6 9 7" xfId="24960"/>
    <cellStyle name="40% - Accent2 6 9 8" xfId="26333"/>
    <cellStyle name="40% - Accent2 7" xfId="389"/>
    <cellStyle name="40% - Accent2 7 10" xfId="11455"/>
    <cellStyle name="40% - Accent2 7 10 2" xfId="11456"/>
    <cellStyle name="40% - Accent2 7 10 2 2" xfId="11457"/>
    <cellStyle name="40% - Accent2 7 10 3" xfId="11458"/>
    <cellStyle name="40% - Accent2 7 10 3 2" xfId="11459"/>
    <cellStyle name="40% - Accent2 7 10 4" xfId="11460"/>
    <cellStyle name="40% - Accent2 7 11" xfId="11461"/>
    <cellStyle name="40% - Accent2 7 11 2" xfId="11462"/>
    <cellStyle name="40% - Accent2 7 11 2 2" xfId="11463"/>
    <cellStyle name="40% - Accent2 7 11 3" xfId="11464"/>
    <cellStyle name="40% - Accent2 7 11 3 2" xfId="11465"/>
    <cellStyle name="40% - Accent2 7 11 4" xfId="11466"/>
    <cellStyle name="40% - Accent2 7 12" xfId="11467"/>
    <cellStyle name="40% - Accent2 7 12 2" xfId="11468"/>
    <cellStyle name="40% - Accent2 7 12 2 2" xfId="11469"/>
    <cellStyle name="40% - Accent2 7 12 3" xfId="11470"/>
    <cellStyle name="40% - Accent2 7 12 3 2" xfId="11471"/>
    <cellStyle name="40% - Accent2 7 12 4" xfId="11472"/>
    <cellStyle name="40% - Accent2 7 13" xfId="11473"/>
    <cellStyle name="40% - Accent2 7 13 2" xfId="11474"/>
    <cellStyle name="40% - Accent2 7 14" xfId="11475"/>
    <cellStyle name="40% - Accent2 7 14 2" xfId="11476"/>
    <cellStyle name="40% - Accent2 7 15" xfId="11477"/>
    <cellStyle name="40% - Accent2 7 15 2" xfId="11478"/>
    <cellStyle name="40% - Accent2 7 16" xfId="11479"/>
    <cellStyle name="40% - Accent2 7 16 2" xfId="11480"/>
    <cellStyle name="40% - Accent2 7 17" xfId="11481"/>
    <cellStyle name="40% - Accent2 7 18" xfId="11454"/>
    <cellStyle name="40% - Accent2 7 2" xfId="4527"/>
    <cellStyle name="40% - Accent2 7 2 2" xfId="11483"/>
    <cellStyle name="40% - Accent2 7 2 2 2" xfId="11484"/>
    <cellStyle name="40% - Accent2 7 2 3" xfId="11485"/>
    <cellStyle name="40% - Accent2 7 2 3 2" xfId="11486"/>
    <cellStyle name="40% - Accent2 7 2 4" xfId="11487"/>
    <cellStyle name="40% - Accent2 7 2 5" xfId="11482"/>
    <cellStyle name="40% - Accent2 7 3" xfId="11488"/>
    <cellStyle name="40% - Accent2 7 3 2" xfId="11489"/>
    <cellStyle name="40% - Accent2 7 3 2 2" xfId="11490"/>
    <cellStyle name="40% - Accent2 7 3 3" xfId="11491"/>
    <cellStyle name="40% - Accent2 7 3 3 2" xfId="11492"/>
    <cellStyle name="40% - Accent2 7 3 4" xfId="11493"/>
    <cellStyle name="40% - Accent2 7 4" xfId="11494"/>
    <cellStyle name="40% - Accent2 7 4 2" xfId="11495"/>
    <cellStyle name="40% - Accent2 7 4 2 2" xfId="11496"/>
    <cellStyle name="40% - Accent2 7 4 3" xfId="11497"/>
    <cellStyle name="40% - Accent2 7 4 3 2" xfId="11498"/>
    <cellStyle name="40% - Accent2 7 4 4" xfId="11499"/>
    <cellStyle name="40% - Accent2 7 5" xfId="11500"/>
    <cellStyle name="40% - Accent2 7 5 2" xfId="11501"/>
    <cellStyle name="40% - Accent2 7 5 2 2" xfId="11502"/>
    <cellStyle name="40% - Accent2 7 5 3" xfId="11503"/>
    <cellStyle name="40% - Accent2 7 5 3 2" xfId="11504"/>
    <cellStyle name="40% - Accent2 7 5 4" xfId="11505"/>
    <cellStyle name="40% - Accent2 7 6" xfId="11506"/>
    <cellStyle name="40% - Accent2 7 6 2" xfId="11507"/>
    <cellStyle name="40% - Accent2 7 6 2 2" xfId="11508"/>
    <cellStyle name="40% - Accent2 7 6 3" xfId="11509"/>
    <cellStyle name="40% - Accent2 7 6 3 2" xfId="11510"/>
    <cellStyle name="40% - Accent2 7 6 4" xfId="11511"/>
    <cellStyle name="40% - Accent2 7 7" xfId="11512"/>
    <cellStyle name="40% - Accent2 7 7 2" xfId="11513"/>
    <cellStyle name="40% - Accent2 7 7 2 2" xfId="11514"/>
    <cellStyle name="40% - Accent2 7 7 3" xfId="11515"/>
    <cellStyle name="40% - Accent2 7 7 3 2" xfId="11516"/>
    <cellStyle name="40% - Accent2 7 7 4" xfId="11517"/>
    <cellStyle name="40% - Accent2 7 8" xfId="11518"/>
    <cellStyle name="40% - Accent2 7 8 2" xfId="11519"/>
    <cellStyle name="40% - Accent2 7 8 2 2" xfId="11520"/>
    <cellStyle name="40% - Accent2 7 8 3" xfId="11521"/>
    <cellStyle name="40% - Accent2 7 8 3 2" xfId="11522"/>
    <cellStyle name="40% - Accent2 7 8 4" xfId="11523"/>
    <cellStyle name="40% - Accent2 7 9" xfId="11524"/>
    <cellStyle name="40% - Accent2 7 9 2" xfId="11525"/>
    <cellStyle name="40% - Accent2 7 9 2 2" xfId="11526"/>
    <cellStyle name="40% - Accent2 7 9 3" xfId="11527"/>
    <cellStyle name="40% - Accent2 7 9 3 2" xfId="11528"/>
    <cellStyle name="40% - Accent2 7 9 4" xfId="11529"/>
    <cellStyle name="40% - Accent2 8" xfId="541"/>
    <cellStyle name="40% - Accent2 8 10" xfId="11530"/>
    <cellStyle name="40% - Accent2 8 11" xfId="24852"/>
    <cellStyle name="40% - Accent2 8 12" xfId="26341"/>
    <cellStyle name="40% - Accent2 8 2" xfId="1375"/>
    <cellStyle name="40% - Accent2 8 2 10" xfId="24907"/>
    <cellStyle name="40% - Accent2 8 2 11" xfId="26342"/>
    <cellStyle name="40% - Accent2 8 2 2" xfId="4175"/>
    <cellStyle name="40% - Accent2 8 2 2 2" xfId="5398"/>
    <cellStyle name="40% - Accent2 8 2 2 2 2" xfId="6295"/>
    <cellStyle name="40% - Accent2 8 2 2 2 2 2" xfId="11534"/>
    <cellStyle name="40% - Accent2 8 2 2 2 2 3" xfId="26345"/>
    <cellStyle name="40% - Accent2 8 2 2 2 3" xfId="11533"/>
    <cellStyle name="40% - Accent2 8 2 2 2 4" xfId="26344"/>
    <cellStyle name="40% - Accent2 8 2 2 3" xfId="5708"/>
    <cellStyle name="40% - Accent2 8 2 2 3 2" xfId="6296"/>
    <cellStyle name="40% - Accent2 8 2 2 3 2 2" xfId="26347"/>
    <cellStyle name="40% - Accent2 8 2 2 3 3" xfId="11535"/>
    <cellStyle name="40% - Accent2 8 2 2 3 4" xfId="26346"/>
    <cellStyle name="40% - Accent2 8 2 2 4" xfId="4530"/>
    <cellStyle name="40% - Accent2 8 2 2 4 2" xfId="6297"/>
    <cellStyle name="40% - Accent2 8 2 2 4 2 2" xfId="26349"/>
    <cellStyle name="40% - Accent2 8 2 2 4 3" xfId="26348"/>
    <cellStyle name="40% - Accent2 8 2 2 5" xfId="6294"/>
    <cellStyle name="40% - Accent2 8 2 2 5 2" xfId="26350"/>
    <cellStyle name="40% - Accent2 8 2 2 6" xfId="11532"/>
    <cellStyle name="40% - Accent2 8 2 2 7" xfId="25027"/>
    <cellStyle name="40% - Accent2 8 2 2 8" xfId="26343"/>
    <cellStyle name="40% - Accent2 8 2 3" xfId="5397"/>
    <cellStyle name="40% - Accent2 8 2 3 2" xfId="6298"/>
    <cellStyle name="40% - Accent2 8 2 3 2 2" xfId="11537"/>
    <cellStyle name="40% - Accent2 8 2 3 2 3" xfId="26352"/>
    <cellStyle name="40% - Accent2 8 2 3 3" xfId="11536"/>
    <cellStyle name="40% - Accent2 8 2 3 4" xfId="26351"/>
    <cellStyle name="40% - Accent2 8 2 4" xfId="5707"/>
    <cellStyle name="40% - Accent2 8 2 4 2" xfId="6299"/>
    <cellStyle name="40% - Accent2 8 2 4 2 2" xfId="11539"/>
    <cellStyle name="40% - Accent2 8 2 4 2 3" xfId="26354"/>
    <cellStyle name="40% - Accent2 8 2 4 3" xfId="11538"/>
    <cellStyle name="40% - Accent2 8 2 4 4" xfId="26353"/>
    <cellStyle name="40% - Accent2 8 2 5" xfId="4529"/>
    <cellStyle name="40% - Accent2 8 2 5 2" xfId="6300"/>
    <cellStyle name="40% - Accent2 8 2 5 2 2" xfId="11542"/>
    <cellStyle name="40% - Accent2 8 2 5 2 3" xfId="11541"/>
    <cellStyle name="40% - Accent2 8 2 5 2 4" xfId="26356"/>
    <cellStyle name="40% - Accent2 8 2 5 3" xfId="11543"/>
    <cellStyle name="40% - Accent2 8 2 5 3 2" xfId="11544"/>
    <cellStyle name="40% - Accent2 8 2 5 4" xfId="11545"/>
    <cellStyle name="40% - Accent2 8 2 5 5" xfId="11540"/>
    <cellStyle name="40% - Accent2 8 2 5 6" xfId="26355"/>
    <cellStyle name="40% - Accent2 8 2 6" xfId="6293"/>
    <cellStyle name="40% - Accent2 8 2 6 2" xfId="11547"/>
    <cellStyle name="40% - Accent2 8 2 6 3" xfId="11546"/>
    <cellStyle name="40% - Accent2 8 2 6 4" xfId="26357"/>
    <cellStyle name="40% - Accent2 8 2 7" xfId="11548"/>
    <cellStyle name="40% - Accent2 8 2 7 2" xfId="11549"/>
    <cellStyle name="40% - Accent2 8 2 8" xfId="11550"/>
    <cellStyle name="40% - Accent2 8 2 9" xfId="11531"/>
    <cellStyle name="40% - Accent2 8 3" xfId="3838"/>
    <cellStyle name="40% - Accent2 8 3 2" xfId="5399"/>
    <cellStyle name="40% - Accent2 8 3 2 2" xfId="6302"/>
    <cellStyle name="40% - Accent2 8 3 2 2 2" xfId="11553"/>
    <cellStyle name="40% - Accent2 8 3 2 2 3" xfId="26360"/>
    <cellStyle name="40% - Accent2 8 3 2 3" xfId="11552"/>
    <cellStyle name="40% - Accent2 8 3 2 4" xfId="26359"/>
    <cellStyle name="40% - Accent2 8 3 3" xfId="5709"/>
    <cellStyle name="40% - Accent2 8 3 3 2" xfId="6303"/>
    <cellStyle name="40% - Accent2 8 3 3 2 2" xfId="26362"/>
    <cellStyle name="40% - Accent2 8 3 3 3" xfId="11554"/>
    <cellStyle name="40% - Accent2 8 3 3 4" xfId="26361"/>
    <cellStyle name="40% - Accent2 8 3 4" xfId="4531"/>
    <cellStyle name="40% - Accent2 8 3 4 2" xfId="6304"/>
    <cellStyle name="40% - Accent2 8 3 4 2 2" xfId="26364"/>
    <cellStyle name="40% - Accent2 8 3 4 3" xfId="26363"/>
    <cellStyle name="40% - Accent2 8 3 5" xfId="6301"/>
    <cellStyle name="40% - Accent2 8 3 5 2" xfId="26365"/>
    <cellStyle name="40% - Accent2 8 3 6" xfId="11551"/>
    <cellStyle name="40% - Accent2 8 3 7" xfId="24974"/>
    <cellStyle name="40% - Accent2 8 3 8" xfId="26358"/>
    <cellStyle name="40% - Accent2 8 4" xfId="5396"/>
    <cellStyle name="40% - Accent2 8 4 2" xfId="6305"/>
    <cellStyle name="40% - Accent2 8 4 2 2" xfId="11556"/>
    <cellStyle name="40% - Accent2 8 4 2 3" xfId="26367"/>
    <cellStyle name="40% - Accent2 8 4 3" xfId="11555"/>
    <cellStyle name="40% - Accent2 8 4 4" xfId="26366"/>
    <cellStyle name="40% - Accent2 8 5" xfId="5706"/>
    <cellStyle name="40% - Accent2 8 5 2" xfId="6306"/>
    <cellStyle name="40% - Accent2 8 5 2 2" xfId="11558"/>
    <cellStyle name="40% - Accent2 8 5 2 3" xfId="26369"/>
    <cellStyle name="40% - Accent2 8 5 3" xfId="11557"/>
    <cellStyle name="40% - Accent2 8 5 4" xfId="26368"/>
    <cellStyle name="40% - Accent2 8 6" xfId="4528"/>
    <cellStyle name="40% - Accent2 8 6 2" xfId="6307"/>
    <cellStyle name="40% - Accent2 8 6 2 2" xfId="11561"/>
    <cellStyle name="40% - Accent2 8 6 2 3" xfId="11560"/>
    <cellStyle name="40% - Accent2 8 6 2 4" xfId="26371"/>
    <cellStyle name="40% - Accent2 8 6 3" xfId="11562"/>
    <cellStyle name="40% - Accent2 8 6 3 2" xfId="11563"/>
    <cellStyle name="40% - Accent2 8 6 4" xfId="11564"/>
    <cellStyle name="40% - Accent2 8 6 5" xfId="11559"/>
    <cellStyle name="40% - Accent2 8 6 6" xfId="26370"/>
    <cellStyle name="40% - Accent2 8 7" xfId="6292"/>
    <cellStyle name="40% - Accent2 8 7 2" xfId="11566"/>
    <cellStyle name="40% - Accent2 8 7 3" xfId="11565"/>
    <cellStyle name="40% - Accent2 8 7 4" xfId="26372"/>
    <cellStyle name="40% - Accent2 8 8" xfId="11567"/>
    <cellStyle name="40% - Accent2 8 8 2" xfId="11568"/>
    <cellStyle name="40% - Accent2 8 9" xfId="11569"/>
    <cellStyle name="40% - Accent2 9" xfId="542"/>
    <cellStyle name="40% - Accent2 9 2" xfId="4532"/>
    <cellStyle name="40% - Accent2 9 2 2" xfId="11572"/>
    <cellStyle name="40% - Accent2 9 2 2 2" xfId="11573"/>
    <cellStyle name="40% - Accent2 9 2 3" xfId="11574"/>
    <cellStyle name="40% - Accent2 9 2 3 2" xfId="11575"/>
    <cellStyle name="40% - Accent2 9 2 4" xfId="11576"/>
    <cellStyle name="40% - Accent2 9 2 5" xfId="11571"/>
    <cellStyle name="40% - Accent2 9 3" xfId="11577"/>
    <cellStyle name="40% - Accent2 9 3 2" xfId="11578"/>
    <cellStyle name="40% - Accent2 9 4" xfId="11579"/>
    <cellStyle name="40% - Accent2 9 4 2" xfId="11580"/>
    <cellStyle name="40% - Accent2 9 5" xfId="11581"/>
    <cellStyle name="40% - Accent2 9 5 2" xfId="11582"/>
    <cellStyle name="40% - Accent2 9 6" xfId="11583"/>
    <cellStyle name="40% - Accent2 9 6 2" xfId="11584"/>
    <cellStyle name="40% - Accent2 9 7" xfId="11585"/>
    <cellStyle name="40% - Accent2 9 8" xfId="11570"/>
    <cellStyle name="40% - Accent3 10" xfId="672"/>
    <cellStyle name="40% - Accent3 10 2" xfId="4533"/>
    <cellStyle name="40% - Accent3 10 2 2" xfId="11589"/>
    <cellStyle name="40% - Accent3 10 2 3" xfId="11588"/>
    <cellStyle name="40% - Accent3 10 3" xfId="11590"/>
    <cellStyle name="40% - Accent3 10 3 2" xfId="11591"/>
    <cellStyle name="40% - Accent3 10 4" xfId="11592"/>
    <cellStyle name="40% - Accent3 10 4 2" xfId="11593"/>
    <cellStyle name="40% - Accent3 10 5" xfId="11594"/>
    <cellStyle name="40% - Accent3 10 5 2" xfId="11595"/>
    <cellStyle name="40% - Accent3 10 6" xfId="11596"/>
    <cellStyle name="40% - Accent3 10 7" xfId="11587"/>
    <cellStyle name="40% - Accent3 11" xfId="673"/>
    <cellStyle name="40% - Accent3 11 2" xfId="4534"/>
    <cellStyle name="40% - Accent3 11 2 2" xfId="11599"/>
    <cellStyle name="40% - Accent3 11 2 3" xfId="11598"/>
    <cellStyle name="40% - Accent3 11 3" xfId="11600"/>
    <cellStyle name="40% - Accent3 11 3 2" xfId="11601"/>
    <cellStyle name="40% - Accent3 11 4" xfId="11602"/>
    <cellStyle name="40% - Accent3 11 4 2" xfId="11603"/>
    <cellStyle name="40% - Accent3 11 5" xfId="11604"/>
    <cellStyle name="40% - Accent3 11 5 2" xfId="11605"/>
    <cellStyle name="40% - Accent3 11 6" xfId="11606"/>
    <cellStyle name="40% - Accent3 11 7" xfId="11597"/>
    <cellStyle name="40% - Accent3 12" xfId="822"/>
    <cellStyle name="40% - Accent3 12 2" xfId="11608"/>
    <cellStyle name="40% - Accent3 12 2 2" xfId="11609"/>
    <cellStyle name="40% - Accent3 12 3" xfId="11610"/>
    <cellStyle name="40% - Accent3 12 3 2" xfId="11611"/>
    <cellStyle name="40% - Accent3 12 4" xfId="11612"/>
    <cellStyle name="40% - Accent3 12 5" xfId="11607"/>
    <cellStyle name="40% - Accent3 13" xfId="823"/>
    <cellStyle name="40% - Accent3 13 2" xfId="3853"/>
    <cellStyle name="40% - Accent3 13 2 2" xfId="6309"/>
    <cellStyle name="40% - Accent3 13 2 2 2" xfId="11615"/>
    <cellStyle name="40% - Accent3 13 2 2 3" xfId="26375"/>
    <cellStyle name="40% - Accent3 13 2 3" xfId="11614"/>
    <cellStyle name="40% - Accent3 13 2 4" xfId="24989"/>
    <cellStyle name="40% - Accent3 13 2 5" xfId="26374"/>
    <cellStyle name="40% - Accent3 13 3" xfId="6308"/>
    <cellStyle name="40% - Accent3 13 3 2" xfId="11617"/>
    <cellStyle name="40% - Accent3 13 3 3" xfId="11616"/>
    <cellStyle name="40% - Accent3 13 3 4" xfId="26376"/>
    <cellStyle name="40% - Accent3 13 4" xfId="11618"/>
    <cellStyle name="40% - Accent3 13 5" xfId="11613"/>
    <cellStyle name="40% - Accent3 13 6" xfId="24868"/>
    <cellStyle name="40% - Accent3 13 7" xfId="26373"/>
    <cellStyle name="40% - Accent3 14" xfId="937"/>
    <cellStyle name="40% - Accent3 14 2" xfId="11620"/>
    <cellStyle name="40% - Accent3 14 2 2" xfId="11621"/>
    <cellStyle name="40% - Accent3 14 3" xfId="11622"/>
    <cellStyle name="40% - Accent3 14 3 2" xfId="11623"/>
    <cellStyle name="40% - Accent3 14 4" xfId="11624"/>
    <cellStyle name="40% - Accent3 14 5" xfId="11619"/>
    <cellStyle name="40% - Accent3 15" xfId="11625"/>
    <cellStyle name="40% - Accent3 15 2" xfId="11626"/>
    <cellStyle name="40% - Accent3 15 2 2" xfId="11627"/>
    <cellStyle name="40% - Accent3 15 3" xfId="11628"/>
    <cellStyle name="40% - Accent3 15 3 2" xfId="11629"/>
    <cellStyle name="40% - Accent3 15 4" xfId="11630"/>
    <cellStyle name="40% - Accent3 16" xfId="11631"/>
    <cellStyle name="40% - Accent3 16 2" xfId="11632"/>
    <cellStyle name="40% - Accent3 16 2 2" xfId="11633"/>
    <cellStyle name="40% - Accent3 16 3" xfId="11634"/>
    <cellStyle name="40% - Accent3 16 3 2" xfId="11635"/>
    <cellStyle name="40% - Accent3 16 4" xfId="11636"/>
    <cellStyle name="40% - Accent3 17" xfId="11637"/>
    <cellStyle name="40% - Accent3 17 2" xfId="11638"/>
    <cellStyle name="40% - Accent3 17 2 2" xfId="11639"/>
    <cellStyle name="40% - Accent3 17 3" xfId="11640"/>
    <cellStyle name="40% - Accent3 17 3 2" xfId="11641"/>
    <cellStyle name="40% - Accent3 17 4" xfId="11642"/>
    <cellStyle name="40% - Accent3 18" xfId="11643"/>
    <cellStyle name="40% - Accent3 18 2" xfId="11644"/>
    <cellStyle name="40% - Accent3 18 2 2" xfId="11645"/>
    <cellStyle name="40% - Accent3 18 3" xfId="11646"/>
    <cellStyle name="40% - Accent3 18 3 2" xfId="11647"/>
    <cellStyle name="40% - Accent3 18 4" xfId="11648"/>
    <cellStyle name="40% - Accent3 19" xfId="11649"/>
    <cellStyle name="40% - Accent3 19 2" xfId="11650"/>
    <cellStyle name="40% - Accent3 19 2 2" xfId="11651"/>
    <cellStyle name="40% - Accent3 19 3" xfId="11652"/>
    <cellStyle name="40% - Accent3 2" xfId="76"/>
    <cellStyle name="40% - Accent3 2 10" xfId="1675"/>
    <cellStyle name="40% - Accent3 2 10 2" xfId="4535"/>
    <cellStyle name="40% - Accent3 2 10 2 2" xfId="11656"/>
    <cellStyle name="40% - Accent3 2 10 2 3" xfId="11655"/>
    <cellStyle name="40% - Accent3 2 10 3" xfId="11657"/>
    <cellStyle name="40% - Accent3 2 10 3 2" xfId="11658"/>
    <cellStyle name="40% - Accent3 2 10 4" xfId="11659"/>
    <cellStyle name="40% - Accent3 2 10 4 2" xfId="11660"/>
    <cellStyle name="40% - Accent3 2 10 5" xfId="11661"/>
    <cellStyle name="40% - Accent3 2 10 5 2" xfId="11662"/>
    <cellStyle name="40% - Accent3 2 10 6" xfId="11663"/>
    <cellStyle name="40% - Accent3 2 10 7" xfId="11654"/>
    <cellStyle name="40% - Accent3 2 11" xfId="2010"/>
    <cellStyle name="40% - Accent3 2 11 2" xfId="4536"/>
    <cellStyle name="40% - Accent3 2 11 2 2" xfId="11666"/>
    <cellStyle name="40% - Accent3 2 11 2 3" xfId="11665"/>
    <cellStyle name="40% - Accent3 2 11 3" xfId="11667"/>
    <cellStyle name="40% - Accent3 2 11 3 2" xfId="11668"/>
    <cellStyle name="40% - Accent3 2 11 4" xfId="11669"/>
    <cellStyle name="40% - Accent3 2 11 4 2" xfId="11670"/>
    <cellStyle name="40% - Accent3 2 11 5" xfId="11671"/>
    <cellStyle name="40% - Accent3 2 11 5 2" xfId="11672"/>
    <cellStyle name="40% - Accent3 2 11 6" xfId="11673"/>
    <cellStyle name="40% - Accent3 2 11 7" xfId="11664"/>
    <cellStyle name="40% - Accent3 2 12" xfId="1708"/>
    <cellStyle name="40% - Accent3 2 12 2" xfId="4537"/>
    <cellStyle name="40% - Accent3 2 12 2 2" xfId="11676"/>
    <cellStyle name="40% - Accent3 2 12 2 3" xfId="11675"/>
    <cellStyle name="40% - Accent3 2 12 3" xfId="11677"/>
    <cellStyle name="40% - Accent3 2 12 3 2" xfId="11678"/>
    <cellStyle name="40% - Accent3 2 12 4" xfId="11679"/>
    <cellStyle name="40% - Accent3 2 12 4 2" xfId="11680"/>
    <cellStyle name="40% - Accent3 2 12 5" xfId="11681"/>
    <cellStyle name="40% - Accent3 2 12 5 2" xfId="11682"/>
    <cellStyle name="40% - Accent3 2 12 6" xfId="11683"/>
    <cellStyle name="40% - Accent3 2 12 7" xfId="11674"/>
    <cellStyle name="40% - Accent3 2 13" xfId="2043"/>
    <cellStyle name="40% - Accent3 2 13 2" xfId="4538"/>
    <cellStyle name="40% - Accent3 2 13 2 2" xfId="11686"/>
    <cellStyle name="40% - Accent3 2 13 2 3" xfId="11685"/>
    <cellStyle name="40% - Accent3 2 13 3" xfId="11687"/>
    <cellStyle name="40% - Accent3 2 13 3 2" xfId="11688"/>
    <cellStyle name="40% - Accent3 2 13 4" xfId="11689"/>
    <cellStyle name="40% - Accent3 2 13 4 2" xfId="11690"/>
    <cellStyle name="40% - Accent3 2 13 5" xfId="11691"/>
    <cellStyle name="40% - Accent3 2 13 5 2" xfId="11692"/>
    <cellStyle name="40% - Accent3 2 13 6" xfId="11693"/>
    <cellStyle name="40% - Accent3 2 13 7" xfId="11684"/>
    <cellStyle name="40% - Accent3 2 14" xfId="3131"/>
    <cellStyle name="40% - Accent3 2 14 2" xfId="4539"/>
    <cellStyle name="40% - Accent3 2 14 2 2" xfId="11696"/>
    <cellStyle name="40% - Accent3 2 14 2 3" xfId="11695"/>
    <cellStyle name="40% - Accent3 2 14 3" xfId="11697"/>
    <cellStyle name="40% - Accent3 2 14 3 2" xfId="11698"/>
    <cellStyle name="40% - Accent3 2 14 4" xfId="11699"/>
    <cellStyle name="40% - Accent3 2 14 4 2" xfId="11700"/>
    <cellStyle name="40% - Accent3 2 14 5" xfId="11701"/>
    <cellStyle name="40% - Accent3 2 14 5 2" xfId="11702"/>
    <cellStyle name="40% - Accent3 2 14 6" xfId="11703"/>
    <cellStyle name="40% - Accent3 2 14 7" xfId="11694"/>
    <cellStyle name="40% - Accent3 2 15" xfId="3502"/>
    <cellStyle name="40% - Accent3 2 15 2" xfId="4540"/>
    <cellStyle name="40% - Accent3 2 15 2 2" xfId="11706"/>
    <cellStyle name="40% - Accent3 2 15 2 3" xfId="11705"/>
    <cellStyle name="40% - Accent3 2 15 3" xfId="11707"/>
    <cellStyle name="40% - Accent3 2 15 3 2" xfId="11708"/>
    <cellStyle name="40% - Accent3 2 15 4" xfId="11709"/>
    <cellStyle name="40% - Accent3 2 15 5" xfId="11704"/>
    <cellStyle name="40% - Accent3 2 16" xfId="3640"/>
    <cellStyle name="40% - Accent3 2 16 2" xfId="4541"/>
    <cellStyle name="40% - Accent3 2 16 2 2" xfId="11712"/>
    <cellStyle name="40% - Accent3 2 16 2 3" xfId="11711"/>
    <cellStyle name="40% - Accent3 2 16 3" xfId="11713"/>
    <cellStyle name="40% - Accent3 2 16 3 2" xfId="11714"/>
    <cellStyle name="40% - Accent3 2 16 4" xfId="11715"/>
    <cellStyle name="40% - Accent3 2 16 5" xfId="11710"/>
    <cellStyle name="40% - Accent3 2 17" xfId="11716"/>
    <cellStyle name="40% - Accent3 2 18" xfId="11653"/>
    <cellStyle name="40% - Accent3 2 19" xfId="24475"/>
    <cellStyle name="40% - Accent3 2 2" xfId="120"/>
    <cellStyle name="40% - Accent3 2 2 10" xfId="11718"/>
    <cellStyle name="40% - Accent3 2 2 10 2" xfId="11719"/>
    <cellStyle name="40% - Accent3 2 2 10 2 2" xfId="11720"/>
    <cellStyle name="40% - Accent3 2 2 10 3" xfId="11721"/>
    <cellStyle name="40% - Accent3 2 2 10 3 2" xfId="11722"/>
    <cellStyle name="40% - Accent3 2 2 10 4" xfId="11723"/>
    <cellStyle name="40% - Accent3 2 2 11" xfId="11724"/>
    <cellStyle name="40% - Accent3 2 2 11 2" xfId="11725"/>
    <cellStyle name="40% - Accent3 2 2 11 2 2" xfId="11726"/>
    <cellStyle name="40% - Accent3 2 2 11 3" xfId="11727"/>
    <cellStyle name="40% - Accent3 2 2 11 3 2" xfId="11728"/>
    <cellStyle name="40% - Accent3 2 2 11 4" xfId="11729"/>
    <cellStyle name="40% - Accent3 2 2 12" xfId="11730"/>
    <cellStyle name="40% - Accent3 2 2 12 2" xfId="11731"/>
    <cellStyle name="40% - Accent3 2 2 12 2 2" xfId="11732"/>
    <cellStyle name="40% - Accent3 2 2 12 3" xfId="11733"/>
    <cellStyle name="40% - Accent3 2 2 12 3 2" xfId="11734"/>
    <cellStyle name="40% - Accent3 2 2 12 4" xfId="11735"/>
    <cellStyle name="40% - Accent3 2 2 13" xfId="11736"/>
    <cellStyle name="40% - Accent3 2 2 13 2" xfId="11737"/>
    <cellStyle name="40% - Accent3 2 2 14" xfId="11738"/>
    <cellStyle name="40% - Accent3 2 2 14 2" xfId="11739"/>
    <cellStyle name="40% - Accent3 2 2 15" xfId="11740"/>
    <cellStyle name="40% - Accent3 2 2 15 2" xfId="11741"/>
    <cellStyle name="40% - Accent3 2 2 16" xfId="11742"/>
    <cellStyle name="40% - Accent3 2 2 17" xfId="11717"/>
    <cellStyle name="40% - Accent3 2 2 2" xfId="180"/>
    <cellStyle name="40% - Accent3 2 2 2 2" xfId="11744"/>
    <cellStyle name="40% - Accent3 2 2 2 2 2" xfId="11745"/>
    <cellStyle name="40% - Accent3 2 2 2 3" xfId="11746"/>
    <cellStyle name="40% - Accent3 2 2 2 3 2" xfId="11747"/>
    <cellStyle name="40% - Accent3 2 2 2 4" xfId="11748"/>
    <cellStyle name="40% - Accent3 2 2 2 5" xfId="11743"/>
    <cellStyle name="40% - Accent3 2 2 3" xfId="344"/>
    <cellStyle name="40% - Accent3 2 2 3 2" xfId="11750"/>
    <cellStyle name="40% - Accent3 2 2 3 2 2" xfId="11751"/>
    <cellStyle name="40% - Accent3 2 2 3 3" xfId="11752"/>
    <cellStyle name="40% - Accent3 2 2 3 3 2" xfId="11753"/>
    <cellStyle name="40% - Accent3 2 2 3 4" xfId="11754"/>
    <cellStyle name="40% - Accent3 2 2 3 5" xfId="11749"/>
    <cellStyle name="40% - Accent3 2 2 4" xfId="2166"/>
    <cellStyle name="40% - Accent3 2 2 4 2" xfId="11756"/>
    <cellStyle name="40% - Accent3 2 2 4 2 2" xfId="11757"/>
    <cellStyle name="40% - Accent3 2 2 4 3" xfId="11758"/>
    <cellStyle name="40% - Accent3 2 2 4 3 2" xfId="11759"/>
    <cellStyle name="40% - Accent3 2 2 4 4" xfId="11760"/>
    <cellStyle name="40% - Accent3 2 2 4 5" xfId="11755"/>
    <cellStyle name="40% - Accent3 2 2 5" xfId="2540"/>
    <cellStyle name="40% - Accent3 2 2 5 2" xfId="11762"/>
    <cellStyle name="40% - Accent3 2 2 5 2 2" xfId="11763"/>
    <cellStyle name="40% - Accent3 2 2 5 3" xfId="11764"/>
    <cellStyle name="40% - Accent3 2 2 5 3 2" xfId="11765"/>
    <cellStyle name="40% - Accent3 2 2 5 4" xfId="11766"/>
    <cellStyle name="40% - Accent3 2 2 5 5" xfId="11761"/>
    <cellStyle name="40% - Accent3 2 2 6" xfId="2912"/>
    <cellStyle name="40% - Accent3 2 2 6 2" xfId="11768"/>
    <cellStyle name="40% - Accent3 2 2 6 2 2" xfId="11769"/>
    <cellStyle name="40% - Accent3 2 2 6 3" xfId="11770"/>
    <cellStyle name="40% - Accent3 2 2 6 3 2" xfId="11771"/>
    <cellStyle name="40% - Accent3 2 2 6 4" xfId="11772"/>
    <cellStyle name="40% - Accent3 2 2 6 5" xfId="11767"/>
    <cellStyle name="40% - Accent3 2 2 7" xfId="3284"/>
    <cellStyle name="40% - Accent3 2 2 7 2" xfId="11774"/>
    <cellStyle name="40% - Accent3 2 2 7 2 2" xfId="11775"/>
    <cellStyle name="40% - Accent3 2 2 7 3" xfId="11776"/>
    <cellStyle name="40% - Accent3 2 2 7 3 2" xfId="11777"/>
    <cellStyle name="40% - Accent3 2 2 7 4" xfId="11778"/>
    <cellStyle name="40% - Accent3 2 2 7 5" xfId="11773"/>
    <cellStyle name="40% - Accent3 2 2 8" xfId="4542"/>
    <cellStyle name="40% - Accent3 2 2 8 2" xfId="11780"/>
    <cellStyle name="40% - Accent3 2 2 8 2 2" xfId="11781"/>
    <cellStyle name="40% - Accent3 2 2 8 3" xfId="11782"/>
    <cellStyle name="40% - Accent3 2 2 8 3 2" xfId="11783"/>
    <cellStyle name="40% - Accent3 2 2 8 4" xfId="11784"/>
    <cellStyle name="40% - Accent3 2 2 8 5" xfId="11779"/>
    <cellStyle name="40% - Accent3 2 2 9" xfId="11785"/>
    <cellStyle name="40% - Accent3 2 2 9 2" xfId="11786"/>
    <cellStyle name="40% - Accent3 2 2 9 2 2" xfId="11787"/>
    <cellStyle name="40% - Accent3 2 2 9 3" xfId="11788"/>
    <cellStyle name="40% - Accent3 2 2 9 3 2" xfId="11789"/>
    <cellStyle name="40% - Accent3 2 2 9 4" xfId="11790"/>
    <cellStyle name="40% - Accent3 2 3" xfId="285"/>
    <cellStyle name="40% - Accent3 2 3 2" xfId="1342"/>
    <cellStyle name="40% - Accent3 2 3 2 2" xfId="11793"/>
    <cellStyle name="40% - Accent3 2 3 2 2 2" xfId="11794"/>
    <cellStyle name="40% - Accent3 2 3 2 3" xfId="11795"/>
    <cellStyle name="40% - Accent3 2 3 2 3 2" xfId="11796"/>
    <cellStyle name="40% - Accent3 2 3 2 4" xfId="11797"/>
    <cellStyle name="40% - Accent3 2 3 2 5" xfId="11792"/>
    <cellStyle name="40% - Accent3 2 3 3" xfId="11798"/>
    <cellStyle name="40% - Accent3 2 3 3 2" xfId="11799"/>
    <cellStyle name="40% - Accent3 2 3 4" xfId="11800"/>
    <cellStyle name="40% - Accent3 2 3 4 2" xfId="11801"/>
    <cellStyle name="40% - Accent3 2 3 5" xfId="11802"/>
    <cellStyle name="40% - Accent3 2 3 6" xfId="11791"/>
    <cellStyle name="40% - Accent3 2 4" xfId="390"/>
    <cellStyle name="40% - Accent3 2 4 2" xfId="11804"/>
    <cellStyle name="40% - Accent3 2 4 2 2" xfId="11805"/>
    <cellStyle name="40% - Accent3 2 4 2 2 2" xfId="11806"/>
    <cellStyle name="40% - Accent3 2 4 2 3" xfId="11807"/>
    <cellStyle name="40% - Accent3 2 4 2 3 2" xfId="11808"/>
    <cellStyle name="40% - Accent3 2 4 2 4" xfId="11809"/>
    <cellStyle name="40% - Accent3 2 4 3" xfId="11810"/>
    <cellStyle name="40% - Accent3 2 4 3 2" xfId="11811"/>
    <cellStyle name="40% - Accent3 2 4 4" xfId="11812"/>
    <cellStyle name="40% - Accent3 2 4 4 2" xfId="11813"/>
    <cellStyle name="40% - Accent3 2 4 5" xfId="11814"/>
    <cellStyle name="40% - Accent3 2 4 6" xfId="11803"/>
    <cellStyle name="40% - Accent3 2 5" xfId="543"/>
    <cellStyle name="40% - Accent3 2 5 2" xfId="11816"/>
    <cellStyle name="40% - Accent3 2 5 2 2" xfId="11817"/>
    <cellStyle name="40% - Accent3 2 5 3" xfId="11818"/>
    <cellStyle name="40% - Accent3 2 5 3 2" xfId="11819"/>
    <cellStyle name="40% - Accent3 2 5 4" xfId="11820"/>
    <cellStyle name="40% - Accent3 2 5 5" xfId="11815"/>
    <cellStyle name="40% - Accent3 2 6" xfId="674"/>
    <cellStyle name="40% - Accent3 2 6 2" xfId="11822"/>
    <cellStyle name="40% - Accent3 2 6 2 2" xfId="11823"/>
    <cellStyle name="40% - Accent3 2 6 3" xfId="11824"/>
    <cellStyle name="40% - Accent3 2 6 3 2" xfId="11825"/>
    <cellStyle name="40% - Accent3 2 6 4" xfId="11826"/>
    <cellStyle name="40% - Accent3 2 6 5" xfId="11821"/>
    <cellStyle name="40% - Accent3 2 7" xfId="675"/>
    <cellStyle name="40% - Accent3 2 7 2" xfId="11828"/>
    <cellStyle name="40% - Accent3 2 7 2 2" xfId="11829"/>
    <cellStyle name="40% - Accent3 2 7 3" xfId="11830"/>
    <cellStyle name="40% - Accent3 2 7 3 2" xfId="11831"/>
    <cellStyle name="40% - Accent3 2 7 4" xfId="11832"/>
    <cellStyle name="40% - Accent3 2 7 5" xfId="11827"/>
    <cellStyle name="40% - Accent3 2 8" xfId="824"/>
    <cellStyle name="40% - Accent3 2 8 2" xfId="1404"/>
    <cellStyle name="40% - Accent3 2 8 2 2" xfId="11835"/>
    <cellStyle name="40% - Accent3 2 8 2 3" xfId="11834"/>
    <cellStyle name="40% - Accent3 2 8 3" xfId="11836"/>
    <cellStyle name="40% - Accent3 2 8 3 2" xfId="11837"/>
    <cellStyle name="40% - Accent3 2 8 4" xfId="11838"/>
    <cellStyle name="40% - Accent3 2 8 4 2" xfId="11839"/>
    <cellStyle name="40% - Accent3 2 8 5" xfId="11840"/>
    <cellStyle name="40% - Accent3 2 8 5 2" xfId="11841"/>
    <cellStyle name="40% - Accent3 2 8 6" xfId="11842"/>
    <cellStyle name="40% - Accent3 2 8 7" xfId="11833"/>
    <cellStyle name="40% - Accent3 2 9" xfId="938"/>
    <cellStyle name="40% - Accent3 2 9 2" xfId="1444"/>
    <cellStyle name="40% - Accent3 2 9 2 2" xfId="11845"/>
    <cellStyle name="40% - Accent3 2 9 2 3" xfId="11844"/>
    <cellStyle name="40% - Accent3 2 9 3" xfId="11846"/>
    <cellStyle name="40% - Accent3 2 9 3 2" xfId="11847"/>
    <cellStyle name="40% - Accent3 2 9 4" xfId="11848"/>
    <cellStyle name="40% - Accent3 2 9 4 2" xfId="11849"/>
    <cellStyle name="40% - Accent3 2 9 5" xfId="11850"/>
    <cellStyle name="40% - Accent3 2 9 5 2" xfId="11851"/>
    <cellStyle name="40% - Accent3 2 9 6" xfId="11852"/>
    <cellStyle name="40% - Accent3 2 9 7" xfId="11843"/>
    <cellStyle name="40% - Accent3 20" xfId="11853"/>
    <cellStyle name="40% - Accent3 20 2" xfId="11854"/>
    <cellStyle name="40% - Accent3 21" xfId="11855"/>
    <cellStyle name="40% - Accent3 21 2" xfId="11856"/>
    <cellStyle name="40% - Accent3 21 2 2" xfId="11857"/>
    <cellStyle name="40% - Accent3 21 2 2 2" xfId="11858"/>
    <cellStyle name="40% - Accent3 21 2 3" xfId="11859"/>
    <cellStyle name="40% - Accent3 21 2 3 2" xfId="11860"/>
    <cellStyle name="40% - Accent3 21 2 4" xfId="11861"/>
    <cellStyle name="40% - Accent3 21 3" xfId="11862"/>
    <cellStyle name="40% - Accent3 21 3 2" xfId="11863"/>
    <cellStyle name="40% - Accent3 21 4" xfId="11864"/>
    <cellStyle name="40% - Accent3 21 4 2" xfId="11865"/>
    <cellStyle name="40% - Accent3 21 5" xfId="11866"/>
    <cellStyle name="40% - Accent3 22" xfId="11867"/>
    <cellStyle name="40% - Accent3 22 2" xfId="11868"/>
    <cellStyle name="40% - Accent3 22 2 2" xfId="11869"/>
    <cellStyle name="40% - Accent3 22 2 2 2" xfId="11870"/>
    <cellStyle name="40% - Accent3 22 2 3" xfId="11871"/>
    <cellStyle name="40% - Accent3 22 2 3 2" xfId="11872"/>
    <cellStyle name="40% - Accent3 22 2 4" xfId="11873"/>
    <cellStyle name="40% - Accent3 22 3" xfId="11874"/>
    <cellStyle name="40% - Accent3 22 3 2" xfId="11875"/>
    <cellStyle name="40% - Accent3 22 4" xfId="11876"/>
    <cellStyle name="40% - Accent3 22 4 2" xfId="11877"/>
    <cellStyle name="40% - Accent3 22 5" xfId="11878"/>
    <cellStyle name="40% - Accent3 23" xfId="11879"/>
    <cellStyle name="40% - Accent3 23 2" xfId="11880"/>
    <cellStyle name="40% - Accent3 24" xfId="11881"/>
    <cellStyle name="40% - Accent3 24 2" xfId="11882"/>
    <cellStyle name="40% - Accent3 24 2 2" xfId="11883"/>
    <cellStyle name="40% - Accent3 24 2 2 2" xfId="11884"/>
    <cellStyle name="40% - Accent3 24 2 3" xfId="11885"/>
    <cellStyle name="40% - Accent3 24 2 3 2" xfId="11886"/>
    <cellStyle name="40% - Accent3 24 2 4" xfId="11887"/>
    <cellStyle name="40% - Accent3 24 3" xfId="11888"/>
    <cellStyle name="40% - Accent3 24 3 2" xfId="11889"/>
    <cellStyle name="40% - Accent3 24 4" xfId="11890"/>
    <cellStyle name="40% - Accent3 24 4 2" xfId="11891"/>
    <cellStyle name="40% - Accent3 24 5" xfId="11892"/>
    <cellStyle name="40% - Accent3 25" xfId="11893"/>
    <cellStyle name="40% - Accent3 25 2" xfId="11894"/>
    <cellStyle name="40% - Accent3 25 2 2" xfId="11895"/>
    <cellStyle name="40% - Accent3 25 2 2 2" xfId="11896"/>
    <cellStyle name="40% - Accent3 25 2 3" xfId="11897"/>
    <cellStyle name="40% - Accent3 25 2 3 2" xfId="11898"/>
    <cellStyle name="40% - Accent3 25 2 4" xfId="11899"/>
    <cellStyle name="40% - Accent3 25 3" xfId="11900"/>
    <cellStyle name="40% - Accent3 25 3 2" xfId="11901"/>
    <cellStyle name="40% - Accent3 25 4" xfId="11902"/>
    <cellStyle name="40% - Accent3 25 4 2" xfId="11903"/>
    <cellStyle name="40% - Accent3 25 5" xfId="11904"/>
    <cellStyle name="40% - Accent3 26" xfId="11905"/>
    <cellStyle name="40% - Accent3 26 2" xfId="11906"/>
    <cellStyle name="40% - Accent3 27" xfId="11907"/>
    <cellStyle name="40% - Accent3 27 2" xfId="11908"/>
    <cellStyle name="40% - Accent3 27 2 2" xfId="11909"/>
    <cellStyle name="40% - Accent3 27 2 2 2" xfId="11910"/>
    <cellStyle name="40% - Accent3 27 2 3" xfId="11911"/>
    <cellStyle name="40% - Accent3 27 2 3 2" xfId="11912"/>
    <cellStyle name="40% - Accent3 27 2 4" xfId="11913"/>
    <cellStyle name="40% - Accent3 27 3" xfId="11914"/>
    <cellStyle name="40% - Accent3 27 3 2" xfId="11915"/>
    <cellStyle name="40% - Accent3 27 4" xfId="11916"/>
    <cellStyle name="40% - Accent3 27 4 2" xfId="11917"/>
    <cellStyle name="40% - Accent3 27 5" xfId="11918"/>
    <cellStyle name="40% - Accent3 28" xfId="11919"/>
    <cellStyle name="40% - Accent3 28 2" xfId="11920"/>
    <cellStyle name="40% - Accent3 28 2 2" xfId="11921"/>
    <cellStyle name="40% - Accent3 28 3" xfId="11922"/>
    <cellStyle name="40% - Accent3 28 3 2" xfId="11923"/>
    <cellStyle name="40% - Accent3 28 4" xfId="11924"/>
    <cellStyle name="40% - Accent3 29" xfId="11925"/>
    <cellStyle name="40% - Accent3 29 2" xfId="11926"/>
    <cellStyle name="40% - Accent3 3" xfId="221"/>
    <cellStyle name="40% - Accent3 3 10" xfId="3683"/>
    <cellStyle name="40% - Accent3 3 10 2" xfId="4543"/>
    <cellStyle name="40% - Accent3 3 10 2 2" xfId="11930"/>
    <cellStyle name="40% - Accent3 3 10 2 3" xfId="11929"/>
    <cellStyle name="40% - Accent3 3 10 3" xfId="11931"/>
    <cellStyle name="40% - Accent3 3 10 3 2" xfId="11932"/>
    <cellStyle name="40% - Accent3 3 10 4" xfId="11933"/>
    <cellStyle name="40% - Accent3 3 10 4 2" xfId="11934"/>
    <cellStyle name="40% - Accent3 3 10 5" xfId="11935"/>
    <cellStyle name="40% - Accent3 3 10 5 2" xfId="11936"/>
    <cellStyle name="40% - Accent3 3 10 6" xfId="11937"/>
    <cellStyle name="40% - Accent3 3 10 7" xfId="11928"/>
    <cellStyle name="40% - Accent3 3 11" xfId="11938"/>
    <cellStyle name="40% - Accent3 3 11 2" xfId="11939"/>
    <cellStyle name="40% - Accent3 3 11 2 2" xfId="11940"/>
    <cellStyle name="40% - Accent3 3 11 3" xfId="11941"/>
    <cellStyle name="40% - Accent3 3 11 3 2" xfId="11942"/>
    <cellStyle name="40% - Accent3 3 11 4" xfId="11943"/>
    <cellStyle name="40% - Accent3 3 12" xfId="11944"/>
    <cellStyle name="40% - Accent3 3 12 2" xfId="11945"/>
    <cellStyle name="40% - Accent3 3 12 2 2" xfId="11946"/>
    <cellStyle name="40% - Accent3 3 12 3" xfId="11947"/>
    <cellStyle name="40% - Accent3 3 12 3 2" xfId="11948"/>
    <cellStyle name="40% - Accent3 3 12 4" xfId="11949"/>
    <cellStyle name="40% - Accent3 3 13" xfId="11950"/>
    <cellStyle name="40% - Accent3 3 13 2" xfId="11951"/>
    <cellStyle name="40% - Accent3 3 13 2 2" xfId="11952"/>
    <cellStyle name="40% - Accent3 3 13 3" xfId="11953"/>
    <cellStyle name="40% - Accent3 3 13 3 2" xfId="11954"/>
    <cellStyle name="40% - Accent3 3 13 4" xfId="11955"/>
    <cellStyle name="40% - Accent3 3 14" xfId="11956"/>
    <cellStyle name="40% - Accent3 3 14 2" xfId="11957"/>
    <cellStyle name="40% - Accent3 3 15" xfId="11958"/>
    <cellStyle name="40% - Accent3 3 15 2" xfId="11959"/>
    <cellStyle name="40% - Accent3 3 16" xfId="11960"/>
    <cellStyle name="40% - Accent3 3 17" xfId="11927"/>
    <cellStyle name="40% - Accent3 3 2" xfId="1456"/>
    <cellStyle name="40% - Accent3 3 2 10" xfId="11962"/>
    <cellStyle name="40% - Accent3 3 2 10 2" xfId="11963"/>
    <cellStyle name="40% - Accent3 3 2 10 2 2" xfId="11964"/>
    <cellStyle name="40% - Accent3 3 2 10 3" xfId="11965"/>
    <cellStyle name="40% - Accent3 3 2 10 3 2" xfId="11966"/>
    <cellStyle name="40% - Accent3 3 2 10 4" xfId="11967"/>
    <cellStyle name="40% - Accent3 3 2 11" xfId="11968"/>
    <cellStyle name="40% - Accent3 3 2 11 2" xfId="11969"/>
    <cellStyle name="40% - Accent3 3 2 11 2 2" xfId="11970"/>
    <cellStyle name="40% - Accent3 3 2 11 3" xfId="11971"/>
    <cellStyle name="40% - Accent3 3 2 11 3 2" xfId="11972"/>
    <cellStyle name="40% - Accent3 3 2 11 4" xfId="11973"/>
    <cellStyle name="40% - Accent3 3 2 12" xfId="11974"/>
    <cellStyle name="40% - Accent3 3 2 12 2" xfId="11975"/>
    <cellStyle name="40% - Accent3 3 2 12 2 2" xfId="11976"/>
    <cellStyle name="40% - Accent3 3 2 12 3" xfId="11977"/>
    <cellStyle name="40% - Accent3 3 2 12 3 2" xfId="11978"/>
    <cellStyle name="40% - Accent3 3 2 12 4" xfId="11979"/>
    <cellStyle name="40% - Accent3 3 2 13" xfId="11980"/>
    <cellStyle name="40% - Accent3 3 2 13 2" xfId="11981"/>
    <cellStyle name="40% - Accent3 3 2 14" xfId="11982"/>
    <cellStyle name="40% - Accent3 3 2 14 2" xfId="11983"/>
    <cellStyle name="40% - Accent3 3 2 15" xfId="11984"/>
    <cellStyle name="40% - Accent3 3 2 15 2" xfId="11985"/>
    <cellStyle name="40% - Accent3 3 2 16" xfId="11986"/>
    <cellStyle name="40% - Accent3 3 2 17" xfId="11961"/>
    <cellStyle name="40% - Accent3 3 2 2" xfId="1832"/>
    <cellStyle name="40% - Accent3 3 2 2 2" xfId="11988"/>
    <cellStyle name="40% - Accent3 3 2 2 2 2" xfId="11989"/>
    <cellStyle name="40% - Accent3 3 2 2 3" xfId="11990"/>
    <cellStyle name="40% - Accent3 3 2 2 3 2" xfId="11991"/>
    <cellStyle name="40% - Accent3 3 2 2 4" xfId="11992"/>
    <cellStyle name="40% - Accent3 3 2 2 5" xfId="11987"/>
    <cellStyle name="40% - Accent3 3 2 3" xfId="2207"/>
    <cellStyle name="40% - Accent3 3 2 3 2" xfId="11994"/>
    <cellStyle name="40% - Accent3 3 2 3 2 2" xfId="11995"/>
    <cellStyle name="40% - Accent3 3 2 3 3" xfId="11996"/>
    <cellStyle name="40% - Accent3 3 2 3 3 2" xfId="11997"/>
    <cellStyle name="40% - Accent3 3 2 3 4" xfId="11998"/>
    <cellStyle name="40% - Accent3 3 2 3 5" xfId="11993"/>
    <cellStyle name="40% - Accent3 3 2 4" xfId="2581"/>
    <cellStyle name="40% - Accent3 3 2 4 2" xfId="12000"/>
    <cellStyle name="40% - Accent3 3 2 4 2 2" xfId="12001"/>
    <cellStyle name="40% - Accent3 3 2 4 3" xfId="12002"/>
    <cellStyle name="40% - Accent3 3 2 4 3 2" xfId="12003"/>
    <cellStyle name="40% - Accent3 3 2 4 4" xfId="12004"/>
    <cellStyle name="40% - Accent3 3 2 4 5" xfId="11999"/>
    <cellStyle name="40% - Accent3 3 2 5" xfId="2953"/>
    <cellStyle name="40% - Accent3 3 2 5 2" xfId="12006"/>
    <cellStyle name="40% - Accent3 3 2 5 2 2" xfId="12007"/>
    <cellStyle name="40% - Accent3 3 2 5 3" xfId="12008"/>
    <cellStyle name="40% - Accent3 3 2 5 3 2" xfId="12009"/>
    <cellStyle name="40% - Accent3 3 2 5 4" xfId="12010"/>
    <cellStyle name="40% - Accent3 3 2 5 5" xfId="12005"/>
    <cellStyle name="40% - Accent3 3 2 6" xfId="3325"/>
    <cellStyle name="40% - Accent3 3 2 6 2" xfId="12012"/>
    <cellStyle name="40% - Accent3 3 2 6 2 2" xfId="12013"/>
    <cellStyle name="40% - Accent3 3 2 6 3" xfId="12014"/>
    <cellStyle name="40% - Accent3 3 2 6 3 2" xfId="12015"/>
    <cellStyle name="40% - Accent3 3 2 6 4" xfId="12016"/>
    <cellStyle name="40% - Accent3 3 2 6 5" xfId="12011"/>
    <cellStyle name="40% - Accent3 3 2 7" xfId="4544"/>
    <cellStyle name="40% - Accent3 3 2 7 2" xfId="12018"/>
    <cellStyle name="40% - Accent3 3 2 7 2 2" xfId="12019"/>
    <cellStyle name="40% - Accent3 3 2 7 3" xfId="12020"/>
    <cellStyle name="40% - Accent3 3 2 7 3 2" xfId="12021"/>
    <cellStyle name="40% - Accent3 3 2 7 4" xfId="12022"/>
    <cellStyle name="40% - Accent3 3 2 7 5" xfId="12017"/>
    <cellStyle name="40% - Accent3 3 2 8" xfId="12023"/>
    <cellStyle name="40% - Accent3 3 2 8 2" xfId="12024"/>
    <cellStyle name="40% - Accent3 3 2 8 2 2" xfId="12025"/>
    <cellStyle name="40% - Accent3 3 2 8 3" xfId="12026"/>
    <cellStyle name="40% - Accent3 3 2 8 3 2" xfId="12027"/>
    <cellStyle name="40% - Accent3 3 2 8 4" xfId="12028"/>
    <cellStyle name="40% - Accent3 3 2 9" xfId="12029"/>
    <cellStyle name="40% - Accent3 3 2 9 2" xfId="12030"/>
    <cellStyle name="40% - Accent3 3 2 9 2 2" xfId="12031"/>
    <cellStyle name="40% - Accent3 3 2 9 3" xfId="12032"/>
    <cellStyle name="40% - Accent3 3 2 9 3 2" xfId="12033"/>
    <cellStyle name="40% - Accent3 3 2 9 4" xfId="12034"/>
    <cellStyle name="40% - Accent3 3 3" xfId="1583"/>
    <cellStyle name="40% - Accent3 3 3 2" xfId="1909"/>
    <cellStyle name="40% - Accent3 3 3 2 2" xfId="12037"/>
    <cellStyle name="40% - Accent3 3 3 2 3" xfId="12036"/>
    <cellStyle name="40% - Accent3 3 3 3" xfId="2284"/>
    <cellStyle name="40% - Accent3 3 3 3 2" xfId="12039"/>
    <cellStyle name="40% - Accent3 3 3 3 3" xfId="12038"/>
    <cellStyle name="40% - Accent3 3 3 4" xfId="2657"/>
    <cellStyle name="40% - Accent3 3 3 4 2" xfId="12041"/>
    <cellStyle name="40% - Accent3 3 3 4 3" xfId="12040"/>
    <cellStyle name="40% - Accent3 3 3 5" xfId="3030"/>
    <cellStyle name="40% - Accent3 3 3 5 2" xfId="12043"/>
    <cellStyle name="40% - Accent3 3 3 5 3" xfId="12042"/>
    <cellStyle name="40% - Accent3 3 3 6" xfId="3401"/>
    <cellStyle name="40% - Accent3 3 3 6 2" xfId="12045"/>
    <cellStyle name="40% - Accent3 3 3 6 3" xfId="12044"/>
    <cellStyle name="40% - Accent3 3 3 7" xfId="4545"/>
    <cellStyle name="40% - Accent3 3 3 7 2" xfId="12047"/>
    <cellStyle name="40% - Accent3 3 3 7 3" xfId="12046"/>
    <cellStyle name="40% - Accent3 3 3 8" xfId="12048"/>
    <cellStyle name="40% - Accent3 3 3 9" xfId="12035"/>
    <cellStyle name="40% - Accent3 3 4" xfId="1720"/>
    <cellStyle name="40% - Accent3 3 4 2" xfId="1953"/>
    <cellStyle name="40% - Accent3 3 4 2 2" xfId="12051"/>
    <cellStyle name="40% - Accent3 3 4 2 3" xfId="12050"/>
    <cellStyle name="40% - Accent3 3 4 3" xfId="2328"/>
    <cellStyle name="40% - Accent3 3 4 3 2" xfId="12053"/>
    <cellStyle name="40% - Accent3 3 4 3 3" xfId="12052"/>
    <cellStyle name="40% - Accent3 3 4 4" xfId="2701"/>
    <cellStyle name="40% - Accent3 3 4 4 2" xfId="12055"/>
    <cellStyle name="40% - Accent3 3 4 4 3" xfId="12054"/>
    <cellStyle name="40% - Accent3 3 4 5" xfId="3074"/>
    <cellStyle name="40% - Accent3 3 4 5 2" xfId="12057"/>
    <cellStyle name="40% - Accent3 3 4 5 3" xfId="12056"/>
    <cellStyle name="40% - Accent3 3 4 6" xfId="3445"/>
    <cellStyle name="40% - Accent3 3 4 6 2" xfId="12059"/>
    <cellStyle name="40% - Accent3 3 4 6 3" xfId="12058"/>
    <cellStyle name="40% - Accent3 3 4 7" xfId="12060"/>
    <cellStyle name="40% - Accent3 3 4 8" xfId="12049"/>
    <cellStyle name="40% - Accent3 3 5" xfId="2055"/>
    <cellStyle name="40% - Accent3 3 5 2" xfId="12062"/>
    <cellStyle name="40% - Accent3 3 5 2 2" xfId="12063"/>
    <cellStyle name="40% - Accent3 3 5 3" xfId="12064"/>
    <cellStyle name="40% - Accent3 3 5 3 2" xfId="12065"/>
    <cellStyle name="40% - Accent3 3 5 4" xfId="12066"/>
    <cellStyle name="40% - Accent3 3 5 4 2" xfId="12067"/>
    <cellStyle name="40% - Accent3 3 5 5" xfId="12068"/>
    <cellStyle name="40% - Accent3 3 5 6" xfId="12061"/>
    <cellStyle name="40% - Accent3 3 6" xfId="2429"/>
    <cellStyle name="40% - Accent3 3 6 2" xfId="12070"/>
    <cellStyle name="40% - Accent3 3 6 2 2" xfId="12071"/>
    <cellStyle name="40% - Accent3 3 6 3" xfId="12072"/>
    <cellStyle name="40% - Accent3 3 6 3 2" xfId="12073"/>
    <cellStyle name="40% - Accent3 3 6 4" xfId="12074"/>
    <cellStyle name="40% - Accent3 3 6 4 2" xfId="12075"/>
    <cellStyle name="40% - Accent3 3 6 5" xfId="12076"/>
    <cellStyle name="40% - Accent3 3 6 6" xfId="12069"/>
    <cellStyle name="40% - Accent3 3 7" xfId="2801"/>
    <cellStyle name="40% - Accent3 3 7 2" xfId="12078"/>
    <cellStyle name="40% - Accent3 3 7 2 2" xfId="12079"/>
    <cellStyle name="40% - Accent3 3 7 3" xfId="12080"/>
    <cellStyle name="40% - Accent3 3 7 3 2" xfId="12081"/>
    <cellStyle name="40% - Accent3 3 7 4" xfId="12082"/>
    <cellStyle name="40% - Accent3 3 7 4 2" xfId="12083"/>
    <cellStyle name="40% - Accent3 3 7 5" xfId="12084"/>
    <cellStyle name="40% - Accent3 3 7 6" xfId="12077"/>
    <cellStyle name="40% - Accent3 3 8" xfId="3172"/>
    <cellStyle name="40% - Accent3 3 8 2" xfId="12086"/>
    <cellStyle name="40% - Accent3 3 8 2 2" xfId="12087"/>
    <cellStyle name="40% - Accent3 3 8 3" xfId="12088"/>
    <cellStyle name="40% - Accent3 3 8 3 2" xfId="12089"/>
    <cellStyle name="40% - Accent3 3 8 4" xfId="12090"/>
    <cellStyle name="40% - Accent3 3 8 4 2" xfId="12091"/>
    <cellStyle name="40% - Accent3 3 8 5" xfId="12092"/>
    <cellStyle name="40% - Accent3 3 8 6" xfId="12085"/>
    <cellStyle name="40% - Accent3 3 9" xfId="3547"/>
    <cellStyle name="40% - Accent3 3 9 2" xfId="4546"/>
    <cellStyle name="40% - Accent3 3 9 2 2" xfId="12095"/>
    <cellStyle name="40% - Accent3 3 9 2 3" xfId="12094"/>
    <cellStyle name="40% - Accent3 3 9 3" xfId="12096"/>
    <cellStyle name="40% - Accent3 3 9 3 2" xfId="12097"/>
    <cellStyle name="40% - Accent3 3 9 4" xfId="12098"/>
    <cellStyle name="40% - Accent3 3 9 4 2" xfId="12099"/>
    <cellStyle name="40% - Accent3 3 9 5" xfId="12100"/>
    <cellStyle name="40% - Accent3 3 9 5 2" xfId="12101"/>
    <cellStyle name="40% - Accent3 3 9 6" xfId="12102"/>
    <cellStyle name="40% - Accent3 3 9 7" xfId="12093"/>
    <cellStyle name="40% - Accent3 30" xfId="12103"/>
    <cellStyle name="40% - Accent3 31" xfId="11586"/>
    <cellStyle name="40% - Accent3 4" xfId="243"/>
    <cellStyle name="40% - Accent3 4 10" xfId="3727"/>
    <cellStyle name="40% - Accent3 4 10 2" xfId="4548"/>
    <cellStyle name="40% - Accent3 4 10 2 2" xfId="12107"/>
    <cellStyle name="40% - Accent3 4 10 2 3" xfId="12106"/>
    <cellStyle name="40% - Accent3 4 10 3" xfId="12108"/>
    <cellStyle name="40% - Accent3 4 10 3 2" xfId="12109"/>
    <cellStyle name="40% - Accent3 4 10 4" xfId="12110"/>
    <cellStyle name="40% - Accent3 4 10 4 2" xfId="12111"/>
    <cellStyle name="40% - Accent3 4 10 5" xfId="12112"/>
    <cellStyle name="40% - Accent3 4 10 5 2" xfId="12113"/>
    <cellStyle name="40% - Accent3 4 10 6" xfId="12114"/>
    <cellStyle name="40% - Accent3 4 10 7" xfId="12105"/>
    <cellStyle name="40% - Accent3 4 11" xfId="1303"/>
    <cellStyle name="40% - Accent3 4 11 10" xfId="24881"/>
    <cellStyle name="40% - Accent3 4 11 11" xfId="26377"/>
    <cellStyle name="40% - Accent3 4 11 2" xfId="4149"/>
    <cellStyle name="40% - Accent3 4 11 2 2" xfId="5402"/>
    <cellStyle name="40% - Accent3 4 11 2 2 2" xfId="6312"/>
    <cellStyle name="40% - Accent3 4 11 2 2 2 2" xfId="12118"/>
    <cellStyle name="40% - Accent3 4 11 2 2 2 3" xfId="26380"/>
    <cellStyle name="40% - Accent3 4 11 2 2 3" xfId="12117"/>
    <cellStyle name="40% - Accent3 4 11 2 2 4" xfId="26379"/>
    <cellStyle name="40% - Accent3 4 11 2 3" xfId="5712"/>
    <cellStyle name="40% - Accent3 4 11 2 3 2" xfId="6313"/>
    <cellStyle name="40% - Accent3 4 11 2 3 2 2" xfId="26382"/>
    <cellStyle name="40% - Accent3 4 11 2 3 3" xfId="12119"/>
    <cellStyle name="40% - Accent3 4 11 2 3 4" xfId="26381"/>
    <cellStyle name="40% - Accent3 4 11 2 4" xfId="4550"/>
    <cellStyle name="40% - Accent3 4 11 2 4 2" xfId="6314"/>
    <cellStyle name="40% - Accent3 4 11 2 4 2 2" xfId="26384"/>
    <cellStyle name="40% - Accent3 4 11 2 4 3" xfId="26383"/>
    <cellStyle name="40% - Accent3 4 11 2 5" xfId="6311"/>
    <cellStyle name="40% - Accent3 4 11 2 5 2" xfId="26385"/>
    <cellStyle name="40% - Accent3 4 11 2 6" xfId="12116"/>
    <cellStyle name="40% - Accent3 4 11 2 7" xfId="25001"/>
    <cellStyle name="40% - Accent3 4 11 2 8" xfId="26378"/>
    <cellStyle name="40% - Accent3 4 11 3" xfId="5401"/>
    <cellStyle name="40% - Accent3 4 11 3 2" xfId="6315"/>
    <cellStyle name="40% - Accent3 4 11 3 2 2" xfId="12121"/>
    <cellStyle name="40% - Accent3 4 11 3 2 3" xfId="26387"/>
    <cellStyle name="40% - Accent3 4 11 3 3" xfId="12120"/>
    <cellStyle name="40% - Accent3 4 11 3 4" xfId="26386"/>
    <cellStyle name="40% - Accent3 4 11 4" xfId="5711"/>
    <cellStyle name="40% - Accent3 4 11 4 2" xfId="6316"/>
    <cellStyle name="40% - Accent3 4 11 4 2 2" xfId="12123"/>
    <cellStyle name="40% - Accent3 4 11 4 2 3" xfId="26389"/>
    <cellStyle name="40% - Accent3 4 11 4 3" xfId="12122"/>
    <cellStyle name="40% - Accent3 4 11 4 4" xfId="26388"/>
    <cellStyle name="40% - Accent3 4 11 5" xfId="4549"/>
    <cellStyle name="40% - Accent3 4 11 5 2" xfId="6317"/>
    <cellStyle name="40% - Accent3 4 11 5 2 2" xfId="12126"/>
    <cellStyle name="40% - Accent3 4 11 5 2 3" xfId="12125"/>
    <cellStyle name="40% - Accent3 4 11 5 2 4" xfId="26391"/>
    <cellStyle name="40% - Accent3 4 11 5 3" xfId="12127"/>
    <cellStyle name="40% - Accent3 4 11 5 3 2" xfId="12128"/>
    <cellStyle name="40% - Accent3 4 11 5 4" xfId="12129"/>
    <cellStyle name="40% - Accent3 4 11 5 5" xfId="12124"/>
    <cellStyle name="40% - Accent3 4 11 5 6" xfId="26390"/>
    <cellStyle name="40% - Accent3 4 11 6" xfId="6310"/>
    <cellStyle name="40% - Accent3 4 11 6 2" xfId="12131"/>
    <cellStyle name="40% - Accent3 4 11 6 3" xfId="12130"/>
    <cellStyle name="40% - Accent3 4 11 6 4" xfId="26392"/>
    <cellStyle name="40% - Accent3 4 11 7" xfId="12132"/>
    <cellStyle name="40% - Accent3 4 11 7 2" xfId="12133"/>
    <cellStyle name="40% - Accent3 4 11 8" xfId="12134"/>
    <cellStyle name="40% - Accent3 4 11 9" xfId="12115"/>
    <cellStyle name="40% - Accent3 4 12" xfId="4551"/>
    <cellStyle name="40% - Accent3 4 12 2" xfId="5403"/>
    <cellStyle name="40% - Accent3 4 12 2 2" xfId="6319"/>
    <cellStyle name="40% - Accent3 4 12 2 2 2" xfId="12137"/>
    <cellStyle name="40% - Accent3 4 12 2 2 3" xfId="26395"/>
    <cellStyle name="40% - Accent3 4 12 2 3" xfId="12136"/>
    <cellStyle name="40% - Accent3 4 12 2 4" xfId="26394"/>
    <cellStyle name="40% - Accent3 4 12 3" xfId="5713"/>
    <cellStyle name="40% - Accent3 4 12 3 2" xfId="6320"/>
    <cellStyle name="40% - Accent3 4 12 3 2 2" xfId="12139"/>
    <cellStyle name="40% - Accent3 4 12 3 2 3" xfId="26397"/>
    <cellStyle name="40% - Accent3 4 12 3 3" xfId="12138"/>
    <cellStyle name="40% - Accent3 4 12 3 4" xfId="26396"/>
    <cellStyle name="40% - Accent3 4 12 4" xfId="6318"/>
    <cellStyle name="40% - Accent3 4 12 4 2" xfId="12141"/>
    <cellStyle name="40% - Accent3 4 12 4 3" xfId="12140"/>
    <cellStyle name="40% - Accent3 4 12 4 4" xfId="26398"/>
    <cellStyle name="40% - Accent3 4 12 5" xfId="12142"/>
    <cellStyle name="40% - Accent3 4 12 6" xfId="12135"/>
    <cellStyle name="40% - Accent3 4 12 7" xfId="26393"/>
    <cellStyle name="40% - Accent3 4 13" xfId="5400"/>
    <cellStyle name="40% - Accent3 4 13 2" xfId="6321"/>
    <cellStyle name="40% - Accent3 4 13 2 2" xfId="12145"/>
    <cellStyle name="40% - Accent3 4 13 2 3" xfId="12144"/>
    <cellStyle name="40% - Accent3 4 13 2 4" xfId="26400"/>
    <cellStyle name="40% - Accent3 4 13 3" xfId="12146"/>
    <cellStyle name="40% - Accent3 4 13 3 2" xfId="12147"/>
    <cellStyle name="40% - Accent3 4 13 4" xfId="12148"/>
    <cellStyle name="40% - Accent3 4 13 5" xfId="12143"/>
    <cellStyle name="40% - Accent3 4 13 6" xfId="26399"/>
    <cellStyle name="40% - Accent3 4 14" xfId="5710"/>
    <cellStyle name="40% - Accent3 4 14 2" xfId="6322"/>
    <cellStyle name="40% - Accent3 4 14 2 2" xfId="12150"/>
    <cellStyle name="40% - Accent3 4 14 2 3" xfId="26402"/>
    <cellStyle name="40% - Accent3 4 14 3" xfId="12149"/>
    <cellStyle name="40% - Accent3 4 14 4" xfId="26401"/>
    <cellStyle name="40% - Accent3 4 15" xfId="4547"/>
    <cellStyle name="40% - Accent3 4 15 2" xfId="6323"/>
    <cellStyle name="40% - Accent3 4 15 2 2" xfId="12152"/>
    <cellStyle name="40% - Accent3 4 15 2 3" xfId="26404"/>
    <cellStyle name="40% - Accent3 4 15 3" xfId="12151"/>
    <cellStyle name="40% - Accent3 4 15 4" xfId="26403"/>
    <cellStyle name="40% - Accent3 4 16" xfId="12153"/>
    <cellStyle name="40% - Accent3 4 16 2" xfId="12154"/>
    <cellStyle name="40% - Accent3 4 17" xfId="12155"/>
    <cellStyle name="40% - Accent3 4 17 2" xfId="12156"/>
    <cellStyle name="40% - Accent3 4 17 2 2" xfId="12157"/>
    <cellStyle name="40% - Accent3 4 17 3" xfId="12158"/>
    <cellStyle name="40% - Accent3 4 17 3 2" xfId="12159"/>
    <cellStyle name="40% - Accent3 4 17 4" xfId="12160"/>
    <cellStyle name="40% - Accent3 4 18" xfId="12161"/>
    <cellStyle name="40% - Accent3 4 18 2" xfId="12162"/>
    <cellStyle name="40% - Accent3 4 19" xfId="12163"/>
    <cellStyle name="40% - Accent3 4 19 2" xfId="12164"/>
    <cellStyle name="40% - Accent3 4 2" xfId="1501"/>
    <cellStyle name="40% - Accent3 4 2 10" xfId="12166"/>
    <cellStyle name="40% - Accent3 4 2 10 2" xfId="12167"/>
    <cellStyle name="40% - Accent3 4 2 10 2 2" xfId="12168"/>
    <cellStyle name="40% - Accent3 4 2 10 3" xfId="12169"/>
    <cellStyle name="40% - Accent3 4 2 10 3 2" xfId="12170"/>
    <cellStyle name="40% - Accent3 4 2 10 4" xfId="12171"/>
    <cellStyle name="40% - Accent3 4 2 11" xfId="12172"/>
    <cellStyle name="40% - Accent3 4 2 11 2" xfId="12173"/>
    <cellStyle name="40% - Accent3 4 2 11 2 2" xfId="12174"/>
    <cellStyle name="40% - Accent3 4 2 11 3" xfId="12175"/>
    <cellStyle name="40% - Accent3 4 2 11 3 2" xfId="12176"/>
    <cellStyle name="40% - Accent3 4 2 11 4" xfId="12177"/>
    <cellStyle name="40% - Accent3 4 2 12" xfId="12178"/>
    <cellStyle name="40% - Accent3 4 2 12 2" xfId="12179"/>
    <cellStyle name="40% - Accent3 4 2 12 2 2" xfId="12180"/>
    <cellStyle name="40% - Accent3 4 2 12 3" xfId="12181"/>
    <cellStyle name="40% - Accent3 4 2 12 3 2" xfId="12182"/>
    <cellStyle name="40% - Accent3 4 2 12 4" xfId="12183"/>
    <cellStyle name="40% - Accent3 4 2 13" xfId="12184"/>
    <cellStyle name="40% - Accent3 4 2 13 2" xfId="12185"/>
    <cellStyle name="40% - Accent3 4 2 14" xfId="12186"/>
    <cellStyle name="40% - Accent3 4 2 14 2" xfId="12187"/>
    <cellStyle name="40% - Accent3 4 2 15" xfId="12188"/>
    <cellStyle name="40% - Accent3 4 2 15 2" xfId="12189"/>
    <cellStyle name="40% - Accent3 4 2 16" xfId="12190"/>
    <cellStyle name="40% - Accent3 4 2 16 2" xfId="12191"/>
    <cellStyle name="40% - Accent3 4 2 17" xfId="12192"/>
    <cellStyle name="40% - Accent3 4 2 18" xfId="12165"/>
    <cellStyle name="40% - Accent3 4 2 2" xfId="4552"/>
    <cellStyle name="40% - Accent3 4 2 2 2" xfId="12194"/>
    <cellStyle name="40% - Accent3 4 2 2 2 2" xfId="12195"/>
    <cellStyle name="40% - Accent3 4 2 2 3" xfId="12196"/>
    <cellStyle name="40% - Accent3 4 2 2 3 2" xfId="12197"/>
    <cellStyle name="40% - Accent3 4 2 2 4" xfId="12198"/>
    <cellStyle name="40% - Accent3 4 2 2 5" xfId="12193"/>
    <cellStyle name="40% - Accent3 4 2 3" xfId="12199"/>
    <cellStyle name="40% - Accent3 4 2 3 2" xfId="12200"/>
    <cellStyle name="40% - Accent3 4 2 3 2 2" xfId="12201"/>
    <cellStyle name="40% - Accent3 4 2 3 3" xfId="12202"/>
    <cellStyle name="40% - Accent3 4 2 3 3 2" xfId="12203"/>
    <cellStyle name="40% - Accent3 4 2 3 4" xfId="12204"/>
    <cellStyle name="40% - Accent3 4 2 4" xfId="12205"/>
    <cellStyle name="40% - Accent3 4 2 4 2" xfId="12206"/>
    <cellStyle name="40% - Accent3 4 2 4 2 2" xfId="12207"/>
    <cellStyle name="40% - Accent3 4 2 4 3" xfId="12208"/>
    <cellStyle name="40% - Accent3 4 2 4 3 2" xfId="12209"/>
    <cellStyle name="40% - Accent3 4 2 4 4" xfId="12210"/>
    <cellStyle name="40% - Accent3 4 2 5" xfId="12211"/>
    <cellStyle name="40% - Accent3 4 2 5 2" xfId="12212"/>
    <cellStyle name="40% - Accent3 4 2 5 2 2" xfId="12213"/>
    <cellStyle name="40% - Accent3 4 2 5 3" xfId="12214"/>
    <cellStyle name="40% - Accent3 4 2 5 3 2" xfId="12215"/>
    <cellStyle name="40% - Accent3 4 2 5 4" xfId="12216"/>
    <cellStyle name="40% - Accent3 4 2 6" xfId="12217"/>
    <cellStyle name="40% - Accent3 4 2 6 2" xfId="12218"/>
    <cellStyle name="40% - Accent3 4 2 6 2 2" xfId="12219"/>
    <cellStyle name="40% - Accent3 4 2 6 3" xfId="12220"/>
    <cellStyle name="40% - Accent3 4 2 6 3 2" xfId="12221"/>
    <cellStyle name="40% - Accent3 4 2 6 4" xfId="12222"/>
    <cellStyle name="40% - Accent3 4 2 7" xfId="12223"/>
    <cellStyle name="40% - Accent3 4 2 7 2" xfId="12224"/>
    <cellStyle name="40% - Accent3 4 2 7 2 2" xfId="12225"/>
    <cellStyle name="40% - Accent3 4 2 7 3" xfId="12226"/>
    <cellStyle name="40% - Accent3 4 2 7 3 2" xfId="12227"/>
    <cellStyle name="40% - Accent3 4 2 7 4" xfId="12228"/>
    <cellStyle name="40% - Accent3 4 2 8" xfId="12229"/>
    <cellStyle name="40% - Accent3 4 2 8 2" xfId="12230"/>
    <cellStyle name="40% - Accent3 4 2 8 2 2" xfId="12231"/>
    <cellStyle name="40% - Accent3 4 2 8 3" xfId="12232"/>
    <cellStyle name="40% - Accent3 4 2 8 3 2" xfId="12233"/>
    <cellStyle name="40% - Accent3 4 2 8 4" xfId="12234"/>
    <cellStyle name="40% - Accent3 4 2 9" xfId="12235"/>
    <cellStyle name="40% - Accent3 4 2 9 2" xfId="12236"/>
    <cellStyle name="40% - Accent3 4 2 9 2 2" xfId="12237"/>
    <cellStyle name="40% - Accent3 4 2 9 3" xfId="12238"/>
    <cellStyle name="40% - Accent3 4 2 9 3 2" xfId="12239"/>
    <cellStyle name="40% - Accent3 4 2 9 4" xfId="12240"/>
    <cellStyle name="40% - Accent3 4 20" xfId="12241"/>
    <cellStyle name="40% - Accent3 4 21" xfId="12104"/>
    <cellStyle name="40% - Accent3 4 3" xfId="1626"/>
    <cellStyle name="40% - Accent3 4 3 2" xfId="4553"/>
    <cellStyle name="40% - Accent3 4 3 2 2" xfId="12244"/>
    <cellStyle name="40% - Accent3 4 3 2 3" xfId="12243"/>
    <cellStyle name="40% - Accent3 4 3 3" xfId="12245"/>
    <cellStyle name="40% - Accent3 4 3 3 2" xfId="12246"/>
    <cellStyle name="40% - Accent3 4 3 4" xfId="12247"/>
    <cellStyle name="40% - Accent3 4 3 4 2" xfId="12248"/>
    <cellStyle name="40% - Accent3 4 3 5" xfId="12249"/>
    <cellStyle name="40% - Accent3 4 3 5 2" xfId="12250"/>
    <cellStyle name="40% - Accent3 4 3 6" xfId="12251"/>
    <cellStyle name="40% - Accent3 4 3 7" xfId="12242"/>
    <cellStyle name="40% - Accent3 4 4" xfId="1797"/>
    <cellStyle name="40% - Accent3 4 4 2" xfId="12253"/>
    <cellStyle name="40% - Accent3 4 4 2 2" xfId="12254"/>
    <cellStyle name="40% - Accent3 4 4 3" xfId="12255"/>
    <cellStyle name="40% - Accent3 4 4 3 2" xfId="12256"/>
    <cellStyle name="40% - Accent3 4 4 4" xfId="12257"/>
    <cellStyle name="40% - Accent3 4 4 4 2" xfId="12258"/>
    <cellStyle name="40% - Accent3 4 4 5" xfId="12259"/>
    <cellStyle name="40% - Accent3 4 4 6" xfId="12252"/>
    <cellStyle name="40% - Accent3 4 5" xfId="2133"/>
    <cellStyle name="40% - Accent3 4 5 2" xfId="12261"/>
    <cellStyle name="40% - Accent3 4 5 2 2" xfId="12262"/>
    <cellStyle name="40% - Accent3 4 5 3" xfId="12263"/>
    <cellStyle name="40% - Accent3 4 5 3 2" xfId="12264"/>
    <cellStyle name="40% - Accent3 4 5 4" xfId="12265"/>
    <cellStyle name="40% - Accent3 4 5 4 2" xfId="12266"/>
    <cellStyle name="40% - Accent3 4 5 5" xfId="12267"/>
    <cellStyle name="40% - Accent3 4 5 6" xfId="12260"/>
    <cellStyle name="40% - Accent3 4 6" xfId="2507"/>
    <cellStyle name="40% - Accent3 4 6 2" xfId="12269"/>
    <cellStyle name="40% - Accent3 4 6 2 2" xfId="12270"/>
    <cellStyle name="40% - Accent3 4 6 3" xfId="12271"/>
    <cellStyle name="40% - Accent3 4 6 3 2" xfId="12272"/>
    <cellStyle name="40% - Accent3 4 6 4" xfId="12273"/>
    <cellStyle name="40% - Accent3 4 6 4 2" xfId="12274"/>
    <cellStyle name="40% - Accent3 4 6 5" xfId="12275"/>
    <cellStyle name="40% - Accent3 4 6 6" xfId="12268"/>
    <cellStyle name="40% - Accent3 4 7" xfId="2879"/>
    <cellStyle name="40% - Accent3 4 7 2" xfId="12277"/>
    <cellStyle name="40% - Accent3 4 7 2 2" xfId="12278"/>
    <cellStyle name="40% - Accent3 4 7 3" xfId="12279"/>
    <cellStyle name="40% - Accent3 4 7 3 2" xfId="12280"/>
    <cellStyle name="40% - Accent3 4 7 4" xfId="12281"/>
    <cellStyle name="40% - Accent3 4 7 4 2" xfId="12282"/>
    <cellStyle name="40% - Accent3 4 7 5" xfId="12283"/>
    <cellStyle name="40% - Accent3 4 7 6" xfId="12276"/>
    <cellStyle name="40% - Accent3 4 8" xfId="3250"/>
    <cellStyle name="40% - Accent3 4 8 2" xfId="12285"/>
    <cellStyle name="40% - Accent3 4 8 2 2" xfId="12286"/>
    <cellStyle name="40% - Accent3 4 8 3" xfId="12287"/>
    <cellStyle name="40% - Accent3 4 8 3 2" xfId="12288"/>
    <cellStyle name="40% - Accent3 4 8 4" xfId="12289"/>
    <cellStyle name="40% - Accent3 4 8 4 2" xfId="12290"/>
    <cellStyle name="40% - Accent3 4 8 5" xfId="12291"/>
    <cellStyle name="40% - Accent3 4 8 6" xfId="12284"/>
    <cellStyle name="40% - Accent3 4 9" xfId="3590"/>
    <cellStyle name="40% - Accent3 4 9 2" xfId="4554"/>
    <cellStyle name="40% - Accent3 4 9 2 2" xfId="12294"/>
    <cellStyle name="40% - Accent3 4 9 2 3" xfId="12293"/>
    <cellStyle name="40% - Accent3 4 9 3" xfId="12295"/>
    <cellStyle name="40% - Accent3 4 9 3 2" xfId="12296"/>
    <cellStyle name="40% - Accent3 4 9 4" xfId="12297"/>
    <cellStyle name="40% - Accent3 4 9 4 2" xfId="12298"/>
    <cellStyle name="40% - Accent3 4 9 5" xfId="12299"/>
    <cellStyle name="40% - Accent3 4 9 5 2" xfId="12300"/>
    <cellStyle name="40% - Accent3 4 9 6" xfId="12301"/>
    <cellStyle name="40% - Accent3 4 9 7" xfId="12292"/>
    <cellStyle name="40% - Accent3 5" xfId="391"/>
    <cellStyle name="40% - Accent3 5 10" xfId="12303"/>
    <cellStyle name="40% - Accent3 5 10 2" xfId="12304"/>
    <cellStyle name="40% - Accent3 5 10 2 2" xfId="12305"/>
    <cellStyle name="40% - Accent3 5 10 3" xfId="12306"/>
    <cellStyle name="40% - Accent3 5 10 3 2" xfId="12307"/>
    <cellStyle name="40% - Accent3 5 10 4" xfId="12308"/>
    <cellStyle name="40% - Accent3 5 11" xfId="12309"/>
    <cellStyle name="40% - Accent3 5 11 2" xfId="12310"/>
    <cellStyle name="40% - Accent3 5 11 2 2" xfId="12311"/>
    <cellStyle name="40% - Accent3 5 11 3" xfId="12312"/>
    <cellStyle name="40% - Accent3 5 11 3 2" xfId="12313"/>
    <cellStyle name="40% - Accent3 5 11 4" xfId="12314"/>
    <cellStyle name="40% - Accent3 5 12" xfId="12315"/>
    <cellStyle name="40% - Accent3 5 12 2" xfId="12316"/>
    <cellStyle name="40% - Accent3 5 12 2 2" xfId="12317"/>
    <cellStyle name="40% - Accent3 5 12 3" xfId="12318"/>
    <cellStyle name="40% - Accent3 5 12 3 2" xfId="12319"/>
    <cellStyle name="40% - Accent3 5 12 4" xfId="12320"/>
    <cellStyle name="40% - Accent3 5 13" xfId="12321"/>
    <cellStyle name="40% - Accent3 5 13 2" xfId="12322"/>
    <cellStyle name="40% - Accent3 5 13 2 2" xfId="12323"/>
    <cellStyle name="40% - Accent3 5 13 3" xfId="12324"/>
    <cellStyle name="40% - Accent3 5 13 3 2" xfId="12325"/>
    <cellStyle name="40% - Accent3 5 13 4" xfId="12326"/>
    <cellStyle name="40% - Accent3 5 14" xfId="12327"/>
    <cellStyle name="40% - Accent3 5 14 2" xfId="12328"/>
    <cellStyle name="40% - Accent3 5 15" xfId="12329"/>
    <cellStyle name="40% - Accent3 5 15 2" xfId="12330"/>
    <cellStyle name="40% - Accent3 5 16" xfId="12331"/>
    <cellStyle name="40% - Accent3 5 16 2" xfId="12332"/>
    <cellStyle name="40% - Accent3 5 17" xfId="12333"/>
    <cellStyle name="40% - Accent3 5 17 2" xfId="12334"/>
    <cellStyle name="40% - Accent3 5 18" xfId="12335"/>
    <cellStyle name="40% - Accent3 5 19" xfId="12302"/>
    <cellStyle name="40% - Accent3 5 2" xfId="1860"/>
    <cellStyle name="40% - Accent3 5 2 10" xfId="12337"/>
    <cellStyle name="40% - Accent3 5 2 10 2" xfId="12338"/>
    <cellStyle name="40% - Accent3 5 2 10 2 2" xfId="12339"/>
    <cellStyle name="40% - Accent3 5 2 10 3" xfId="12340"/>
    <cellStyle name="40% - Accent3 5 2 10 3 2" xfId="12341"/>
    <cellStyle name="40% - Accent3 5 2 10 4" xfId="12342"/>
    <cellStyle name="40% - Accent3 5 2 11" xfId="12343"/>
    <cellStyle name="40% - Accent3 5 2 11 2" xfId="12344"/>
    <cellStyle name="40% - Accent3 5 2 11 2 2" xfId="12345"/>
    <cellStyle name="40% - Accent3 5 2 11 3" xfId="12346"/>
    <cellStyle name="40% - Accent3 5 2 11 3 2" xfId="12347"/>
    <cellStyle name="40% - Accent3 5 2 11 4" xfId="12348"/>
    <cellStyle name="40% - Accent3 5 2 12" xfId="12349"/>
    <cellStyle name="40% - Accent3 5 2 12 2" xfId="12350"/>
    <cellStyle name="40% - Accent3 5 2 12 2 2" xfId="12351"/>
    <cellStyle name="40% - Accent3 5 2 12 3" xfId="12352"/>
    <cellStyle name="40% - Accent3 5 2 12 3 2" xfId="12353"/>
    <cellStyle name="40% - Accent3 5 2 12 4" xfId="12354"/>
    <cellStyle name="40% - Accent3 5 2 13" xfId="12355"/>
    <cellStyle name="40% - Accent3 5 2 13 2" xfId="12356"/>
    <cellStyle name="40% - Accent3 5 2 14" xfId="12357"/>
    <cellStyle name="40% - Accent3 5 2 14 2" xfId="12358"/>
    <cellStyle name="40% - Accent3 5 2 15" xfId="12359"/>
    <cellStyle name="40% - Accent3 5 2 15 2" xfId="12360"/>
    <cellStyle name="40% - Accent3 5 2 16" xfId="12361"/>
    <cellStyle name="40% - Accent3 5 2 17" xfId="12336"/>
    <cellStyle name="40% - Accent3 5 2 2" xfId="12362"/>
    <cellStyle name="40% - Accent3 5 2 2 2" xfId="12363"/>
    <cellStyle name="40% - Accent3 5 2 2 2 2" xfId="12364"/>
    <cellStyle name="40% - Accent3 5 2 2 3" xfId="12365"/>
    <cellStyle name="40% - Accent3 5 2 2 3 2" xfId="12366"/>
    <cellStyle name="40% - Accent3 5 2 2 4" xfId="12367"/>
    <cellStyle name="40% - Accent3 5 2 3" xfId="12368"/>
    <cellStyle name="40% - Accent3 5 2 3 2" xfId="12369"/>
    <cellStyle name="40% - Accent3 5 2 3 2 2" xfId="12370"/>
    <cellStyle name="40% - Accent3 5 2 3 3" xfId="12371"/>
    <cellStyle name="40% - Accent3 5 2 3 3 2" xfId="12372"/>
    <cellStyle name="40% - Accent3 5 2 3 4" xfId="12373"/>
    <cellStyle name="40% - Accent3 5 2 4" xfId="12374"/>
    <cellStyle name="40% - Accent3 5 2 4 2" xfId="12375"/>
    <cellStyle name="40% - Accent3 5 2 4 2 2" xfId="12376"/>
    <cellStyle name="40% - Accent3 5 2 4 3" xfId="12377"/>
    <cellStyle name="40% - Accent3 5 2 4 3 2" xfId="12378"/>
    <cellStyle name="40% - Accent3 5 2 4 4" xfId="12379"/>
    <cellStyle name="40% - Accent3 5 2 5" xfId="12380"/>
    <cellStyle name="40% - Accent3 5 2 5 2" xfId="12381"/>
    <cellStyle name="40% - Accent3 5 2 5 2 2" xfId="12382"/>
    <cellStyle name="40% - Accent3 5 2 5 3" xfId="12383"/>
    <cellStyle name="40% - Accent3 5 2 5 3 2" xfId="12384"/>
    <cellStyle name="40% - Accent3 5 2 5 4" xfId="12385"/>
    <cellStyle name="40% - Accent3 5 2 6" xfId="12386"/>
    <cellStyle name="40% - Accent3 5 2 6 2" xfId="12387"/>
    <cellStyle name="40% - Accent3 5 2 6 2 2" xfId="12388"/>
    <cellStyle name="40% - Accent3 5 2 6 3" xfId="12389"/>
    <cellStyle name="40% - Accent3 5 2 6 3 2" xfId="12390"/>
    <cellStyle name="40% - Accent3 5 2 6 4" xfId="12391"/>
    <cellStyle name="40% - Accent3 5 2 7" xfId="12392"/>
    <cellStyle name="40% - Accent3 5 2 7 2" xfId="12393"/>
    <cellStyle name="40% - Accent3 5 2 7 2 2" xfId="12394"/>
    <cellStyle name="40% - Accent3 5 2 7 3" xfId="12395"/>
    <cellStyle name="40% - Accent3 5 2 7 3 2" xfId="12396"/>
    <cellStyle name="40% - Accent3 5 2 7 4" xfId="12397"/>
    <cellStyle name="40% - Accent3 5 2 8" xfId="12398"/>
    <cellStyle name="40% - Accent3 5 2 8 2" xfId="12399"/>
    <cellStyle name="40% - Accent3 5 2 8 2 2" xfId="12400"/>
    <cellStyle name="40% - Accent3 5 2 8 3" xfId="12401"/>
    <cellStyle name="40% - Accent3 5 2 8 3 2" xfId="12402"/>
    <cellStyle name="40% - Accent3 5 2 8 4" xfId="12403"/>
    <cellStyle name="40% - Accent3 5 2 9" xfId="12404"/>
    <cellStyle name="40% - Accent3 5 2 9 2" xfId="12405"/>
    <cellStyle name="40% - Accent3 5 2 9 2 2" xfId="12406"/>
    <cellStyle name="40% - Accent3 5 2 9 3" xfId="12407"/>
    <cellStyle name="40% - Accent3 5 2 9 3 2" xfId="12408"/>
    <cellStyle name="40% - Accent3 5 2 9 4" xfId="12409"/>
    <cellStyle name="40% - Accent3 5 3" xfId="2235"/>
    <cellStyle name="40% - Accent3 5 3 2" xfId="12411"/>
    <cellStyle name="40% - Accent3 5 3 2 2" xfId="12412"/>
    <cellStyle name="40% - Accent3 5 3 3" xfId="12413"/>
    <cellStyle name="40% - Accent3 5 3 3 2" xfId="12414"/>
    <cellStyle name="40% - Accent3 5 3 4" xfId="12415"/>
    <cellStyle name="40% - Accent3 5 3 4 2" xfId="12416"/>
    <cellStyle name="40% - Accent3 5 3 5" xfId="12417"/>
    <cellStyle name="40% - Accent3 5 3 6" xfId="12410"/>
    <cellStyle name="40% - Accent3 5 4" xfId="2609"/>
    <cellStyle name="40% - Accent3 5 4 2" xfId="12419"/>
    <cellStyle name="40% - Accent3 5 4 2 2" xfId="12420"/>
    <cellStyle name="40% - Accent3 5 4 3" xfId="12421"/>
    <cellStyle name="40% - Accent3 5 4 3 2" xfId="12422"/>
    <cellStyle name="40% - Accent3 5 4 4" xfId="12423"/>
    <cellStyle name="40% - Accent3 5 4 4 2" xfId="12424"/>
    <cellStyle name="40% - Accent3 5 4 5" xfId="12425"/>
    <cellStyle name="40% - Accent3 5 4 6" xfId="12418"/>
    <cellStyle name="40% - Accent3 5 5" xfId="2981"/>
    <cellStyle name="40% - Accent3 5 5 2" xfId="12427"/>
    <cellStyle name="40% - Accent3 5 5 2 2" xfId="12428"/>
    <cellStyle name="40% - Accent3 5 5 3" xfId="12429"/>
    <cellStyle name="40% - Accent3 5 5 3 2" xfId="12430"/>
    <cellStyle name="40% - Accent3 5 5 4" xfId="12431"/>
    <cellStyle name="40% - Accent3 5 5 4 2" xfId="12432"/>
    <cellStyle name="40% - Accent3 5 5 5" xfId="12433"/>
    <cellStyle name="40% - Accent3 5 5 6" xfId="12426"/>
    <cellStyle name="40% - Accent3 5 6" xfId="3353"/>
    <cellStyle name="40% - Accent3 5 6 2" xfId="12435"/>
    <cellStyle name="40% - Accent3 5 6 2 2" xfId="12436"/>
    <cellStyle name="40% - Accent3 5 6 3" xfId="12437"/>
    <cellStyle name="40% - Accent3 5 6 3 2" xfId="12438"/>
    <cellStyle name="40% - Accent3 5 6 4" xfId="12439"/>
    <cellStyle name="40% - Accent3 5 6 4 2" xfId="12440"/>
    <cellStyle name="40% - Accent3 5 6 5" xfId="12441"/>
    <cellStyle name="40% - Accent3 5 6 6" xfId="12434"/>
    <cellStyle name="40% - Accent3 5 7" xfId="4555"/>
    <cellStyle name="40% - Accent3 5 7 2" xfId="12443"/>
    <cellStyle name="40% - Accent3 5 7 2 2" xfId="12444"/>
    <cellStyle name="40% - Accent3 5 7 3" xfId="12445"/>
    <cellStyle name="40% - Accent3 5 7 3 2" xfId="12446"/>
    <cellStyle name="40% - Accent3 5 7 4" xfId="12447"/>
    <cellStyle name="40% - Accent3 5 7 5" xfId="12442"/>
    <cellStyle name="40% - Accent3 5 8" xfId="12448"/>
    <cellStyle name="40% - Accent3 5 8 2" xfId="12449"/>
    <cellStyle name="40% - Accent3 5 8 2 2" xfId="12450"/>
    <cellStyle name="40% - Accent3 5 8 3" xfId="12451"/>
    <cellStyle name="40% - Accent3 5 8 3 2" xfId="12452"/>
    <cellStyle name="40% - Accent3 5 8 4" xfId="12453"/>
    <cellStyle name="40% - Accent3 5 9" xfId="12454"/>
    <cellStyle name="40% - Accent3 5 9 2" xfId="12455"/>
    <cellStyle name="40% - Accent3 5 9 2 2" xfId="12456"/>
    <cellStyle name="40% - Accent3 5 9 3" xfId="12457"/>
    <cellStyle name="40% - Accent3 5 9 3 2" xfId="12458"/>
    <cellStyle name="40% - Accent3 5 9 4" xfId="12459"/>
    <cellStyle name="40% - Accent3 6" xfId="392"/>
    <cellStyle name="40% - Accent3 6 10" xfId="5404"/>
    <cellStyle name="40% - Accent3 6 10 2" xfId="6325"/>
    <cellStyle name="40% - Accent3 6 10 2 2" xfId="12463"/>
    <cellStyle name="40% - Accent3 6 10 2 3" xfId="12462"/>
    <cellStyle name="40% - Accent3 6 10 2 4" xfId="26407"/>
    <cellStyle name="40% - Accent3 6 10 3" xfId="12464"/>
    <cellStyle name="40% - Accent3 6 10 3 2" xfId="12465"/>
    <cellStyle name="40% - Accent3 6 10 4" xfId="12466"/>
    <cellStyle name="40% - Accent3 6 10 5" xfId="12461"/>
    <cellStyle name="40% - Accent3 6 10 6" xfId="26406"/>
    <cellStyle name="40% - Accent3 6 11" xfId="5714"/>
    <cellStyle name="40% - Accent3 6 11 2" xfId="6326"/>
    <cellStyle name="40% - Accent3 6 11 2 2" xfId="12469"/>
    <cellStyle name="40% - Accent3 6 11 2 3" xfId="12468"/>
    <cellStyle name="40% - Accent3 6 11 2 4" xfId="26409"/>
    <cellStyle name="40% - Accent3 6 11 3" xfId="12470"/>
    <cellStyle name="40% - Accent3 6 11 3 2" xfId="12471"/>
    <cellStyle name="40% - Accent3 6 11 4" xfId="12472"/>
    <cellStyle name="40% - Accent3 6 11 5" xfId="12467"/>
    <cellStyle name="40% - Accent3 6 11 6" xfId="26408"/>
    <cellStyle name="40% - Accent3 6 12" xfId="4556"/>
    <cellStyle name="40% - Accent3 6 12 2" xfId="6327"/>
    <cellStyle name="40% - Accent3 6 12 2 2" xfId="12475"/>
    <cellStyle name="40% - Accent3 6 12 2 3" xfId="12474"/>
    <cellStyle name="40% - Accent3 6 12 2 4" xfId="26411"/>
    <cellStyle name="40% - Accent3 6 12 3" xfId="12476"/>
    <cellStyle name="40% - Accent3 6 12 3 2" xfId="12477"/>
    <cellStyle name="40% - Accent3 6 12 4" xfId="12478"/>
    <cellStyle name="40% - Accent3 6 12 5" xfId="12473"/>
    <cellStyle name="40% - Accent3 6 12 6" xfId="26410"/>
    <cellStyle name="40% - Accent3 6 13" xfId="6324"/>
    <cellStyle name="40% - Accent3 6 13 2" xfId="12480"/>
    <cellStyle name="40% - Accent3 6 13 3" xfId="12479"/>
    <cellStyle name="40% - Accent3 6 13 4" xfId="26412"/>
    <cellStyle name="40% - Accent3 6 14" xfId="12481"/>
    <cellStyle name="40% - Accent3 6 14 2" xfId="12482"/>
    <cellStyle name="40% - Accent3 6 15" xfId="12483"/>
    <cellStyle name="40% - Accent3 6 15 2" xfId="12484"/>
    <cellStyle name="40% - Accent3 6 16" xfId="12485"/>
    <cellStyle name="40% - Accent3 6 16 2" xfId="12486"/>
    <cellStyle name="40% - Accent3 6 16 2 2" xfId="12487"/>
    <cellStyle name="40% - Accent3 6 16 3" xfId="12488"/>
    <cellStyle name="40% - Accent3 6 16 3 2" xfId="12489"/>
    <cellStyle name="40% - Accent3 6 16 4" xfId="12490"/>
    <cellStyle name="40% - Accent3 6 17" xfId="12491"/>
    <cellStyle name="40% - Accent3 6 17 2" xfId="12492"/>
    <cellStyle name="40% - Accent3 6 18" xfId="12493"/>
    <cellStyle name="40% - Accent3 6 18 2" xfId="12494"/>
    <cellStyle name="40% - Accent3 6 19" xfId="12495"/>
    <cellStyle name="40% - Accent3 6 2" xfId="1977"/>
    <cellStyle name="40% - Accent3 6 2 2" xfId="4557"/>
    <cellStyle name="40% - Accent3 6 2 2 2" xfId="12498"/>
    <cellStyle name="40% - Accent3 6 2 2 3" xfId="12497"/>
    <cellStyle name="40% - Accent3 6 2 3" xfId="12499"/>
    <cellStyle name="40% - Accent3 6 2 3 2" xfId="12500"/>
    <cellStyle name="40% - Accent3 6 2 4" xfId="12501"/>
    <cellStyle name="40% - Accent3 6 2 4 2" xfId="12502"/>
    <cellStyle name="40% - Accent3 6 2 5" xfId="12503"/>
    <cellStyle name="40% - Accent3 6 2 5 2" xfId="12504"/>
    <cellStyle name="40% - Accent3 6 2 6" xfId="12505"/>
    <cellStyle name="40% - Accent3 6 2 7" xfId="12496"/>
    <cellStyle name="40% - Accent3 6 20" xfId="12460"/>
    <cellStyle name="40% - Accent3 6 21" xfId="24839"/>
    <cellStyle name="40% - Accent3 6 22" xfId="26405"/>
    <cellStyle name="40% - Accent3 6 3" xfId="2352"/>
    <cellStyle name="40% - Accent3 6 3 2" xfId="4558"/>
    <cellStyle name="40% - Accent3 6 3 2 2" xfId="12508"/>
    <cellStyle name="40% - Accent3 6 3 2 3" xfId="12507"/>
    <cellStyle name="40% - Accent3 6 3 3" xfId="12509"/>
    <cellStyle name="40% - Accent3 6 3 3 2" xfId="12510"/>
    <cellStyle name="40% - Accent3 6 3 4" xfId="12511"/>
    <cellStyle name="40% - Accent3 6 3 4 2" xfId="12512"/>
    <cellStyle name="40% - Accent3 6 3 5" xfId="12513"/>
    <cellStyle name="40% - Accent3 6 3 5 2" xfId="12514"/>
    <cellStyle name="40% - Accent3 6 3 6" xfId="12515"/>
    <cellStyle name="40% - Accent3 6 3 7" xfId="12506"/>
    <cellStyle name="40% - Accent3 6 4" xfId="2725"/>
    <cellStyle name="40% - Accent3 6 4 2" xfId="4559"/>
    <cellStyle name="40% - Accent3 6 4 2 2" xfId="12518"/>
    <cellStyle name="40% - Accent3 6 4 2 3" xfId="12517"/>
    <cellStyle name="40% - Accent3 6 4 3" xfId="12519"/>
    <cellStyle name="40% - Accent3 6 4 3 2" xfId="12520"/>
    <cellStyle name="40% - Accent3 6 4 4" xfId="12521"/>
    <cellStyle name="40% - Accent3 6 4 4 2" xfId="12522"/>
    <cellStyle name="40% - Accent3 6 4 5" xfId="12523"/>
    <cellStyle name="40% - Accent3 6 4 5 2" xfId="12524"/>
    <cellStyle name="40% - Accent3 6 4 6" xfId="12525"/>
    <cellStyle name="40% - Accent3 6 4 7" xfId="12516"/>
    <cellStyle name="40% - Accent3 6 5" xfId="3098"/>
    <cellStyle name="40% - Accent3 6 5 2" xfId="4560"/>
    <cellStyle name="40% - Accent3 6 5 2 2" xfId="12528"/>
    <cellStyle name="40% - Accent3 6 5 2 3" xfId="12527"/>
    <cellStyle name="40% - Accent3 6 5 3" xfId="12529"/>
    <cellStyle name="40% - Accent3 6 5 3 2" xfId="12530"/>
    <cellStyle name="40% - Accent3 6 5 4" xfId="12531"/>
    <cellStyle name="40% - Accent3 6 5 4 2" xfId="12532"/>
    <cellStyle name="40% - Accent3 6 5 5" xfId="12533"/>
    <cellStyle name="40% - Accent3 6 5 5 2" xfId="12534"/>
    <cellStyle name="40% - Accent3 6 5 6" xfId="12535"/>
    <cellStyle name="40% - Accent3 6 5 7" xfId="12526"/>
    <cellStyle name="40% - Accent3 6 6" xfId="3469"/>
    <cellStyle name="40% - Accent3 6 6 2" xfId="4561"/>
    <cellStyle name="40% - Accent3 6 6 2 2" xfId="12538"/>
    <cellStyle name="40% - Accent3 6 6 2 3" xfId="12537"/>
    <cellStyle name="40% - Accent3 6 6 3" xfId="12539"/>
    <cellStyle name="40% - Accent3 6 6 3 2" xfId="12540"/>
    <cellStyle name="40% - Accent3 6 6 4" xfId="12541"/>
    <cellStyle name="40% - Accent3 6 6 4 2" xfId="12542"/>
    <cellStyle name="40% - Accent3 6 6 5" xfId="12543"/>
    <cellStyle name="40% - Accent3 6 6 5 2" xfId="12544"/>
    <cellStyle name="40% - Accent3 6 6 6" xfId="12545"/>
    <cellStyle name="40% - Accent3 6 6 7" xfId="12536"/>
    <cellStyle name="40% - Accent3 6 7" xfId="3775"/>
    <cellStyle name="40% - Accent3 6 7 2" xfId="4562"/>
    <cellStyle name="40% - Accent3 6 7 2 2" xfId="12548"/>
    <cellStyle name="40% - Accent3 6 7 2 3" xfId="12547"/>
    <cellStyle name="40% - Accent3 6 7 3" xfId="12549"/>
    <cellStyle name="40% - Accent3 6 7 3 2" xfId="12550"/>
    <cellStyle name="40% - Accent3 6 7 4" xfId="12551"/>
    <cellStyle name="40% - Accent3 6 7 4 2" xfId="12552"/>
    <cellStyle name="40% - Accent3 6 7 5" xfId="12553"/>
    <cellStyle name="40% - Accent3 6 7 5 2" xfId="12554"/>
    <cellStyle name="40% - Accent3 6 7 6" xfId="12555"/>
    <cellStyle name="40% - Accent3 6 7 7" xfId="12546"/>
    <cellStyle name="40% - Accent3 6 8" xfId="1359"/>
    <cellStyle name="40% - Accent3 6 8 10" xfId="24891"/>
    <cellStyle name="40% - Accent3 6 8 11" xfId="26413"/>
    <cellStyle name="40% - Accent3 6 8 2" xfId="4159"/>
    <cellStyle name="40% - Accent3 6 8 2 2" xfId="5406"/>
    <cellStyle name="40% - Accent3 6 8 2 2 2" xfId="6330"/>
    <cellStyle name="40% - Accent3 6 8 2 2 2 2" xfId="12559"/>
    <cellStyle name="40% - Accent3 6 8 2 2 2 3" xfId="26416"/>
    <cellStyle name="40% - Accent3 6 8 2 2 3" xfId="12558"/>
    <cellStyle name="40% - Accent3 6 8 2 2 4" xfId="26415"/>
    <cellStyle name="40% - Accent3 6 8 2 3" xfId="5716"/>
    <cellStyle name="40% - Accent3 6 8 2 3 2" xfId="6331"/>
    <cellStyle name="40% - Accent3 6 8 2 3 2 2" xfId="26418"/>
    <cellStyle name="40% - Accent3 6 8 2 3 3" xfId="12560"/>
    <cellStyle name="40% - Accent3 6 8 2 3 4" xfId="26417"/>
    <cellStyle name="40% - Accent3 6 8 2 4" xfId="4564"/>
    <cellStyle name="40% - Accent3 6 8 2 4 2" xfId="6332"/>
    <cellStyle name="40% - Accent3 6 8 2 4 2 2" xfId="26420"/>
    <cellStyle name="40% - Accent3 6 8 2 4 3" xfId="26419"/>
    <cellStyle name="40% - Accent3 6 8 2 5" xfId="6329"/>
    <cellStyle name="40% - Accent3 6 8 2 5 2" xfId="26421"/>
    <cellStyle name="40% - Accent3 6 8 2 6" xfId="12557"/>
    <cellStyle name="40% - Accent3 6 8 2 7" xfId="25011"/>
    <cellStyle name="40% - Accent3 6 8 2 8" xfId="26414"/>
    <cellStyle name="40% - Accent3 6 8 3" xfId="5405"/>
    <cellStyle name="40% - Accent3 6 8 3 2" xfId="6333"/>
    <cellStyle name="40% - Accent3 6 8 3 2 2" xfId="12562"/>
    <cellStyle name="40% - Accent3 6 8 3 2 3" xfId="26423"/>
    <cellStyle name="40% - Accent3 6 8 3 3" xfId="12561"/>
    <cellStyle name="40% - Accent3 6 8 3 4" xfId="26422"/>
    <cellStyle name="40% - Accent3 6 8 4" xfId="5715"/>
    <cellStyle name="40% - Accent3 6 8 4 2" xfId="6334"/>
    <cellStyle name="40% - Accent3 6 8 4 2 2" xfId="12564"/>
    <cellStyle name="40% - Accent3 6 8 4 2 3" xfId="26425"/>
    <cellStyle name="40% - Accent3 6 8 4 3" xfId="12563"/>
    <cellStyle name="40% - Accent3 6 8 4 4" xfId="26424"/>
    <cellStyle name="40% - Accent3 6 8 5" xfId="4563"/>
    <cellStyle name="40% - Accent3 6 8 5 2" xfId="6335"/>
    <cellStyle name="40% - Accent3 6 8 5 2 2" xfId="12567"/>
    <cellStyle name="40% - Accent3 6 8 5 2 3" xfId="12566"/>
    <cellStyle name="40% - Accent3 6 8 5 2 4" xfId="26427"/>
    <cellStyle name="40% - Accent3 6 8 5 3" xfId="12568"/>
    <cellStyle name="40% - Accent3 6 8 5 3 2" xfId="12569"/>
    <cellStyle name="40% - Accent3 6 8 5 4" xfId="12570"/>
    <cellStyle name="40% - Accent3 6 8 5 5" xfId="12565"/>
    <cellStyle name="40% - Accent3 6 8 5 6" xfId="26426"/>
    <cellStyle name="40% - Accent3 6 8 6" xfId="6328"/>
    <cellStyle name="40% - Accent3 6 8 6 2" xfId="12572"/>
    <cellStyle name="40% - Accent3 6 8 6 3" xfId="12571"/>
    <cellStyle name="40% - Accent3 6 8 6 4" xfId="26428"/>
    <cellStyle name="40% - Accent3 6 8 7" xfId="12573"/>
    <cellStyle name="40% - Accent3 6 8 7 2" xfId="12574"/>
    <cellStyle name="40% - Accent3 6 8 8" xfId="12575"/>
    <cellStyle name="40% - Accent3 6 8 9" xfId="12556"/>
    <cellStyle name="40% - Accent3 6 9" xfId="3825"/>
    <cellStyle name="40% - Accent3 6 9 2" xfId="5407"/>
    <cellStyle name="40% - Accent3 6 9 2 2" xfId="6337"/>
    <cellStyle name="40% - Accent3 6 9 2 2 2" xfId="12578"/>
    <cellStyle name="40% - Accent3 6 9 2 2 3" xfId="26431"/>
    <cellStyle name="40% - Accent3 6 9 2 3" xfId="12577"/>
    <cellStyle name="40% - Accent3 6 9 2 4" xfId="26430"/>
    <cellStyle name="40% - Accent3 6 9 3" xfId="5717"/>
    <cellStyle name="40% - Accent3 6 9 3 2" xfId="6338"/>
    <cellStyle name="40% - Accent3 6 9 3 2 2" xfId="12580"/>
    <cellStyle name="40% - Accent3 6 9 3 2 3" xfId="26433"/>
    <cellStyle name="40% - Accent3 6 9 3 3" xfId="12579"/>
    <cellStyle name="40% - Accent3 6 9 3 4" xfId="26432"/>
    <cellStyle name="40% - Accent3 6 9 4" xfId="4565"/>
    <cellStyle name="40% - Accent3 6 9 4 2" xfId="6339"/>
    <cellStyle name="40% - Accent3 6 9 4 2 2" xfId="12582"/>
    <cellStyle name="40% - Accent3 6 9 4 2 3" xfId="26435"/>
    <cellStyle name="40% - Accent3 6 9 4 3" xfId="12581"/>
    <cellStyle name="40% - Accent3 6 9 4 4" xfId="26434"/>
    <cellStyle name="40% - Accent3 6 9 5" xfId="6336"/>
    <cellStyle name="40% - Accent3 6 9 5 2" xfId="12583"/>
    <cellStyle name="40% - Accent3 6 9 5 3" xfId="26436"/>
    <cellStyle name="40% - Accent3 6 9 6" xfId="12576"/>
    <cellStyle name="40% - Accent3 6 9 7" xfId="24961"/>
    <cellStyle name="40% - Accent3 6 9 8" xfId="26429"/>
    <cellStyle name="40% - Accent3 7" xfId="393"/>
    <cellStyle name="40% - Accent3 7 10" xfId="12585"/>
    <cellStyle name="40% - Accent3 7 10 2" xfId="12586"/>
    <cellStyle name="40% - Accent3 7 10 2 2" xfId="12587"/>
    <cellStyle name="40% - Accent3 7 10 3" xfId="12588"/>
    <cellStyle name="40% - Accent3 7 10 3 2" xfId="12589"/>
    <cellStyle name="40% - Accent3 7 10 4" xfId="12590"/>
    <cellStyle name="40% - Accent3 7 11" xfId="12591"/>
    <cellStyle name="40% - Accent3 7 11 2" xfId="12592"/>
    <cellStyle name="40% - Accent3 7 11 2 2" xfId="12593"/>
    <cellStyle name="40% - Accent3 7 11 3" xfId="12594"/>
    <cellStyle name="40% - Accent3 7 11 3 2" xfId="12595"/>
    <cellStyle name="40% - Accent3 7 11 4" xfId="12596"/>
    <cellStyle name="40% - Accent3 7 12" xfId="12597"/>
    <cellStyle name="40% - Accent3 7 12 2" xfId="12598"/>
    <cellStyle name="40% - Accent3 7 12 2 2" xfId="12599"/>
    <cellStyle name="40% - Accent3 7 12 3" xfId="12600"/>
    <cellStyle name="40% - Accent3 7 12 3 2" xfId="12601"/>
    <cellStyle name="40% - Accent3 7 12 4" xfId="12602"/>
    <cellStyle name="40% - Accent3 7 13" xfId="12603"/>
    <cellStyle name="40% - Accent3 7 13 2" xfId="12604"/>
    <cellStyle name="40% - Accent3 7 14" xfId="12605"/>
    <cellStyle name="40% - Accent3 7 14 2" xfId="12606"/>
    <cellStyle name="40% - Accent3 7 15" xfId="12607"/>
    <cellStyle name="40% - Accent3 7 15 2" xfId="12608"/>
    <cellStyle name="40% - Accent3 7 16" xfId="12609"/>
    <cellStyle name="40% - Accent3 7 16 2" xfId="12610"/>
    <cellStyle name="40% - Accent3 7 17" xfId="12611"/>
    <cellStyle name="40% - Accent3 7 18" xfId="12584"/>
    <cellStyle name="40% - Accent3 7 2" xfId="4566"/>
    <cellStyle name="40% - Accent3 7 2 2" xfId="12613"/>
    <cellStyle name="40% - Accent3 7 2 2 2" xfId="12614"/>
    <cellStyle name="40% - Accent3 7 2 3" xfId="12615"/>
    <cellStyle name="40% - Accent3 7 2 3 2" xfId="12616"/>
    <cellStyle name="40% - Accent3 7 2 4" xfId="12617"/>
    <cellStyle name="40% - Accent3 7 2 5" xfId="12612"/>
    <cellStyle name="40% - Accent3 7 3" xfId="12618"/>
    <cellStyle name="40% - Accent3 7 3 2" xfId="12619"/>
    <cellStyle name="40% - Accent3 7 3 2 2" xfId="12620"/>
    <cellStyle name="40% - Accent3 7 3 3" xfId="12621"/>
    <cellStyle name="40% - Accent3 7 3 3 2" xfId="12622"/>
    <cellStyle name="40% - Accent3 7 3 4" xfId="12623"/>
    <cellStyle name="40% - Accent3 7 4" xfId="12624"/>
    <cellStyle name="40% - Accent3 7 4 2" xfId="12625"/>
    <cellStyle name="40% - Accent3 7 4 2 2" xfId="12626"/>
    <cellStyle name="40% - Accent3 7 4 3" xfId="12627"/>
    <cellStyle name="40% - Accent3 7 4 3 2" xfId="12628"/>
    <cellStyle name="40% - Accent3 7 4 4" xfId="12629"/>
    <cellStyle name="40% - Accent3 7 5" xfId="12630"/>
    <cellStyle name="40% - Accent3 7 5 2" xfId="12631"/>
    <cellStyle name="40% - Accent3 7 5 2 2" xfId="12632"/>
    <cellStyle name="40% - Accent3 7 5 3" xfId="12633"/>
    <cellStyle name="40% - Accent3 7 5 3 2" xfId="12634"/>
    <cellStyle name="40% - Accent3 7 5 4" xfId="12635"/>
    <cellStyle name="40% - Accent3 7 6" xfId="12636"/>
    <cellStyle name="40% - Accent3 7 6 2" xfId="12637"/>
    <cellStyle name="40% - Accent3 7 6 2 2" xfId="12638"/>
    <cellStyle name="40% - Accent3 7 6 3" xfId="12639"/>
    <cellStyle name="40% - Accent3 7 6 3 2" xfId="12640"/>
    <cellStyle name="40% - Accent3 7 6 4" xfId="12641"/>
    <cellStyle name="40% - Accent3 7 7" xfId="12642"/>
    <cellStyle name="40% - Accent3 7 7 2" xfId="12643"/>
    <cellStyle name="40% - Accent3 7 7 2 2" xfId="12644"/>
    <cellStyle name="40% - Accent3 7 7 3" xfId="12645"/>
    <cellStyle name="40% - Accent3 7 7 3 2" xfId="12646"/>
    <cellStyle name="40% - Accent3 7 7 4" xfId="12647"/>
    <cellStyle name="40% - Accent3 7 8" xfId="12648"/>
    <cellStyle name="40% - Accent3 7 8 2" xfId="12649"/>
    <cellStyle name="40% - Accent3 7 8 2 2" xfId="12650"/>
    <cellStyle name="40% - Accent3 7 8 3" xfId="12651"/>
    <cellStyle name="40% - Accent3 7 8 3 2" xfId="12652"/>
    <cellStyle name="40% - Accent3 7 8 4" xfId="12653"/>
    <cellStyle name="40% - Accent3 7 9" xfId="12654"/>
    <cellStyle name="40% - Accent3 7 9 2" xfId="12655"/>
    <cellStyle name="40% - Accent3 7 9 2 2" xfId="12656"/>
    <cellStyle name="40% - Accent3 7 9 3" xfId="12657"/>
    <cellStyle name="40% - Accent3 7 9 3 2" xfId="12658"/>
    <cellStyle name="40% - Accent3 7 9 4" xfId="12659"/>
    <cellStyle name="40% - Accent3 8" xfId="544"/>
    <cellStyle name="40% - Accent3 8 10" xfId="12660"/>
    <cellStyle name="40% - Accent3 8 11" xfId="24853"/>
    <cellStyle name="40% - Accent3 8 12" xfId="26437"/>
    <cellStyle name="40% - Accent3 8 2" xfId="1377"/>
    <cellStyle name="40% - Accent3 8 2 10" xfId="24909"/>
    <cellStyle name="40% - Accent3 8 2 11" xfId="26438"/>
    <cellStyle name="40% - Accent3 8 2 2" xfId="4177"/>
    <cellStyle name="40% - Accent3 8 2 2 2" xfId="5410"/>
    <cellStyle name="40% - Accent3 8 2 2 2 2" xfId="6343"/>
    <cellStyle name="40% - Accent3 8 2 2 2 2 2" xfId="12664"/>
    <cellStyle name="40% - Accent3 8 2 2 2 2 3" xfId="26441"/>
    <cellStyle name="40% - Accent3 8 2 2 2 3" xfId="12663"/>
    <cellStyle name="40% - Accent3 8 2 2 2 4" xfId="26440"/>
    <cellStyle name="40% - Accent3 8 2 2 3" xfId="5720"/>
    <cellStyle name="40% - Accent3 8 2 2 3 2" xfId="6344"/>
    <cellStyle name="40% - Accent3 8 2 2 3 2 2" xfId="26443"/>
    <cellStyle name="40% - Accent3 8 2 2 3 3" xfId="12665"/>
    <cellStyle name="40% - Accent3 8 2 2 3 4" xfId="26442"/>
    <cellStyle name="40% - Accent3 8 2 2 4" xfId="4569"/>
    <cellStyle name="40% - Accent3 8 2 2 4 2" xfId="6345"/>
    <cellStyle name="40% - Accent3 8 2 2 4 2 2" xfId="26445"/>
    <cellStyle name="40% - Accent3 8 2 2 4 3" xfId="26444"/>
    <cellStyle name="40% - Accent3 8 2 2 5" xfId="6342"/>
    <cellStyle name="40% - Accent3 8 2 2 5 2" xfId="26446"/>
    <cellStyle name="40% - Accent3 8 2 2 6" xfId="12662"/>
    <cellStyle name="40% - Accent3 8 2 2 7" xfId="25029"/>
    <cellStyle name="40% - Accent3 8 2 2 8" xfId="26439"/>
    <cellStyle name="40% - Accent3 8 2 3" xfId="5409"/>
    <cellStyle name="40% - Accent3 8 2 3 2" xfId="6346"/>
    <cellStyle name="40% - Accent3 8 2 3 2 2" xfId="12667"/>
    <cellStyle name="40% - Accent3 8 2 3 2 3" xfId="26448"/>
    <cellStyle name="40% - Accent3 8 2 3 3" xfId="12666"/>
    <cellStyle name="40% - Accent3 8 2 3 4" xfId="26447"/>
    <cellStyle name="40% - Accent3 8 2 4" xfId="5719"/>
    <cellStyle name="40% - Accent3 8 2 4 2" xfId="6347"/>
    <cellStyle name="40% - Accent3 8 2 4 2 2" xfId="12669"/>
    <cellStyle name="40% - Accent3 8 2 4 2 3" xfId="26450"/>
    <cellStyle name="40% - Accent3 8 2 4 3" xfId="12668"/>
    <cellStyle name="40% - Accent3 8 2 4 4" xfId="26449"/>
    <cellStyle name="40% - Accent3 8 2 5" xfId="4568"/>
    <cellStyle name="40% - Accent3 8 2 5 2" xfId="6348"/>
    <cellStyle name="40% - Accent3 8 2 5 2 2" xfId="12672"/>
    <cellStyle name="40% - Accent3 8 2 5 2 3" xfId="12671"/>
    <cellStyle name="40% - Accent3 8 2 5 2 4" xfId="26452"/>
    <cellStyle name="40% - Accent3 8 2 5 3" xfId="12673"/>
    <cellStyle name="40% - Accent3 8 2 5 3 2" xfId="12674"/>
    <cellStyle name="40% - Accent3 8 2 5 4" xfId="12675"/>
    <cellStyle name="40% - Accent3 8 2 5 5" xfId="12670"/>
    <cellStyle name="40% - Accent3 8 2 5 6" xfId="26451"/>
    <cellStyle name="40% - Accent3 8 2 6" xfId="6341"/>
    <cellStyle name="40% - Accent3 8 2 6 2" xfId="12677"/>
    <cellStyle name="40% - Accent3 8 2 6 3" xfId="12676"/>
    <cellStyle name="40% - Accent3 8 2 6 4" xfId="26453"/>
    <cellStyle name="40% - Accent3 8 2 7" xfId="12678"/>
    <cellStyle name="40% - Accent3 8 2 7 2" xfId="12679"/>
    <cellStyle name="40% - Accent3 8 2 8" xfId="12680"/>
    <cellStyle name="40% - Accent3 8 2 9" xfId="12661"/>
    <cellStyle name="40% - Accent3 8 3" xfId="3839"/>
    <cellStyle name="40% - Accent3 8 3 2" xfId="5411"/>
    <cellStyle name="40% - Accent3 8 3 2 2" xfId="6350"/>
    <cellStyle name="40% - Accent3 8 3 2 2 2" xfId="12683"/>
    <cellStyle name="40% - Accent3 8 3 2 2 3" xfId="26456"/>
    <cellStyle name="40% - Accent3 8 3 2 3" xfId="12682"/>
    <cellStyle name="40% - Accent3 8 3 2 4" xfId="26455"/>
    <cellStyle name="40% - Accent3 8 3 3" xfId="5721"/>
    <cellStyle name="40% - Accent3 8 3 3 2" xfId="6351"/>
    <cellStyle name="40% - Accent3 8 3 3 2 2" xfId="26458"/>
    <cellStyle name="40% - Accent3 8 3 3 3" xfId="12684"/>
    <cellStyle name="40% - Accent3 8 3 3 4" xfId="26457"/>
    <cellStyle name="40% - Accent3 8 3 4" xfId="4570"/>
    <cellStyle name="40% - Accent3 8 3 4 2" xfId="6352"/>
    <cellStyle name="40% - Accent3 8 3 4 2 2" xfId="26460"/>
    <cellStyle name="40% - Accent3 8 3 4 3" xfId="26459"/>
    <cellStyle name="40% - Accent3 8 3 5" xfId="6349"/>
    <cellStyle name="40% - Accent3 8 3 5 2" xfId="26461"/>
    <cellStyle name="40% - Accent3 8 3 6" xfId="12681"/>
    <cellStyle name="40% - Accent3 8 3 7" xfId="24975"/>
    <cellStyle name="40% - Accent3 8 3 8" xfId="26454"/>
    <cellStyle name="40% - Accent3 8 4" xfId="5408"/>
    <cellStyle name="40% - Accent3 8 4 2" xfId="6353"/>
    <cellStyle name="40% - Accent3 8 4 2 2" xfId="12686"/>
    <cellStyle name="40% - Accent3 8 4 2 3" xfId="26463"/>
    <cellStyle name="40% - Accent3 8 4 3" xfId="12685"/>
    <cellStyle name="40% - Accent3 8 4 4" xfId="26462"/>
    <cellStyle name="40% - Accent3 8 5" xfId="5718"/>
    <cellStyle name="40% - Accent3 8 5 2" xfId="6354"/>
    <cellStyle name="40% - Accent3 8 5 2 2" xfId="12688"/>
    <cellStyle name="40% - Accent3 8 5 2 3" xfId="26465"/>
    <cellStyle name="40% - Accent3 8 5 3" xfId="12687"/>
    <cellStyle name="40% - Accent3 8 5 4" xfId="26464"/>
    <cellStyle name="40% - Accent3 8 6" xfId="4567"/>
    <cellStyle name="40% - Accent3 8 6 2" xfId="6355"/>
    <cellStyle name="40% - Accent3 8 6 2 2" xfId="12691"/>
    <cellStyle name="40% - Accent3 8 6 2 3" xfId="12690"/>
    <cellStyle name="40% - Accent3 8 6 2 4" xfId="26467"/>
    <cellStyle name="40% - Accent3 8 6 3" xfId="12692"/>
    <cellStyle name="40% - Accent3 8 6 3 2" xfId="12693"/>
    <cellStyle name="40% - Accent3 8 6 4" xfId="12694"/>
    <cellStyle name="40% - Accent3 8 6 5" xfId="12689"/>
    <cellStyle name="40% - Accent3 8 6 6" xfId="26466"/>
    <cellStyle name="40% - Accent3 8 7" xfId="6340"/>
    <cellStyle name="40% - Accent3 8 7 2" xfId="12696"/>
    <cellStyle name="40% - Accent3 8 7 3" xfId="12695"/>
    <cellStyle name="40% - Accent3 8 7 4" xfId="26468"/>
    <cellStyle name="40% - Accent3 8 8" xfId="12697"/>
    <cellStyle name="40% - Accent3 8 8 2" xfId="12698"/>
    <cellStyle name="40% - Accent3 8 9" xfId="12699"/>
    <cellStyle name="40% - Accent3 9" xfId="545"/>
    <cellStyle name="40% - Accent3 9 2" xfId="4571"/>
    <cellStyle name="40% - Accent3 9 2 2" xfId="12702"/>
    <cellStyle name="40% - Accent3 9 2 2 2" xfId="12703"/>
    <cellStyle name="40% - Accent3 9 2 3" xfId="12704"/>
    <cellStyle name="40% - Accent3 9 2 3 2" xfId="12705"/>
    <cellStyle name="40% - Accent3 9 2 4" xfId="12706"/>
    <cellStyle name="40% - Accent3 9 2 5" xfId="12701"/>
    <cellStyle name="40% - Accent3 9 3" xfId="12707"/>
    <cellStyle name="40% - Accent3 9 3 2" xfId="12708"/>
    <cellStyle name="40% - Accent3 9 4" xfId="12709"/>
    <cellStyle name="40% - Accent3 9 4 2" xfId="12710"/>
    <cellStyle name="40% - Accent3 9 5" xfId="12711"/>
    <cellStyle name="40% - Accent3 9 5 2" xfId="12712"/>
    <cellStyle name="40% - Accent3 9 6" xfId="12713"/>
    <cellStyle name="40% - Accent3 9 6 2" xfId="12714"/>
    <cellStyle name="40% - Accent3 9 7" xfId="12715"/>
    <cellStyle name="40% - Accent3 9 8" xfId="12700"/>
    <cellStyle name="40% - Accent4 10" xfId="676"/>
    <cellStyle name="40% - Accent4 10 2" xfId="4572"/>
    <cellStyle name="40% - Accent4 10 2 2" xfId="12719"/>
    <cellStyle name="40% - Accent4 10 2 3" xfId="12718"/>
    <cellStyle name="40% - Accent4 10 3" xfId="12720"/>
    <cellStyle name="40% - Accent4 10 3 2" xfId="12721"/>
    <cellStyle name="40% - Accent4 10 4" xfId="12722"/>
    <cellStyle name="40% - Accent4 10 4 2" xfId="12723"/>
    <cellStyle name="40% - Accent4 10 5" xfId="12724"/>
    <cellStyle name="40% - Accent4 10 5 2" xfId="12725"/>
    <cellStyle name="40% - Accent4 10 6" xfId="12726"/>
    <cellStyle name="40% - Accent4 10 7" xfId="12717"/>
    <cellStyle name="40% - Accent4 11" xfId="677"/>
    <cellStyle name="40% - Accent4 11 2" xfId="4573"/>
    <cellStyle name="40% - Accent4 11 2 2" xfId="12729"/>
    <cellStyle name="40% - Accent4 11 2 3" xfId="12728"/>
    <cellStyle name="40% - Accent4 11 3" xfId="12730"/>
    <cellStyle name="40% - Accent4 11 3 2" xfId="12731"/>
    <cellStyle name="40% - Accent4 11 4" xfId="12732"/>
    <cellStyle name="40% - Accent4 11 4 2" xfId="12733"/>
    <cellStyle name="40% - Accent4 11 5" xfId="12734"/>
    <cellStyle name="40% - Accent4 11 5 2" xfId="12735"/>
    <cellStyle name="40% - Accent4 11 6" xfId="12736"/>
    <cellStyle name="40% - Accent4 11 7" xfId="12727"/>
    <cellStyle name="40% - Accent4 12" xfId="825"/>
    <cellStyle name="40% - Accent4 12 2" xfId="12738"/>
    <cellStyle name="40% - Accent4 12 2 2" xfId="12739"/>
    <cellStyle name="40% - Accent4 12 3" xfId="12740"/>
    <cellStyle name="40% - Accent4 12 3 2" xfId="12741"/>
    <cellStyle name="40% - Accent4 12 4" xfId="12742"/>
    <cellStyle name="40% - Accent4 12 5" xfId="12737"/>
    <cellStyle name="40% - Accent4 13" xfId="826"/>
    <cellStyle name="40% - Accent4 13 2" xfId="3854"/>
    <cellStyle name="40% - Accent4 13 2 2" xfId="6357"/>
    <cellStyle name="40% - Accent4 13 2 2 2" xfId="12745"/>
    <cellStyle name="40% - Accent4 13 2 2 3" xfId="26471"/>
    <cellStyle name="40% - Accent4 13 2 3" xfId="12744"/>
    <cellStyle name="40% - Accent4 13 2 4" xfId="24990"/>
    <cellStyle name="40% - Accent4 13 2 5" xfId="26470"/>
    <cellStyle name="40% - Accent4 13 3" xfId="6356"/>
    <cellStyle name="40% - Accent4 13 3 2" xfId="12747"/>
    <cellStyle name="40% - Accent4 13 3 3" xfId="12746"/>
    <cellStyle name="40% - Accent4 13 3 4" xfId="26472"/>
    <cellStyle name="40% - Accent4 13 4" xfId="12748"/>
    <cellStyle name="40% - Accent4 13 5" xfId="12743"/>
    <cellStyle name="40% - Accent4 13 6" xfId="24869"/>
    <cellStyle name="40% - Accent4 13 7" xfId="26469"/>
    <cellStyle name="40% - Accent4 14" xfId="939"/>
    <cellStyle name="40% - Accent4 14 2" xfId="12750"/>
    <cellStyle name="40% - Accent4 14 2 2" xfId="12751"/>
    <cellStyle name="40% - Accent4 14 3" xfId="12752"/>
    <cellStyle name="40% - Accent4 14 3 2" xfId="12753"/>
    <cellStyle name="40% - Accent4 14 4" xfId="12754"/>
    <cellStyle name="40% - Accent4 14 5" xfId="12749"/>
    <cellStyle name="40% - Accent4 15" xfId="12755"/>
    <cellStyle name="40% - Accent4 15 2" xfId="12756"/>
    <cellStyle name="40% - Accent4 15 2 2" xfId="12757"/>
    <cellStyle name="40% - Accent4 15 3" xfId="12758"/>
    <cellStyle name="40% - Accent4 15 3 2" xfId="12759"/>
    <cellStyle name="40% - Accent4 15 4" xfId="12760"/>
    <cellStyle name="40% - Accent4 16" xfId="12761"/>
    <cellStyle name="40% - Accent4 16 2" xfId="12762"/>
    <cellStyle name="40% - Accent4 16 2 2" xfId="12763"/>
    <cellStyle name="40% - Accent4 16 3" xfId="12764"/>
    <cellStyle name="40% - Accent4 16 3 2" xfId="12765"/>
    <cellStyle name="40% - Accent4 16 4" xfId="12766"/>
    <cellStyle name="40% - Accent4 17" xfId="12767"/>
    <cellStyle name="40% - Accent4 17 2" xfId="12768"/>
    <cellStyle name="40% - Accent4 17 2 2" xfId="12769"/>
    <cellStyle name="40% - Accent4 17 3" xfId="12770"/>
    <cellStyle name="40% - Accent4 17 3 2" xfId="12771"/>
    <cellStyle name="40% - Accent4 17 4" xfId="12772"/>
    <cellStyle name="40% - Accent4 18" xfId="12773"/>
    <cellStyle name="40% - Accent4 18 2" xfId="12774"/>
    <cellStyle name="40% - Accent4 18 2 2" xfId="12775"/>
    <cellStyle name="40% - Accent4 18 3" xfId="12776"/>
    <cellStyle name="40% - Accent4 18 3 2" xfId="12777"/>
    <cellStyle name="40% - Accent4 18 4" xfId="12778"/>
    <cellStyle name="40% - Accent4 19" xfId="12779"/>
    <cellStyle name="40% - Accent4 19 2" xfId="12780"/>
    <cellStyle name="40% - Accent4 19 2 2" xfId="12781"/>
    <cellStyle name="40% - Accent4 19 3" xfId="12782"/>
    <cellStyle name="40% - Accent4 2" xfId="77"/>
    <cellStyle name="40% - Accent4 2 10" xfId="1676"/>
    <cellStyle name="40% - Accent4 2 10 2" xfId="4574"/>
    <cellStyle name="40% - Accent4 2 10 2 2" xfId="12786"/>
    <cellStyle name="40% - Accent4 2 10 2 3" xfId="12785"/>
    <cellStyle name="40% - Accent4 2 10 3" xfId="12787"/>
    <cellStyle name="40% - Accent4 2 10 3 2" xfId="12788"/>
    <cellStyle name="40% - Accent4 2 10 4" xfId="12789"/>
    <cellStyle name="40% - Accent4 2 10 4 2" xfId="12790"/>
    <cellStyle name="40% - Accent4 2 10 5" xfId="12791"/>
    <cellStyle name="40% - Accent4 2 10 5 2" xfId="12792"/>
    <cellStyle name="40% - Accent4 2 10 6" xfId="12793"/>
    <cellStyle name="40% - Accent4 2 10 7" xfId="12784"/>
    <cellStyle name="40% - Accent4 2 11" xfId="2011"/>
    <cellStyle name="40% - Accent4 2 11 2" xfId="4575"/>
    <cellStyle name="40% - Accent4 2 11 2 2" xfId="12796"/>
    <cellStyle name="40% - Accent4 2 11 2 3" xfId="12795"/>
    <cellStyle name="40% - Accent4 2 11 3" xfId="12797"/>
    <cellStyle name="40% - Accent4 2 11 3 2" xfId="12798"/>
    <cellStyle name="40% - Accent4 2 11 4" xfId="12799"/>
    <cellStyle name="40% - Accent4 2 11 4 2" xfId="12800"/>
    <cellStyle name="40% - Accent4 2 11 5" xfId="12801"/>
    <cellStyle name="40% - Accent4 2 11 5 2" xfId="12802"/>
    <cellStyle name="40% - Accent4 2 11 6" xfId="12803"/>
    <cellStyle name="40% - Accent4 2 11 7" xfId="12794"/>
    <cellStyle name="40% - Accent4 2 12" xfId="2385"/>
    <cellStyle name="40% - Accent4 2 12 2" xfId="4576"/>
    <cellStyle name="40% - Accent4 2 12 2 2" xfId="12806"/>
    <cellStyle name="40% - Accent4 2 12 2 3" xfId="12805"/>
    <cellStyle name="40% - Accent4 2 12 3" xfId="12807"/>
    <cellStyle name="40% - Accent4 2 12 3 2" xfId="12808"/>
    <cellStyle name="40% - Accent4 2 12 4" xfId="12809"/>
    <cellStyle name="40% - Accent4 2 12 4 2" xfId="12810"/>
    <cellStyle name="40% - Accent4 2 12 5" xfId="12811"/>
    <cellStyle name="40% - Accent4 2 12 5 2" xfId="12812"/>
    <cellStyle name="40% - Accent4 2 12 6" xfId="12813"/>
    <cellStyle name="40% - Accent4 2 12 7" xfId="12804"/>
    <cellStyle name="40% - Accent4 2 13" xfId="2758"/>
    <cellStyle name="40% - Accent4 2 13 2" xfId="4577"/>
    <cellStyle name="40% - Accent4 2 13 2 2" xfId="12816"/>
    <cellStyle name="40% - Accent4 2 13 2 3" xfId="12815"/>
    <cellStyle name="40% - Accent4 2 13 3" xfId="12817"/>
    <cellStyle name="40% - Accent4 2 13 3 2" xfId="12818"/>
    <cellStyle name="40% - Accent4 2 13 4" xfId="12819"/>
    <cellStyle name="40% - Accent4 2 13 4 2" xfId="12820"/>
    <cellStyle name="40% - Accent4 2 13 5" xfId="12821"/>
    <cellStyle name="40% - Accent4 2 13 5 2" xfId="12822"/>
    <cellStyle name="40% - Accent4 2 13 6" xfId="12823"/>
    <cellStyle name="40% - Accent4 2 13 7" xfId="12814"/>
    <cellStyle name="40% - Accent4 2 14" xfId="3132"/>
    <cellStyle name="40% - Accent4 2 14 2" xfId="4578"/>
    <cellStyle name="40% - Accent4 2 14 2 2" xfId="12826"/>
    <cellStyle name="40% - Accent4 2 14 2 3" xfId="12825"/>
    <cellStyle name="40% - Accent4 2 14 3" xfId="12827"/>
    <cellStyle name="40% - Accent4 2 14 3 2" xfId="12828"/>
    <cellStyle name="40% - Accent4 2 14 4" xfId="12829"/>
    <cellStyle name="40% - Accent4 2 14 4 2" xfId="12830"/>
    <cellStyle name="40% - Accent4 2 14 5" xfId="12831"/>
    <cellStyle name="40% - Accent4 2 14 5 2" xfId="12832"/>
    <cellStyle name="40% - Accent4 2 14 6" xfId="12833"/>
    <cellStyle name="40% - Accent4 2 14 7" xfId="12824"/>
    <cellStyle name="40% - Accent4 2 15" xfId="3503"/>
    <cellStyle name="40% - Accent4 2 15 2" xfId="4579"/>
    <cellStyle name="40% - Accent4 2 15 2 2" xfId="12836"/>
    <cellStyle name="40% - Accent4 2 15 2 3" xfId="12835"/>
    <cellStyle name="40% - Accent4 2 15 3" xfId="12837"/>
    <cellStyle name="40% - Accent4 2 15 3 2" xfId="12838"/>
    <cellStyle name="40% - Accent4 2 15 4" xfId="12839"/>
    <cellStyle name="40% - Accent4 2 15 5" xfId="12834"/>
    <cellStyle name="40% - Accent4 2 16" xfId="3641"/>
    <cellStyle name="40% - Accent4 2 16 2" xfId="4580"/>
    <cellStyle name="40% - Accent4 2 16 2 2" xfId="12842"/>
    <cellStyle name="40% - Accent4 2 16 2 3" xfId="12841"/>
    <cellStyle name="40% - Accent4 2 16 3" xfId="12843"/>
    <cellStyle name="40% - Accent4 2 16 3 2" xfId="12844"/>
    <cellStyle name="40% - Accent4 2 16 4" xfId="12845"/>
    <cellStyle name="40% - Accent4 2 16 5" xfId="12840"/>
    <cellStyle name="40% - Accent4 2 17" xfId="12846"/>
    <cellStyle name="40% - Accent4 2 18" xfId="12783"/>
    <cellStyle name="40% - Accent4 2 19" xfId="24476"/>
    <cellStyle name="40% - Accent4 2 2" xfId="121"/>
    <cellStyle name="40% - Accent4 2 2 10" xfId="12848"/>
    <cellStyle name="40% - Accent4 2 2 10 2" xfId="12849"/>
    <cellStyle name="40% - Accent4 2 2 10 2 2" xfId="12850"/>
    <cellStyle name="40% - Accent4 2 2 10 3" xfId="12851"/>
    <cellStyle name="40% - Accent4 2 2 10 3 2" xfId="12852"/>
    <cellStyle name="40% - Accent4 2 2 10 4" xfId="12853"/>
    <cellStyle name="40% - Accent4 2 2 11" xfId="12854"/>
    <cellStyle name="40% - Accent4 2 2 11 2" xfId="12855"/>
    <cellStyle name="40% - Accent4 2 2 11 2 2" xfId="12856"/>
    <cellStyle name="40% - Accent4 2 2 11 3" xfId="12857"/>
    <cellStyle name="40% - Accent4 2 2 11 3 2" xfId="12858"/>
    <cellStyle name="40% - Accent4 2 2 11 4" xfId="12859"/>
    <cellStyle name="40% - Accent4 2 2 12" xfId="12860"/>
    <cellStyle name="40% - Accent4 2 2 12 2" xfId="12861"/>
    <cellStyle name="40% - Accent4 2 2 12 2 2" xfId="12862"/>
    <cellStyle name="40% - Accent4 2 2 12 3" xfId="12863"/>
    <cellStyle name="40% - Accent4 2 2 12 3 2" xfId="12864"/>
    <cellStyle name="40% - Accent4 2 2 12 4" xfId="12865"/>
    <cellStyle name="40% - Accent4 2 2 13" xfId="12866"/>
    <cellStyle name="40% - Accent4 2 2 13 2" xfId="12867"/>
    <cellStyle name="40% - Accent4 2 2 14" xfId="12868"/>
    <cellStyle name="40% - Accent4 2 2 14 2" xfId="12869"/>
    <cellStyle name="40% - Accent4 2 2 15" xfId="12870"/>
    <cellStyle name="40% - Accent4 2 2 15 2" xfId="12871"/>
    <cellStyle name="40% - Accent4 2 2 16" xfId="12872"/>
    <cellStyle name="40% - Accent4 2 2 17" xfId="12847"/>
    <cellStyle name="40% - Accent4 2 2 2" xfId="184"/>
    <cellStyle name="40% - Accent4 2 2 2 2" xfId="12874"/>
    <cellStyle name="40% - Accent4 2 2 2 2 2" xfId="12875"/>
    <cellStyle name="40% - Accent4 2 2 2 3" xfId="12876"/>
    <cellStyle name="40% - Accent4 2 2 2 3 2" xfId="12877"/>
    <cellStyle name="40% - Accent4 2 2 2 4" xfId="12878"/>
    <cellStyle name="40% - Accent4 2 2 2 5" xfId="12873"/>
    <cellStyle name="40% - Accent4 2 2 3" xfId="348"/>
    <cellStyle name="40% - Accent4 2 2 3 2" xfId="12880"/>
    <cellStyle name="40% - Accent4 2 2 3 2 2" xfId="12881"/>
    <cellStyle name="40% - Accent4 2 2 3 3" xfId="12882"/>
    <cellStyle name="40% - Accent4 2 2 3 3 2" xfId="12883"/>
    <cellStyle name="40% - Accent4 2 2 3 4" xfId="12884"/>
    <cellStyle name="40% - Accent4 2 2 3 5" xfId="12879"/>
    <cellStyle name="40% - Accent4 2 2 4" xfId="2170"/>
    <cellStyle name="40% - Accent4 2 2 4 2" xfId="12886"/>
    <cellStyle name="40% - Accent4 2 2 4 2 2" xfId="12887"/>
    <cellStyle name="40% - Accent4 2 2 4 3" xfId="12888"/>
    <cellStyle name="40% - Accent4 2 2 4 3 2" xfId="12889"/>
    <cellStyle name="40% - Accent4 2 2 4 4" xfId="12890"/>
    <cellStyle name="40% - Accent4 2 2 4 5" xfId="12885"/>
    <cellStyle name="40% - Accent4 2 2 5" xfId="2544"/>
    <cellStyle name="40% - Accent4 2 2 5 2" xfId="12892"/>
    <cellStyle name="40% - Accent4 2 2 5 2 2" xfId="12893"/>
    <cellStyle name="40% - Accent4 2 2 5 3" xfId="12894"/>
    <cellStyle name="40% - Accent4 2 2 5 3 2" xfId="12895"/>
    <cellStyle name="40% - Accent4 2 2 5 4" xfId="12896"/>
    <cellStyle name="40% - Accent4 2 2 5 5" xfId="12891"/>
    <cellStyle name="40% - Accent4 2 2 6" xfId="2916"/>
    <cellStyle name="40% - Accent4 2 2 6 2" xfId="12898"/>
    <cellStyle name="40% - Accent4 2 2 6 2 2" xfId="12899"/>
    <cellStyle name="40% - Accent4 2 2 6 3" xfId="12900"/>
    <cellStyle name="40% - Accent4 2 2 6 3 2" xfId="12901"/>
    <cellStyle name="40% - Accent4 2 2 6 4" xfId="12902"/>
    <cellStyle name="40% - Accent4 2 2 6 5" xfId="12897"/>
    <cellStyle name="40% - Accent4 2 2 7" xfId="3288"/>
    <cellStyle name="40% - Accent4 2 2 7 2" xfId="12904"/>
    <cellStyle name="40% - Accent4 2 2 7 2 2" xfId="12905"/>
    <cellStyle name="40% - Accent4 2 2 7 3" xfId="12906"/>
    <cellStyle name="40% - Accent4 2 2 7 3 2" xfId="12907"/>
    <cellStyle name="40% - Accent4 2 2 7 4" xfId="12908"/>
    <cellStyle name="40% - Accent4 2 2 7 5" xfId="12903"/>
    <cellStyle name="40% - Accent4 2 2 8" xfId="4581"/>
    <cellStyle name="40% - Accent4 2 2 8 2" xfId="12910"/>
    <cellStyle name="40% - Accent4 2 2 8 2 2" xfId="12911"/>
    <cellStyle name="40% - Accent4 2 2 8 3" xfId="12912"/>
    <cellStyle name="40% - Accent4 2 2 8 3 2" xfId="12913"/>
    <cellStyle name="40% - Accent4 2 2 8 4" xfId="12914"/>
    <cellStyle name="40% - Accent4 2 2 8 5" xfId="12909"/>
    <cellStyle name="40% - Accent4 2 2 9" xfId="12915"/>
    <cellStyle name="40% - Accent4 2 2 9 2" xfId="12916"/>
    <cellStyle name="40% - Accent4 2 2 9 2 2" xfId="12917"/>
    <cellStyle name="40% - Accent4 2 2 9 3" xfId="12918"/>
    <cellStyle name="40% - Accent4 2 2 9 3 2" xfId="12919"/>
    <cellStyle name="40% - Accent4 2 2 9 4" xfId="12920"/>
    <cellStyle name="40% - Accent4 2 3" xfId="286"/>
    <cellStyle name="40% - Accent4 2 3 2" xfId="1346"/>
    <cellStyle name="40% - Accent4 2 3 2 2" xfId="12923"/>
    <cellStyle name="40% - Accent4 2 3 2 2 2" xfId="12924"/>
    <cellStyle name="40% - Accent4 2 3 2 3" xfId="12925"/>
    <cellStyle name="40% - Accent4 2 3 2 3 2" xfId="12926"/>
    <cellStyle name="40% - Accent4 2 3 2 4" xfId="12927"/>
    <cellStyle name="40% - Accent4 2 3 2 5" xfId="12922"/>
    <cellStyle name="40% - Accent4 2 3 3" xfId="12928"/>
    <cellStyle name="40% - Accent4 2 3 3 2" xfId="12929"/>
    <cellStyle name="40% - Accent4 2 3 4" xfId="12930"/>
    <cellStyle name="40% - Accent4 2 3 4 2" xfId="12931"/>
    <cellStyle name="40% - Accent4 2 3 5" xfId="12932"/>
    <cellStyle name="40% - Accent4 2 3 6" xfId="12921"/>
    <cellStyle name="40% - Accent4 2 4" xfId="394"/>
    <cellStyle name="40% - Accent4 2 4 2" xfId="12934"/>
    <cellStyle name="40% - Accent4 2 4 2 2" xfId="12935"/>
    <cellStyle name="40% - Accent4 2 4 2 2 2" xfId="12936"/>
    <cellStyle name="40% - Accent4 2 4 2 3" xfId="12937"/>
    <cellStyle name="40% - Accent4 2 4 2 3 2" xfId="12938"/>
    <cellStyle name="40% - Accent4 2 4 2 4" xfId="12939"/>
    <cellStyle name="40% - Accent4 2 4 3" xfId="12940"/>
    <cellStyle name="40% - Accent4 2 4 3 2" xfId="12941"/>
    <cellStyle name="40% - Accent4 2 4 4" xfId="12942"/>
    <cellStyle name="40% - Accent4 2 4 4 2" xfId="12943"/>
    <cellStyle name="40% - Accent4 2 4 5" xfId="12944"/>
    <cellStyle name="40% - Accent4 2 4 6" xfId="12933"/>
    <cellStyle name="40% - Accent4 2 5" xfId="546"/>
    <cellStyle name="40% - Accent4 2 5 2" xfId="12946"/>
    <cellStyle name="40% - Accent4 2 5 2 2" xfId="12947"/>
    <cellStyle name="40% - Accent4 2 5 3" xfId="12948"/>
    <cellStyle name="40% - Accent4 2 5 3 2" xfId="12949"/>
    <cellStyle name="40% - Accent4 2 5 4" xfId="12950"/>
    <cellStyle name="40% - Accent4 2 5 5" xfId="12945"/>
    <cellStyle name="40% - Accent4 2 6" xfId="678"/>
    <cellStyle name="40% - Accent4 2 6 2" xfId="12952"/>
    <cellStyle name="40% - Accent4 2 6 2 2" xfId="12953"/>
    <cellStyle name="40% - Accent4 2 6 3" xfId="12954"/>
    <cellStyle name="40% - Accent4 2 6 3 2" xfId="12955"/>
    <cellStyle name="40% - Accent4 2 6 4" xfId="12956"/>
    <cellStyle name="40% - Accent4 2 6 5" xfId="12951"/>
    <cellStyle name="40% - Accent4 2 7" xfId="679"/>
    <cellStyle name="40% - Accent4 2 7 2" xfId="12958"/>
    <cellStyle name="40% - Accent4 2 7 2 2" xfId="12959"/>
    <cellStyle name="40% - Accent4 2 7 3" xfId="12960"/>
    <cellStyle name="40% - Accent4 2 7 3 2" xfId="12961"/>
    <cellStyle name="40% - Accent4 2 7 4" xfId="12962"/>
    <cellStyle name="40% - Accent4 2 7 5" xfId="12957"/>
    <cellStyle name="40% - Accent4 2 8" xfId="827"/>
    <cellStyle name="40% - Accent4 2 8 2" xfId="1405"/>
    <cellStyle name="40% - Accent4 2 8 2 2" xfId="12965"/>
    <cellStyle name="40% - Accent4 2 8 2 3" xfId="12964"/>
    <cellStyle name="40% - Accent4 2 8 3" xfId="12966"/>
    <cellStyle name="40% - Accent4 2 8 3 2" xfId="12967"/>
    <cellStyle name="40% - Accent4 2 8 4" xfId="12968"/>
    <cellStyle name="40% - Accent4 2 8 4 2" xfId="12969"/>
    <cellStyle name="40% - Accent4 2 8 5" xfId="12970"/>
    <cellStyle name="40% - Accent4 2 8 5 2" xfId="12971"/>
    <cellStyle name="40% - Accent4 2 8 6" xfId="12972"/>
    <cellStyle name="40% - Accent4 2 8 7" xfId="12963"/>
    <cellStyle name="40% - Accent4 2 9" xfId="940"/>
    <cellStyle name="40% - Accent4 2 9 2" xfId="1442"/>
    <cellStyle name="40% - Accent4 2 9 2 2" xfId="12975"/>
    <cellStyle name="40% - Accent4 2 9 2 3" xfId="12974"/>
    <cellStyle name="40% - Accent4 2 9 3" xfId="12976"/>
    <cellStyle name="40% - Accent4 2 9 3 2" xfId="12977"/>
    <cellStyle name="40% - Accent4 2 9 4" xfId="12978"/>
    <cellStyle name="40% - Accent4 2 9 4 2" xfId="12979"/>
    <cellStyle name="40% - Accent4 2 9 5" xfId="12980"/>
    <cellStyle name="40% - Accent4 2 9 5 2" xfId="12981"/>
    <cellStyle name="40% - Accent4 2 9 6" xfId="12982"/>
    <cellStyle name="40% - Accent4 2 9 7" xfId="12973"/>
    <cellStyle name="40% - Accent4 20" xfId="12983"/>
    <cellStyle name="40% - Accent4 20 2" xfId="12984"/>
    <cellStyle name="40% - Accent4 21" xfId="12985"/>
    <cellStyle name="40% - Accent4 21 2" xfId="12986"/>
    <cellStyle name="40% - Accent4 21 2 2" xfId="12987"/>
    <cellStyle name="40% - Accent4 21 2 2 2" xfId="12988"/>
    <cellStyle name="40% - Accent4 21 2 3" xfId="12989"/>
    <cellStyle name="40% - Accent4 21 2 3 2" xfId="12990"/>
    <cellStyle name="40% - Accent4 21 2 4" xfId="12991"/>
    <cellStyle name="40% - Accent4 21 3" xfId="12992"/>
    <cellStyle name="40% - Accent4 21 3 2" xfId="12993"/>
    <cellStyle name="40% - Accent4 21 4" xfId="12994"/>
    <cellStyle name="40% - Accent4 21 4 2" xfId="12995"/>
    <cellStyle name="40% - Accent4 21 5" xfId="12996"/>
    <cellStyle name="40% - Accent4 22" xfId="12997"/>
    <cellStyle name="40% - Accent4 22 2" xfId="12998"/>
    <cellStyle name="40% - Accent4 22 2 2" xfId="12999"/>
    <cellStyle name="40% - Accent4 22 2 2 2" xfId="13000"/>
    <cellStyle name="40% - Accent4 22 2 3" xfId="13001"/>
    <cellStyle name="40% - Accent4 22 2 3 2" xfId="13002"/>
    <cellStyle name="40% - Accent4 22 2 4" xfId="13003"/>
    <cellStyle name="40% - Accent4 22 3" xfId="13004"/>
    <cellStyle name="40% - Accent4 22 3 2" xfId="13005"/>
    <cellStyle name="40% - Accent4 22 4" xfId="13006"/>
    <cellStyle name="40% - Accent4 22 4 2" xfId="13007"/>
    <cellStyle name="40% - Accent4 22 5" xfId="13008"/>
    <cellStyle name="40% - Accent4 23" xfId="13009"/>
    <cellStyle name="40% - Accent4 23 2" xfId="13010"/>
    <cellStyle name="40% - Accent4 24" xfId="13011"/>
    <cellStyle name="40% - Accent4 24 2" xfId="13012"/>
    <cellStyle name="40% - Accent4 24 2 2" xfId="13013"/>
    <cellStyle name="40% - Accent4 24 2 2 2" xfId="13014"/>
    <cellStyle name="40% - Accent4 24 2 3" xfId="13015"/>
    <cellStyle name="40% - Accent4 24 2 3 2" xfId="13016"/>
    <cellStyle name="40% - Accent4 24 2 4" xfId="13017"/>
    <cellStyle name="40% - Accent4 24 3" xfId="13018"/>
    <cellStyle name="40% - Accent4 24 3 2" xfId="13019"/>
    <cellStyle name="40% - Accent4 24 4" xfId="13020"/>
    <cellStyle name="40% - Accent4 24 4 2" xfId="13021"/>
    <cellStyle name="40% - Accent4 24 5" xfId="13022"/>
    <cellStyle name="40% - Accent4 25" xfId="13023"/>
    <cellStyle name="40% - Accent4 25 2" xfId="13024"/>
    <cellStyle name="40% - Accent4 25 2 2" xfId="13025"/>
    <cellStyle name="40% - Accent4 25 2 2 2" xfId="13026"/>
    <cellStyle name="40% - Accent4 25 2 3" xfId="13027"/>
    <cellStyle name="40% - Accent4 25 2 3 2" xfId="13028"/>
    <cellStyle name="40% - Accent4 25 2 4" xfId="13029"/>
    <cellStyle name="40% - Accent4 25 3" xfId="13030"/>
    <cellStyle name="40% - Accent4 25 3 2" xfId="13031"/>
    <cellStyle name="40% - Accent4 25 4" xfId="13032"/>
    <cellStyle name="40% - Accent4 25 4 2" xfId="13033"/>
    <cellStyle name="40% - Accent4 25 5" xfId="13034"/>
    <cellStyle name="40% - Accent4 26" xfId="13035"/>
    <cellStyle name="40% - Accent4 26 2" xfId="13036"/>
    <cellStyle name="40% - Accent4 27" xfId="13037"/>
    <cellStyle name="40% - Accent4 27 2" xfId="13038"/>
    <cellStyle name="40% - Accent4 27 2 2" xfId="13039"/>
    <cellStyle name="40% - Accent4 27 2 2 2" xfId="13040"/>
    <cellStyle name="40% - Accent4 27 2 3" xfId="13041"/>
    <cellStyle name="40% - Accent4 27 2 3 2" xfId="13042"/>
    <cellStyle name="40% - Accent4 27 2 4" xfId="13043"/>
    <cellStyle name="40% - Accent4 27 3" xfId="13044"/>
    <cellStyle name="40% - Accent4 27 3 2" xfId="13045"/>
    <cellStyle name="40% - Accent4 27 4" xfId="13046"/>
    <cellStyle name="40% - Accent4 27 4 2" xfId="13047"/>
    <cellStyle name="40% - Accent4 27 5" xfId="13048"/>
    <cellStyle name="40% - Accent4 28" xfId="13049"/>
    <cellStyle name="40% - Accent4 28 2" xfId="13050"/>
    <cellStyle name="40% - Accent4 28 2 2" xfId="13051"/>
    <cellStyle name="40% - Accent4 28 3" xfId="13052"/>
    <cellStyle name="40% - Accent4 28 3 2" xfId="13053"/>
    <cellStyle name="40% - Accent4 28 4" xfId="13054"/>
    <cellStyle name="40% - Accent4 29" xfId="13055"/>
    <cellStyle name="40% - Accent4 29 2" xfId="13056"/>
    <cellStyle name="40% - Accent4 3" xfId="225"/>
    <cellStyle name="40% - Accent4 3 10" xfId="3684"/>
    <cellStyle name="40% - Accent4 3 10 2" xfId="4582"/>
    <cellStyle name="40% - Accent4 3 10 2 2" xfId="13060"/>
    <cellStyle name="40% - Accent4 3 10 2 3" xfId="13059"/>
    <cellStyle name="40% - Accent4 3 10 3" xfId="13061"/>
    <cellStyle name="40% - Accent4 3 10 3 2" xfId="13062"/>
    <cellStyle name="40% - Accent4 3 10 4" xfId="13063"/>
    <cellStyle name="40% - Accent4 3 10 4 2" xfId="13064"/>
    <cellStyle name="40% - Accent4 3 10 5" xfId="13065"/>
    <cellStyle name="40% - Accent4 3 10 5 2" xfId="13066"/>
    <cellStyle name="40% - Accent4 3 10 6" xfId="13067"/>
    <cellStyle name="40% - Accent4 3 10 7" xfId="13058"/>
    <cellStyle name="40% - Accent4 3 11" xfId="13068"/>
    <cellStyle name="40% - Accent4 3 11 2" xfId="13069"/>
    <cellStyle name="40% - Accent4 3 11 2 2" xfId="13070"/>
    <cellStyle name="40% - Accent4 3 11 3" xfId="13071"/>
    <cellStyle name="40% - Accent4 3 11 3 2" xfId="13072"/>
    <cellStyle name="40% - Accent4 3 11 4" xfId="13073"/>
    <cellStyle name="40% - Accent4 3 12" xfId="13074"/>
    <cellStyle name="40% - Accent4 3 12 2" xfId="13075"/>
    <cellStyle name="40% - Accent4 3 12 2 2" xfId="13076"/>
    <cellStyle name="40% - Accent4 3 12 3" xfId="13077"/>
    <cellStyle name="40% - Accent4 3 12 3 2" xfId="13078"/>
    <cellStyle name="40% - Accent4 3 12 4" xfId="13079"/>
    <cellStyle name="40% - Accent4 3 13" xfId="13080"/>
    <cellStyle name="40% - Accent4 3 13 2" xfId="13081"/>
    <cellStyle name="40% - Accent4 3 13 2 2" xfId="13082"/>
    <cellStyle name="40% - Accent4 3 13 3" xfId="13083"/>
    <cellStyle name="40% - Accent4 3 13 3 2" xfId="13084"/>
    <cellStyle name="40% - Accent4 3 13 4" xfId="13085"/>
    <cellStyle name="40% - Accent4 3 14" xfId="13086"/>
    <cellStyle name="40% - Accent4 3 14 2" xfId="13087"/>
    <cellStyle name="40% - Accent4 3 15" xfId="13088"/>
    <cellStyle name="40% - Accent4 3 15 2" xfId="13089"/>
    <cellStyle name="40% - Accent4 3 16" xfId="13090"/>
    <cellStyle name="40% - Accent4 3 17" xfId="13057"/>
    <cellStyle name="40% - Accent4 3 2" xfId="1457"/>
    <cellStyle name="40% - Accent4 3 2 10" xfId="13092"/>
    <cellStyle name="40% - Accent4 3 2 10 2" xfId="13093"/>
    <cellStyle name="40% - Accent4 3 2 10 2 2" xfId="13094"/>
    <cellStyle name="40% - Accent4 3 2 10 3" xfId="13095"/>
    <cellStyle name="40% - Accent4 3 2 10 3 2" xfId="13096"/>
    <cellStyle name="40% - Accent4 3 2 10 4" xfId="13097"/>
    <cellStyle name="40% - Accent4 3 2 11" xfId="13098"/>
    <cellStyle name="40% - Accent4 3 2 11 2" xfId="13099"/>
    <cellStyle name="40% - Accent4 3 2 11 2 2" xfId="13100"/>
    <cellStyle name="40% - Accent4 3 2 11 3" xfId="13101"/>
    <cellStyle name="40% - Accent4 3 2 11 3 2" xfId="13102"/>
    <cellStyle name="40% - Accent4 3 2 11 4" xfId="13103"/>
    <cellStyle name="40% - Accent4 3 2 12" xfId="13104"/>
    <cellStyle name="40% - Accent4 3 2 12 2" xfId="13105"/>
    <cellStyle name="40% - Accent4 3 2 12 2 2" xfId="13106"/>
    <cellStyle name="40% - Accent4 3 2 12 3" xfId="13107"/>
    <cellStyle name="40% - Accent4 3 2 12 3 2" xfId="13108"/>
    <cellStyle name="40% - Accent4 3 2 12 4" xfId="13109"/>
    <cellStyle name="40% - Accent4 3 2 13" xfId="13110"/>
    <cellStyle name="40% - Accent4 3 2 13 2" xfId="13111"/>
    <cellStyle name="40% - Accent4 3 2 14" xfId="13112"/>
    <cellStyle name="40% - Accent4 3 2 14 2" xfId="13113"/>
    <cellStyle name="40% - Accent4 3 2 15" xfId="13114"/>
    <cellStyle name="40% - Accent4 3 2 15 2" xfId="13115"/>
    <cellStyle name="40% - Accent4 3 2 16" xfId="13116"/>
    <cellStyle name="40% - Accent4 3 2 17" xfId="13091"/>
    <cellStyle name="40% - Accent4 3 2 2" xfId="1836"/>
    <cellStyle name="40% - Accent4 3 2 2 2" xfId="13118"/>
    <cellStyle name="40% - Accent4 3 2 2 2 2" xfId="13119"/>
    <cellStyle name="40% - Accent4 3 2 2 3" xfId="13120"/>
    <cellStyle name="40% - Accent4 3 2 2 3 2" xfId="13121"/>
    <cellStyle name="40% - Accent4 3 2 2 4" xfId="13122"/>
    <cellStyle name="40% - Accent4 3 2 2 5" xfId="13117"/>
    <cellStyle name="40% - Accent4 3 2 3" xfId="2211"/>
    <cellStyle name="40% - Accent4 3 2 3 2" xfId="13124"/>
    <cellStyle name="40% - Accent4 3 2 3 2 2" xfId="13125"/>
    <cellStyle name="40% - Accent4 3 2 3 3" xfId="13126"/>
    <cellStyle name="40% - Accent4 3 2 3 3 2" xfId="13127"/>
    <cellStyle name="40% - Accent4 3 2 3 4" xfId="13128"/>
    <cellStyle name="40% - Accent4 3 2 3 5" xfId="13123"/>
    <cellStyle name="40% - Accent4 3 2 4" xfId="2585"/>
    <cellStyle name="40% - Accent4 3 2 4 2" xfId="13130"/>
    <cellStyle name="40% - Accent4 3 2 4 2 2" xfId="13131"/>
    <cellStyle name="40% - Accent4 3 2 4 3" xfId="13132"/>
    <cellStyle name="40% - Accent4 3 2 4 3 2" xfId="13133"/>
    <cellStyle name="40% - Accent4 3 2 4 4" xfId="13134"/>
    <cellStyle name="40% - Accent4 3 2 4 5" xfId="13129"/>
    <cellStyle name="40% - Accent4 3 2 5" xfId="2957"/>
    <cellStyle name="40% - Accent4 3 2 5 2" xfId="13136"/>
    <cellStyle name="40% - Accent4 3 2 5 2 2" xfId="13137"/>
    <cellStyle name="40% - Accent4 3 2 5 3" xfId="13138"/>
    <cellStyle name="40% - Accent4 3 2 5 3 2" xfId="13139"/>
    <cellStyle name="40% - Accent4 3 2 5 4" xfId="13140"/>
    <cellStyle name="40% - Accent4 3 2 5 5" xfId="13135"/>
    <cellStyle name="40% - Accent4 3 2 6" xfId="3329"/>
    <cellStyle name="40% - Accent4 3 2 6 2" xfId="13142"/>
    <cellStyle name="40% - Accent4 3 2 6 2 2" xfId="13143"/>
    <cellStyle name="40% - Accent4 3 2 6 3" xfId="13144"/>
    <cellStyle name="40% - Accent4 3 2 6 3 2" xfId="13145"/>
    <cellStyle name="40% - Accent4 3 2 6 4" xfId="13146"/>
    <cellStyle name="40% - Accent4 3 2 6 5" xfId="13141"/>
    <cellStyle name="40% - Accent4 3 2 7" xfId="4583"/>
    <cellStyle name="40% - Accent4 3 2 7 2" xfId="13148"/>
    <cellStyle name="40% - Accent4 3 2 7 2 2" xfId="13149"/>
    <cellStyle name="40% - Accent4 3 2 7 3" xfId="13150"/>
    <cellStyle name="40% - Accent4 3 2 7 3 2" xfId="13151"/>
    <cellStyle name="40% - Accent4 3 2 7 4" xfId="13152"/>
    <cellStyle name="40% - Accent4 3 2 7 5" xfId="13147"/>
    <cellStyle name="40% - Accent4 3 2 8" xfId="13153"/>
    <cellStyle name="40% - Accent4 3 2 8 2" xfId="13154"/>
    <cellStyle name="40% - Accent4 3 2 8 2 2" xfId="13155"/>
    <cellStyle name="40% - Accent4 3 2 8 3" xfId="13156"/>
    <cellStyle name="40% - Accent4 3 2 8 3 2" xfId="13157"/>
    <cellStyle name="40% - Accent4 3 2 8 4" xfId="13158"/>
    <cellStyle name="40% - Accent4 3 2 9" xfId="13159"/>
    <cellStyle name="40% - Accent4 3 2 9 2" xfId="13160"/>
    <cellStyle name="40% - Accent4 3 2 9 2 2" xfId="13161"/>
    <cellStyle name="40% - Accent4 3 2 9 3" xfId="13162"/>
    <cellStyle name="40% - Accent4 3 2 9 3 2" xfId="13163"/>
    <cellStyle name="40% - Accent4 3 2 9 4" xfId="13164"/>
    <cellStyle name="40% - Accent4 3 3" xfId="1584"/>
    <cellStyle name="40% - Accent4 3 3 2" xfId="1913"/>
    <cellStyle name="40% - Accent4 3 3 2 2" xfId="13167"/>
    <cellStyle name="40% - Accent4 3 3 2 3" xfId="13166"/>
    <cellStyle name="40% - Accent4 3 3 3" xfId="2288"/>
    <cellStyle name="40% - Accent4 3 3 3 2" xfId="13169"/>
    <cellStyle name="40% - Accent4 3 3 3 3" xfId="13168"/>
    <cellStyle name="40% - Accent4 3 3 4" xfId="2661"/>
    <cellStyle name="40% - Accent4 3 3 4 2" xfId="13171"/>
    <cellStyle name="40% - Accent4 3 3 4 3" xfId="13170"/>
    <cellStyle name="40% - Accent4 3 3 5" xfId="3034"/>
    <cellStyle name="40% - Accent4 3 3 5 2" xfId="13173"/>
    <cellStyle name="40% - Accent4 3 3 5 3" xfId="13172"/>
    <cellStyle name="40% - Accent4 3 3 6" xfId="3405"/>
    <cellStyle name="40% - Accent4 3 3 6 2" xfId="13175"/>
    <cellStyle name="40% - Accent4 3 3 6 3" xfId="13174"/>
    <cellStyle name="40% - Accent4 3 3 7" xfId="4584"/>
    <cellStyle name="40% - Accent4 3 3 7 2" xfId="13177"/>
    <cellStyle name="40% - Accent4 3 3 7 3" xfId="13176"/>
    <cellStyle name="40% - Accent4 3 3 8" xfId="13178"/>
    <cellStyle name="40% - Accent4 3 3 9" xfId="13165"/>
    <cellStyle name="40% - Accent4 3 4" xfId="1721"/>
    <cellStyle name="40% - Accent4 3 4 2" xfId="1957"/>
    <cellStyle name="40% - Accent4 3 4 2 2" xfId="13181"/>
    <cellStyle name="40% - Accent4 3 4 2 3" xfId="13180"/>
    <cellStyle name="40% - Accent4 3 4 3" xfId="2332"/>
    <cellStyle name="40% - Accent4 3 4 3 2" xfId="13183"/>
    <cellStyle name="40% - Accent4 3 4 3 3" xfId="13182"/>
    <cellStyle name="40% - Accent4 3 4 4" xfId="2705"/>
    <cellStyle name="40% - Accent4 3 4 4 2" xfId="13185"/>
    <cellStyle name="40% - Accent4 3 4 4 3" xfId="13184"/>
    <cellStyle name="40% - Accent4 3 4 5" xfId="3078"/>
    <cellStyle name="40% - Accent4 3 4 5 2" xfId="13187"/>
    <cellStyle name="40% - Accent4 3 4 5 3" xfId="13186"/>
    <cellStyle name="40% - Accent4 3 4 6" xfId="3449"/>
    <cellStyle name="40% - Accent4 3 4 6 2" xfId="13189"/>
    <cellStyle name="40% - Accent4 3 4 6 3" xfId="13188"/>
    <cellStyle name="40% - Accent4 3 4 7" xfId="13190"/>
    <cellStyle name="40% - Accent4 3 4 8" xfId="13179"/>
    <cellStyle name="40% - Accent4 3 5" xfId="2056"/>
    <cellStyle name="40% - Accent4 3 5 2" xfId="13192"/>
    <cellStyle name="40% - Accent4 3 5 2 2" xfId="13193"/>
    <cellStyle name="40% - Accent4 3 5 3" xfId="13194"/>
    <cellStyle name="40% - Accent4 3 5 3 2" xfId="13195"/>
    <cellStyle name="40% - Accent4 3 5 4" xfId="13196"/>
    <cellStyle name="40% - Accent4 3 5 4 2" xfId="13197"/>
    <cellStyle name="40% - Accent4 3 5 5" xfId="13198"/>
    <cellStyle name="40% - Accent4 3 5 6" xfId="13191"/>
    <cellStyle name="40% - Accent4 3 6" xfId="2430"/>
    <cellStyle name="40% - Accent4 3 6 2" xfId="13200"/>
    <cellStyle name="40% - Accent4 3 6 2 2" xfId="13201"/>
    <cellStyle name="40% - Accent4 3 6 3" xfId="13202"/>
    <cellStyle name="40% - Accent4 3 6 3 2" xfId="13203"/>
    <cellStyle name="40% - Accent4 3 6 4" xfId="13204"/>
    <cellStyle name="40% - Accent4 3 6 4 2" xfId="13205"/>
    <cellStyle name="40% - Accent4 3 6 5" xfId="13206"/>
    <cellStyle name="40% - Accent4 3 6 6" xfId="13199"/>
    <cellStyle name="40% - Accent4 3 7" xfId="2802"/>
    <cellStyle name="40% - Accent4 3 7 2" xfId="13208"/>
    <cellStyle name="40% - Accent4 3 7 2 2" xfId="13209"/>
    <cellStyle name="40% - Accent4 3 7 3" xfId="13210"/>
    <cellStyle name="40% - Accent4 3 7 3 2" xfId="13211"/>
    <cellStyle name="40% - Accent4 3 7 4" xfId="13212"/>
    <cellStyle name="40% - Accent4 3 7 4 2" xfId="13213"/>
    <cellStyle name="40% - Accent4 3 7 5" xfId="13214"/>
    <cellStyle name="40% - Accent4 3 7 6" xfId="13207"/>
    <cellStyle name="40% - Accent4 3 8" xfId="3173"/>
    <cellStyle name="40% - Accent4 3 8 2" xfId="13216"/>
    <cellStyle name="40% - Accent4 3 8 2 2" xfId="13217"/>
    <cellStyle name="40% - Accent4 3 8 3" xfId="13218"/>
    <cellStyle name="40% - Accent4 3 8 3 2" xfId="13219"/>
    <cellStyle name="40% - Accent4 3 8 4" xfId="13220"/>
    <cellStyle name="40% - Accent4 3 8 4 2" xfId="13221"/>
    <cellStyle name="40% - Accent4 3 8 5" xfId="13222"/>
    <cellStyle name="40% - Accent4 3 8 6" xfId="13215"/>
    <cellStyle name="40% - Accent4 3 9" xfId="3548"/>
    <cellStyle name="40% - Accent4 3 9 2" xfId="4585"/>
    <cellStyle name="40% - Accent4 3 9 2 2" xfId="13225"/>
    <cellStyle name="40% - Accent4 3 9 2 3" xfId="13224"/>
    <cellStyle name="40% - Accent4 3 9 3" xfId="13226"/>
    <cellStyle name="40% - Accent4 3 9 3 2" xfId="13227"/>
    <cellStyle name="40% - Accent4 3 9 4" xfId="13228"/>
    <cellStyle name="40% - Accent4 3 9 4 2" xfId="13229"/>
    <cellStyle name="40% - Accent4 3 9 5" xfId="13230"/>
    <cellStyle name="40% - Accent4 3 9 5 2" xfId="13231"/>
    <cellStyle name="40% - Accent4 3 9 6" xfId="13232"/>
    <cellStyle name="40% - Accent4 3 9 7" xfId="13223"/>
    <cellStyle name="40% - Accent4 30" xfId="13233"/>
    <cellStyle name="40% - Accent4 31" xfId="12716"/>
    <cellStyle name="40% - Accent4 4" xfId="244"/>
    <cellStyle name="40% - Accent4 4 10" xfId="3728"/>
    <cellStyle name="40% - Accent4 4 10 2" xfId="4587"/>
    <cellStyle name="40% - Accent4 4 10 2 2" xfId="13237"/>
    <cellStyle name="40% - Accent4 4 10 2 3" xfId="13236"/>
    <cellStyle name="40% - Accent4 4 10 3" xfId="13238"/>
    <cellStyle name="40% - Accent4 4 10 3 2" xfId="13239"/>
    <cellStyle name="40% - Accent4 4 10 4" xfId="13240"/>
    <cellStyle name="40% - Accent4 4 10 4 2" xfId="13241"/>
    <cellStyle name="40% - Accent4 4 10 5" xfId="13242"/>
    <cellStyle name="40% - Accent4 4 10 5 2" xfId="13243"/>
    <cellStyle name="40% - Accent4 4 10 6" xfId="13244"/>
    <cellStyle name="40% - Accent4 4 10 7" xfId="13235"/>
    <cellStyle name="40% - Accent4 4 11" xfId="1307"/>
    <cellStyle name="40% - Accent4 4 11 10" xfId="24883"/>
    <cellStyle name="40% - Accent4 4 11 11" xfId="26473"/>
    <cellStyle name="40% - Accent4 4 11 2" xfId="4151"/>
    <cellStyle name="40% - Accent4 4 11 2 2" xfId="5414"/>
    <cellStyle name="40% - Accent4 4 11 2 2 2" xfId="6360"/>
    <cellStyle name="40% - Accent4 4 11 2 2 2 2" xfId="13248"/>
    <cellStyle name="40% - Accent4 4 11 2 2 2 3" xfId="26476"/>
    <cellStyle name="40% - Accent4 4 11 2 2 3" xfId="13247"/>
    <cellStyle name="40% - Accent4 4 11 2 2 4" xfId="26475"/>
    <cellStyle name="40% - Accent4 4 11 2 3" xfId="5724"/>
    <cellStyle name="40% - Accent4 4 11 2 3 2" xfId="6361"/>
    <cellStyle name="40% - Accent4 4 11 2 3 2 2" xfId="26478"/>
    <cellStyle name="40% - Accent4 4 11 2 3 3" xfId="13249"/>
    <cellStyle name="40% - Accent4 4 11 2 3 4" xfId="26477"/>
    <cellStyle name="40% - Accent4 4 11 2 4" xfId="4589"/>
    <cellStyle name="40% - Accent4 4 11 2 4 2" xfId="6362"/>
    <cellStyle name="40% - Accent4 4 11 2 4 2 2" xfId="26480"/>
    <cellStyle name="40% - Accent4 4 11 2 4 3" xfId="26479"/>
    <cellStyle name="40% - Accent4 4 11 2 5" xfId="6359"/>
    <cellStyle name="40% - Accent4 4 11 2 5 2" xfId="26481"/>
    <cellStyle name="40% - Accent4 4 11 2 6" xfId="13246"/>
    <cellStyle name="40% - Accent4 4 11 2 7" xfId="25003"/>
    <cellStyle name="40% - Accent4 4 11 2 8" xfId="26474"/>
    <cellStyle name="40% - Accent4 4 11 3" xfId="5413"/>
    <cellStyle name="40% - Accent4 4 11 3 2" xfId="6363"/>
    <cellStyle name="40% - Accent4 4 11 3 2 2" xfId="13251"/>
    <cellStyle name="40% - Accent4 4 11 3 2 3" xfId="26483"/>
    <cellStyle name="40% - Accent4 4 11 3 3" xfId="13250"/>
    <cellStyle name="40% - Accent4 4 11 3 4" xfId="26482"/>
    <cellStyle name="40% - Accent4 4 11 4" xfId="5723"/>
    <cellStyle name="40% - Accent4 4 11 4 2" xfId="6364"/>
    <cellStyle name="40% - Accent4 4 11 4 2 2" xfId="13253"/>
    <cellStyle name="40% - Accent4 4 11 4 2 3" xfId="26485"/>
    <cellStyle name="40% - Accent4 4 11 4 3" xfId="13252"/>
    <cellStyle name="40% - Accent4 4 11 4 4" xfId="26484"/>
    <cellStyle name="40% - Accent4 4 11 5" xfId="4588"/>
    <cellStyle name="40% - Accent4 4 11 5 2" xfId="6365"/>
    <cellStyle name="40% - Accent4 4 11 5 2 2" xfId="13256"/>
    <cellStyle name="40% - Accent4 4 11 5 2 3" xfId="13255"/>
    <cellStyle name="40% - Accent4 4 11 5 2 4" xfId="26487"/>
    <cellStyle name="40% - Accent4 4 11 5 3" xfId="13257"/>
    <cellStyle name="40% - Accent4 4 11 5 3 2" xfId="13258"/>
    <cellStyle name="40% - Accent4 4 11 5 4" xfId="13259"/>
    <cellStyle name="40% - Accent4 4 11 5 5" xfId="13254"/>
    <cellStyle name="40% - Accent4 4 11 5 6" xfId="26486"/>
    <cellStyle name="40% - Accent4 4 11 6" xfId="6358"/>
    <cellStyle name="40% - Accent4 4 11 6 2" xfId="13261"/>
    <cellStyle name="40% - Accent4 4 11 6 3" xfId="13260"/>
    <cellStyle name="40% - Accent4 4 11 6 4" xfId="26488"/>
    <cellStyle name="40% - Accent4 4 11 7" xfId="13262"/>
    <cellStyle name="40% - Accent4 4 11 7 2" xfId="13263"/>
    <cellStyle name="40% - Accent4 4 11 8" xfId="13264"/>
    <cellStyle name="40% - Accent4 4 11 9" xfId="13245"/>
    <cellStyle name="40% - Accent4 4 12" xfId="4590"/>
    <cellStyle name="40% - Accent4 4 12 2" xfId="5415"/>
    <cellStyle name="40% - Accent4 4 12 2 2" xfId="6367"/>
    <cellStyle name="40% - Accent4 4 12 2 2 2" xfId="13267"/>
    <cellStyle name="40% - Accent4 4 12 2 2 3" xfId="26491"/>
    <cellStyle name="40% - Accent4 4 12 2 3" xfId="13266"/>
    <cellStyle name="40% - Accent4 4 12 2 4" xfId="26490"/>
    <cellStyle name="40% - Accent4 4 12 3" xfId="5725"/>
    <cellStyle name="40% - Accent4 4 12 3 2" xfId="6368"/>
    <cellStyle name="40% - Accent4 4 12 3 2 2" xfId="13269"/>
    <cellStyle name="40% - Accent4 4 12 3 2 3" xfId="26493"/>
    <cellStyle name="40% - Accent4 4 12 3 3" xfId="13268"/>
    <cellStyle name="40% - Accent4 4 12 3 4" xfId="26492"/>
    <cellStyle name="40% - Accent4 4 12 4" xfId="6366"/>
    <cellStyle name="40% - Accent4 4 12 4 2" xfId="13271"/>
    <cellStyle name="40% - Accent4 4 12 4 3" xfId="13270"/>
    <cellStyle name="40% - Accent4 4 12 4 4" xfId="26494"/>
    <cellStyle name="40% - Accent4 4 12 5" xfId="13272"/>
    <cellStyle name="40% - Accent4 4 12 6" xfId="13265"/>
    <cellStyle name="40% - Accent4 4 12 7" xfId="26489"/>
    <cellStyle name="40% - Accent4 4 13" xfId="5412"/>
    <cellStyle name="40% - Accent4 4 13 2" xfId="6369"/>
    <cellStyle name="40% - Accent4 4 13 2 2" xfId="13275"/>
    <cellStyle name="40% - Accent4 4 13 2 3" xfId="13274"/>
    <cellStyle name="40% - Accent4 4 13 2 4" xfId="26496"/>
    <cellStyle name="40% - Accent4 4 13 3" xfId="13276"/>
    <cellStyle name="40% - Accent4 4 13 3 2" xfId="13277"/>
    <cellStyle name="40% - Accent4 4 13 4" xfId="13278"/>
    <cellStyle name="40% - Accent4 4 13 5" xfId="13273"/>
    <cellStyle name="40% - Accent4 4 13 6" xfId="26495"/>
    <cellStyle name="40% - Accent4 4 14" xfId="5722"/>
    <cellStyle name="40% - Accent4 4 14 2" xfId="6370"/>
    <cellStyle name="40% - Accent4 4 14 2 2" xfId="13280"/>
    <cellStyle name="40% - Accent4 4 14 2 3" xfId="26498"/>
    <cellStyle name="40% - Accent4 4 14 3" xfId="13279"/>
    <cellStyle name="40% - Accent4 4 14 4" xfId="26497"/>
    <cellStyle name="40% - Accent4 4 15" xfId="4586"/>
    <cellStyle name="40% - Accent4 4 15 2" xfId="6371"/>
    <cellStyle name="40% - Accent4 4 15 2 2" xfId="13282"/>
    <cellStyle name="40% - Accent4 4 15 2 3" xfId="26500"/>
    <cellStyle name="40% - Accent4 4 15 3" xfId="13281"/>
    <cellStyle name="40% - Accent4 4 15 4" xfId="26499"/>
    <cellStyle name="40% - Accent4 4 16" xfId="13283"/>
    <cellStyle name="40% - Accent4 4 16 2" xfId="13284"/>
    <cellStyle name="40% - Accent4 4 17" xfId="13285"/>
    <cellStyle name="40% - Accent4 4 17 2" xfId="13286"/>
    <cellStyle name="40% - Accent4 4 17 2 2" xfId="13287"/>
    <cellStyle name="40% - Accent4 4 17 3" xfId="13288"/>
    <cellStyle name="40% - Accent4 4 17 3 2" xfId="13289"/>
    <cellStyle name="40% - Accent4 4 17 4" xfId="13290"/>
    <cellStyle name="40% - Accent4 4 18" xfId="13291"/>
    <cellStyle name="40% - Accent4 4 18 2" xfId="13292"/>
    <cellStyle name="40% - Accent4 4 19" xfId="13293"/>
    <cellStyle name="40% - Accent4 4 19 2" xfId="13294"/>
    <cellStyle name="40% - Accent4 4 2" xfId="1502"/>
    <cellStyle name="40% - Accent4 4 2 10" xfId="13296"/>
    <cellStyle name="40% - Accent4 4 2 10 2" xfId="13297"/>
    <cellStyle name="40% - Accent4 4 2 10 2 2" xfId="13298"/>
    <cellStyle name="40% - Accent4 4 2 10 3" xfId="13299"/>
    <cellStyle name="40% - Accent4 4 2 10 3 2" xfId="13300"/>
    <cellStyle name="40% - Accent4 4 2 10 4" xfId="13301"/>
    <cellStyle name="40% - Accent4 4 2 11" xfId="13302"/>
    <cellStyle name="40% - Accent4 4 2 11 2" xfId="13303"/>
    <cellStyle name="40% - Accent4 4 2 11 2 2" xfId="13304"/>
    <cellStyle name="40% - Accent4 4 2 11 3" xfId="13305"/>
    <cellStyle name="40% - Accent4 4 2 11 3 2" xfId="13306"/>
    <cellStyle name="40% - Accent4 4 2 11 4" xfId="13307"/>
    <cellStyle name="40% - Accent4 4 2 12" xfId="13308"/>
    <cellStyle name="40% - Accent4 4 2 12 2" xfId="13309"/>
    <cellStyle name="40% - Accent4 4 2 12 2 2" xfId="13310"/>
    <cellStyle name="40% - Accent4 4 2 12 3" xfId="13311"/>
    <cellStyle name="40% - Accent4 4 2 12 3 2" xfId="13312"/>
    <cellStyle name="40% - Accent4 4 2 12 4" xfId="13313"/>
    <cellStyle name="40% - Accent4 4 2 13" xfId="13314"/>
    <cellStyle name="40% - Accent4 4 2 13 2" xfId="13315"/>
    <cellStyle name="40% - Accent4 4 2 14" xfId="13316"/>
    <cellStyle name="40% - Accent4 4 2 14 2" xfId="13317"/>
    <cellStyle name="40% - Accent4 4 2 15" xfId="13318"/>
    <cellStyle name="40% - Accent4 4 2 15 2" xfId="13319"/>
    <cellStyle name="40% - Accent4 4 2 16" xfId="13320"/>
    <cellStyle name="40% - Accent4 4 2 16 2" xfId="13321"/>
    <cellStyle name="40% - Accent4 4 2 17" xfId="13322"/>
    <cellStyle name="40% - Accent4 4 2 18" xfId="13295"/>
    <cellStyle name="40% - Accent4 4 2 2" xfId="4591"/>
    <cellStyle name="40% - Accent4 4 2 2 2" xfId="13324"/>
    <cellStyle name="40% - Accent4 4 2 2 2 2" xfId="13325"/>
    <cellStyle name="40% - Accent4 4 2 2 3" xfId="13326"/>
    <cellStyle name="40% - Accent4 4 2 2 3 2" xfId="13327"/>
    <cellStyle name="40% - Accent4 4 2 2 4" xfId="13328"/>
    <cellStyle name="40% - Accent4 4 2 2 5" xfId="13323"/>
    <cellStyle name="40% - Accent4 4 2 3" xfId="13329"/>
    <cellStyle name="40% - Accent4 4 2 3 2" xfId="13330"/>
    <cellStyle name="40% - Accent4 4 2 3 2 2" xfId="13331"/>
    <cellStyle name="40% - Accent4 4 2 3 3" xfId="13332"/>
    <cellStyle name="40% - Accent4 4 2 3 3 2" xfId="13333"/>
    <cellStyle name="40% - Accent4 4 2 3 4" xfId="13334"/>
    <cellStyle name="40% - Accent4 4 2 4" xfId="13335"/>
    <cellStyle name="40% - Accent4 4 2 4 2" xfId="13336"/>
    <cellStyle name="40% - Accent4 4 2 4 2 2" xfId="13337"/>
    <cellStyle name="40% - Accent4 4 2 4 3" xfId="13338"/>
    <cellStyle name="40% - Accent4 4 2 4 3 2" xfId="13339"/>
    <cellStyle name="40% - Accent4 4 2 4 4" xfId="13340"/>
    <cellStyle name="40% - Accent4 4 2 5" xfId="13341"/>
    <cellStyle name="40% - Accent4 4 2 5 2" xfId="13342"/>
    <cellStyle name="40% - Accent4 4 2 5 2 2" xfId="13343"/>
    <cellStyle name="40% - Accent4 4 2 5 3" xfId="13344"/>
    <cellStyle name="40% - Accent4 4 2 5 3 2" xfId="13345"/>
    <cellStyle name="40% - Accent4 4 2 5 4" xfId="13346"/>
    <cellStyle name="40% - Accent4 4 2 6" xfId="13347"/>
    <cellStyle name="40% - Accent4 4 2 6 2" xfId="13348"/>
    <cellStyle name="40% - Accent4 4 2 6 2 2" xfId="13349"/>
    <cellStyle name="40% - Accent4 4 2 6 3" xfId="13350"/>
    <cellStyle name="40% - Accent4 4 2 6 3 2" xfId="13351"/>
    <cellStyle name="40% - Accent4 4 2 6 4" xfId="13352"/>
    <cellStyle name="40% - Accent4 4 2 7" xfId="13353"/>
    <cellStyle name="40% - Accent4 4 2 7 2" xfId="13354"/>
    <cellStyle name="40% - Accent4 4 2 7 2 2" xfId="13355"/>
    <cellStyle name="40% - Accent4 4 2 7 3" xfId="13356"/>
    <cellStyle name="40% - Accent4 4 2 7 3 2" xfId="13357"/>
    <cellStyle name="40% - Accent4 4 2 7 4" xfId="13358"/>
    <cellStyle name="40% - Accent4 4 2 8" xfId="13359"/>
    <cellStyle name="40% - Accent4 4 2 8 2" xfId="13360"/>
    <cellStyle name="40% - Accent4 4 2 8 2 2" xfId="13361"/>
    <cellStyle name="40% - Accent4 4 2 8 3" xfId="13362"/>
    <cellStyle name="40% - Accent4 4 2 8 3 2" xfId="13363"/>
    <cellStyle name="40% - Accent4 4 2 8 4" xfId="13364"/>
    <cellStyle name="40% - Accent4 4 2 9" xfId="13365"/>
    <cellStyle name="40% - Accent4 4 2 9 2" xfId="13366"/>
    <cellStyle name="40% - Accent4 4 2 9 2 2" xfId="13367"/>
    <cellStyle name="40% - Accent4 4 2 9 3" xfId="13368"/>
    <cellStyle name="40% - Accent4 4 2 9 3 2" xfId="13369"/>
    <cellStyle name="40% - Accent4 4 2 9 4" xfId="13370"/>
    <cellStyle name="40% - Accent4 4 20" xfId="13371"/>
    <cellStyle name="40% - Accent4 4 21" xfId="13234"/>
    <cellStyle name="40% - Accent4 4 3" xfId="1627"/>
    <cellStyle name="40% - Accent4 4 3 2" xfId="4592"/>
    <cellStyle name="40% - Accent4 4 3 2 2" xfId="13374"/>
    <cellStyle name="40% - Accent4 4 3 2 3" xfId="13373"/>
    <cellStyle name="40% - Accent4 4 3 3" xfId="13375"/>
    <cellStyle name="40% - Accent4 4 3 3 2" xfId="13376"/>
    <cellStyle name="40% - Accent4 4 3 4" xfId="13377"/>
    <cellStyle name="40% - Accent4 4 3 4 2" xfId="13378"/>
    <cellStyle name="40% - Accent4 4 3 5" xfId="13379"/>
    <cellStyle name="40% - Accent4 4 3 5 2" xfId="13380"/>
    <cellStyle name="40% - Accent4 4 3 6" xfId="13381"/>
    <cellStyle name="40% - Accent4 4 3 7" xfId="13372"/>
    <cellStyle name="40% - Accent4 4 4" xfId="1752"/>
    <cellStyle name="40% - Accent4 4 4 2" xfId="13383"/>
    <cellStyle name="40% - Accent4 4 4 2 2" xfId="13384"/>
    <cellStyle name="40% - Accent4 4 4 3" xfId="13385"/>
    <cellStyle name="40% - Accent4 4 4 3 2" xfId="13386"/>
    <cellStyle name="40% - Accent4 4 4 4" xfId="13387"/>
    <cellStyle name="40% - Accent4 4 4 4 2" xfId="13388"/>
    <cellStyle name="40% - Accent4 4 4 5" xfId="13389"/>
    <cellStyle name="40% - Accent4 4 4 6" xfId="13382"/>
    <cellStyle name="40% - Accent4 4 5" xfId="2087"/>
    <cellStyle name="40% - Accent4 4 5 2" xfId="13391"/>
    <cellStyle name="40% - Accent4 4 5 2 2" xfId="13392"/>
    <cellStyle name="40% - Accent4 4 5 3" xfId="13393"/>
    <cellStyle name="40% - Accent4 4 5 3 2" xfId="13394"/>
    <cellStyle name="40% - Accent4 4 5 4" xfId="13395"/>
    <cellStyle name="40% - Accent4 4 5 4 2" xfId="13396"/>
    <cellStyle name="40% - Accent4 4 5 5" xfId="13397"/>
    <cellStyle name="40% - Accent4 4 5 6" xfId="13390"/>
    <cellStyle name="40% - Accent4 4 6" xfId="2461"/>
    <cellStyle name="40% - Accent4 4 6 2" xfId="13399"/>
    <cellStyle name="40% - Accent4 4 6 2 2" xfId="13400"/>
    <cellStyle name="40% - Accent4 4 6 3" xfId="13401"/>
    <cellStyle name="40% - Accent4 4 6 3 2" xfId="13402"/>
    <cellStyle name="40% - Accent4 4 6 4" xfId="13403"/>
    <cellStyle name="40% - Accent4 4 6 4 2" xfId="13404"/>
    <cellStyle name="40% - Accent4 4 6 5" xfId="13405"/>
    <cellStyle name="40% - Accent4 4 6 6" xfId="13398"/>
    <cellStyle name="40% - Accent4 4 7" xfId="2833"/>
    <cellStyle name="40% - Accent4 4 7 2" xfId="13407"/>
    <cellStyle name="40% - Accent4 4 7 2 2" xfId="13408"/>
    <cellStyle name="40% - Accent4 4 7 3" xfId="13409"/>
    <cellStyle name="40% - Accent4 4 7 3 2" xfId="13410"/>
    <cellStyle name="40% - Accent4 4 7 4" xfId="13411"/>
    <cellStyle name="40% - Accent4 4 7 4 2" xfId="13412"/>
    <cellStyle name="40% - Accent4 4 7 5" xfId="13413"/>
    <cellStyle name="40% - Accent4 4 7 6" xfId="13406"/>
    <cellStyle name="40% - Accent4 4 8" xfId="3204"/>
    <cellStyle name="40% - Accent4 4 8 2" xfId="13415"/>
    <cellStyle name="40% - Accent4 4 8 2 2" xfId="13416"/>
    <cellStyle name="40% - Accent4 4 8 3" xfId="13417"/>
    <cellStyle name="40% - Accent4 4 8 3 2" xfId="13418"/>
    <cellStyle name="40% - Accent4 4 8 4" xfId="13419"/>
    <cellStyle name="40% - Accent4 4 8 4 2" xfId="13420"/>
    <cellStyle name="40% - Accent4 4 8 5" xfId="13421"/>
    <cellStyle name="40% - Accent4 4 8 6" xfId="13414"/>
    <cellStyle name="40% - Accent4 4 9" xfId="3591"/>
    <cellStyle name="40% - Accent4 4 9 2" xfId="4593"/>
    <cellStyle name="40% - Accent4 4 9 2 2" xfId="13424"/>
    <cellStyle name="40% - Accent4 4 9 2 3" xfId="13423"/>
    <cellStyle name="40% - Accent4 4 9 3" xfId="13425"/>
    <cellStyle name="40% - Accent4 4 9 3 2" xfId="13426"/>
    <cellStyle name="40% - Accent4 4 9 4" xfId="13427"/>
    <cellStyle name="40% - Accent4 4 9 4 2" xfId="13428"/>
    <cellStyle name="40% - Accent4 4 9 5" xfId="13429"/>
    <cellStyle name="40% - Accent4 4 9 5 2" xfId="13430"/>
    <cellStyle name="40% - Accent4 4 9 6" xfId="13431"/>
    <cellStyle name="40% - Accent4 4 9 7" xfId="13422"/>
    <cellStyle name="40% - Accent4 5" xfId="395"/>
    <cellStyle name="40% - Accent4 5 10" xfId="13433"/>
    <cellStyle name="40% - Accent4 5 10 2" xfId="13434"/>
    <cellStyle name="40% - Accent4 5 10 2 2" xfId="13435"/>
    <cellStyle name="40% - Accent4 5 10 3" xfId="13436"/>
    <cellStyle name="40% - Accent4 5 10 3 2" xfId="13437"/>
    <cellStyle name="40% - Accent4 5 10 4" xfId="13438"/>
    <cellStyle name="40% - Accent4 5 11" xfId="13439"/>
    <cellStyle name="40% - Accent4 5 11 2" xfId="13440"/>
    <cellStyle name="40% - Accent4 5 11 2 2" xfId="13441"/>
    <cellStyle name="40% - Accent4 5 11 3" xfId="13442"/>
    <cellStyle name="40% - Accent4 5 11 3 2" xfId="13443"/>
    <cellStyle name="40% - Accent4 5 11 4" xfId="13444"/>
    <cellStyle name="40% - Accent4 5 12" xfId="13445"/>
    <cellStyle name="40% - Accent4 5 12 2" xfId="13446"/>
    <cellStyle name="40% - Accent4 5 12 2 2" xfId="13447"/>
    <cellStyle name="40% - Accent4 5 12 3" xfId="13448"/>
    <cellStyle name="40% - Accent4 5 12 3 2" xfId="13449"/>
    <cellStyle name="40% - Accent4 5 12 4" xfId="13450"/>
    <cellStyle name="40% - Accent4 5 13" xfId="13451"/>
    <cellStyle name="40% - Accent4 5 13 2" xfId="13452"/>
    <cellStyle name="40% - Accent4 5 13 2 2" xfId="13453"/>
    <cellStyle name="40% - Accent4 5 13 3" xfId="13454"/>
    <cellStyle name="40% - Accent4 5 13 3 2" xfId="13455"/>
    <cellStyle name="40% - Accent4 5 13 4" xfId="13456"/>
    <cellStyle name="40% - Accent4 5 14" xfId="13457"/>
    <cellStyle name="40% - Accent4 5 14 2" xfId="13458"/>
    <cellStyle name="40% - Accent4 5 15" xfId="13459"/>
    <cellStyle name="40% - Accent4 5 15 2" xfId="13460"/>
    <cellStyle name="40% - Accent4 5 16" xfId="13461"/>
    <cellStyle name="40% - Accent4 5 16 2" xfId="13462"/>
    <cellStyle name="40% - Accent4 5 17" xfId="13463"/>
    <cellStyle name="40% - Accent4 5 17 2" xfId="13464"/>
    <cellStyle name="40% - Accent4 5 18" xfId="13465"/>
    <cellStyle name="40% - Accent4 5 19" xfId="13432"/>
    <cellStyle name="40% - Accent4 5 2" xfId="1766"/>
    <cellStyle name="40% - Accent4 5 2 10" xfId="13467"/>
    <cellStyle name="40% - Accent4 5 2 10 2" xfId="13468"/>
    <cellStyle name="40% - Accent4 5 2 10 2 2" xfId="13469"/>
    <cellStyle name="40% - Accent4 5 2 10 3" xfId="13470"/>
    <cellStyle name="40% - Accent4 5 2 10 3 2" xfId="13471"/>
    <cellStyle name="40% - Accent4 5 2 10 4" xfId="13472"/>
    <cellStyle name="40% - Accent4 5 2 11" xfId="13473"/>
    <cellStyle name="40% - Accent4 5 2 11 2" xfId="13474"/>
    <cellStyle name="40% - Accent4 5 2 11 2 2" xfId="13475"/>
    <cellStyle name="40% - Accent4 5 2 11 3" xfId="13476"/>
    <cellStyle name="40% - Accent4 5 2 11 3 2" xfId="13477"/>
    <cellStyle name="40% - Accent4 5 2 11 4" xfId="13478"/>
    <cellStyle name="40% - Accent4 5 2 12" xfId="13479"/>
    <cellStyle name="40% - Accent4 5 2 12 2" xfId="13480"/>
    <cellStyle name="40% - Accent4 5 2 12 2 2" xfId="13481"/>
    <cellStyle name="40% - Accent4 5 2 12 3" xfId="13482"/>
    <cellStyle name="40% - Accent4 5 2 12 3 2" xfId="13483"/>
    <cellStyle name="40% - Accent4 5 2 12 4" xfId="13484"/>
    <cellStyle name="40% - Accent4 5 2 13" xfId="13485"/>
    <cellStyle name="40% - Accent4 5 2 13 2" xfId="13486"/>
    <cellStyle name="40% - Accent4 5 2 14" xfId="13487"/>
    <cellStyle name="40% - Accent4 5 2 14 2" xfId="13488"/>
    <cellStyle name="40% - Accent4 5 2 15" xfId="13489"/>
    <cellStyle name="40% - Accent4 5 2 15 2" xfId="13490"/>
    <cellStyle name="40% - Accent4 5 2 16" xfId="13491"/>
    <cellStyle name="40% - Accent4 5 2 17" xfId="13466"/>
    <cellStyle name="40% - Accent4 5 2 2" xfId="13492"/>
    <cellStyle name="40% - Accent4 5 2 2 2" xfId="13493"/>
    <cellStyle name="40% - Accent4 5 2 2 2 2" xfId="13494"/>
    <cellStyle name="40% - Accent4 5 2 2 3" xfId="13495"/>
    <cellStyle name="40% - Accent4 5 2 2 3 2" xfId="13496"/>
    <cellStyle name="40% - Accent4 5 2 2 4" xfId="13497"/>
    <cellStyle name="40% - Accent4 5 2 3" xfId="13498"/>
    <cellStyle name="40% - Accent4 5 2 3 2" xfId="13499"/>
    <cellStyle name="40% - Accent4 5 2 3 2 2" xfId="13500"/>
    <cellStyle name="40% - Accent4 5 2 3 3" xfId="13501"/>
    <cellStyle name="40% - Accent4 5 2 3 3 2" xfId="13502"/>
    <cellStyle name="40% - Accent4 5 2 3 4" xfId="13503"/>
    <cellStyle name="40% - Accent4 5 2 4" xfId="13504"/>
    <cellStyle name="40% - Accent4 5 2 4 2" xfId="13505"/>
    <cellStyle name="40% - Accent4 5 2 4 2 2" xfId="13506"/>
    <cellStyle name="40% - Accent4 5 2 4 3" xfId="13507"/>
    <cellStyle name="40% - Accent4 5 2 4 3 2" xfId="13508"/>
    <cellStyle name="40% - Accent4 5 2 4 4" xfId="13509"/>
    <cellStyle name="40% - Accent4 5 2 5" xfId="13510"/>
    <cellStyle name="40% - Accent4 5 2 5 2" xfId="13511"/>
    <cellStyle name="40% - Accent4 5 2 5 2 2" xfId="13512"/>
    <cellStyle name="40% - Accent4 5 2 5 3" xfId="13513"/>
    <cellStyle name="40% - Accent4 5 2 5 3 2" xfId="13514"/>
    <cellStyle name="40% - Accent4 5 2 5 4" xfId="13515"/>
    <cellStyle name="40% - Accent4 5 2 6" xfId="13516"/>
    <cellStyle name="40% - Accent4 5 2 6 2" xfId="13517"/>
    <cellStyle name="40% - Accent4 5 2 6 2 2" xfId="13518"/>
    <cellStyle name="40% - Accent4 5 2 6 3" xfId="13519"/>
    <cellStyle name="40% - Accent4 5 2 6 3 2" xfId="13520"/>
    <cellStyle name="40% - Accent4 5 2 6 4" xfId="13521"/>
    <cellStyle name="40% - Accent4 5 2 7" xfId="13522"/>
    <cellStyle name="40% - Accent4 5 2 7 2" xfId="13523"/>
    <cellStyle name="40% - Accent4 5 2 7 2 2" xfId="13524"/>
    <cellStyle name="40% - Accent4 5 2 7 3" xfId="13525"/>
    <cellStyle name="40% - Accent4 5 2 7 3 2" xfId="13526"/>
    <cellStyle name="40% - Accent4 5 2 7 4" xfId="13527"/>
    <cellStyle name="40% - Accent4 5 2 8" xfId="13528"/>
    <cellStyle name="40% - Accent4 5 2 8 2" xfId="13529"/>
    <cellStyle name="40% - Accent4 5 2 8 2 2" xfId="13530"/>
    <cellStyle name="40% - Accent4 5 2 8 3" xfId="13531"/>
    <cellStyle name="40% - Accent4 5 2 8 3 2" xfId="13532"/>
    <cellStyle name="40% - Accent4 5 2 8 4" xfId="13533"/>
    <cellStyle name="40% - Accent4 5 2 9" xfId="13534"/>
    <cellStyle name="40% - Accent4 5 2 9 2" xfId="13535"/>
    <cellStyle name="40% - Accent4 5 2 9 2 2" xfId="13536"/>
    <cellStyle name="40% - Accent4 5 2 9 3" xfId="13537"/>
    <cellStyle name="40% - Accent4 5 2 9 3 2" xfId="13538"/>
    <cellStyle name="40% - Accent4 5 2 9 4" xfId="13539"/>
    <cellStyle name="40% - Accent4 5 3" xfId="2101"/>
    <cellStyle name="40% - Accent4 5 3 2" xfId="13541"/>
    <cellStyle name="40% - Accent4 5 3 2 2" xfId="13542"/>
    <cellStyle name="40% - Accent4 5 3 3" xfId="13543"/>
    <cellStyle name="40% - Accent4 5 3 3 2" xfId="13544"/>
    <cellStyle name="40% - Accent4 5 3 4" xfId="13545"/>
    <cellStyle name="40% - Accent4 5 3 4 2" xfId="13546"/>
    <cellStyle name="40% - Accent4 5 3 5" xfId="13547"/>
    <cellStyle name="40% - Accent4 5 3 6" xfId="13540"/>
    <cellStyle name="40% - Accent4 5 4" xfId="2475"/>
    <cellStyle name="40% - Accent4 5 4 2" xfId="13549"/>
    <cellStyle name="40% - Accent4 5 4 2 2" xfId="13550"/>
    <cellStyle name="40% - Accent4 5 4 3" xfId="13551"/>
    <cellStyle name="40% - Accent4 5 4 3 2" xfId="13552"/>
    <cellStyle name="40% - Accent4 5 4 4" xfId="13553"/>
    <cellStyle name="40% - Accent4 5 4 4 2" xfId="13554"/>
    <cellStyle name="40% - Accent4 5 4 5" xfId="13555"/>
    <cellStyle name="40% - Accent4 5 4 6" xfId="13548"/>
    <cellStyle name="40% - Accent4 5 5" xfId="2847"/>
    <cellStyle name="40% - Accent4 5 5 2" xfId="13557"/>
    <cellStyle name="40% - Accent4 5 5 2 2" xfId="13558"/>
    <cellStyle name="40% - Accent4 5 5 3" xfId="13559"/>
    <cellStyle name="40% - Accent4 5 5 3 2" xfId="13560"/>
    <cellStyle name="40% - Accent4 5 5 4" xfId="13561"/>
    <cellStyle name="40% - Accent4 5 5 4 2" xfId="13562"/>
    <cellStyle name="40% - Accent4 5 5 5" xfId="13563"/>
    <cellStyle name="40% - Accent4 5 5 6" xfId="13556"/>
    <cellStyle name="40% - Accent4 5 6" xfId="3218"/>
    <cellStyle name="40% - Accent4 5 6 2" xfId="13565"/>
    <cellStyle name="40% - Accent4 5 6 2 2" xfId="13566"/>
    <cellStyle name="40% - Accent4 5 6 3" xfId="13567"/>
    <cellStyle name="40% - Accent4 5 6 3 2" xfId="13568"/>
    <cellStyle name="40% - Accent4 5 6 4" xfId="13569"/>
    <cellStyle name="40% - Accent4 5 6 4 2" xfId="13570"/>
    <cellStyle name="40% - Accent4 5 6 5" xfId="13571"/>
    <cellStyle name="40% - Accent4 5 6 6" xfId="13564"/>
    <cellStyle name="40% - Accent4 5 7" xfId="4594"/>
    <cellStyle name="40% - Accent4 5 7 2" xfId="13573"/>
    <cellStyle name="40% - Accent4 5 7 2 2" xfId="13574"/>
    <cellStyle name="40% - Accent4 5 7 3" xfId="13575"/>
    <cellStyle name="40% - Accent4 5 7 3 2" xfId="13576"/>
    <cellStyle name="40% - Accent4 5 7 4" xfId="13577"/>
    <cellStyle name="40% - Accent4 5 7 5" xfId="13572"/>
    <cellStyle name="40% - Accent4 5 8" xfId="13578"/>
    <cellStyle name="40% - Accent4 5 8 2" xfId="13579"/>
    <cellStyle name="40% - Accent4 5 8 2 2" xfId="13580"/>
    <cellStyle name="40% - Accent4 5 8 3" xfId="13581"/>
    <cellStyle name="40% - Accent4 5 8 3 2" xfId="13582"/>
    <cellStyle name="40% - Accent4 5 8 4" xfId="13583"/>
    <cellStyle name="40% - Accent4 5 9" xfId="13584"/>
    <cellStyle name="40% - Accent4 5 9 2" xfId="13585"/>
    <cellStyle name="40% - Accent4 5 9 2 2" xfId="13586"/>
    <cellStyle name="40% - Accent4 5 9 3" xfId="13587"/>
    <cellStyle name="40% - Accent4 5 9 3 2" xfId="13588"/>
    <cellStyle name="40% - Accent4 5 9 4" xfId="13589"/>
    <cellStyle name="40% - Accent4 6" xfId="396"/>
    <cellStyle name="40% - Accent4 6 10" xfId="5416"/>
    <cellStyle name="40% - Accent4 6 10 2" xfId="6373"/>
    <cellStyle name="40% - Accent4 6 10 2 2" xfId="13593"/>
    <cellStyle name="40% - Accent4 6 10 2 3" xfId="13592"/>
    <cellStyle name="40% - Accent4 6 10 2 4" xfId="26503"/>
    <cellStyle name="40% - Accent4 6 10 3" xfId="13594"/>
    <cellStyle name="40% - Accent4 6 10 3 2" xfId="13595"/>
    <cellStyle name="40% - Accent4 6 10 4" xfId="13596"/>
    <cellStyle name="40% - Accent4 6 10 5" xfId="13591"/>
    <cellStyle name="40% - Accent4 6 10 6" xfId="26502"/>
    <cellStyle name="40% - Accent4 6 11" xfId="5726"/>
    <cellStyle name="40% - Accent4 6 11 2" xfId="6374"/>
    <cellStyle name="40% - Accent4 6 11 2 2" xfId="13599"/>
    <cellStyle name="40% - Accent4 6 11 2 3" xfId="13598"/>
    <cellStyle name="40% - Accent4 6 11 2 4" xfId="26505"/>
    <cellStyle name="40% - Accent4 6 11 3" xfId="13600"/>
    <cellStyle name="40% - Accent4 6 11 3 2" xfId="13601"/>
    <cellStyle name="40% - Accent4 6 11 4" xfId="13602"/>
    <cellStyle name="40% - Accent4 6 11 5" xfId="13597"/>
    <cellStyle name="40% - Accent4 6 11 6" xfId="26504"/>
    <cellStyle name="40% - Accent4 6 12" xfId="4595"/>
    <cellStyle name="40% - Accent4 6 12 2" xfId="6375"/>
    <cellStyle name="40% - Accent4 6 12 2 2" xfId="13605"/>
    <cellStyle name="40% - Accent4 6 12 2 3" xfId="13604"/>
    <cellStyle name="40% - Accent4 6 12 2 4" xfId="26507"/>
    <cellStyle name="40% - Accent4 6 12 3" xfId="13606"/>
    <cellStyle name="40% - Accent4 6 12 3 2" xfId="13607"/>
    <cellStyle name="40% - Accent4 6 12 4" xfId="13608"/>
    <cellStyle name="40% - Accent4 6 12 5" xfId="13603"/>
    <cellStyle name="40% - Accent4 6 12 6" xfId="26506"/>
    <cellStyle name="40% - Accent4 6 13" xfId="6372"/>
    <cellStyle name="40% - Accent4 6 13 2" xfId="13610"/>
    <cellStyle name="40% - Accent4 6 13 3" xfId="13609"/>
    <cellStyle name="40% - Accent4 6 13 4" xfId="26508"/>
    <cellStyle name="40% - Accent4 6 14" xfId="13611"/>
    <cellStyle name="40% - Accent4 6 14 2" xfId="13612"/>
    <cellStyle name="40% - Accent4 6 15" xfId="13613"/>
    <cellStyle name="40% - Accent4 6 15 2" xfId="13614"/>
    <cellStyle name="40% - Accent4 6 16" xfId="13615"/>
    <cellStyle name="40% - Accent4 6 16 2" xfId="13616"/>
    <cellStyle name="40% - Accent4 6 16 2 2" xfId="13617"/>
    <cellStyle name="40% - Accent4 6 16 3" xfId="13618"/>
    <cellStyle name="40% - Accent4 6 16 3 2" xfId="13619"/>
    <cellStyle name="40% - Accent4 6 16 4" xfId="13620"/>
    <cellStyle name="40% - Accent4 6 17" xfId="13621"/>
    <cellStyle name="40% - Accent4 6 17 2" xfId="13622"/>
    <cellStyle name="40% - Accent4 6 18" xfId="13623"/>
    <cellStyle name="40% - Accent4 6 18 2" xfId="13624"/>
    <cellStyle name="40% - Accent4 6 19" xfId="13625"/>
    <cellStyle name="40% - Accent4 6 2" xfId="1978"/>
    <cellStyle name="40% - Accent4 6 2 2" xfId="4596"/>
    <cellStyle name="40% - Accent4 6 2 2 2" xfId="13628"/>
    <cellStyle name="40% - Accent4 6 2 2 3" xfId="13627"/>
    <cellStyle name="40% - Accent4 6 2 3" xfId="13629"/>
    <cellStyle name="40% - Accent4 6 2 3 2" xfId="13630"/>
    <cellStyle name="40% - Accent4 6 2 4" xfId="13631"/>
    <cellStyle name="40% - Accent4 6 2 4 2" xfId="13632"/>
    <cellStyle name="40% - Accent4 6 2 5" xfId="13633"/>
    <cellStyle name="40% - Accent4 6 2 5 2" xfId="13634"/>
    <cellStyle name="40% - Accent4 6 2 6" xfId="13635"/>
    <cellStyle name="40% - Accent4 6 2 7" xfId="13626"/>
    <cellStyle name="40% - Accent4 6 20" xfId="13590"/>
    <cellStyle name="40% - Accent4 6 21" xfId="24840"/>
    <cellStyle name="40% - Accent4 6 22" xfId="26501"/>
    <cellStyle name="40% - Accent4 6 3" xfId="2353"/>
    <cellStyle name="40% - Accent4 6 3 2" xfId="4597"/>
    <cellStyle name="40% - Accent4 6 3 2 2" xfId="13638"/>
    <cellStyle name="40% - Accent4 6 3 2 3" xfId="13637"/>
    <cellStyle name="40% - Accent4 6 3 3" xfId="13639"/>
    <cellStyle name="40% - Accent4 6 3 3 2" xfId="13640"/>
    <cellStyle name="40% - Accent4 6 3 4" xfId="13641"/>
    <cellStyle name="40% - Accent4 6 3 4 2" xfId="13642"/>
    <cellStyle name="40% - Accent4 6 3 5" xfId="13643"/>
    <cellStyle name="40% - Accent4 6 3 5 2" xfId="13644"/>
    <cellStyle name="40% - Accent4 6 3 6" xfId="13645"/>
    <cellStyle name="40% - Accent4 6 3 7" xfId="13636"/>
    <cellStyle name="40% - Accent4 6 4" xfId="2726"/>
    <cellStyle name="40% - Accent4 6 4 2" xfId="4598"/>
    <cellStyle name="40% - Accent4 6 4 2 2" xfId="13648"/>
    <cellStyle name="40% - Accent4 6 4 2 3" xfId="13647"/>
    <cellStyle name="40% - Accent4 6 4 3" xfId="13649"/>
    <cellStyle name="40% - Accent4 6 4 3 2" xfId="13650"/>
    <cellStyle name="40% - Accent4 6 4 4" xfId="13651"/>
    <cellStyle name="40% - Accent4 6 4 4 2" xfId="13652"/>
    <cellStyle name="40% - Accent4 6 4 5" xfId="13653"/>
    <cellStyle name="40% - Accent4 6 4 5 2" xfId="13654"/>
    <cellStyle name="40% - Accent4 6 4 6" xfId="13655"/>
    <cellStyle name="40% - Accent4 6 4 7" xfId="13646"/>
    <cellStyle name="40% - Accent4 6 5" xfId="3099"/>
    <cellStyle name="40% - Accent4 6 5 2" xfId="4599"/>
    <cellStyle name="40% - Accent4 6 5 2 2" xfId="13658"/>
    <cellStyle name="40% - Accent4 6 5 2 3" xfId="13657"/>
    <cellStyle name="40% - Accent4 6 5 3" xfId="13659"/>
    <cellStyle name="40% - Accent4 6 5 3 2" xfId="13660"/>
    <cellStyle name="40% - Accent4 6 5 4" xfId="13661"/>
    <cellStyle name="40% - Accent4 6 5 4 2" xfId="13662"/>
    <cellStyle name="40% - Accent4 6 5 5" xfId="13663"/>
    <cellStyle name="40% - Accent4 6 5 5 2" xfId="13664"/>
    <cellStyle name="40% - Accent4 6 5 6" xfId="13665"/>
    <cellStyle name="40% - Accent4 6 5 7" xfId="13656"/>
    <cellStyle name="40% - Accent4 6 6" xfId="3470"/>
    <cellStyle name="40% - Accent4 6 6 2" xfId="4600"/>
    <cellStyle name="40% - Accent4 6 6 2 2" xfId="13668"/>
    <cellStyle name="40% - Accent4 6 6 2 3" xfId="13667"/>
    <cellStyle name="40% - Accent4 6 6 3" xfId="13669"/>
    <cellStyle name="40% - Accent4 6 6 3 2" xfId="13670"/>
    <cellStyle name="40% - Accent4 6 6 4" xfId="13671"/>
    <cellStyle name="40% - Accent4 6 6 4 2" xfId="13672"/>
    <cellStyle name="40% - Accent4 6 6 5" xfId="13673"/>
    <cellStyle name="40% - Accent4 6 6 5 2" xfId="13674"/>
    <cellStyle name="40% - Accent4 6 6 6" xfId="13675"/>
    <cellStyle name="40% - Accent4 6 6 7" xfId="13666"/>
    <cellStyle name="40% - Accent4 6 7" xfId="3776"/>
    <cellStyle name="40% - Accent4 6 7 2" xfId="4601"/>
    <cellStyle name="40% - Accent4 6 7 2 2" xfId="13678"/>
    <cellStyle name="40% - Accent4 6 7 2 3" xfId="13677"/>
    <cellStyle name="40% - Accent4 6 7 3" xfId="13679"/>
    <cellStyle name="40% - Accent4 6 7 3 2" xfId="13680"/>
    <cellStyle name="40% - Accent4 6 7 4" xfId="13681"/>
    <cellStyle name="40% - Accent4 6 7 4 2" xfId="13682"/>
    <cellStyle name="40% - Accent4 6 7 5" xfId="13683"/>
    <cellStyle name="40% - Accent4 6 7 5 2" xfId="13684"/>
    <cellStyle name="40% - Accent4 6 7 6" xfId="13685"/>
    <cellStyle name="40% - Accent4 6 7 7" xfId="13676"/>
    <cellStyle name="40% - Accent4 6 8" xfId="1366"/>
    <cellStyle name="40% - Accent4 6 8 10" xfId="24898"/>
    <cellStyle name="40% - Accent4 6 8 11" xfId="26509"/>
    <cellStyle name="40% - Accent4 6 8 2" xfId="4166"/>
    <cellStyle name="40% - Accent4 6 8 2 2" xfId="5418"/>
    <cellStyle name="40% - Accent4 6 8 2 2 2" xfId="6378"/>
    <cellStyle name="40% - Accent4 6 8 2 2 2 2" xfId="13689"/>
    <cellStyle name="40% - Accent4 6 8 2 2 2 3" xfId="26512"/>
    <cellStyle name="40% - Accent4 6 8 2 2 3" xfId="13688"/>
    <cellStyle name="40% - Accent4 6 8 2 2 4" xfId="26511"/>
    <cellStyle name="40% - Accent4 6 8 2 3" xfId="5728"/>
    <cellStyle name="40% - Accent4 6 8 2 3 2" xfId="6379"/>
    <cellStyle name="40% - Accent4 6 8 2 3 2 2" xfId="26514"/>
    <cellStyle name="40% - Accent4 6 8 2 3 3" xfId="13690"/>
    <cellStyle name="40% - Accent4 6 8 2 3 4" xfId="26513"/>
    <cellStyle name="40% - Accent4 6 8 2 4" xfId="4603"/>
    <cellStyle name="40% - Accent4 6 8 2 4 2" xfId="6380"/>
    <cellStyle name="40% - Accent4 6 8 2 4 2 2" xfId="26516"/>
    <cellStyle name="40% - Accent4 6 8 2 4 3" xfId="26515"/>
    <cellStyle name="40% - Accent4 6 8 2 5" xfId="6377"/>
    <cellStyle name="40% - Accent4 6 8 2 5 2" xfId="26517"/>
    <cellStyle name="40% - Accent4 6 8 2 6" xfId="13687"/>
    <cellStyle name="40% - Accent4 6 8 2 7" xfId="25018"/>
    <cellStyle name="40% - Accent4 6 8 2 8" xfId="26510"/>
    <cellStyle name="40% - Accent4 6 8 3" xfId="5417"/>
    <cellStyle name="40% - Accent4 6 8 3 2" xfId="6381"/>
    <cellStyle name="40% - Accent4 6 8 3 2 2" xfId="13692"/>
    <cellStyle name="40% - Accent4 6 8 3 2 3" xfId="26519"/>
    <cellStyle name="40% - Accent4 6 8 3 3" xfId="13691"/>
    <cellStyle name="40% - Accent4 6 8 3 4" xfId="26518"/>
    <cellStyle name="40% - Accent4 6 8 4" xfId="5727"/>
    <cellStyle name="40% - Accent4 6 8 4 2" xfId="6382"/>
    <cellStyle name="40% - Accent4 6 8 4 2 2" xfId="13694"/>
    <cellStyle name="40% - Accent4 6 8 4 2 3" xfId="26521"/>
    <cellStyle name="40% - Accent4 6 8 4 3" xfId="13693"/>
    <cellStyle name="40% - Accent4 6 8 4 4" xfId="26520"/>
    <cellStyle name="40% - Accent4 6 8 5" xfId="4602"/>
    <cellStyle name="40% - Accent4 6 8 5 2" xfId="6383"/>
    <cellStyle name="40% - Accent4 6 8 5 2 2" xfId="13697"/>
    <cellStyle name="40% - Accent4 6 8 5 2 3" xfId="13696"/>
    <cellStyle name="40% - Accent4 6 8 5 2 4" xfId="26523"/>
    <cellStyle name="40% - Accent4 6 8 5 3" xfId="13698"/>
    <cellStyle name="40% - Accent4 6 8 5 3 2" xfId="13699"/>
    <cellStyle name="40% - Accent4 6 8 5 4" xfId="13700"/>
    <cellStyle name="40% - Accent4 6 8 5 5" xfId="13695"/>
    <cellStyle name="40% - Accent4 6 8 5 6" xfId="26522"/>
    <cellStyle name="40% - Accent4 6 8 6" xfId="6376"/>
    <cellStyle name="40% - Accent4 6 8 6 2" xfId="13702"/>
    <cellStyle name="40% - Accent4 6 8 6 3" xfId="13701"/>
    <cellStyle name="40% - Accent4 6 8 6 4" xfId="26524"/>
    <cellStyle name="40% - Accent4 6 8 7" xfId="13703"/>
    <cellStyle name="40% - Accent4 6 8 7 2" xfId="13704"/>
    <cellStyle name="40% - Accent4 6 8 8" xfId="13705"/>
    <cellStyle name="40% - Accent4 6 8 9" xfId="13686"/>
    <cellStyle name="40% - Accent4 6 9" xfId="3826"/>
    <cellStyle name="40% - Accent4 6 9 2" xfId="5419"/>
    <cellStyle name="40% - Accent4 6 9 2 2" xfId="6385"/>
    <cellStyle name="40% - Accent4 6 9 2 2 2" xfId="13708"/>
    <cellStyle name="40% - Accent4 6 9 2 2 3" xfId="26527"/>
    <cellStyle name="40% - Accent4 6 9 2 3" xfId="13707"/>
    <cellStyle name="40% - Accent4 6 9 2 4" xfId="26526"/>
    <cellStyle name="40% - Accent4 6 9 3" xfId="5729"/>
    <cellStyle name="40% - Accent4 6 9 3 2" xfId="6386"/>
    <cellStyle name="40% - Accent4 6 9 3 2 2" xfId="13710"/>
    <cellStyle name="40% - Accent4 6 9 3 2 3" xfId="26529"/>
    <cellStyle name="40% - Accent4 6 9 3 3" xfId="13709"/>
    <cellStyle name="40% - Accent4 6 9 3 4" xfId="26528"/>
    <cellStyle name="40% - Accent4 6 9 4" xfId="4604"/>
    <cellStyle name="40% - Accent4 6 9 4 2" xfId="6387"/>
    <cellStyle name="40% - Accent4 6 9 4 2 2" xfId="13712"/>
    <cellStyle name="40% - Accent4 6 9 4 2 3" xfId="26531"/>
    <cellStyle name="40% - Accent4 6 9 4 3" xfId="13711"/>
    <cellStyle name="40% - Accent4 6 9 4 4" xfId="26530"/>
    <cellStyle name="40% - Accent4 6 9 5" xfId="6384"/>
    <cellStyle name="40% - Accent4 6 9 5 2" xfId="13713"/>
    <cellStyle name="40% - Accent4 6 9 5 3" xfId="26532"/>
    <cellStyle name="40% - Accent4 6 9 6" xfId="13706"/>
    <cellStyle name="40% - Accent4 6 9 7" xfId="24962"/>
    <cellStyle name="40% - Accent4 6 9 8" xfId="26525"/>
    <cellStyle name="40% - Accent4 7" xfId="397"/>
    <cellStyle name="40% - Accent4 7 10" xfId="13715"/>
    <cellStyle name="40% - Accent4 7 10 2" xfId="13716"/>
    <cellStyle name="40% - Accent4 7 10 2 2" xfId="13717"/>
    <cellStyle name="40% - Accent4 7 10 3" xfId="13718"/>
    <cellStyle name="40% - Accent4 7 10 3 2" xfId="13719"/>
    <cellStyle name="40% - Accent4 7 10 4" xfId="13720"/>
    <cellStyle name="40% - Accent4 7 11" xfId="13721"/>
    <cellStyle name="40% - Accent4 7 11 2" xfId="13722"/>
    <cellStyle name="40% - Accent4 7 11 2 2" xfId="13723"/>
    <cellStyle name="40% - Accent4 7 11 3" xfId="13724"/>
    <cellStyle name="40% - Accent4 7 11 3 2" xfId="13725"/>
    <cellStyle name="40% - Accent4 7 11 4" xfId="13726"/>
    <cellStyle name="40% - Accent4 7 12" xfId="13727"/>
    <cellStyle name="40% - Accent4 7 12 2" xfId="13728"/>
    <cellStyle name="40% - Accent4 7 12 2 2" xfId="13729"/>
    <cellStyle name="40% - Accent4 7 12 3" xfId="13730"/>
    <cellStyle name="40% - Accent4 7 12 3 2" xfId="13731"/>
    <cellStyle name="40% - Accent4 7 12 4" xfId="13732"/>
    <cellStyle name="40% - Accent4 7 13" xfId="13733"/>
    <cellStyle name="40% - Accent4 7 13 2" xfId="13734"/>
    <cellStyle name="40% - Accent4 7 14" xfId="13735"/>
    <cellStyle name="40% - Accent4 7 14 2" xfId="13736"/>
    <cellStyle name="40% - Accent4 7 15" xfId="13737"/>
    <cellStyle name="40% - Accent4 7 15 2" xfId="13738"/>
    <cellStyle name="40% - Accent4 7 16" xfId="13739"/>
    <cellStyle name="40% - Accent4 7 16 2" xfId="13740"/>
    <cellStyle name="40% - Accent4 7 17" xfId="13741"/>
    <cellStyle name="40% - Accent4 7 18" xfId="13714"/>
    <cellStyle name="40% - Accent4 7 2" xfId="4605"/>
    <cellStyle name="40% - Accent4 7 2 2" xfId="13743"/>
    <cellStyle name="40% - Accent4 7 2 2 2" xfId="13744"/>
    <cellStyle name="40% - Accent4 7 2 3" xfId="13745"/>
    <cellStyle name="40% - Accent4 7 2 3 2" xfId="13746"/>
    <cellStyle name="40% - Accent4 7 2 4" xfId="13747"/>
    <cellStyle name="40% - Accent4 7 2 5" xfId="13742"/>
    <cellStyle name="40% - Accent4 7 3" xfId="13748"/>
    <cellStyle name="40% - Accent4 7 3 2" xfId="13749"/>
    <cellStyle name="40% - Accent4 7 3 2 2" xfId="13750"/>
    <cellStyle name="40% - Accent4 7 3 3" xfId="13751"/>
    <cellStyle name="40% - Accent4 7 3 3 2" xfId="13752"/>
    <cellStyle name="40% - Accent4 7 3 4" xfId="13753"/>
    <cellStyle name="40% - Accent4 7 4" xfId="13754"/>
    <cellStyle name="40% - Accent4 7 4 2" xfId="13755"/>
    <cellStyle name="40% - Accent4 7 4 2 2" xfId="13756"/>
    <cellStyle name="40% - Accent4 7 4 3" xfId="13757"/>
    <cellStyle name="40% - Accent4 7 4 3 2" xfId="13758"/>
    <cellStyle name="40% - Accent4 7 4 4" xfId="13759"/>
    <cellStyle name="40% - Accent4 7 5" xfId="13760"/>
    <cellStyle name="40% - Accent4 7 5 2" xfId="13761"/>
    <cellStyle name="40% - Accent4 7 5 2 2" xfId="13762"/>
    <cellStyle name="40% - Accent4 7 5 3" xfId="13763"/>
    <cellStyle name="40% - Accent4 7 5 3 2" xfId="13764"/>
    <cellStyle name="40% - Accent4 7 5 4" xfId="13765"/>
    <cellStyle name="40% - Accent4 7 6" xfId="13766"/>
    <cellStyle name="40% - Accent4 7 6 2" xfId="13767"/>
    <cellStyle name="40% - Accent4 7 6 2 2" xfId="13768"/>
    <cellStyle name="40% - Accent4 7 6 3" xfId="13769"/>
    <cellStyle name="40% - Accent4 7 6 3 2" xfId="13770"/>
    <cellStyle name="40% - Accent4 7 6 4" xfId="13771"/>
    <cellStyle name="40% - Accent4 7 7" xfId="13772"/>
    <cellStyle name="40% - Accent4 7 7 2" xfId="13773"/>
    <cellStyle name="40% - Accent4 7 7 2 2" xfId="13774"/>
    <cellStyle name="40% - Accent4 7 7 3" xfId="13775"/>
    <cellStyle name="40% - Accent4 7 7 3 2" xfId="13776"/>
    <cellStyle name="40% - Accent4 7 7 4" xfId="13777"/>
    <cellStyle name="40% - Accent4 7 8" xfId="13778"/>
    <cellStyle name="40% - Accent4 7 8 2" xfId="13779"/>
    <cellStyle name="40% - Accent4 7 8 2 2" xfId="13780"/>
    <cellStyle name="40% - Accent4 7 8 3" xfId="13781"/>
    <cellStyle name="40% - Accent4 7 8 3 2" xfId="13782"/>
    <cellStyle name="40% - Accent4 7 8 4" xfId="13783"/>
    <cellStyle name="40% - Accent4 7 9" xfId="13784"/>
    <cellStyle name="40% - Accent4 7 9 2" xfId="13785"/>
    <cellStyle name="40% - Accent4 7 9 2 2" xfId="13786"/>
    <cellStyle name="40% - Accent4 7 9 3" xfId="13787"/>
    <cellStyle name="40% - Accent4 7 9 3 2" xfId="13788"/>
    <cellStyle name="40% - Accent4 7 9 4" xfId="13789"/>
    <cellStyle name="40% - Accent4 8" xfId="547"/>
    <cellStyle name="40% - Accent4 8 10" xfId="13790"/>
    <cellStyle name="40% - Accent4 8 11" xfId="24854"/>
    <cellStyle name="40% - Accent4 8 12" xfId="26533"/>
    <cellStyle name="40% - Accent4 8 2" xfId="1379"/>
    <cellStyle name="40% - Accent4 8 2 10" xfId="24911"/>
    <cellStyle name="40% - Accent4 8 2 11" xfId="26534"/>
    <cellStyle name="40% - Accent4 8 2 2" xfId="4179"/>
    <cellStyle name="40% - Accent4 8 2 2 2" xfId="5422"/>
    <cellStyle name="40% - Accent4 8 2 2 2 2" xfId="6391"/>
    <cellStyle name="40% - Accent4 8 2 2 2 2 2" xfId="13794"/>
    <cellStyle name="40% - Accent4 8 2 2 2 2 3" xfId="26537"/>
    <cellStyle name="40% - Accent4 8 2 2 2 3" xfId="13793"/>
    <cellStyle name="40% - Accent4 8 2 2 2 4" xfId="26536"/>
    <cellStyle name="40% - Accent4 8 2 2 3" xfId="5732"/>
    <cellStyle name="40% - Accent4 8 2 2 3 2" xfId="6392"/>
    <cellStyle name="40% - Accent4 8 2 2 3 2 2" xfId="26539"/>
    <cellStyle name="40% - Accent4 8 2 2 3 3" xfId="13795"/>
    <cellStyle name="40% - Accent4 8 2 2 3 4" xfId="26538"/>
    <cellStyle name="40% - Accent4 8 2 2 4" xfId="4608"/>
    <cellStyle name="40% - Accent4 8 2 2 4 2" xfId="6393"/>
    <cellStyle name="40% - Accent4 8 2 2 4 2 2" xfId="26541"/>
    <cellStyle name="40% - Accent4 8 2 2 4 3" xfId="26540"/>
    <cellStyle name="40% - Accent4 8 2 2 5" xfId="6390"/>
    <cellStyle name="40% - Accent4 8 2 2 5 2" xfId="26542"/>
    <cellStyle name="40% - Accent4 8 2 2 6" xfId="13792"/>
    <cellStyle name="40% - Accent4 8 2 2 7" xfId="25031"/>
    <cellStyle name="40% - Accent4 8 2 2 8" xfId="26535"/>
    <cellStyle name="40% - Accent4 8 2 3" xfId="5421"/>
    <cellStyle name="40% - Accent4 8 2 3 2" xfId="6394"/>
    <cellStyle name="40% - Accent4 8 2 3 2 2" xfId="13797"/>
    <cellStyle name="40% - Accent4 8 2 3 2 3" xfId="26544"/>
    <cellStyle name="40% - Accent4 8 2 3 3" xfId="13796"/>
    <cellStyle name="40% - Accent4 8 2 3 4" xfId="26543"/>
    <cellStyle name="40% - Accent4 8 2 4" xfId="5731"/>
    <cellStyle name="40% - Accent4 8 2 4 2" xfId="6395"/>
    <cellStyle name="40% - Accent4 8 2 4 2 2" xfId="13799"/>
    <cellStyle name="40% - Accent4 8 2 4 2 3" xfId="26546"/>
    <cellStyle name="40% - Accent4 8 2 4 3" xfId="13798"/>
    <cellStyle name="40% - Accent4 8 2 4 4" xfId="26545"/>
    <cellStyle name="40% - Accent4 8 2 5" xfId="4607"/>
    <cellStyle name="40% - Accent4 8 2 5 2" xfId="6396"/>
    <cellStyle name="40% - Accent4 8 2 5 2 2" xfId="13802"/>
    <cellStyle name="40% - Accent4 8 2 5 2 3" xfId="13801"/>
    <cellStyle name="40% - Accent4 8 2 5 2 4" xfId="26548"/>
    <cellStyle name="40% - Accent4 8 2 5 3" xfId="13803"/>
    <cellStyle name="40% - Accent4 8 2 5 3 2" xfId="13804"/>
    <cellStyle name="40% - Accent4 8 2 5 4" xfId="13805"/>
    <cellStyle name="40% - Accent4 8 2 5 5" xfId="13800"/>
    <cellStyle name="40% - Accent4 8 2 5 6" xfId="26547"/>
    <cellStyle name="40% - Accent4 8 2 6" xfId="6389"/>
    <cellStyle name="40% - Accent4 8 2 6 2" xfId="13807"/>
    <cellStyle name="40% - Accent4 8 2 6 3" xfId="13806"/>
    <cellStyle name="40% - Accent4 8 2 6 4" xfId="26549"/>
    <cellStyle name="40% - Accent4 8 2 7" xfId="13808"/>
    <cellStyle name="40% - Accent4 8 2 7 2" xfId="13809"/>
    <cellStyle name="40% - Accent4 8 2 8" xfId="13810"/>
    <cellStyle name="40% - Accent4 8 2 9" xfId="13791"/>
    <cellStyle name="40% - Accent4 8 3" xfId="3840"/>
    <cellStyle name="40% - Accent4 8 3 2" xfId="5423"/>
    <cellStyle name="40% - Accent4 8 3 2 2" xfId="6398"/>
    <cellStyle name="40% - Accent4 8 3 2 2 2" xfId="13813"/>
    <cellStyle name="40% - Accent4 8 3 2 2 3" xfId="26552"/>
    <cellStyle name="40% - Accent4 8 3 2 3" xfId="13812"/>
    <cellStyle name="40% - Accent4 8 3 2 4" xfId="26551"/>
    <cellStyle name="40% - Accent4 8 3 3" xfId="5733"/>
    <cellStyle name="40% - Accent4 8 3 3 2" xfId="6399"/>
    <cellStyle name="40% - Accent4 8 3 3 2 2" xfId="26554"/>
    <cellStyle name="40% - Accent4 8 3 3 3" xfId="13814"/>
    <cellStyle name="40% - Accent4 8 3 3 4" xfId="26553"/>
    <cellStyle name="40% - Accent4 8 3 4" xfId="4609"/>
    <cellStyle name="40% - Accent4 8 3 4 2" xfId="6400"/>
    <cellStyle name="40% - Accent4 8 3 4 2 2" xfId="26556"/>
    <cellStyle name="40% - Accent4 8 3 4 3" xfId="26555"/>
    <cellStyle name="40% - Accent4 8 3 5" xfId="6397"/>
    <cellStyle name="40% - Accent4 8 3 5 2" xfId="26557"/>
    <cellStyle name="40% - Accent4 8 3 6" xfId="13811"/>
    <cellStyle name="40% - Accent4 8 3 7" xfId="24976"/>
    <cellStyle name="40% - Accent4 8 3 8" xfId="26550"/>
    <cellStyle name="40% - Accent4 8 4" xfId="5420"/>
    <cellStyle name="40% - Accent4 8 4 2" xfId="6401"/>
    <cellStyle name="40% - Accent4 8 4 2 2" xfId="13816"/>
    <cellStyle name="40% - Accent4 8 4 2 3" xfId="26559"/>
    <cellStyle name="40% - Accent4 8 4 3" xfId="13815"/>
    <cellStyle name="40% - Accent4 8 4 4" xfId="26558"/>
    <cellStyle name="40% - Accent4 8 5" xfId="5730"/>
    <cellStyle name="40% - Accent4 8 5 2" xfId="6402"/>
    <cellStyle name="40% - Accent4 8 5 2 2" xfId="13818"/>
    <cellStyle name="40% - Accent4 8 5 2 3" xfId="26561"/>
    <cellStyle name="40% - Accent4 8 5 3" xfId="13817"/>
    <cellStyle name="40% - Accent4 8 5 4" xfId="26560"/>
    <cellStyle name="40% - Accent4 8 6" xfId="4606"/>
    <cellStyle name="40% - Accent4 8 6 2" xfId="6403"/>
    <cellStyle name="40% - Accent4 8 6 2 2" xfId="13821"/>
    <cellStyle name="40% - Accent4 8 6 2 3" xfId="13820"/>
    <cellStyle name="40% - Accent4 8 6 2 4" xfId="26563"/>
    <cellStyle name="40% - Accent4 8 6 3" xfId="13822"/>
    <cellStyle name="40% - Accent4 8 6 3 2" xfId="13823"/>
    <cellStyle name="40% - Accent4 8 6 4" xfId="13824"/>
    <cellStyle name="40% - Accent4 8 6 5" xfId="13819"/>
    <cellStyle name="40% - Accent4 8 6 6" xfId="26562"/>
    <cellStyle name="40% - Accent4 8 7" xfId="6388"/>
    <cellStyle name="40% - Accent4 8 7 2" xfId="13826"/>
    <cellStyle name="40% - Accent4 8 7 3" xfId="13825"/>
    <cellStyle name="40% - Accent4 8 7 4" xfId="26564"/>
    <cellStyle name="40% - Accent4 8 8" xfId="13827"/>
    <cellStyle name="40% - Accent4 8 8 2" xfId="13828"/>
    <cellStyle name="40% - Accent4 8 9" xfId="13829"/>
    <cellStyle name="40% - Accent4 9" xfId="548"/>
    <cellStyle name="40% - Accent4 9 2" xfId="4610"/>
    <cellStyle name="40% - Accent4 9 2 2" xfId="13832"/>
    <cellStyle name="40% - Accent4 9 2 2 2" xfId="13833"/>
    <cellStyle name="40% - Accent4 9 2 3" xfId="13834"/>
    <cellStyle name="40% - Accent4 9 2 3 2" xfId="13835"/>
    <cellStyle name="40% - Accent4 9 2 4" xfId="13836"/>
    <cellStyle name="40% - Accent4 9 2 5" xfId="13831"/>
    <cellStyle name="40% - Accent4 9 3" xfId="13837"/>
    <cellStyle name="40% - Accent4 9 3 2" xfId="13838"/>
    <cellStyle name="40% - Accent4 9 4" xfId="13839"/>
    <cellStyle name="40% - Accent4 9 4 2" xfId="13840"/>
    <cellStyle name="40% - Accent4 9 5" xfId="13841"/>
    <cellStyle name="40% - Accent4 9 5 2" xfId="13842"/>
    <cellStyle name="40% - Accent4 9 6" xfId="13843"/>
    <cellStyle name="40% - Accent4 9 6 2" xfId="13844"/>
    <cellStyle name="40% - Accent4 9 7" xfId="13845"/>
    <cellStyle name="40% - Accent4 9 8" xfId="13830"/>
    <cellStyle name="40% - Accent5 10" xfId="680"/>
    <cellStyle name="40% - Accent5 10 2" xfId="4611"/>
    <cellStyle name="40% - Accent5 10 2 2" xfId="13849"/>
    <cellStyle name="40% - Accent5 10 2 3" xfId="13848"/>
    <cellStyle name="40% - Accent5 10 3" xfId="13850"/>
    <cellStyle name="40% - Accent5 10 3 2" xfId="13851"/>
    <cellStyle name="40% - Accent5 10 4" xfId="13852"/>
    <cellStyle name="40% - Accent5 10 4 2" xfId="13853"/>
    <cellStyle name="40% - Accent5 10 5" xfId="13854"/>
    <cellStyle name="40% - Accent5 10 5 2" xfId="13855"/>
    <cellStyle name="40% - Accent5 10 6" xfId="13856"/>
    <cellStyle name="40% - Accent5 10 7" xfId="13847"/>
    <cellStyle name="40% - Accent5 11" xfId="681"/>
    <cellStyle name="40% - Accent5 11 2" xfId="4612"/>
    <cellStyle name="40% - Accent5 11 2 2" xfId="13859"/>
    <cellStyle name="40% - Accent5 11 2 3" xfId="13858"/>
    <cellStyle name="40% - Accent5 11 3" xfId="13860"/>
    <cellStyle name="40% - Accent5 11 3 2" xfId="13861"/>
    <cellStyle name="40% - Accent5 11 4" xfId="13862"/>
    <cellStyle name="40% - Accent5 11 4 2" xfId="13863"/>
    <cellStyle name="40% - Accent5 11 5" xfId="13864"/>
    <cellStyle name="40% - Accent5 11 5 2" xfId="13865"/>
    <cellStyle name="40% - Accent5 11 6" xfId="13866"/>
    <cellStyle name="40% - Accent5 11 7" xfId="13857"/>
    <cellStyle name="40% - Accent5 12" xfId="828"/>
    <cellStyle name="40% - Accent5 12 2" xfId="13868"/>
    <cellStyle name="40% - Accent5 12 2 2" xfId="13869"/>
    <cellStyle name="40% - Accent5 12 3" xfId="13870"/>
    <cellStyle name="40% - Accent5 12 3 2" xfId="13871"/>
    <cellStyle name="40% - Accent5 12 4" xfId="13872"/>
    <cellStyle name="40% - Accent5 12 5" xfId="13867"/>
    <cellStyle name="40% - Accent5 13" xfId="829"/>
    <cellStyle name="40% - Accent5 13 2" xfId="3855"/>
    <cellStyle name="40% - Accent5 13 2 2" xfId="6405"/>
    <cellStyle name="40% - Accent5 13 2 2 2" xfId="13875"/>
    <cellStyle name="40% - Accent5 13 2 2 3" xfId="26567"/>
    <cellStyle name="40% - Accent5 13 2 3" xfId="13874"/>
    <cellStyle name="40% - Accent5 13 2 4" xfId="24991"/>
    <cellStyle name="40% - Accent5 13 2 5" xfId="26566"/>
    <cellStyle name="40% - Accent5 13 3" xfId="6404"/>
    <cellStyle name="40% - Accent5 13 3 2" xfId="13877"/>
    <cellStyle name="40% - Accent5 13 3 3" xfId="13876"/>
    <cellStyle name="40% - Accent5 13 3 4" xfId="26568"/>
    <cellStyle name="40% - Accent5 13 4" xfId="13878"/>
    <cellStyle name="40% - Accent5 13 5" xfId="13873"/>
    <cellStyle name="40% - Accent5 13 6" xfId="24870"/>
    <cellStyle name="40% - Accent5 13 7" xfId="26565"/>
    <cellStyle name="40% - Accent5 14" xfId="941"/>
    <cellStyle name="40% - Accent5 14 2" xfId="13880"/>
    <cellStyle name="40% - Accent5 14 2 2" xfId="13881"/>
    <cellStyle name="40% - Accent5 14 3" xfId="13882"/>
    <cellStyle name="40% - Accent5 14 3 2" xfId="13883"/>
    <cellStyle name="40% - Accent5 14 4" xfId="13884"/>
    <cellStyle name="40% - Accent5 14 5" xfId="13879"/>
    <cellStyle name="40% - Accent5 15" xfId="13885"/>
    <cellStyle name="40% - Accent5 15 2" xfId="13886"/>
    <cellStyle name="40% - Accent5 15 2 2" xfId="13887"/>
    <cellStyle name="40% - Accent5 15 3" xfId="13888"/>
    <cellStyle name="40% - Accent5 15 3 2" xfId="13889"/>
    <cellStyle name="40% - Accent5 15 4" xfId="13890"/>
    <cellStyle name="40% - Accent5 16" xfId="13891"/>
    <cellStyle name="40% - Accent5 16 2" xfId="13892"/>
    <cellStyle name="40% - Accent5 16 2 2" xfId="13893"/>
    <cellStyle name="40% - Accent5 16 3" xfId="13894"/>
    <cellStyle name="40% - Accent5 16 3 2" xfId="13895"/>
    <cellStyle name="40% - Accent5 16 4" xfId="13896"/>
    <cellStyle name="40% - Accent5 17" xfId="13897"/>
    <cellStyle name="40% - Accent5 17 2" xfId="13898"/>
    <cellStyle name="40% - Accent5 17 2 2" xfId="13899"/>
    <cellStyle name="40% - Accent5 17 3" xfId="13900"/>
    <cellStyle name="40% - Accent5 17 3 2" xfId="13901"/>
    <cellStyle name="40% - Accent5 17 4" xfId="13902"/>
    <cellStyle name="40% - Accent5 18" xfId="13903"/>
    <cellStyle name="40% - Accent5 18 2" xfId="13904"/>
    <cellStyle name="40% - Accent5 18 2 2" xfId="13905"/>
    <cellStyle name="40% - Accent5 18 3" xfId="13906"/>
    <cellStyle name="40% - Accent5 18 3 2" xfId="13907"/>
    <cellStyle name="40% - Accent5 18 4" xfId="13908"/>
    <cellStyle name="40% - Accent5 19" xfId="13909"/>
    <cellStyle name="40% - Accent5 19 2" xfId="13910"/>
    <cellStyle name="40% - Accent5 19 2 2" xfId="13911"/>
    <cellStyle name="40% - Accent5 19 3" xfId="13912"/>
    <cellStyle name="40% - Accent5 2" xfId="78"/>
    <cellStyle name="40% - Accent5 2 10" xfId="1677"/>
    <cellStyle name="40% - Accent5 2 10 2" xfId="4613"/>
    <cellStyle name="40% - Accent5 2 10 2 2" xfId="13916"/>
    <cellStyle name="40% - Accent5 2 10 2 3" xfId="13915"/>
    <cellStyle name="40% - Accent5 2 10 3" xfId="13917"/>
    <cellStyle name="40% - Accent5 2 10 3 2" xfId="13918"/>
    <cellStyle name="40% - Accent5 2 10 4" xfId="13919"/>
    <cellStyle name="40% - Accent5 2 10 4 2" xfId="13920"/>
    <cellStyle name="40% - Accent5 2 10 5" xfId="13921"/>
    <cellStyle name="40% - Accent5 2 10 5 2" xfId="13922"/>
    <cellStyle name="40% - Accent5 2 10 6" xfId="13923"/>
    <cellStyle name="40% - Accent5 2 10 7" xfId="13914"/>
    <cellStyle name="40% - Accent5 2 11" xfId="2012"/>
    <cellStyle name="40% - Accent5 2 11 2" xfId="4614"/>
    <cellStyle name="40% - Accent5 2 11 2 2" xfId="13926"/>
    <cellStyle name="40% - Accent5 2 11 2 3" xfId="13925"/>
    <cellStyle name="40% - Accent5 2 11 3" xfId="13927"/>
    <cellStyle name="40% - Accent5 2 11 3 2" xfId="13928"/>
    <cellStyle name="40% - Accent5 2 11 4" xfId="13929"/>
    <cellStyle name="40% - Accent5 2 11 4 2" xfId="13930"/>
    <cellStyle name="40% - Accent5 2 11 5" xfId="13931"/>
    <cellStyle name="40% - Accent5 2 11 5 2" xfId="13932"/>
    <cellStyle name="40% - Accent5 2 11 6" xfId="13933"/>
    <cellStyle name="40% - Accent5 2 11 7" xfId="13924"/>
    <cellStyle name="40% - Accent5 2 12" xfId="2386"/>
    <cellStyle name="40% - Accent5 2 12 2" xfId="4615"/>
    <cellStyle name="40% - Accent5 2 12 2 2" xfId="13936"/>
    <cellStyle name="40% - Accent5 2 12 2 3" xfId="13935"/>
    <cellStyle name="40% - Accent5 2 12 3" xfId="13937"/>
    <cellStyle name="40% - Accent5 2 12 3 2" xfId="13938"/>
    <cellStyle name="40% - Accent5 2 12 4" xfId="13939"/>
    <cellStyle name="40% - Accent5 2 12 4 2" xfId="13940"/>
    <cellStyle name="40% - Accent5 2 12 5" xfId="13941"/>
    <cellStyle name="40% - Accent5 2 12 5 2" xfId="13942"/>
    <cellStyle name="40% - Accent5 2 12 6" xfId="13943"/>
    <cellStyle name="40% - Accent5 2 12 7" xfId="13934"/>
    <cellStyle name="40% - Accent5 2 13" xfId="2759"/>
    <cellStyle name="40% - Accent5 2 13 2" xfId="4616"/>
    <cellStyle name="40% - Accent5 2 13 2 2" xfId="13946"/>
    <cellStyle name="40% - Accent5 2 13 2 3" xfId="13945"/>
    <cellStyle name="40% - Accent5 2 13 3" xfId="13947"/>
    <cellStyle name="40% - Accent5 2 13 3 2" xfId="13948"/>
    <cellStyle name="40% - Accent5 2 13 4" xfId="13949"/>
    <cellStyle name="40% - Accent5 2 13 4 2" xfId="13950"/>
    <cellStyle name="40% - Accent5 2 13 5" xfId="13951"/>
    <cellStyle name="40% - Accent5 2 13 5 2" xfId="13952"/>
    <cellStyle name="40% - Accent5 2 13 6" xfId="13953"/>
    <cellStyle name="40% - Accent5 2 13 7" xfId="13944"/>
    <cellStyle name="40% - Accent5 2 14" xfId="3133"/>
    <cellStyle name="40% - Accent5 2 14 2" xfId="4617"/>
    <cellStyle name="40% - Accent5 2 14 2 2" xfId="13956"/>
    <cellStyle name="40% - Accent5 2 14 2 3" xfId="13955"/>
    <cellStyle name="40% - Accent5 2 14 3" xfId="13957"/>
    <cellStyle name="40% - Accent5 2 14 3 2" xfId="13958"/>
    <cellStyle name="40% - Accent5 2 14 4" xfId="13959"/>
    <cellStyle name="40% - Accent5 2 14 4 2" xfId="13960"/>
    <cellStyle name="40% - Accent5 2 14 5" xfId="13961"/>
    <cellStyle name="40% - Accent5 2 14 5 2" xfId="13962"/>
    <cellStyle name="40% - Accent5 2 14 6" xfId="13963"/>
    <cellStyle name="40% - Accent5 2 14 7" xfId="13954"/>
    <cellStyle name="40% - Accent5 2 15" xfId="3504"/>
    <cellStyle name="40% - Accent5 2 15 2" xfId="4618"/>
    <cellStyle name="40% - Accent5 2 15 2 2" xfId="13966"/>
    <cellStyle name="40% - Accent5 2 15 2 3" xfId="13965"/>
    <cellStyle name="40% - Accent5 2 15 3" xfId="13967"/>
    <cellStyle name="40% - Accent5 2 15 3 2" xfId="13968"/>
    <cellStyle name="40% - Accent5 2 15 4" xfId="13969"/>
    <cellStyle name="40% - Accent5 2 15 5" xfId="13964"/>
    <cellStyle name="40% - Accent5 2 16" xfId="3642"/>
    <cellStyle name="40% - Accent5 2 16 2" xfId="4619"/>
    <cellStyle name="40% - Accent5 2 16 2 2" xfId="13972"/>
    <cellStyle name="40% - Accent5 2 16 2 3" xfId="13971"/>
    <cellStyle name="40% - Accent5 2 16 3" xfId="13973"/>
    <cellStyle name="40% - Accent5 2 16 3 2" xfId="13974"/>
    <cellStyle name="40% - Accent5 2 16 4" xfId="13975"/>
    <cellStyle name="40% - Accent5 2 16 5" xfId="13970"/>
    <cellStyle name="40% - Accent5 2 17" xfId="13976"/>
    <cellStyle name="40% - Accent5 2 18" xfId="13913"/>
    <cellStyle name="40% - Accent5 2 19" xfId="20908"/>
    <cellStyle name="40% - Accent5 2 2" xfId="122"/>
    <cellStyle name="40% - Accent5 2 2 10" xfId="13978"/>
    <cellStyle name="40% - Accent5 2 2 10 2" xfId="13979"/>
    <cellStyle name="40% - Accent5 2 2 10 2 2" xfId="13980"/>
    <cellStyle name="40% - Accent5 2 2 10 3" xfId="13981"/>
    <cellStyle name="40% - Accent5 2 2 10 3 2" xfId="13982"/>
    <cellStyle name="40% - Accent5 2 2 10 4" xfId="13983"/>
    <cellStyle name="40% - Accent5 2 2 11" xfId="13984"/>
    <cellStyle name="40% - Accent5 2 2 11 2" xfId="13985"/>
    <cellStyle name="40% - Accent5 2 2 11 2 2" xfId="13986"/>
    <cellStyle name="40% - Accent5 2 2 11 3" xfId="13987"/>
    <cellStyle name="40% - Accent5 2 2 11 3 2" xfId="13988"/>
    <cellStyle name="40% - Accent5 2 2 11 4" xfId="13989"/>
    <cellStyle name="40% - Accent5 2 2 12" xfId="13990"/>
    <cellStyle name="40% - Accent5 2 2 12 2" xfId="13991"/>
    <cellStyle name="40% - Accent5 2 2 12 2 2" xfId="13992"/>
    <cellStyle name="40% - Accent5 2 2 12 3" xfId="13993"/>
    <cellStyle name="40% - Accent5 2 2 12 3 2" xfId="13994"/>
    <cellStyle name="40% - Accent5 2 2 12 4" xfId="13995"/>
    <cellStyle name="40% - Accent5 2 2 13" xfId="13996"/>
    <cellStyle name="40% - Accent5 2 2 13 2" xfId="13997"/>
    <cellStyle name="40% - Accent5 2 2 14" xfId="13998"/>
    <cellStyle name="40% - Accent5 2 2 14 2" xfId="13999"/>
    <cellStyle name="40% - Accent5 2 2 15" xfId="14000"/>
    <cellStyle name="40% - Accent5 2 2 15 2" xfId="14001"/>
    <cellStyle name="40% - Accent5 2 2 16" xfId="14002"/>
    <cellStyle name="40% - Accent5 2 2 17" xfId="13977"/>
    <cellStyle name="40% - Accent5 2 2 2" xfId="188"/>
    <cellStyle name="40% - Accent5 2 2 2 2" xfId="14004"/>
    <cellStyle name="40% - Accent5 2 2 2 2 2" xfId="14005"/>
    <cellStyle name="40% - Accent5 2 2 2 3" xfId="14006"/>
    <cellStyle name="40% - Accent5 2 2 2 3 2" xfId="14007"/>
    <cellStyle name="40% - Accent5 2 2 2 4" xfId="14008"/>
    <cellStyle name="40% - Accent5 2 2 2 5" xfId="14003"/>
    <cellStyle name="40% - Accent5 2 2 3" xfId="352"/>
    <cellStyle name="40% - Accent5 2 2 3 2" xfId="14010"/>
    <cellStyle name="40% - Accent5 2 2 3 2 2" xfId="14011"/>
    <cellStyle name="40% - Accent5 2 2 3 3" xfId="14012"/>
    <cellStyle name="40% - Accent5 2 2 3 3 2" xfId="14013"/>
    <cellStyle name="40% - Accent5 2 2 3 4" xfId="14014"/>
    <cellStyle name="40% - Accent5 2 2 3 5" xfId="14009"/>
    <cellStyle name="40% - Accent5 2 2 4" xfId="2174"/>
    <cellStyle name="40% - Accent5 2 2 4 2" xfId="14016"/>
    <cellStyle name="40% - Accent5 2 2 4 2 2" xfId="14017"/>
    <cellStyle name="40% - Accent5 2 2 4 3" xfId="14018"/>
    <cellStyle name="40% - Accent5 2 2 4 3 2" xfId="14019"/>
    <cellStyle name="40% - Accent5 2 2 4 4" xfId="14020"/>
    <cellStyle name="40% - Accent5 2 2 4 5" xfId="14015"/>
    <cellStyle name="40% - Accent5 2 2 5" xfId="2548"/>
    <cellStyle name="40% - Accent5 2 2 5 2" xfId="14022"/>
    <cellStyle name="40% - Accent5 2 2 5 2 2" xfId="14023"/>
    <cellStyle name="40% - Accent5 2 2 5 3" xfId="14024"/>
    <cellStyle name="40% - Accent5 2 2 5 3 2" xfId="14025"/>
    <cellStyle name="40% - Accent5 2 2 5 4" xfId="14026"/>
    <cellStyle name="40% - Accent5 2 2 5 5" xfId="14021"/>
    <cellStyle name="40% - Accent5 2 2 6" xfId="2920"/>
    <cellStyle name="40% - Accent5 2 2 6 2" xfId="14028"/>
    <cellStyle name="40% - Accent5 2 2 6 2 2" xfId="14029"/>
    <cellStyle name="40% - Accent5 2 2 6 3" xfId="14030"/>
    <cellStyle name="40% - Accent5 2 2 6 3 2" xfId="14031"/>
    <cellStyle name="40% - Accent5 2 2 6 4" xfId="14032"/>
    <cellStyle name="40% - Accent5 2 2 6 5" xfId="14027"/>
    <cellStyle name="40% - Accent5 2 2 7" xfId="3292"/>
    <cellStyle name="40% - Accent5 2 2 7 2" xfId="14034"/>
    <cellStyle name="40% - Accent5 2 2 7 2 2" xfId="14035"/>
    <cellStyle name="40% - Accent5 2 2 7 3" xfId="14036"/>
    <cellStyle name="40% - Accent5 2 2 7 3 2" xfId="14037"/>
    <cellStyle name="40% - Accent5 2 2 7 4" xfId="14038"/>
    <cellStyle name="40% - Accent5 2 2 7 5" xfId="14033"/>
    <cellStyle name="40% - Accent5 2 2 8" xfId="4620"/>
    <cellStyle name="40% - Accent5 2 2 8 2" xfId="14040"/>
    <cellStyle name="40% - Accent5 2 2 8 2 2" xfId="14041"/>
    <cellStyle name="40% - Accent5 2 2 8 3" xfId="14042"/>
    <cellStyle name="40% - Accent5 2 2 8 3 2" xfId="14043"/>
    <cellStyle name="40% - Accent5 2 2 8 4" xfId="14044"/>
    <cellStyle name="40% - Accent5 2 2 8 5" xfId="14039"/>
    <cellStyle name="40% - Accent5 2 2 9" xfId="14045"/>
    <cellStyle name="40% - Accent5 2 2 9 2" xfId="14046"/>
    <cellStyle name="40% - Accent5 2 2 9 2 2" xfId="14047"/>
    <cellStyle name="40% - Accent5 2 2 9 3" xfId="14048"/>
    <cellStyle name="40% - Accent5 2 2 9 3 2" xfId="14049"/>
    <cellStyle name="40% - Accent5 2 2 9 4" xfId="14050"/>
    <cellStyle name="40% - Accent5 2 3" xfId="287"/>
    <cellStyle name="40% - Accent5 2 3 2" xfId="1350"/>
    <cellStyle name="40% - Accent5 2 3 2 2" xfId="14053"/>
    <cellStyle name="40% - Accent5 2 3 2 2 2" xfId="14054"/>
    <cellStyle name="40% - Accent5 2 3 2 3" xfId="14055"/>
    <cellStyle name="40% - Accent5 2 3 2 3 2" xfId="14056"/>
    <cellStyle name="40% - Accent5 2 3 2 4" xfId="14057"/>
    <cellStyle name="40% - Accent5 2 3 2 5" xfId="14052"/>
    <cellStyle name="40% - Accent5 2 3 3" xfId="14058"/>
    <cellStyle name="40% - Accent5 2 3 3 2" xfId="14059"/>
    <cellStyle name="40% - Accent5 2 3 4" xfId="14060"/>
    <cellStyle name="40% - Accent5 2 3 4 2" xfId="14061"/>
    <cellStyle name="40% - Accent5 2 3 5" xfId="14062"/>
    <cellStyle name="40% - Accent5 2 3 6" xfId="14051"/>
    <cellStyle name="40% - Accent5 2 4" xfId="398"/>
    <cellStyle name="40% - Accent5 2 4 2" xfId="14064"/>
    <cellStyle name="40% - Accent5 2 4 2 2" xfId="14065"/>
    <cellStyle name="40% - Accent5 2 4 2 2 2" xfId="14066"/>
    <cellStyle name="40% - Accent5 2 4 2 3" xfId="14067"/>
    <cellStyle name="40% - Accent5 2 4 2 3 2" xfId="14068"/>
    <cellStyle name="40% - Accent5 2 4 2 4" xfId="14069"/>
    <cellStyle name="40% - Accent5 2 4 3" xfId="14070"/>
    <cellStyle name="40% - Accent5 2 4 3 2" xfId="14071"/>
    <cellStyle name="40% - Accent5 2 4 4" xfId="14072"/>
    <cellStyle name="40% - Accent5 2 4 4 2" xfId="14073"/>
    <cellStyle name="40% - Accent5 2 4 5" xfId="14074"/>
    <cellStyle name="40% - Accent5 2 4 6" xfId="14063"/>
    <cellStyle name="40% - Accent5 2 5" xfId="549"/>
    <cellStyle name="40% - Accent5 2 5 2" xfId="14076"/>
    <cellStyle name="40% - Accent5 2 5 2 2" xfId="14077"/>
    <cellStyle name="40% - Accent5 2 5 3" xfId="14078"/>
    <cellStyle name="40% - Accent5 2 5 3 2" xfId="14079"/>
    <cellStyle name="40% - Accent5 2 5 4" xfId="14080"/>
    <cellStyle name="40% - Accent5 2 5 5" xfId="14075"/>
    <cellStyle name="40% - Accent5 2 6" xfId="682"/>
    <cellStyle name="40% - Accent5 2 6 2" xfId="14082"/>
    <cellStyle name="40% - Accent5 2 6 2 2" xfId="14083"/>
    <cellStyle name="40% - Accent5 2 6 3" xfId="14084"/>
    <cellStyle name="40% - Accent5 2 6 3 2" xfId="14085"/>
    <cellStyle name="40% - Accent5 2 6 4" xfId="14086"/>
    <cellStyle name="40% - Accent5 2 6 5" xfId="14081"/>
    <cellStyle name="40% - Accent5 2 7" xfId="683"/>
    <cellStyle name="40% - Accent5 2 7 2" xfId="14088"/>
    <cellStyle name="40% - Accent5 2 7 2 2" xfId="14089"/>
    <cellStyle name="40% - Accent5 2 7 3" xfId="14090"/>
    <cellStyle name="40% - Accent5 2 7 3 2" xfId="14091"/>
    <cellStyle name="40% - Accent5 2 7 4" xfId="14092"/>
    <cellStyle name="40% - Accent5 2 7 5" xfId="14087"/>
    <cellStyle name="40% - Accent5 2 8" xfId="830"/>
    <cellStyle name="40% - Accent5 2 8 2" xfId="1406"/>
    <cellStyle name="40% - Accent5 2 8 2 2" xfId="14095"/>
    <cellStyle name="40% - Accent5 2 8 2 3" xfId="14094"/>
    <cellStyle name="40% - Accent5 2 8 3" xfId="14096"/>
    <cellStyle name="40% - Accent5 2 8 3 2" xfId="14097"/>
    <cellStyle name="40% - Accent5 2 8 4" xfId="14098"/>
    <cellStyle name="40% - Accent5 2 8 4 2" xfId="14099"/>
    <cellStyle name="40% - Accent5 2 8 5" xfId="14100"/>
    <cellStyle name="40% - Accent5 2 8 5 2" xfId="14101"/>
    <cellStyle name="40% - Accent5 2 8 6" xfId="14102"/>
    <cellStyle name="40% - Accent5 2 8 7" xfId="14093"/>
    <cellStyle name="40% - Accent5 2 9" xfId="942"/>
    <cellStyle name="40% - Accent5 2 9 2" xfId="1441"/>
    <cellStyle name="40% - Accent5 2 9 2 2" xfId="14105"/>
    <cellStyle name="40% - Accent5 2 9 2 3" xfId="14104"/>
    <cellStyle name="40% - Accent5 2 9 3" xfId="14106"/>
    <cellStyle name="40% - Accent5 2 9 3 2" xfId="14107"/>
    <cellStyle name="40% - Accent5 2 9 4" xfId="14108"/>
    <cellStyle name="40% - Accent5 2 9 4 2" xfId="14109"/>
    <cellStyle name="40% - Accent5 2 9 5" xfId="14110"/>
    <cellStyle name="40% - Accent5 2 9 5 2" xfId="14111"/>
    <cellStyle name="40% - Accent5 2 9 6" xfId="14112"/>
    <cellStyle name="40% - Accent5 2 9 7" xfId="14103"/>
    <cellStyle name="40% - Accent5 20" xfId="14113"/>
    <cellStyle name="40% - Accent5 20 2" xfId="14114"/>
    <cellStyle name="40% - Accent5 21" xfId="14115"/>
    <cellStyle name="40% - Accent5 21 2" xfId="14116"/>
    <cellStyle name="40% - Accent5 21 2 2" xfId="14117"/>
    <cellStyle name="40% - Accent5 21 2 2 2" xfId="14118"/>
    <cellStyle name="40% - Accent5 21 2 3" xfId="14119"/>
    <cellStyle name="40% - Accent5 21 2 3 2" xfId="14120"/>
    <cellStyle name="40% - Accent5 21 2 4" xfId="14121"/>
    <cellStyle name="40% - Accent5 21 3" xfId="14122"/>
    <cellStyle name="40% - Accent5 21 3 2" xfId="14123"/>
    <cellStyle name="40% - Accent5 21 4" xfId="14124"/>
    <cellStyle name="40% - Accent5 21 4 2" xfId="14125"/>
    <cellStyle name="40% - Accent5 21 5" xfId="14126"/>
    <cellStyle name="40% - Accent5 22" xfId="14127"/>
    <cellStyle name="40% - Accent5 22 2" xfId="14128"/>
    <cellStyle name="40% - Accent5 22 2 2" xfId="14129"/>
    <cellStyle name="40% - Accent5 22 2 2 2" xfId="14130"/>
    <cellStyle name="40% - Accent5 22 2 3" xfId="14131"/>
    <cellStyle name="40% - Accent5 22 2 3 2" xfId="14132"/>
    <cellStyle name="40% - Accent5 22 2 4" xfId="14133"/>
    <cellStyle name="40% - Accent5 22 3" xfId="14134"/>
    <cellStyle name="40% - Accent5 22 3 2" xfId="14135"/>
    <cellStyle name="40% - Accent5 22 4" xfId="14136"/>
    <cellStyle name="40% - Accent5 22 4 2" xfId="14137"/>
    <cellStyle name="40% - Accent5 22 5" xfId="14138"/>
    <cellStyle name="40% - Accent5 23" xfId="14139"/>
    <cellStyle name="40% - Accent5 23 2" xfId="14140"/>
    <cellStyle name="40% - Accent5 24" xfId="14141"/>
    <cellStyle name="40% - Accent5 24 2" xfId="14142"/>
    <cellStyle name="40% - Accent5 24 2 2" xfId="14143"/>
    <cellStyle name="40% - Accent5 24 2 2 2" xfId="14144"/>
    <cellStyle name="40% - Accent5 24 2 3" xfId="14145"/>
    <cellStyle name="40% - Accent5 24 2 3 2" xfId="14146"/>
    <cellStyle name="40% - Accent5 24 2 4" xfId="14147"/>
    <cellStyle name="40% - Accent5 24 3" xfId="14148"/>
    <cellStyle name="40% - Accent5 24 3 2" xfId="14149"/>
    <cellStyle name="40% - Accent5 24 4" xfId="14150"/>
    <cellStyle name="40% - Accent5 24 4 2" xfId="14151"/>
    <cellStyle name="40% - Accent5 24 5" xfId="14152"/>
    <cellStyle name="40% - Accent5 25" xfId="14153"/>
    <cellStyle name="40% - Accent5 25 2" xfId="14154"/>
    <cellStyle name="40% - Accent5 25 2 2" xfId="14155"/>
    <cellStyle name="40% - Accent5 25 2 2 2" xfId="14156"/>
    <cellStyle name="40% - Accent5 25 2 3" xfId="14157"/>
    <cellStyle name="40% - Accent5 25 2 3 2" xfId="14158"/>
    <cellStyle name="40% - Accent5 25 2 4" xfId="14159"/>
    <cellStyle name="40% - Accent5 25 3" xfId="14160"/>
    <cellStyle name="40% - Accent5 25 3 2" xfId="14161"/>
    <cellStyle name="40% - Accent5 25 4" xfId="14162"/>
    <cellStyle name="40% - Accent5 25 4 2" xfId="14163"/>
    <cellStyle name="40% - Accent5 25 5" xfId="14164"/>
    <cellStyle name="40% - Accent5 26" xfId="14165"/>
    <cellStyle name="40% - Accent5 26 2" xfId="14166"/>
    <cellStyle name="40% - Accent5 27" xfId="14167"/>
    <cellStyle name="40% - Accent5 27 2" xfId="14168"/>
    <cellStyle name="40% - Accent5 27 2 2" xfId="14169"/>
    <cellStyle name="40% - Accent5 27 2 2 2" xfId="14170"/>
    <cellStyle name="40% - Accent5 27 2 3" xfId="14171"/>
    <cellStyle name="40% - Accent5 27 2 3 2" xfId="14172"/>
    <cellStyle name="40% - Accent5 27 2 4" xfId="14173"/>
    <cellStyle name="40% - Accent5 27 3" xfId="14174"/>
    <cellStyle name="40% - Accent5 27 3 2" xfId="14175"/>
    <cellStyle name="40% - Accent5 27 4" xfId="14176"/>
    <cellStyle name="40% - Accent5 27 4 2" xfId="14177"/>
    <cellStyle name="40% - Accent5 27 5" xfId="14178"/>
    <cellStyle name="40% - Accent5 28" xfId="14179"/>
    <cellStyle name="40% - Accent5 28 2" xfId="14180"/>
    <cellStyle name="40% - Accent5 28 2 2" xfId="14181"/>
    <cellStyle name="40% - Accent5 28 3" xfId="14182"/>
    <cellStyle name="40% - Accent5 28 3 2" xfId="14183"/>
    <cellStyle name="40% - Accent5 28 4" xfId="14184"/>
    <cellStyle name="40% - Accent5 29" xfId="14185"/>
    <cellStyle name="40% - Accent5 29 2" xfId="14186"/>
    <cellStyle name="40% - Accent5 3" xfId="229"/>
    <cellStyle name="40% - Accent5 3 10" xfId="3685"/>
    <cellStyle name="40% - Accent5 3 10 2" xfId="4621"/>
    <cellStyle name="40% - Accent5 3 10 2 2" xfId="14190"/>
    <cellStyle name="40% - Accent5 3 10 2 3" xfId="14189"/>
    <cellStyle name="40% - Accent5 3 10 3" xfId="14191"/>
    <cellStyle name="40% - Accent5 3 10 3 2" xfId="14192"/>
    <cellStyle name="40% - Accent5 3 10 4" xfId="14193"/>
    <cellStyle name="40% - Accent5 3 10 4 2" xfId="14194"/>
    <cellStyle name="40% - Accent5 3 10 5" xfId="14195"/>
    <cellStyle name="40% - Accent5 3 10 5 2" xfId="14196"/>
    <cellStyle name="40% - Accent5 3 10 6" xfId="14197"/>
    <cellStyle name="40% - Accent5 3 10 7" xfId="14188"/>
    <cellStyle name="40% - Accent5 3 11" xfId="14198"/>
    <cellStyle name="40% - Accent5 3 11 2" xfId="14199"/>
    <cellStyle name="40% - Accent5 3 11 2 2" xfId="14200"/>
    <cellStyle name="40% - Accent5 3 11 3" xfId="14201"/>
    <cellStyle name="40% - Accent5 3 11 3 2" xfId="14202"/>
    <cellStyle name="40% - Accent5 3 11 4" xfId="14203"/>
    <cellStyle name="40% - Accent5 3 12" xfId="14204"/>
    <cellStyle name="40% - Accent5 3 12 2" xfId="14205"/>
    <cellStyle name="40% - Accent5 3 12 2 2" xfId="14206"/>
    <cellStyle name="40% - Accent5 3 12 3" xfId="14207"/>
    <cellStyle name="40% - Accent5 3 12 3 2" xfId="14208"/>
    <cellStyle name="40% - Accent5 3 12 4" xfId="14209"/>
    <cellStyle name="40% - Accent5 3 13" xfId="14210"/>
    <cellStyle name="40% - Accent5 3 13 2" xfId="14211"/>
    <cellStyle name="40% - Accent5 3 13 2 2" xfId="14212"/>
    <cellStyle name="40% - Accent5 3 13 3" xfId="14213"/>
    <cellStyle name="40% - Accent5 3 13 3 2" xfId="14214"/>
    <cellStyle name="40% - Accent5 3 13 4" xfId="14215"/>
    <cellStyle name="40% - Accent5 3 14" xfId="14216"/>
    <cellStyle name="40% - Accent5 3 14 2" xfId="14217"/>
    <cellStyle name="40% - Accent5 3 15" xfId="14218"/>
    <cellStyle name="40% - Accent5 3 15 2" xfId="14219"/>
    <cellStyle name="40% - Accent5 3 16" xfId="14220"/>
    <cellStyle name="40% - Accent5 3 17" xfId="14187"/>
    <cellStyle name="40% - Accent5 3 2" xfId="1458"/>
    <cellStyle name="40% - Accent5 3 2 10" xfId="14222"/>
    <cellStyle name="40% - Accent5 3 2 10 2" xfId="14223"/>
    <cellStyle name="40% - Accent5 3 2 10 2 2" xfId="14224"/>
    <cellStyle name="40% - Accent5 3 2 10 3" xfId="14225"/>
    <cellStyle name="40% - Accent5 3 2 10 3 2" xfId="14226"/>
    <cellStyle name="40% - Accent5 3 2 10 4" xfId="14227"/>
    <cellStyle name="40% - Accent5 3 2 11" xfId="14228"/>
    <cellStyle name="40% - Accent5 3 2 11 2" xfId="14229"/>
    <cellStyle name="40% - Accent5 3 2 11 2 2" xfId="14230"/>
    <cellStyle name="40% - Accent5 3 2 11 3" xfId="14231"/>
    <cellStyle name="40% - Accent5 3 2 11 3 2" xfId="14232"/>
    <cellStyle name="40% - Accent5 3 2 11 4" xfId="14233"/>
    <cellStyle name="40% - Accent5 3 2 12" xfId="14234"/>
    <cellStyle name="40% - Accent5 3 2 12 2" xfId="14235"/>
    <cellStyle name="40% - Accent5 3 2 12 2 2" xfId="14236"/>
    <cellStyle name="40% - Accent5 3 2 12 3" xfId="14237"/>
    <cellStyle name="40% - Accent5 3 2 12 3 2" xfId="14238"/>
    <cellStyle name="40% - Accent5 3 2 12 4" xfId="14239"/>
    <cellStyle name="40% - Accent5 3 2 13" xfId="14240"/>
    <cellStyle name="40% - Accent5 3 2 13 2" xfId="14241"/>
    <cellStyle name="40% - Accent5 3 2 14" xfId="14242"/>
    <cellStyle name="40% - Accent5 3 2 14 2" xfId="14243"/>
    <cellStyle name="40% - Accent5 3 2 15" xfId="14244"/>
    <cellStyle name="40% - Accent5 3 2 15 2" xfId="14245"/>
    <cellStyle name="40% - Accent5 3 2 16" xfId="14246"/>
    <cellStyle name="40% - Accent5 3 2 17" xfId="14221"/>
    <cellStyle name="40% - Accent5 3 2 2" xfId="1840"/>
    <cellStyle name="40% - Accent5 3 2 2 2" xfId="14248"/>
    <cellStyle name="40% - Accent5 3 2 2 2 2" xfId="14249"/>
    <cellStyle name="40% - Accent5 3 2 2 3" xfId="14250"/>
    <cellStyle name="40% - Accent5 3 2 2 3 2" xfId="14251"/>
    <cellStyle name="40% - Accent5 3 2 2 4" xfId="14252"/>
    <cellStyle name="40% - Accent5 3 2 2 5" xfId="14247"/>
    <cellStyle name="40% - Accent5 3 2 3" xfId="2215"/>
    <cellStyle name="40% - Accent5 3 2 3 2" xfId="14254"/>
    <cellStyle name="40% - Accent5 3 2 3 2 2" xfId="14255"/>
    <cellStyle name="40% - Accent5 3 2 3 3" xfId="14256"/>
    <cellStyle name="40% - Accent5 3 2 3 3 2" xfId="14257"/>
    <cellStyle name="40% - Accent5 3 2 3 4" xfId="14258"/>
    <cellStyle name="40% - Accent5 3 2 3 5" xfId="14253"/>
    <cellStyle name="40% - Accent5 3 2 4" xfId="2589"/>
    <cellStyle name="40% - Accent5 3 2 4 2" xfId="14260"/>
    <cellStyle name="40% - Accent5 3 2 4 2 2" xfId="14261"/>
    <cellStyle name="40% - Accent5 3 2 4 3" xfId="14262"/>
    <cellStyle name="40% - Accent5 3 2 4 3 2" xfId="14263"/>
    <cellStyle name="40% - Accent5 3 2 4 4" xfId="14264"/>
    <cellStyle name="40% - Accent5 3 2 4 5" xfId="14259"/>
    <cellStyle name="40% - Accent5 3 2 5" xfId="2961"/>
    <cellStyle name="40% - Accent5 3 2 5 2" xfId="14266"/>
    <cellStyle name="40% - Accent5 3 2 5 2 2" xfId="14267"/>
    <cellStyle name="40% - Accent5 3 2 5 3" xfId="14268"/>
    <cellStyle name="40% - Accent5 3 2 5 3 2" xfId="14269"/>
    <cellStyle name="40% - Accent5 3 2 5 4" xfId="14270"/>
    <cellStyle name="40% - Accent5 3 2 5 5" xfId="14265"/>
    <cellStyle name="40% - Accent5 3 2 6" xfId="3333"/>
    <cellStyle name="40% - Accent5 3 2 6 2" xfId="14272"/>
    <cellStyle name="40% - Accent5 3 2 6 2 2" xfId="14273"/>
    <cellStyle name="40% - Accent5 3 2 6 3" xfId="14274"/>
    <cellStyle name="40% - Accent5 3 2 6 3 2" xfId="14275"/>
    <cellStyle name="40% - Accent5 3 2 6 4" xfId="14276"/>
    <cellStyle name="40% - Accent5 3 2 6 5" xfId="14271"/>
    <cellStyle name="40% - Accent5 3 2 7" xfId="4622"/>
    <cellStyle name="40% - Accent5 3 2 7 2" xfId="14278"/>
    <cellStyle name="40% - Accent5 3 2 7 2 2" xfId="14279"/>
    <cellStyle name="40% - Accent5 3 2 7 3" xfId="14280"/>
    <cellStyle name="40% - Accent5 3 2 7 3 2" xfId="14281"/>
    <cellStyle name="40% - Accent5 3 2 7 4" xfId="14282"/>
    <cellStyle name="40% - Accent5 3 2 7 5" xfId="14277"/>
    <cellStyle name="40% - Accent5 3 2 8" xfId="14283"/>
    <cellStyle name="40% - Accent5 3 2 8 2" xfId="14284"/>
    <cellStyle name="40% - Accent5 3 2 8 2 2" xfId="14285"/>
    <cellStyle name="40% - Accent5 3 2 8 3" xfId="14286"/>
    <cellStyle name="40% - Accent5 3 2 8 3 2" xfId="14287"/>
    <cellStyle name="40% - Accent5 3 2 8 4" xfId="14288"/>
    <cellStyle name="40% - Accent5 3 2 9" xfId="14289"/>
    <cellStyle name="40% - Accent5 3 2 9 2" xfId="14290"/>
    <cellStyle name="40% - Accent5 3 2 9 2 2" xfId="14291"/>
    <cellStyle name="40% - Accent5 3 2 9 3" xfId="14292"/>
    <cellStyle name="40% - Accent5 3 2 9 3 2" xfId="14293"/>
    <cellStyle name="40% - Accent5 3 2 9 4" xfId="14294"/>
    <cellStyle name="40% - Accent5 3 3" xfId="1585"/>
    <cellStyle name="40% - Accent5 3 3 2" xfId="1917"/>
    <cellStyle name="40% - Accent5 3 3 2 2" xfId="14297"/>
    <cellStyle name="40% - Accent5 3 3 2 3" xfId="14296"/>
    <cellStyle name="40% - Accent5 3 3 3" xfId="2292"/>
    <cellStyle name="40% - Accent5 3 3 3 2" xfId="14299"/>
    <cellStyle name="40% - Accent5 3 3 3 3" xfId="14298"/>
    <cellStyle name="40% - Accent5 3 3 4" xfId="2665"/>
    <cellStyle name="40% - Accent5 3 3 4 2" xfId="14301"/>
    <cellStyle name="40% - Accent5 3 3 4 3" xfId="14300"/>
    <cellStyle name="40% - Accent5 3 3 5" xfId="3038"/>
    <cellStyle name="40% - Accent5 3 3 5 2" xfId="14303"/>
    <cellStyle name="40% - Accent5 3 3 5 3" xfId="14302"/>
    <cellStyle name="40% - Accent5 3 3 6" xfId="3409"/>
    <cellStyle name="40% - Accent5 3 3 6 2" xfId="14305"/>
    <cellStyle name="40% - Accent5 3 3 6 3" xfId="14304"/>
    <cellStyle name="40% - Accent5 3 3 7" xfId="4623"/>
    <cellStyle name="40% - Accent5 3 3 7 2" xfId="14307"/>
    <cellStyle name="40% - Accent5 3 3 7 3" xfId="14306"/>
    <cellStyle name="40% - Accent5 3 3 8" xfId="14308"/>
    <cellStyle name="40% - Accent5 3 3 9" xfId="14295"/>
    <cellStyle name="40% - Accent5 3 4" xfId="1722"/>
    <cellStyle name="40% - Accent5 3 4 2" xfId="1961"/>
    <cellStyle name="40% - Accent5 3 4 2 2" xfId="14311"/>
    <cellStyle name="40% - Accent5 3 4 2 3" xfId="14310"/>
    <cellStyle name="40% - Accent5 3 4 3" xfId="2336"/>
    <cellStyle name="40% - Accent5 3 4 3 2" xfId="14313"/>
    <cellStyle name="40% - Accent5 3 4 3 3" xfId="14312"/>
    <cellStyle name="40% - Accent5 3 4 4" xfId="2709"/>
    <cellStyle name="40% - Accent5 3 4 4 2" xfId="14315"/>
    <cellStyle name="40% - Accent5 3 4 4 3" xfId="14314"/>
    <cellStyle name="40% - Accent5 3 4 5" xfId="3082"/>
    <cellStyle name="40% - Accent5 3 4 5 2" xfId="14317"/>
    <cellStyle name="40% - Accent5 3 4 5 3" xfId="14316"/>
    <cellStyle name="40% - Accent5 3 4 6" xfId="3453"/>
    <cellStyle name="40% - Accent5 3 4 6 2" xfId="14319"/>
    <cellStyle name="40% - Accent5 3 4 6 3" xfId="14318"/>
    <cellStyle name="40% - Accent5 3 4 7" xfId="14320"/>
    <cellStyle name="40% - Accent5 3 4 8" xfId="14309"/>
    <cellStyle name="40% - Accent5 3 5" xfId="2057"/>
    <cellStyle name="40% - Accent5 3 5 2" xfId="14322"/>
    <cellStyle name="40% - Accent5 3 5 2 2" xfId="14323"/>
    <cellStyle name="40% - Accent5 3 5 3" xfId="14324"/>
    <cellStyle name="40% - Accent5 3 5 3 2" xfId="14325"/>
    <cellStyle name="40% - Accent5 3 5 4" xfId="14326"/>
    <cellStyle name="40% - Accent5 3 5 4 2" xfId="14327"/>
    <cellStyle name="40% - Accent5 3 5 5" xfId="14328"/>
    <cellStyle name="40% - Accent5 3 5 6" xfId="14321"/>
    <cellStyle name="40% - Accent5 3 6" xfId="2431"/>
    <cellStyle name="40% - Accent5 3 6 2" xfId="14330"/>
    <cellStyle name="40% - Accent5 3 6 2 2" xfId="14331"/>
    <cellStyle name="40% - Accent5 3 6 3" xfId="14332"/>
    <cellStyle name="40% - Accent5 3 6 3 2" xfId="14333"/>
    <cellStyle name="40% - Accent5 3 6 4" xfId="14334"/>
    <cellStyle name="40% - Accent5 3 6 4 2" xfId="14335"/>
    <cellStyle name="40% - Accent5 3 6 5" xfId="14336"/>
    <cellStyle name="40% - Accent5 3 6 6" xfId="14329"/>
    <cellStyle name="40% - Accent5 3 7" xfId="2803"/>
    <cellStyle name="40% - Accent5 3 7 2" xfId="14338"/>
    <cellStyle name="40% - Accent5 3 7 2 2" xfId="14339"/>
    <cellStyle name="40% - Accent5 3 7 3" xfId="14340"/>
    <cellStyle name="40% - Accent5 3 7 3 2" xfId="14341"/>
    <cellStyle name="40% - Accent5 3 7 4" xfId="14342"/>
    <cellStyle name="40% - Accent5 3 7 4 2" xfId="14343"/>
    <cellStyle name="40% - Accent5 3 7 5" xfId="14344"/>
    <cellStyle name="40% - Accent5 3 7 6" xfId="14337"/>
    <cellStyle name="40% - Accent5 3 8" xfId="3174"/>
    <cellStyle name="40% - Accent5 3 8 2" xfId="14346"/>
    <cellStyle name="40% - Accent5 3 8 2 2" xfId="14347"/>
    <cellStyle name="40% - Accent5 3 8 3" xfId="14348"/>
    <cellStyle name="40% - Accent5 3 8 3 2" xfId="14349"/>
    <cellStyle name="40% - Accent5 3 8 4" xfId="14350"/>
    <cellStyle name="40% - Accent5 3 8 4 2" xfId="14351"/>
    <cellStyle name="40% - Accent5 3 8 5" xfId="14352"/>
    <cellStyle name="40% - Accent5 3 8 6" xfId="14345"/>
    <cellStyle name="40% - Accent5 3 9" xfId="3549"/>
    <cellStyle name="40% - Accent5 3 9 2" xfId="4624"/>
    <cellStyle name="40% - Accent5 3 9 2 2" xfId="14355"/>
    <cellStyle name="40% - Accent5 3 9 2 3" xfId="14354"/>
    <cellStyle name="40% - Accent5 3 9 3" xfId="14356"/>
    <cellStyle name="40% - Accent5 3 9 3 2" xfId="14357"/>
    <cellStyle name="40% - Accent5 3 9 4" xfId="14358"/>
    <cellStyle name="40% - Accent5 3 9 4 2" xfId="14359"/>
    <cellStyle name="40% - Accent5 3 9 5" xfId="14360"/>
    <cellStyle name="40% - Accent5 3 9 5 2" xfId="14361"/>
    <cellStyle name="40% - Accent5 3 9 6" xfId="14362"/>
    <cellStyle name="40% - Accent5 3 9 7" xfId="14353"/>
    <cellStyle name="40% - Accent5 30" xfId="14363"/>
    <cellStyle name="40% - Accent5 31" xfId="13846"/>
    <cellStyle name="40% - Accent5 4" xfId="245"/>
    <cellStyle name="40% - Accent5 4 10" xfId="3729"/>
    <cellStyle name="40% - Accent5 4 10 2" xfId="4626"/>
    <cellStyle name="40% - Accent5 4 10 2 2" xfId="14367"/>
    <cellStyle name="40% - Accent5 4 10 2 3" xfId="14366"/>
    <cellStyle name="40% - Accent5 4 10 3" xfId="14368"/>
    <cellStyle name="40% - Accent5 4 10 3 2" xfId="14369"/>
    <cellStyle name="40% - Accent5 4 10 4" xfId="14370"/>
    <cellStyle name="40% - Accent5 4 10 4 2" xfId="14371"/>
    <cellStyle name="40% - Accent5 4 10 5" xfId="14372"/>
    <cellStyle name="40% - Accent5 4 10 5 2" xfId="14373"/>
    <cellStyle name="40% - Accent5 4 10 6" xfId="14374"/>
    <cellStyle name="40% - Accent5 4 10 7" xfId="14365"/>
    <cellStyle name="40% - Accent5 4 11" xfId="1311"/>
    <cellStyle name="40% - Accent5 4 11 10" xfId="24885"/>
    <cellStyle name="40% - Accent5 4 11 11" xfId="26569"/>
    <cellStyle name="40% - Accent5 4 11 2" xfId="4153"/>
    <cellStyle name="40% - Accent5 4 11 2 2" xfId="5426"/>
    <cellStyle name="40% - Accent5 4 11 2 2 2" xfId="6408"/>
    <cellStyle name="40% - Accent5 4 11 2 2 2 2" xfId="14378"/>
    <cellStyle name="40% - Accent5 4 11 2 2 2 3" xfId="26572"/>
    <cellStyle name="40% - Accent5 4 11 2 2 3" xfId="14377"/>
    <cellStyle name="40% - Accent5 4 11 2 2 4" xfId="26571"/>
    <cellStyle name="40% - Accent5 4 11 2 3" xfId="5736"/>
    <cellStyle name="40% - Accent5 4 11 2 3 2" xfId="6409"/>
    <cellStyle name="40% - Accent5 4 11 2 3 2 2" xfId="26574"/>
    <cellStyle name="40% - Accent5 4 11 2 3 3" xfId="14379"/>
    <cellStyle name="40% - Accent5 4 11 2 3 4" xfId="26573"/>
    <cellStyle name="40% - Accent5 4 11 2 4" xfId="4628"/>
    <cellStyle name="40% - Accent5 4 11 2 4 2" xfId="6410"/>
    <cellStyle name="40% - Accent5 4 11 2 4 2 2" xfId="26576"/>
    <cellStyle name="40% - Accent5 4 11 2 4 3" xfId="26575"/>
    <cellStyle name="40% - Accent5 4 11 2 5" xfId="6407"/>
    <cellStyle name="40% - Accent5 4 11 2 5 2" xfId="26577"/>
    <cellStyle name="40% - Accent5 4 11 2 6" xfId="14376"/>
    <cellStyle name="40% - Accent5 4 11 2 7" xfId="25005"/>
    <cellStyle name="40% - Accent5 4 11 2 8" xfId="26570"/>
    <cellStyle name="40% - Accent5 4 11 3" xfId="5425"/>
    <cellStyle name="40% - Accent5 4 11 3 2" xfId="6411"/>
    <cellStyle name="40% - Accent5 4 11 3 2 2" xfId="14381"/>
    <cellStyle name="40% - Accent5 4 11 3 2 3" xfId="26579"/>
    <cellStyle name="40% - Accent5 4 11 3 3" xfId="14380"/>
    <cellStyle name="40% - Accent5 4 11 3 4" xfId="26578"/>
    <cellStyle name="40% - Accent5 4 11 4" xfId="5735"/>
    <cellStyle name="40% - Accent5 4 11 4 2" xfId="6412"/>
    <cellStyle name="40% - Accent5 4 11 4 2 2" xfId="14383"/>
    <cellStyle name="40% - Accent5 4 11 4 2 3" xfId="26581"/>
    <cellStyle name="40% - Accent5 4 11 4 3" xfId="14382"/>
    <cellStyle name="40% - Accent5 4 11 4 4" xfId="26580"/>
    <cellStyle name="40% - Accent5 4 11 5" xfId="4627"/>
    <cellStyle name="40% - Accent5 4 11 5 2" xfId="6413"/>
    <cellStyle name="40% - Accent5 4 11 5 2 2" xfId="14386"/>
    <cellStyle name="40% - Accent5 4 11 5 2 3" xfId="14385"/>
    <cellStyle name="40% - Accent5 4 11 5 2 4" xfId="26583"/>
    <cellStyle name="40% - Accent5 4 11 5 3" xfId="14387"/>
    <cellStyle name="40% - Accent5 4 11 5 3 2" xfId="14388"/>
    <cellStyle name="40% - Accent5 4 11 5 4" xfId="14389"/>
    <cellStyle name="40% - Accent5 4 11 5 5" xfId="14384"/>
    <cellStyle name="40% - Accent5 4 11 5 6" xfId="26582"/>
    <cellStyle name="40% - Accent5 4 11 6" xfId="6406"/>
    <cellStyle name="40% - Accent5 4 11 6 2" xfId="14391"/>
    <cellStyle name="40% - Accent5 4 11 6 3" xfId="14390"/>
    <cellStyle name="40% - Accent5 4 11 6 4" xfId="26584"/>
    <cellStyle name="40% - Accent5 4 11 7" xfId="14392"/>
    <cellStyle name="40% - Accent5 4 11 7 2" xfId="14393"/>
    <cellStyle name="40% - Accent5 4 11 8" xfId="14394"/>
    <cellStyle name="40% - Accent5 4 11 9" xfId="14375"/>
    <cellStyle name="40% - Accent5 4 12" xfId="4629"/>
    <cellStyle name="40% - Accent5 4 12 2" xfId="5427"/>
    <cellStyle name="40% - Accent5 4 12 2 2" xfId="6415"/>
    <cellStyle name="40% - Accent5 4 12 2 2 2" xfId="14397"/>
    <cellStyle name="40% - Accent5 4 12 2 2 3" xfId="26587"/>
    <cellStyle name="40% - Accent5 4 12 2 3" xfId="14396"/>
    <cellStyle name="40% - Accent5 4 12 2 4" xfId="26586"/>
    <cellStyle name="40% - Accent5 4 12 3" xfId="5737"/>
    <cellStyle name="40% - Accent5 4 12 3 2" xfId="6416"/>
    <cellStyle name="40% - Accent5 4 12 3 2 2" xfId="14399"/>
    <cellStyle name="40% - Accent5 4 12 3 2 3" xfId="26589"/>
    <cellStyle name="40% - Accent5 4 12 3 3" xfId="14398"/>
    <cellStyle name="40% - Accent5 4 12 3 4" xfId="26588"/>
    <cellStyle name="40% - Accent5 4 12 4" xfId="6414"/>
    <cellStyle name="40% - Accent5 4 12 4 2" xfId="14401"/>
    <cellStyle name="40% - Accent5 4 12 4 3" xfId="14400"/>
    <cellStyle name="40% - Accent5 4 12 4 4" xfId="26590"/>
    <cellStyle name="40% - Accent5 4 12 5" xfId="14402"/>
    <cellStyle name="40% - Accent5 4 12 6" xfId="14395"/>
    <cellStyle name="40% - Accent5 4 12 7" xfId="26585"/>
    <cellStyle name="40% - Accent5 4 13" xfId="5424"/>
    <cellStyle name="40% - Accent5 4 13 2" xfId="6417"/>
    <cellStyle name="40% - Accent5 4 13 2 2" xfId="14405"/>
    <cellStyle name="40% - Accent5 4 13 2 3" xfId="14404"/>
    <cellStyle name="40% - Accent5 4 13 2 4" xfId="26592"/>
    <cellStyle name="40% - Accent5 4 13 3" xfId="14406"/>
    <cellStyle name="40% - Accent5 4 13 3 2" xfId="14407"/>
    <cellStyle name="40% - Accent5 4 13 4" xfId="14408"/>
    <cellStyle name="40% - Accent5 4 13 5" xfId="14403"/>
    <cellStyle name="40% - Accent5 4 13 6" xfId="26591"/>
    <cellStyle name="40% - Accent5 4 14" xfId="5734"/>
    <cellStyle name="40% - Accent5 4 14 2" xfId="6418"/>
    <cellStyle name="40% - Accent5 4 14 2 2" xfId="14410"/>
    <cellStyle name="40% - Accent5 4 14 2 3" xfId="26594"/>
    <cellStyle name="40% - Accent5 4 14 3" xfId="14409"/>
    <cellStyle name="40% - Accent5 4 14 4" xfId="26593"/>
    <cellStyle name="40% - Accent5 4 15" xfId="4625"/>
    <cellStyle name="40% - Accent5 4 15 2" xfId="6419"/>
    <cellStyle name="40% - Accent5 4 15 2 2" xfId="14412"/>
    <cellStyle name="40% - Accent5 4 15 2 3" xfId="26596"/>
    <cellStyle name="40% - Accent5 4 15 3" xfId="14411"/>
    <cellStyle name="40% - Accent5 4 15 4" xfId="26595"/>
    <cellStyle name="40% - Accent5 4 16" xfId="14413"/>
    <cellStyle name="40% - Accent5 4 16 2" xfId="14414"/>
    <cellStyle name="40% - Accent5 4 17" xfId="14415"/>
    <cellStyle name="40% - Accent5 4 17 2" xfId="14416"/>
    <cellStyle name="40% - Accent5 4 17 2 2" xfId="14417"/>
    <cellStyle name="40% - Accent5 4 17 3" xfId="14418"/>
    <cellStyle name="40% - Accent5 4 17 3 2" xfId="14419"/>
    <cellStyle name="40% - Accent5 4 17 4" xfId="14420"/>
    <cellStyle name="40% - Accent5 4 18" xfId="14421"/>
    <cellStyle name="40% - Accent5 4 18 2" xfId="14422"/>
    <cellStyle name="40% - Accent5 4 19" xfId="14423"/>
    <cellStyle name="40% - Accent5 4 19 2" xfId="14424"/>
    <cellStyle name="40% - Accent5 4 2" xfId="1503"/>
    <cellStyle name="40% - Accent5 4 2 10" xfId="14426"/>
    <cellStyle name="40% - Accent5 4 2 10 2" xfId="14427"/>
    <cellStyle name="40% - Accent5 4 2 10 2 2" xfId="14428"/>
    <cellStyle name="40% - Accent5 4 2 10 3" xfId="14429"/>
    <cellStyle name="40% - Accent5 4 2 10 3 2" xfId="14430"/>
    <cellStyle name="40% - Accent5 4 2 10 4" xfId="14431"/>
    <cellStyle name="40% - Accent5 4 2 11" xfId="14432"/>
    <cellStyle name="40% - Accent5 4 2 11 2" xfId="14433"/>
    <cellStyle name="40% - Accent5 4 2 11 2 2" xfId="14434"/>
    <cellStyle name="40% - Accent5 4 2 11 3" xfId="14435"/>
    <cellStyle name="40% - Accent5 4 2 11 3 2" xfId="14436"/>
    <cellStyle name="40% - Accent5 4 2 11 4" xfId="14437"/>
    <cellStyle name="40% - Accent5 4 2 12" xfId="14438"/>
    <cellStyle name="40% - Accent5 4 2 12 2" xfId="14439"/>
    <cellStyle name="40% - Accent5 4 2 12 2 2" xfId="14440"/>
    <cellStyle name="40% - Accent5 4 2 12 3" xfId="14441"/>
    <cellStyle name="40% - Accent5 4 2 12 3 2" xfId="14442"/>
    <cellStyle name="40% - Accent5 4 2 12 4" xfId="14443"/>
    <cellStyle name="40% - Accent5 4 2 13" xfId="14444"/>
    <cellStyle name="40% - Accent5 4 2 13 2" xfId="14445"/>
    <cellStyle name="40% - Accent5 4 2 14" xfId="14446"/>
    <cellStyle name="40% - Accent5 4 2 14 2" xfId="14447"/>
    <cellStyle name="40% - Accent5 4 2 15" xfId="14448"/>
    <cellStyle name="40% - Accent5 4 2 15 2" xfId="14449"/>
    <cellStyle name="40% - Accent5 4 2 16" xfId="14450"/>
    <cellStyle name="40% - Accent5 4 2 16 2" xfId="14451"/>
    <cellStyle name="40% - Accent5 4 2 17" xfId="14452"/>
    <cellStyle name="40% - Accent5 4 2 18" xfId="14425"/>
    <cellStyle name="40% - Accent5 4 2 2" xfId="4630"/>
    <cellStyle name="40% - Accent5 4 2 2 2" xfId="14454"/>
    <cellStyle name="40% - Accent5 4 2 2 2 2" xfId="14455"/>
    <cellStyle name="40% - Accent5 4 2 2 3" xfId="14456"/>
    <cellStyle name="40% - Accent5 4 2 2 3 2" xfId="14457"/>
    <cellStyle name="40% - Accent5 4 2 2 4" xfId="14458"/>
    <cellStyle name="40% - Accent5 4 2 2 5" xfId="14453"/>
    <cellStyle name="40% - Accent5 4 2 3" xfId="14459"/>
    <cellStyle name="40% - Accent5 4 2 3 2" xfId="14460"/>
    <cellStyle name="40% - Accent5 4 2 3 2 2" xfId="14461"/>
    <cellStyle name="40% - Accent5 4 2 3 3" xfId="14462"/>
    <cellStyle name="40% - Accent5 4 2 3 3 2" xfId="14463"/>
    <cellStyle name="40% - Accent5 4 2 3 4" xfId="14464"/>
    <cellStyle name="40% - Accent5 4 2 4" xfId="14465"/>
    <cellStyle name="40% - Accent5 4 2 4 2" xfId="14466"/>
    <cellStyle name="40% - Accent5 4 2 4 2 2" xfId="14467"/>
    <cellStyle name="40% - Accent5 4 2 4 3" xfId="14468"/>
    <cellStyle name="40% - Accent5 4 2 4 3 2" xfId="14469"/>
    <cellStyle name="40% - Accent5 4 2 4 4" xfId="14470"/>
    <cellStyle name="40% - Accent5 4 2 5" xfId="14471"/>
    <cellStyle name="40% - Accent5 4 2 5 2" xfId="14472"/>
    <cellStyle name="40% - Accent5 4 2 5 2 2" xfId="14473"/>
    <cellStyle name="40% - Accent5 4 2 5 3" xfId="14474"/>
    <cellStyle name="40% - Accent5 4 2 5 3 2" xfId="14475"/>
    <cellStyle name="40% - Accent5 4 2 5 4" xfId="14476"/>
    <cellStyle name="40% - Accent5 4 2 6" xfId="14477"/>
    <cellStyle name="40% - Accent5 4 2 6 2" xfId="14478"/>
    <cellStyle name="40% - Accent5 4 2 6 2 2" xfId="14479"/>
    <cellStyle name="40% - Accent5 4 2 6 3" xfId="14480"/>
    <cellStyle name="40% - Accent5 4 2 6 3 2" xfId="14481"/>
    <cellStyle name="40% - Accent5 4 2 6 4" xfId="14482"/>
    <cellStyle name="40% - Accent5 4 2 7" xfId="14483"/>
    <cellStyle name="40% - Accent5 4 2 7 2" xfId="14484"/>
    <cellStyle name="40% - Accent5 4 2 7 2 2" xfId="14485"/>
    <cellStyle name="40% - Accent5 4 2 7 3" xfId="14486"/>
    <cellStyle name="40% - Accent5 4 2 7 3 2" xfId="14487"/>
    <cellStyle name="40% - Accent5 4 2 7 4" xfId="14488"/>
    <cellStyle name="40% - Accent5 4 2 8" xfId="14489"/>
    <cellStyle name="40% - Accent5 4 2 8 2" xfId="14490"/>
    <cellStyle name="40% - Accent5 4 2 8 2 2" xfId="14491"/>
    <cellStyle name="40% - Accent5 4 2 8 3" xfId="14492"/>
    <cellStyle name="40% - Accent5 4 2 8 3 2" xfId="14493"/>
    <cellStyle name="40% - Accent5 4 2 8 4" xfId="14494"/>
    <cellStyle name="40% - Accent5 4 2 9" xfId="14495"/>
    <cellStyle name="40% - Accent5 4 2 9 2" xfId="14496"/>
    <cellStyle name="40% - Accent5 4 2 9 2 2" xfId="14497"/>
    <cellStyle name="40% - Accent5 4 2 9 3" xfId="14498"/>
    <cellStyle name="40% - Accent5 4 2 9 3 2" xfId="14499"/>
    <cellStyle name="40% - Accent5 4 2 9 4" xfId="14500"/>
    <cellStyle name="40% - Accent5 4 20" xfId="14501"/>
    <cellStyle name="40% - Accent5 4 21" xfId="14364"/>
    <cellStyle name="40% - Accent5 4 3" xfId="1628"/>
    <cellStyle name="40% - Accent5 4 3 2" xfId="4631"/>
    <cellStyle name="40% - Accent5 4 3 2 2" xfId="14504"/>
    <cellStyle name="40% - Accent5 4 3 2 3" xfId="14503"/>
    <cellStyle name="40% - Accent5 4 3 3" xfId="14505"/>
    <cellStyle name="40% - Accent5 4 3 3 2" xfId="14506"/>
    <cellStyle name="40% - Accent5 4 3 4" xfId="14507"/>
    <cellStyle name="40% - Accent5 4 3 4 2" xfId="14508"/>
    <cellStyle name="40% - Accent5 4 3 5" xfId="14509"/>
    <cellStyle name="40% - Accent5 4 3 5 2" xfId="14510"/>
    <cellStyle name="40% - Accent5 4 3 6" xfId="14511"/>
    <cellStyle name="40% - Accent5 4 3 7" xfId="14502"/>
    <cellStyle name="40% - Accent5 4 4" xfId="1751"/>
    <cellStyle name="40% - Accent5 4 4 2" xfId="14513"/>
    <cellStyle name="40% - Accent5 4 4 2 2" xfId="14514"/>
    <cellStyle name="40% - Accent5 4 4 3" xfId="14515"/>
    <cellStyle name="40% - Accent5 4 4 3 2" xfId="14516"/>
    <cellStyle name="40% - Accent5 4 4 4" xfId="14517"/>
    <cellStyle name="40% - Accent5 4 4 4 2" xfId="14518"/>
    <cellStyle name="40% - Accent5 4 4 5" xfId="14519"/>
    <cellStyle name="40% - Accent5 4 4 6" xfId="14512"/>
    <cellStyle name="40% - Accent5 4 5" xfId="2086"/>
    <cellStyle name="40% - Accent5 4 5 2" xfId="14521"/>
    <cellStyle name="40% - Accent5 4 5 2 2" xfId="14522"/>
    <cellStyle name="40% - Accent5 4 5 3" xfId="14523"/>
    <cellStyle name="40% - Accent5 4 5 3 2" xfId="14524"/>
    <cellStyle name="40% - Accent5 4 5 4" xfId="14525"/>
    <cellStyle name="40% - Accent5 4 5 4 2" xfId="14526"/>
    <cellStyle name="40% - Accent5 4 5 5" xfId="14527"/>
    <cellStyle name="40% - Accent5 4 5 6" xfId="14520"/>
    <cellStyle name="40% - Accent5 4 6" xfId="2460"/>
    <cellStyle name="40% - Accent5 4 6 2" xfId="14529"/>
    <cellStyle name="40% - Accent5 4 6 2 2" xfId="14530"/>
    <cellStyle name="40% - Accent5 4 6 3" xfId="14531"/>
    <cellStyle name="40% - Accent5 4 6 3 2" xfId="14532"/>
    <cellStyle name="40% - Accent5 4 6 4" xfId="14533"/>
    <cellStyle name="40% - Accent5 4 6 4 2" xfId="14534"/>
    <cellStyle name="40% - Accent5 4 6 5" xfId="14535"/>
    <cellStyle name="40% - Accent5 4 6 6" xfId="14528"/>
    <cellStyle name="40% - Accent5 4 7" xfId="2832"/>
    <cellStyle name="40% - Accent5 4 7 2" xfId="14537"/>
    <cellStyle name="40% - Accent5 4 7 2 2" xfId="14538"/>
    <cellStyle name="40% - Accent5 4 7 3" xfId="14539"/>
    <cellStyle name="40% - Accent5 4 7 3 2" xfId="14540"/>
    <cellStyle name="40% - Accent5 4 7 4" xfId="14541"/>
    <cellStyle name="40% - Accent5 4 7 4 2" xfId="14542"/>
    <cellStyle name="40% - Accent5 4 7 5" xfId="14543"/>
    <cellStyle name="40% - Accent5 4 7 6" xfId="14536"/>
    <cellStyle name="40% - Accent5 4 8" xfId="3203"/>
    <cellStyle name="40% - Accent5 4 8 2" xfId="14545"/>
    <cellStyle name="40% - Accent5 4 8 2 2" xfId="14546"/>
    <cellStyle name="40% - Accent5 4 8 3" xfId="14547"/>
    <cellStyle name="40% - Accent5 4 8 3 2" xfId="14548"/>
    <cellStyle name="40% - Accent5 4 8 4" xfId="14549"/>
    <cellStyle name="40% - Accent5 4 8 4 2" xfId="14550"/>
    <cellStyle name="40% - Accent5 4 8 5" xfId="14551"/>
    <cellStyle name="40% - Accent5 4 8 6" xfId="14544"/>
    <cellStyle name="40% - Accent5 4 9" xfId="3592"/>
    <cellStyle name="40% - Accent5 4 9 2" xfId="4632"/>
    <cellStyle name="40% - Accent5 4 9 2 2" xfId="14554"/>
    <cellStyle name="40% - Accent5 4 9 2 3" xfId="14553"/>
    <cellStyle name="40% - Accent5 4 9 3" xfId="14555"/>
    <cellStyle name="40% - Accent5 4 9 3 2" xfId="14556"/>
    <cellStyle name="40% - Accent5 4 9 4" xfId="14557"/>
    <cellStyle name="40% - Accent5 4 9 4 2" xfId="14558"/>
    <cellStyle name="40% - Accent5 4 9 5" xfId="14559"/>
    <cellStyle name="40% - Accent5 4 9 5 2" xfId="14560"/>
    <cellStyle name="40% - Accent5 4 9 6" xfId="14561"/>
    <cellStyle name="40% - Accent5 4 9 7" xfId="14552"/>
    <cellStyle name="40% - Accent5 5" xfId="399"/>
    <cellStyle name="40% - Accent5 5 10" xfId="14563"/>
    <cellStyle name="40% - Accent5 5 10 2" xfId="14564"/>
    <cellStyle name="40% - Accent5 5 10 2 2" xfId="14565"/>
    <cellStyle name="40% - Accent5 5 10 3" xfId="14566"/>
    <cellStyle name="40% - Accent5 5 10 3 2" xfId="14567"/>
    <cellStyle name="40% - Accent5 5 10 4" xfId="14568"/>
    <cellStyle name="40% - Accent5 5 11" xfId="14569"/>
    <cellStyle name="40% - Accent5 5 11 2" xfId="14570"/>
    <cellStyle name="40% - Accent5 5 11 2 2" xfId="14571"/>
    <cellStyle name="40% - Accent5 5 11 3" xfId="14572"/>
    <cellStyle name="40% - Accent5 5 11 3 2" xfId="14573"/>
    <cellStyle name="40% - Accent5 5 11 4" xfId="14574"/>
    <cellStyle name="40% - Accent5 5 12" xfId="14575"/>
    <cellStyle name="40% - Accent5 5 12 2" xfId="14576"/>
    <cellStyle name="40% - Accent5 5 12 2 2" xfId="14577"/>
    <cellStyle name="40% - Accent5 5 12 3" xfId="14578"/>
    <cellStyle name="40% - Accent5 5 12 3 2" xfId="14579"/>
    <cellStyle name="40% - Accent5 5 12 4" xfId="14580"/>
    <cellStyle name="40% - Accent5 5 13" xfId="14581"/>
    <cellStyle name="40% - Accent5 5 13 2" xfId="14582"/>
    <cellStyle name="40% - Accent5 5 13 2 2" xfId="14583"/>
    <cellStyle name="40% - Accent5 5 13 3" xfId="14584"/>
    <cellStyle name="40% - Accent5 5 13 3 2" xfId="14585"/>
    <cellStyle name="40% - Accent5 5 13 4" xfId="14586"/>
    <cellStyle name="40% - Accent5 5 14" xfId="14587"/>
    <cellStyle name="40% - Accent5 5 14 2" xfId="14588"/>
    <cellStyle name="40% - Accent5 5 15" xfId="14589"/>
    <cellStyle name="40% - Accent5 5 15 2" xfId="14590"/>
    <cellStyle name="40% - Accent5 5 16" xfId="14591"/>
    <cellStyle name="40% - Accent5 5 16 2" xfId="14592"/>
    <cellStyle name="40% - Accent5 5 17" xfId="14593"/>
    <cellStyle name="40% - Accent5 5 17 2" xfId="14594"/>
    <cellStyle name="40% - Accent5 5 18" xfId="14595"/>
    <cellStyle name="40% - Accent5 5 19" xfId="14562"/>
    <cellStyle name="40% - Accent5 5 2" xfId="1875"/>
    <cellStyle name="40% - Accent5 5 2 10" xfId="14597"/>
    <cellStyle name="40% - Accent5 5 2 10 2" xfId="14598"/>
    <cellStyle name="40% - Accent5 5 2 10 2 2" xfId="14599"/>
    <cellStyle name="40% - Accent5 5 2 10 3" xfId="14600"/>
    <cellStyle name="40% - Accent5 5 2 10 3 2" xfId="14601"/>
    <cellStyle name="40% - Accent5 5 2 10 4" xfId="14602"/>
    <cellStyle name="40% - Accent5 5 2 11" xfId="14603"/>
    <cellStyle name="40% - Accent5 5 2 11 2" xfId="14604"/>
    <cellStyle name="40% - Accent5 5 2 11 2 2" xfId="14605"/>
    <cellStyle name="40% - Accent5 5 2 11 3" xfId="14606"/>
    <cellStyle name="40% - Accent5 5 2 11 3 2" xfId="14607"/>
    <cellStyle name="40% - Accent5 5 2 11 4" xfId="14608"/>
    <cellStyle name="40% - Accent5 5 2 12" xfId="14609"/>
    <cellStyle name="40% - Accent5 5 2 12 2" xfId="14610"/>
    <cellStyle name="40% - Accent5 5 2 12 2 2" xfId="14611"/>
    <cellStyle name="40% - Accent5 5 2 12 3" xfId="14612"/>
    <cellStyle name="40% - Accent5 5 2 12 3 2" xfId="14613"/>
    <cellStyle name="40% - Accent5 5 2 12 4" xfId="14614"/>
    <cellStyle name="40% - Accent5 5 2 13" xfId="14615"/>
    <cellStyle name="40% - Accent5 5 2 13 2" xfId="14616"/>
    <cellStyle name="40% - Accent5 5 2 14" xfId="14617"/>
    <cellStyle name="40% - Accent5 5 2 14 2" xfId="14618"/>
    <cellStyle name="40% - Accent5 5 2 15" xfId="14619"/>
    <cellStyle name="40% - Accent5 5 2 15 2" xfId="14620"/>
    <cellStyle name="40% - Accent5 5 2 16" xfId="14621"/>
    <cellStyle name="40% - Accent5 5 2 17" xfId="14596"/>
    <cellStyle name="40% - Accent5 5 2 2" xfId="14622"/>
    <cellStyle name="40% - Accent5 5 2 2 2" xfId="14623"/>
    <cellStyle name="40% - Accent5 5 2 2 2 2" xfId="14624"/>
    <cellStyle name="40% - Accent5 5 2 2 3" xfId="14625"/>
    <cellStyle name="40% - Accent5 5 2 2 3 2" xfId="14626"/>
    <cellStyle name="40% - Accent5 5 2 2 4" xfId="14627"/>
    <cellStyle name="40% - Accent5 5 2 3" xfId="14628"/>
    <cellStyle name="40% - Accent5 5 2 3 2" xfId="14629"/>
    <cellStyle name="40% - Accent5 5 2 3 2 2" xfId="14630"/>
    <cellStyle name="40% - Accent5 5 2 3 3" xfId="14631"/>
    <cellStyle name="40% - Accent5 5 2 3 3 2" xfId="14632"/>
    <cellStyle name="40% - Accent5 5 2 3 4" xfId="14633"/>
    <cellStyle name="40% - Accent5 5 2 4" xfId="14634"/>
    <cellStyle name="40% - Accent5 5 2 4 2" xfId="14635"/>
    <cellStyle name="40% - Accent5 5 2 4 2 2" xfId="14636"/>
    <cellStyle name="40% - Accent5 5 2 4 3" xfId="14637"/>
    <cellStyle name="40% - Accent5 5 2 4 3 2" xfId="14638"/>
    <cellStyle name="40% - Accent5 5 2 4 4" xfId="14639"/>
    <cellStyle name="40% - Accent5 5 2 5" xfId="14640"/>
    <cellStyle name="40% - Accent5 5 2 5 2" xfId="14641"/>
    <cellStyle name="40% - Accent5 5 2 5 2 2" xfId="14642"/>
    <cellStyle name="40% - Accent5 5 2 5 3" xfId="14643"/>
    <cellStyle name="40% - Accent5 5 2 5 3 2" xfId="14644"/>
    <cellStyle name="40% - Accent5 5 2 5 4" xfId="14645"/>
    <cellStyle name="40% - Accent5 5 2 6" xfId="14646"/>
    <cellStyle name="40% - Accent5 5 2 6 2" xfId="14647"/>
    <cellStyle name="40% - Accent5 5 2 6 2 2" xfId="14648"/>
    <cellStyle name="40% - Accent5 5 2 6 3" xfId="14649"/>
    <cellStyle name="40% - Accent5 5 2 6 3 2" xfId="14650"/>
    <cellStyle name="40% - Accent5 5 2 6 4" xfId="14651"/>
    <cellStyle name="40% - Accent5 5 2 7" xfId="14652"/>
    <cellStyle name="40% - Accent5 5 2 7 2" xfId="14653"/>
    <cellStyle name="40% - Accent5 5 2 7 2 2" xfId="14654"/>
    <cellStyle name="40% - Accent5 5 2 7 3" xfId="14655"/>
    <cellStyle name="40% - Accent5 5 2 7 3 2" xfId="14656"/>
    <cellStyle name="40% - Accent5 5 2 7 4" xfId="14657"/>
    <cellStyle name="40% - Accent5 5 2 8" xfId="14658"/>
    <cellStyle name="40% - Accent5 5 2 8 2" xfId="14659"/>
    <cellStyle name="40% - Accent5 5 2 8 2 2" xfId="14660"/>
    <cellStyle name="40% - Accent5 5 2 8 3" xfId="14661"/>
    <cellStyle name="40% - Accent5 5 2 8 3 2" xfId="14662"/>
    <cellStyle name="40% - Accent5 5 2 8 4" xfId="14663"/>
    <cellStyle name="40% - Accent5 5 2 9" xfId="14664"/>
    <cellStyle name="40% - Accent5 5 2 9 2" xfId="14665"/>
    <cellStyle name="40% - Accent5 5 2 9 2 2" xfId="14666"/>
    <cellStyle name="40% - Accent5 5 2 9 3" xfId="14667"/>
    <cellStyle name="40% - Accent5 5 2 9 3 2" xfId="14668"/>
    <cellStyle name="40% - Accent5 5 2 9 4" xfId="14669"/>
    <cellStyle name="40% - Accent5 5 3" xfId="2250"/>
    <cellStyle name="40% - Accent5 5 3 2" xfId="14671"/>
    <cellStyle name="40% - Accent5 5 3 2 2" xfId="14672"/>
    <cellStyle name="40% - Accent5 5 3 3" xfId="14673"/>
    <cellStyle name="40% - Accent5 5 3 3 2" xfId="14674"/>
    <cellStyle name="40% - Accent5 5 3 4" xfId="14675"/>
    <cellStyle name="40% - Accent5 5 3 4 2" xfId="14676"/>
    <cellStyle name="40% - Accent5 5 3 5" xfId="14677"/>
    <cellStyle name="40% - Accent5 5 3 6" xfId="14670"/>
    <cellStyle name="40% - Accent5 5 4" xfId="2624"/>
    <cellStyle name="40% - Accent5 5 4 2" xfId="14679"/>
    <cellStyle name="40% - Accent5 5 4 2 2" xfId="14680"/>
    <cellStyle name="40% - Accent5 5 4 3" xfId="14681"/>
    <cellStyle name="40% - Accent5 5 4 3 2" xfId="14682"/>
    <cellStyle name="40% - Accent5 5 4 4" xfId="14683"/>
    <cellStyle name="40% - Accent5 5 4 4 2" xfId="14684"/>
    <cellStyle name="40% - Accent5 5 4 5" xfId="14685"/>
    <cellStyle name="40% - Accent5 5 4 6" xfId="14678"/>
    <cellStyle name="40% - Accent5 5 5" xfId="2996"/>
    <cellStyle name="40% - Accent5 5 5 2" xfId="14687"/>
    <cellStyle name="40% - Accent5 5 5 2 2" xfId="14688"/>
    <cellStyle name="40% - Accent5 5 5 3" xfId="14689"/>
    <cellStyle name="40% - Accent5 5 5 3 2" xfId="14690"/>
    <cellStyle name="40% - Accent5 5 5 4" xfId="14691"/>
    <cellStyle name="40% - Accent5 5 5 4 2" xfId="14692"/>
    <cellStyle name="40% - Accent5 5 5 5" xfId="14693"/>
    <cellStyle name="40% - Accent5 5 5 6" xfId="14686"/>
    <cellStyle name="40% - Accent5 5 6" xfId="3368"/>
    <cellStyle name="40% - Accent5 5 6 2" xfId="14695"/>
    <cellStyle name="40% - Accent5 5 6 2 2" xfId="14696"/>
    <cellStyle name="40% - Accent5 5 6 3" xfId="14697"/>
    <cellStyle name="40% - Accent5 5 6 3 2" xfId="14698"/>
    <cellStyle name="40% - Accent5 5 6 4" xfId="14699"/>
    <cellStyle name="40% - Accent5 5 6 4 2" xfId="14700"/>
    <cellStyle name="40% - Accent5 5 6 5" xfId="14701"/>
    <cellStyle name="40% - Accent5 5 6 6" xfId="14694"/>
    <cellStyle name="40% - Accent5 5 7" xfId="4633"/>
    <cellStyle name="40% - Accent5 5 7 2" xfId="14703"/>
    <cellStyle name="40% - Accent5 5 7 2 2" xfId="14704"/>
    <cellStyle name="40% - Accent5 5 7 3" xfId="14705"/>
    <cellStyle name="40% - Accent5 5 7 3 2" xfId="14706"/>
    <cellStyle name="40% - Accent5 5 7 4" xfId="14707"/>
    <cellStyle name="40% - Accent5 5 7 5" xfId="14702"/>
    <cellStyle name="40% - Accent5 5 8" xfId="14708"/>
    <cellStyle name="40% - Accent5 5 8 2" xfId="14709"/>
    <cellStyle name="40% - Accent5 5 8 2 2" xfId="14710"/>
    <cellStyle name="40% - Accent5 5 8 3" xfId="14711"/>
    <cellStyle name="40% - Accent5 5 8 3 2" xfId="14712"/>
    <cellStyle name="40% - Accent5 5 8 4" xfId="14713"/>
    <cellStyle name="40% - Accent5 5 9" xfId="14714"/>
    <cellStyle name="40% - Accent5 5 9 2" xfId="14715"/>
    <cellStyle name="40% - Accent5 5 9 2 2" xfId="14716"/>
    <cellStyle name="40% - Accent5 5 9 3" xfId="14717"/>
    <cellStyle name="40% - Accent5 5 9 3 2" xfId="14718"/>
    <cellStyle name="40% - Accent5 5 9 4" xfId="14719"/>
    <cellStyle name="40% - Accent5 6" xfId="400"/>
    <cellStyle name="40% - Accent5 6 10" xfId="5428"/>
    <cellStyle name="40% - Accent5 6 10 2" xfId="6421"/>
    <cellStyle name="40% - Accent5 6 10 2 2" xfId="14723"/>
    <cellStyle name="40% - Accent5 6 10 2 3" xfId="14722"/>
    <cellStyle name="40% - Accent5 6 10 2 4" xfId="26599"/>
    <cellStyle name="40% - Accent5 6 10 3" xfId="14724"/>
    <cellStyle name="40% - Accent5 6 10 3 2" xfId="14725"/>
    <cellStyle name="40% - Accent5 6 10 4" xfId="14726"/>
    <cellStyle name="40% - Accent5 6 10 5" xfId="14721"/>
    <cellStyle name="40% - Accent5 6 10 6" xfId="26598"/>
    <cellStyle name="40% - Accent5 6 11" xfId="5738"/>
    <cellStyle name="40% - Accent5 6 11 2" xfId="6422"/>
    <cellStyle name="40% - Accent5 6 11 2 2" xfId="14729"/>
    <cellStyle name="40% - Accent5 6 11 2 3" xfId="14728"/>
    <cellStyle name="40% - Accent5 6 11 2 4" xfId="26601"/>
    <cellStyle name="40% - Accent5 6 11 3" xfId="14730"/>
    <cellStyle name="40% - Accent5 6 11 3 2" xfId="14731"/>
    <cellStyle name="40% - Accent5 6 11 4" xfId="14732"/>
    <cellStyle name="40% - Accent5 6 11 5" xfId="14727"/>
    <cellStyle name="40% - Accent5 6 11 6" xfId="26600"/>
    <cellStyle name="40% - Accent5 6 12" xfId="4634"/>
    <cellStyle name="40% - Accent5 6 12 2" xfId="6423"/>
    <cellStyle name="40% - Accent5 6 12 2 2" xfId="14735"/>
    <cellStyle name="40% - Accent5 6 12 2 3" xfId="14734"/>
    <cellStyle name="40% - Accent5 6 12 2 4" xfId="26603"/>
    <cellStyle name="40% - Accent5 6 12 3" xfId="14736"/>
    <cellStyle name="40% - Accent5 6 12 3 2" xfId="14737"/>
    <cellStyle name="40% - Accent5 6 12 4" xfId="14738"/>
    <cellStyle name="40% - Accent5 6 12 5" xfId="14733"/>
    <cellStyle name="40% - Accent5 6 12 6" xfId="26602"/>
    <cellStyle name="40% - Accent5 6 13" xfId="6420"/>
    <cellStyle name="40% - Accent5 6 13 2" xfId="14740"/>
    <cellStyle name="40% - Accent5 6 13 3" xfId="14739"/>
    <cellStyle name="40% - Accent5 6 13 4" xfId="26604"/>
    <cellStyle name="40% - Accent5 6 14" xfId="14741"/>
    <cellStyle name="40% - Accent5 6 14 2" xfId="14742"/>
    <cellStyle name="40% - Accent5 6 15" xfId="14743"/>
    <cellStyle name="40% - Accent5 6 15 2" xfId="14744"/>
    <cellStyle name="40% - Accent5 6 16" xfId="14745"/>
    <cellStyle name="40% - Accent5 6 16 2" xfId="14746"/>
    <cellStyle name="40% - Accent5 6 16 2 2" xfId="14747"/>
    <cellStyle name="40% - Accent5 6 16 3" xfId="14748"/>
    <cellStyle name="40% - Accent5 6 16 3 2" xfId="14749"/>
    <cellStyle name="40% - Accent5 6 16 4" xfId="14750"/>
    <cellStyle name="40% - Accent5 6 17" xfId="14751"/>
    <cellStyle name="40% - Accent5 6 17 2" xfId="14752"/>
    <cellStyle name="40% - Accent5 6 18" xfId="14753"/>
    <cellStyle name="40% - Accent5 6 18 2" xfId="14754"/>
    <cellStyle name="40% - Accent5 6 19" xfId="14755"/>
    <cellStyle name="40% - Accent5 6 2" xfId="1979"/>
    <cellStyle name="40% - Accent5 6 2 2" xfId="4635"/>
    <cellStyle name="40% - Accent5 6 2 2 2" xfId="14758"/>
    <cellStyle name="40% - Accent5 6 2 2 3" xfId="14757"/>
    <cellStyle name="40% - Accent5 6 2 3" xfId="14759"/>
    <cellStyle name="40% - Accent5 6 2 3 2" xfId="14760"/>
    <cellStyle name="40% - Accent5 6 2 4" xfId="14761"/>
    <cellStyle name="40% - Accent5 6 2 4 2" xfId="14762"/>
    <cellStyle name="40% - Accent5 6 2 5" xfId="14763"/>
    <cellStyle name="40% - Accent5 6 2 5 2" xfId="14764"/>
    <cellStyle name="40% - Accent5 6 2 6" xfId="14765"/>
    <cellStyle name="40% - Accent5 6 2 7" xfId="14756"/>
    <cellStyle name="40% - Accent5 6 20" xfId="14720"/>
    <cellStyle name="40% - Accent5 6 21" xfId="24841"/>
    <cellStyle name="40% - Accent5 6 22" xfId="26597"/>
    <cellStyle name="40% - Accent5 6 3" xfId="2354"/>
    <cellStyle name="40% - Accent5 6 3 2" xfId="4636"/>
    <cellStyle name="40% - Accent5 6 3 2 2" xfId="14768"/>
    <cellStyle name="40% - Accent5 6 3 2 3" xfId="14767"/>
    <cellStyle name="40% - Accent5 6 3 3" xfId="14769"/>
    <cellStyle name="40% - Accent5 6 3 3 2" xfId="14770"/>
    <cellStyle name="40% - Accent5 6 3 4" xfId="14771"/>
    <cellStyle name="40% - Accent5 6 3 4 2" xfId="14772"/>
    <cellStyle name="40% - Accent5 6 3 5" xfId="14773"/>
    <cellStyle name="40% - Accent5 6 3 5 2" xfId="14774"/>
    <cellStyle name="40% - Accent5 6 3 6" xfId="14775"/>
    <cellStyle name="40% - Accent5 6 3 7" xfId="14766"/>
    <cellStyle name="40% - Accent5 6 4" xfId="2727"/>
    <cellStyle name="40% - Accent5 6 4 2" xfId="4637"/>
    <cellStyle name="40% - Accent5 6 4 2 2" xfId="14778"/>
    <cellStyle name="40% - Accent5 6 4 2 3" xfId="14777"/>
    <cellStyle name="40% - Accent5 6 4 3" xfId="14779"/>
    <cellStyle name="40% - Accent5 6 4 3 2" xfId="14780"/>
    <cellStyle name="40% - Accent5 6 4 4" xfId="14781"/>
    <cellStyle name="40% - Accent5 6 4 4 2" xfId="14782"/>
    <cellStyle name="40% - Accent5 6 4 5" xfId="14783"/>
    <cellStyle name="40% - Accent5 6 4 5 2" xfId="14784"/>
    <cellStyle name="40% - Accent5 6 4 6" xfId="14785"/>
    <cellStyle name="40% - Accent5 6 4 7" xfId="14776"/>
    <cellStyle name="40% - Accent5 6 5" xfId="3100"/>
    <cellStyle name="40% - Accent5 6 5 2" xfId="4638"/>
    <cellStyle name="40% - Accent5 6 5 2 2" xfId="14788"/>
    <cellStyle name="40% - Accent5 6 5 2 3" xfId="14787"/>
    <cellStyle name="40% - Accent5 6 5 3" xfId="14789"/>
    <cellStyle name="40% - Accent5 6 5 3 2" xfId="14790"/>
    <cellStyle name="40% - Accent5 6 5 4" xfId="14791"/>
    <cellStyle name="40% - Accent5 6 5 4 2" xfId="14792"/>
    <cellStyle name="40% - Accent5 6 5 5" xfId="14793"/>
    <cellStyle name="40% - Accent5 6 5 5 2" xfId="14794"/>
    <cellStyle name="40% - Accent5 6 5 6" xfId="14795"/>
    <cellStyle name="40% - Accent5 6 5 7" xfId="14786"/>
    <cellStyle name="40% - Accent5 6 6" xfId="3471"/>
    <cellStyle name="40% - Accent5 6 6 2" xfId="4639"/>
    <cellStyle name="40% - Accent5 6 6 2 2" xfId="14798"/>
    <cellStyle name="40% - Accent5 6 6 2 3" xfId="14797"/>
    <cellStyle name="40% - Accent5 6 6 3" xfId="14799"/>
    <cellStyle name="40% - Accent5 6 6 3 2" xfId="14800"/>
    <cellStyle name="40% - Accent5 6 6 4" xfId="14801"/>
    <cellStyle name="40% - Accent5 6 6 4 2" xfId="14802"/>
    <cellStyle name="40% - Accent5 6 6 5" xfId="14803"/>
    <cellStyle name="40% - Accent5 6 6 5 2" xfId="14804"/>
    <cellStyle name="40% - Accent5 6 6 6" xfId="14805"/>
    <cellStyle name="40% - Accent5 6 6 7" xfId="14796"/>
    <cellStyle name="40% - Accent5 6 7" xfId="3777"/>
    <cellStyle name="40% - Accent5 6 7 2" xfId="4640"/>
    <cellStyle name="40% - Accent5 6 7 2 2" xfId="14808"/>
    <cellStyle name="40% - Accent5 6 7 2 3" xfId="14807"/>
    <cellStyle name="40% - Accent5 6 7 3" xfId="14809"/>
    <cellStyle name="40% - Accent5 6 7 3 2" xfId="14810"/>
    <cellStyle name="40% - Accent5 6 7 4" xfId="14811"/>
    <cellStyle name="40% - Accent5 6 7 4 2" xfId="14812"/>
    <cellStyle name="40% - Accent5 6 7 5" xfId="14813"/>
    <cellStyle name="40% - Accent5 6 7 5 2" xfId="14814"/>
    <cellStyle name="40% - Accent5 6 7 6" xfId="14815"/>
    <cellStyle name="40% - Accent5 6 7 7" xfId="14806"/>
    <cellStyle name="40% - Accent5 6 8" xfId="1368"/>
    <cellStyle name="40% - Accent5 6 8 10" xfId="24900"/>
    <cellStyle name="40% - Accent5 6 8 11" xfId="26605"/>
    <cellStyle name="40% - Accent5 6 8 2" xfId="4168"/>
    <cellStyle name="40% - Accent5 6 8 2 2" xfId="5430"/>
    <cellStyle name="40% - Accent5 6 8 2 2 2" xfId="6426"/>
    <cellStyle name="40% - Accent5 6 8 2 2 2 2" xfId="14819"/>
    <cellStyle name="40% - Accent5 6 8 2 2 2 3" xfId="26608"/>
    <cellStyle name="40% - Accent5 6 8 2 2 3" xfId="14818"/>
    <cellStyle name="40% - Accent5 6 8 2 2 4" xfId="26607"/>
    <cellStyle name="40% - Accent5 6 8 2 3" xfId="5740"/>
    <cellStyle name="40% - Accent5 6 8 2 3 2" xfId="6427"/>
    <cellStyle name="40% - Accent5 6 8 2 3 2 2" xfId="26610"/>
    <cellStyle name="40% - Accent5 6 8 2 3 3" xfId="14820"/>
    <cellStyle name="40% - Accent5 6 8 2 3 4" xfId="26609"/>
    <cellStyle name="40% - Accent5 6 8 2 4" xfId="4642"/>
    <cellStyle name="40% - Accent5 6 8 2 4 2" xfId="6428"/>
    <cellStyle name="40% - Accent5 6 8 2 4 2 2" xfId="26612"/>
    <cellStyle name="40% - Accent5 6 8 2 4 3" xfId="26611"/>
    <cellStyle name="40% - Accent5 6 8 2 5" xfId="6425"/>
    <cellStyle name="40% - Accent5 6 8 2 5 2" xfId="26613"/>
    <cellStyle name="40% - Accent5 6 8 2 6" xfId="14817"/>
    <cellStyle name="40% - Accent5 6 8 2 7" xfId="25020"/>
    <cellStyle name="40% - Accent5 6 8 2 8" xfId="26606"/>
    <cellStyle name="40% - Accent5 6 8 3" xfId="5429"/>
    <cellStyle name="40% - Accent5 6 8 3 2" xfId="6429"/>
    <cellStyle name="40% - Accent5 6 8 3 2 2" xfId="14822"/>
    <cellStyle name="40% - Accent5 6 8 3 2 3" xfId="26615"/>
    <cellStyle name="40% - Accent5 6 8 3 3" xfId="14821"/>
    <cellStyle name="40% - Accent5 6 8 3 4" xfId="26614"/>
    <cellStyle name="40% - Accent5 6 8 4" xfId="5739"/>
    <cellStyle name="40% - Accent5 6 8 4 2" xfId="6430"/>
    <cellStyle name="40% - Accent5 6 8 4 2 2" xfId="14824"/>
    <cellStyle name="40% - Accent5 6 8 4 2 3" xfId="26617"/>
    <cellStyle name="40% - Accent5 6 8 4 3" xfId="14823"/>
    <cellStyle name="40% - Accent5 6 8 4 4" xfId="26616"/>
    <cellStyle name="40% - Accent5 6 8 5" xfId="4641"/>
    <cellStyle name="40% - Accent5 6 8 5 2" xfId="6431"/>
    <cellStyle name="40% - Accent5 6 8 5 2 2" xfId="14827"/>
    <cellStyle name="40% - Accent5 6 8 5 2 3" xfId="14826"/>
    <cellStyle name="40% - Accent5 6 8 5 2 4" xfId="26619"/>
    <cellStyle name="40% - Accent5 6 8 5 3" xfId="14828"/>
    <cellStyle name="40% - Accent5 6 8 5 3 2" xfId="14829"/>
    <cellStyle name="40% - Accent5 6 8 5 4" xfId="14830"/>
    <cellStyle name="40% - Accent5 6 8 5 5" xfId="14825"/>
    <cellStyle name="40% - Accent5 6 8 5 6" xfId="26618"/>
    <cellStyle name="40% - Accent5 6 8 6" xfId="6424"/>
    <cellStyle name="40% - Accent5 6 8 6 2" xfId="14832"/>
    <cellStyle name="40% - Accent5 6 8 6 3" xfId="14831"/>
    <cellStyle name="40% - Accent5 6 8 6 4" xfId="26620"/>
    <cellStyle name="40% - Accent5 6 8 7" xfId="14833"/>
    <cellStyle name="40% - Accent5 6 8 7 2" xfId="14834"/>
    <cellStyle name="40% - Accent5 6 8 8" xfId="14835"/>
    <cellStyle name="40% - Accent5 6 8 9" xfId="14816"/>
    <cellStyle name="40% - Accent5 6 9" xfId="3827"/>
    <cellStyle name="40% - Accent5 6 9 2" xfId="5431"/>
    <cellStyle name="40% - Accent5 6 9 2 2" xfId="6433"/>
    <cellStyle name="40% - Accent5 6 9 2 2 2" xfId="14838"/>
    <cellStyle name="40% - Accent5 6 9 2 2 3" xfId="26623"/>
    <cellStyle name="40% - Accent5 6 9 2 3" xfId="14837"/>
    <cellStyle name="40% - Accent5 6 9 2 4" xfId="26622"/>
    <cellStyle name="40% - Accent5 6 9 3" xfId="5741"/>
    <cellStyle name="40% - Accent5 6 9 3 2" xfId="6434"/>
    <cellStyle name="40% - Accent5 6 9 3 2 2" xfId="14840"/>
    <cellStyle name="40% - Accent5 6 9 3 2 3" xfId="26625"/>
    <cellStyle name="40% - Accent5 6 9 3 3" xfId="14839"/>
    <cellStyle name="40% - Accent5 6 9 3 4" xfId="26624"/>
    <cellStyle name="40% - Accent5 6 9 4" xfId="4643"/>
    <cellStyle name="40% - Accent5 6 9 4 2" xfId="6435"/>
    <cellStyle name="40% - Accent5 6 9 4 2 2" xfId="14842"/>
    <cellStyle name="40% - Accent5 6 9 4 2 3" xfId="26627"/>
    <cellStyle name="40% - Accent5 6 9 4 3" xfId="14841"/>
    <cellStyle name="40% - Accent5 6 9 4 4" xfId="26626"/>
    <cellStyle name="40% - Accent5 6 9 5" xfId="6432"/>
    <cellStyle name="40% - Accent5 6 9 5 2" xfId="14843"/>
    <cellStyle name="40% - Accent5 6 9 5 3" xfId="26628"/>
    <cellStyle name="40% - Accent5 6 9 6" xfId="14836"/>
    <cellStyle name="40% - Accent5 6 9 7" xfId="24963"/>
    <cellStyle name="40% - Accent5 6 9 8" xfId="26621"/>
    <cellStyle name="40% - Accent5 7" xfId="401"/>
    <cellStyle name="40% - Accent5 7 10" xfId="14845"/>
    <cellStyle name="40% - Accent5 7 10 2" xfId="14846"/>
    <cellStyle name="40% - Accent5 7 10 2 2" xfId="14847"/>
    <cellStyle name="40% - Accent5 7 10 3" xfId="14848"/>
    <cellStyle name="40% - Accent5 7 10 3 2" xfId="14849"/>
    <cellStyle name="40% - Accent5 7 10 4" xfId="14850"/>
    <cellStyle name="40% - Accent5 7 11" xfId="14851"/>
    <cellStyle name="40% - Accent5 7 11 2" xfId="14852"/>
    <cellStyle name="40% - Accent5 7 11 2 2" xfId="14853"/>
    <cellStyle name="40% - Accent5 7 11 3" xfId="14854"/>
    <cellStyle name="40% - Accent5 7 11 3 2" xfId="14855"/>
    <cellStyle name="40% - Accent5 7 11 4" xfId="14856"/>
    <cellStyle name="40% - Accent5 7 12" xfId="14857"/>
    <cellStyle name="40% - Accent5 7 12 2" xfId="14858"/>
    <cellStyle name="40% - Accent5 7 12 2 2" xfId="14859"/>
    <cellStyle name="40% - Accent5 7 12 3" xfId="14860"/>
    <cellStyle name="40% - Accent5 7 12 3 2" xfId="14861"/>
    <cellStyle name="40% - Accent5 7 12 4" xfId="14862"/>
    <cellStyle name="40% - Accent5 7 13" xfId="14863"/>
    <cellStyle name="40% - Accent5 7 13 2" xfId="14864"/>
    <cellStyle name="40% - Accent5 7 14" xfId="14865"/>
    <cellStyle name="40% - Accent5 7 14 2" xfId="14866"/>
    <cellStyle name="40% - Accent5 7 15" xfId="14867"/>
    <cellStyle name="40% - Accent5 7 15 2" xfId="14868"/>
    <cellStyle name="40% - Accent5 7 16" xfId="14869"/>
    <cellStyle name="40% - Accent5 7 16 2" xfId="14870"/>
    <cellStyle name="40% - Accent5 7 17" xfId="14871"/>
    <cellStyle name="40% - Accent5 7 18" xfId="14844"/>
    <cellStyle name="40% - Accent5 7 2" xfId="4644"/>
    <cellStyle name="40% - Accent5 7 2 2" xfId="14873"/>
    <cellStyle name="40% - Accent5 7 2 2 2" xfId="14874"/>
    <cellStyle name="40% - Accent5 7 2 3" xfId="14875"/>
    <cellStyle name="40% - Accent5 7 2 3 2" xfId="14876"/>
    <cellStyle name="40% - Accent5 7 2 4" xfId="14877"/>
    <cellStyle name="40% - Accent5 7 2 5" xfId="14872"/>
    <cellStyle name="40% - Accent5 7 3" xfId="14878"/>
    <cellStyle name="40% - Accent5 7 3 2" xfId="14879"/>
    <cellStyle name="40% - Accent5 7 3 2 2" xfId="14880"/>
    <cellStyle name="40% - Accent5 7 3 3" xfId="14881"/>
    <cellStyle name="40% - Accent5 7 3 3 2" xfId="14882"/>
    <cellStyle name="40% - Accent5 7 3 4" xfId="14883"/>
    <cellStyle name="40% - Accent5 7 4" xfId="14884"/>
    <cellStyle name="40% - Accent5 7 4 2" xfId="14885"/>
    <cellStyle name="40% - Accent5 7 4 2 2" xfId="14886"/>
    <cellStyle name="40% - Accent5 7 4 3" xfId="14887"/>
    <cellStyle name="40% - Accent5 7 4 3 2" xfId="14888"/>
    <cellStyle name="40% - Accent5 7 4 4" xfId="14889"/>
    <cellStyle name="40% - Accent5 7 5" xfId="14890"/>
    <cellStyle name="40% - Accent5 7 5 2" xfId="14891"/>
    <cellStyle name="40% - Accent5 7 5 2 2" xfId="14892"/>
    <cellStyle name="40% - Accent5 7 5 3" xfId="14893"/>
    <cellStyle name="40% - Accent5 7 5 3 2" xfId="14894"/>
    <cellStyle name="40% - Accent5 7 5 4" xfId="14895"/>
    <cellStyle name="40% - Accent5 7 6" xfId="14896"/>
    <cellStyle name="40% - Accent5 7 6 2" xfId="14897"/>
    <cellStyle name="40% - Accent5 7 6 2 2" xfId="14898"/>
    <cellStyle name="40% - Accent5 7 6 3" xfId="14899"/>
    <cellStyle name="40% - Accent5 7 6 3 2" xfId="14900"/>
    <cellStyle name="40% - Accent5 7 6 4" xfId="14901"/>
    <cellStyle name="40% - Accent5 7 7" xfId="14902"/>
    <cellStyle name="40% - Accent5 7 7 2" xfId="14903"/>
    <cellStyle name="40% - Accent5 7 7 2 2" xfId="14904"/>
    <cellStyle name="40% - Accent5 7 7 3" xfId="14905"/>
    <cellStyle name="40% - Accent5 7 7 3 2" xfId="14906"/>
    <cellStyle name="40% - Accent5 7 7 4" xfId="14907"/>
    <cellStyle name="40% - Accent5 7 8" xfId="14908"/>
    <cellStyle name="40% - Accent5 7 8 2" xfId="14909"/>
    <cellStyle name="40% - Accent5 7 8 2 2" xfId="14910"/>
    <cellStyle name="40% - Accent5 7 8 3" xfId="14911"/>
    <cellStyle name="40% - Accent5 7 8 3 2" xfId="14912"/>
    <cellStyle name="40% - Accent5 7 8 4" xfId="14913"/>
    <cellStyle name="40% - Accent5 7 9" xfId="14914"/>
    <cellStyle name="40% - Accent5 7 9 2" xfId="14915"/>
    <cellStyle name="40% - Accent5 7 9 2 2" xfId="14916"/>
    <cellStyle name="40% - Accent5 7 9 3" xfId="14917"/>
    <cellStyle name="40% - Accent5 7 9 3 2" xfId="14918"/>
    <cellStyle name="40% - Accent5 7 9 4" xfId="14919"/>
    <cellStyle name="40% - Accent5 8" xfId="550"/>
    <cellStyle name="40% - Accent5 8 10" xfId="14920"/>
    <cellStyle name="40% - Accent5 8 11" xfId="24855"/>
    <cellStyle name="40% - Accent5 8 12" xfId="26629"/>
    <cellStyle name="40% - Accent5 8 2" xfId="1381"/>
    <cellStyle name="40% - Accent5 8 2 10" xfId="24913"/>
    <cellStyle name="40% - Accent5 8 2 11" xfId="26630"/>
    <cellStyle name="40% - Accent5 8 2 2" xfId="4181"/>
    <cellStyle name="40% - Accent5 8 2 2 2" xfId="5434"/>
    <cellStyle name="40% - Accent5 8 2 2 2 2" xfId="6439"/>
    <cellStyle name="40% - Accent5 8 2 2 2 2 2" xfId="14924"/>
    <cellStyle name="40% - Accent5 8 2 2 2 2 3" xfId="26633"/>
    <cellStyle name="40% - Accent5 8 2 2 2 3" xfId="14923"/>
    <cellStyle name="40% - Accent5 8 2 2 2 4" xfId="26632"/>
    <cellStyle name="40% - Accent5 8 2 2 3" xfId="5744"/>
    <cellStyle name="40% - Accent5 8 2 2 3 2" xfId="6440"/>
    <cellStyle name="40% - Accent5 8 2 2 3 2 2" xfId="26635"/>
    <cellStyle name="40% - Accent5 8 2 2 3 3" xfId="14925"/>
    <cellStyle name="40% - Accent5 8 2 2 3 4" xfId="26634"/>
    <cellStyle name="40% - Accent5 8 2 2 4" xfId="4647"/>
    <cellStyle name="40% - Accent5 8 2 2 4 2" xfId="6441"/>
    <cellStyle name="40% - Accent5 8 2 2 4 2 2" xfId="26637"/>
    <cellStyle name="40% - Accent5 8 2 2 4 3" xfId="26636"/>
    <cellStyle name="40% - Accent5 8 2 2 5" xfId="6438"/>
    <cellStyle name="40% - Accent5 8 2 2 5 2" xfId="26638"/>
    <cellStyle name="40% - Accent5 8 2 2 6" xfId="14922"/>
    <cellStyle name="40% - Accent5 8 2 2 7" xfId="25033"/>
    <cellStyle name="40% - Accent5 8 2 2 8" xfId="26631"/>
    <cellStyle name="40% - Accent5 8 2 3" xfId="5433"/>
    <cellStyle name="40% - Accent5 8 2 3 2" xfId="6442"/>
    <cellStyle name="40% - Accent5 8 2 3 2 2" xfId="14927"/>
    <cellStyle name="40% - Accent5 8 2 3 2 3" xfId="26640"/>
    <cellStyle name="40% - Accent5 8 2 3 3" xfId="14926"/>
    <cellStyle name="40% - Accent5 8 2 3 4" xfId="26639"/>
    <cellStyle name="40% - Accent5 8 2 4" xfId="5743"/>
    <cellStyle name="40% - Accent5 8 2 4 2" xfId="6443"/>
    <cellStyle name="40% - Accent5 8 2 4 2 2" xfId="14929"/>
    <cellStyle name="40% - Accent5 8 2 4 2 3" xfId="26642"/>
    <cellStyle name="40% - Accent5 8 2 4 3" xfId="14928"/>
    <cellStyle name="40% - Accent5 8 2 4 4" xfId="26641"/>
    <cellStyle name="40% - Accent5 8 2 5" xfId="4646"/>
    <cellStyle name="40% - Accent5 8 2 5 2" xfId="6444"/>
    <cellStyle name="40% - Accent5 8 2 5 2 2" xfId="14932"/>
    <cellStyle name="40% - Accent5 8 2 5 2 3" xfId="14931"/>
    <cellStyle name="40% - Accent5 8 2 5 2 4" xfId="26644"/>
    <cellStyle name="40% - Accent5 8 2 5 3" xfId="14933"/>
    <cellStyle name="40% - Accent5 8 2 5 3 2" xfId="14934"/>
    <cellStyle name="40% - Accent5 8 2 5 4" xfId="14935"/>
    <cellStyle name="40% - Accent5 8 2 5 5" xfId="14930"/>
    <cellStyle name="40% - Accent5 8 2 5 6" xfId="26643"/>
    <cellStyle name="40% - Accent5 8 2 6" xfId="6437"/>
    <cellStyle name="40% - Accent5 8 2 6 2" xfId="14937"/>
    <cellStyle name="40% - Accent5 8 2 6 3" xfId="14936"/>
    <cellStyle name="40% - Accent5 8 2 6 4" xfId="26645"/>
    <cellStyle name="40% - Accent5 8 2 7" xfId="14938"/>
    <cellStyle name="40% - Accent5 8 2 7 2" xfId="14939"/>
    <cellStyle name="40% - Accent5 8 2 8" xfId="14940"/>
    <cellStyle name="40% - Accent5 8 2 9" xfId="14921"/>
    <cellStyle name="40% - Accent5 8 3" xfId="3841"/>
    <cellStyle name="40% - Accent5 8 3 2" xfId="5435"/>
    <cellStyle name="40% - Accent5 8 3 2 2" xfId="6446"/>
    <cellStyle name="40% - Accent5 8 3 2 2 2" xfId="14943"/>
    <cellStyle name="40% - Accent5 8 3 2 2 3" xfId="26648"/>
    <cellStyle name="40% - Accent5 8 3 2 3" xfId="14942"/>
    <cellStyle name="40% - Accent5 8 3 2 4" xfId="26647"/>
    <cellStyle name="40% - Accent5 8 3 3" xfId="5745"/>
    <cellStyle name="40% - Accent5 8 3 3 2" xfId="6447"/>
    <cellStyle name="40% - Accent5 8 3 3 2 2" xfId="26650"/>
    <cellStyle name="40% - Accent5 8 3 3 3" xfId="14944"/>
    <cellStyle name="40% - Accent5 8 3 3 4" xfId="26649"/>
    <cellStyle name="40% - Accent5 8 3 4" xfId="4648"/>
    <cellStyle name="40% - Accent5 8 3 4 2" xfId="6448"/>
    <cellStyle name="40% - Accent5 8 3 4 2 2" xfId="26652"/>
    <cellStyle name="40% - Accent5 8 3 4 3" xfId="26651"/>
    <cellStyle name="40% - Accent5 8 3 5" xfId="6445"/>
    <cellStyle name="40% - Accent5 8 3 5 2" xfId="26653"/>
    <cellStyle name="40% - Accent5 8 3 6" xfId="14941"/>
    <cellStyle name="40% - Accent5 8 3 7" xfId="24977"/>
    <cellStyle name="40% - Accent5 8 3 8" xfId="26646"/>
    <cellStyle name="40% - Accent5 8 4" xfId="5432"/>
    <cellStyle name="40% - Accent5 8 4 2" xfId="6449"/>
    <cellStyle name="40% - Accent5 8 4 2 2" xfId="14946"/>
    <cellStyle name="40% - Accent5 8 4 2 3" xfId="26655"/>
    <cellStyle name="40% - Accent5 8 4 3" xfId="14945"/>
    <cellStyle name="40% - Accent5 8 4 4" xfId="26654"/>
    <cellStyle name="40% - Accent5 8 5" xfId="5742"/>
    <cellStyle name="40% - Accent5 8 5 2" xfId="6450"/>
    <cellStyle name="40% - Accent5 8 5 2 2" xfId="14948"/>
    <cellStyle name="40% - Accent5 8 5 2 3" xfId="26657"/>
    <cellStyle name="40% - Accent5 8 5 3" xfId="14947"/>
    <cellStyle name="40% - Accent5 8 5 4" xfId="26656"/>
    <cellStyle name="40% - Accent5 8 6" xfId="4645"/>
    <cellStyle name="40% - Accent5 8 6 2" xfId="6451"/>
    <cellStyle name="40% - Accent5 8 6 2 2" xfId="14951"/>
    <cellStyle name="40% - Accent5 8 6 2 3" xfId="14950"/>
    <cellStyle name="40% - Accent5 8 6 2 4" xfId="26659"/>
    <cellStyle name="40% - Accent5 8 6 3" xfId="14952"/>
    <cellStyle name="40% - Accent5 8 6 3 2" xfId="14953"/>
    <cellStyle name="40% - Accent5 8 6 4" xfId="14954"/>
    <cellStyle name="40% - Accent5 8 6 5" xfId="14949"/>
    <cellStyle name="40% - Accent5 8 6 6" xfId="26658"/>
    <cellStyle name="40% - Accent5 8 7" xfId="6436"/>
    <cellStyle name="40% - Accent5 8 7 2" xfId="14956"/>
    <cellStyle name="40% - Accent5 8 7 3" xfId="14955"/>
    <cellStyle name="40% - Accent5 8 7 4" xfId="26660"/>
    <cellStyle name="40% - Accent5 8 8" xfId="14957"/>
    <cellStyle name="40% - Accent5 8 8 2" xfId="14958"/>
    <cellStyle name="40% - Accent5 8 9" xfId="14959"/>
    <cellStyle name="40% - Accent5 9" xfId="551"/>
    <cellStyle name="40% - Accent5 9 2" xfId="4649"/>
    <cellStyle name="40% - Accent5 9 2 2" xfId="14962"/>
    <cellStyle name="40% - Accent5 9 2 2 2" xfId="14963"/>
    <cellStyle name="40% - Accent5 9 2 3" xfId="14964"/>
    <cellStyle name="40% - Accent5 9 2 3 2" xfId="14965"/>
    <cellStyle name="40% - Accent5 9 2 4" xfId="14966"/>
    <cellStyle name="40% - Accent5 9 2 5" xfId="14961"/>
    <cellStyle name="40% - Accent5 9 3" xfId="14967"/>
    <cellStyle name="40% - Accent5 9 3 2" xfId="14968"/>
    <cellStyle name="40% - Accent5 9 4" xfId="14969"/>
    <cellStyle name="40% - Accent5 9 4 2" xfId="14970"/>
    <cellStyle name="40% - Accent5 9 5" xfId="14971"/>
    <cellStyle name="40% - Accent5 9 5 2" xfId="14972"/>
    <cellStyle name="40% - Accent5 9 6" xfId="14973"/>
    <cellStyle name="40% - Accent5 9 6 2" xfId="14974"/>
    <cellStyle name="40% - Accent5 9 7" xfId="14975"/>
    <cellStyle name="40% - Accent5 9 8" xfId="14960"/>
    <cellStyle name="40% - Accent6 10" xfId="684"/>
    <cellStyle name="40% - Accent6 10 2" xfId="4650"/>
    <cellStyle name="40% - Accent6 10 2 2" xfId="14979"/>
    <cellStyle name="40% - Accent6 10 2 3" xfId="14978"/>
    <cellStyle name="40% - Accent6 10 3" xfId="14980"/>
    <cellStyle name="40% - Accent6 10 3 2" xfId="14981"/>
    <cellStyle name="40% - Accent6 10 4" xfId="14982"/>
    <cellStyle name="40% - Accent6 10 4 2" xfId="14983"/>
    <cellStyle name="40% - Accent6 10 5" xfId="14984"/>
    <cellStyle name="40% - Accent6 10 5 2" xfId="14985"/>
    <cellStyle name="40% - Accent6 10 6" xfId="14986"/>
    <cellStyle name="40% - Accent6 10 7" xfId="14977"/>
    <cellStyle name="40% - Accent6 11" xfId="685"/>
    <cellStyle name="40% - Accent6 11 2" xfId="4651"/>
    <cellStyle name="40% - Accent6 11 2 2" xfId="14989"/>
    <cellStyle name="40% - Accent6 11 2 3" xfId="14988"/>
    <cellStyle name="40% - Accent6 11 3" xfId="14990"/>
    <cellStyle name="40% - Accent6 11 3 2" xfId="14991"/>
    <cellStyle name="40% - Accent6 11 4" xfId="14992"/>
    <cellStyle name="40% - Accent6 11 4 2" xfId="14993"/>
    <cellStyle name="40% - Accent6 11 5" xfId="14994"/>
    <cellStyle name="40% - Accent6 11 5 2" xfId="14995"/>
    <cellStyle name="40% - Accent6 11 6" xfId="14996"/>
    <cellStyle name="40% - Accent6 11 7" xfId="14987"/>
    <cellStyle name="40% - Accent6 12" xfId="831"/>
    <cellStyle name="40% - Accent6 12 2" xfId="14998"/>
    <cellStyle name="40% - Accent6 12 2 2" xfId="14999"/>
    <cellStyle name="40% - Accent6 12 3" xfId="15000"/>
    <cellStyle name="40% - Accent6 12 3 2" xfId="15001"/>
    <cellStyle name="40% - Accent6 12 4" xfId="15002"/>
    <cellStyle name="40% - Accent6 12 5" xfId="14997"/>
    <cellStyle name="40% - Accent6 13" xfId="832"/>
    <cellStyle name="40% - Accent6 13 2" xfId="3856"/>
    <cellStyle name="40% - Accent6 13 2 2" xfId="6453"/>
    <cellStyle name="40% - Accent6 13 2 2 2" xfId="15005"/>
    <cellStyle name="40% - Accent6 13 2 2 3" xfId="26663"/>
    <cellStyle name="40% - Accent6 13 2 3" xfId="15004"/>
    <cellStyle name="40% - Accent6 13 2 4" xfId="24992"/>
    <cellStyle name="40% - Accent6 13 2 5" xfId="26662"/>
    <cellStyle name="40% - Accent6 13 3" xfId="6452"/>
    <cellStyle name="40% - Accent6 13 3 2" xfId="15007"/>
    <cellStyle name="40% - Accent6 13 3 3" xfId="15006"/>
    <cellStyle name="40% - Accent6 13 3 4" xfId="26664"/>
    <cellStyle name="40% - Accent6 13 4" xfId="15008"/>
    <cellStyle name="40% - Accent6 13 5" xfId="15003"/>
    <cellStyle name="40% - Accent6 13 6" xfId="24871"/>
    <cellStyle name="40% - Accent6 13 7" xfId="26661"/>
    <cellStyle name="40% - Accent6 14" xfId="943"/>
    <cellStyle name="40% - Accent6 14 2" xfId="15010"/>
    <cellStyle name="40% - Accent6 14 2 2" xfId="15011"/>
    <cellStyle name="40% - Accent6 14 3" xfId="15012"/>
    <cellStyle name="40% - Accent6 14 3 2" xfId="15013"/>
    <cellStyle name="40% - Accent6 14 4" xfId="15014"/>
    <cellStyle name="40% - Accent6 14 5" xfId="15009"/>
    <cellStyle name="40% - Accent6 15" xfId="15015"/>
    <cellStyle name="40% - Accent6 15 2" xfId="15016"/>
    <cellStyle name="40% - Accent6 15 2 2" xfId="15017"/>
    <cellStyle name="40% - Accent6 15 3" xfId="15018"/>
    <cellStyle name="40% - Accent6 15 3 2" xfId="15019"/>
    <cellStyle name="40% - Accent6 15 4" xfId="15020"/>
    <cellStyle name="40% - Accent6 16" xfId="15021"/>
    <cellStyle name="40% - Accent6 16 2" xfId="15022"/>
    <cellStyle name="40% - Accent6 16 2 2" xfId="15023"/>
    <cellStyle name="40% - Accent6 16 3" xfId="15024"/>
    <cellStyle name="40% - Accent6 16 3 2" xfId="15025"/>
    <cellStyle name="40% - Accent6 16 4" xfId="15026"/>
    <cellStyle name="40% - Accent6 17" xfId="15027"/>
    <cellStyle name="40% - Accent6 17 2" xfId="15028"/>
    <cellStyle name="40% - Accent6 17 2 2" xfId="15029"/>
    <cellStyle name="40% - Accent6 17 3" xfId="15030"/>
    <cellStyle name="40% - Accent6 17 3 2" xfId="15031"/>
    <cellStyle name="40% - Accent6 17 4" xfId="15032"/>
    <cellStyle name="40% - Accent6 18" xfId="15033"/>
    <cellStyle name="40% - Accent6 18 2" xfId="15034"/>
    <cellStyle name="40% - Accent6 18 2 2" xfId="15035"/>
    <cellStyle name="40% - Accent6 18 3" xfId="15036"/>
    <cellStyle name="40% - Accent6 18 3 2" xfId="15037"/>
    <cellStyle name="40% - Accent6 18 4" xfId="15038"/>
    <cellStyle name="40% - Accent6 19" xfId="15039"/>
    <cellStyle name="40% - Accent6 19 2" xfId="15040"/>
    <cellStyle name="40% - Accent6 19 2 2" xfId="15041"/>
    <cellStyle name="40% - Accent6 19 3" xfId="15042"/>
    <cellStyle name="40% - Accent6 2" xfId="79"/>
    <cellStyle name="40% - Accent6 2 10" xfId="1678"/>
    <cellStyle name="40% - Accent6 2 10 2" xfId="4652"/>
    <cellStyle name="40% - Accent6 2 10 2 2" xfId="15046"/>
    <cellStyle name="40% - Accent6 2 10 2 3" xfId="15045"/>
    <cellStyle name="40% - Accent6 2 10 3" xfId="15047"/>
    <cellStyle name="40% - Accent6 2 10 3 2" xfId="15048"/>
    <cellStyle name="40% - Accent6 2 10 4" xfId="15049"/>
    <cellStyle name="40% - Accent6 2 10 4 2" xfId="15050"/>
    <cellStyle name="40% - Accent6 2 10 5" xfId="15051"/>
    <cellStyle name="40% - Accent6 2 10 5 2" xfId="15052"/>
    <cellStyle name="40% - Accent6 2 10 6" xfId="15053"/>
    <cellStyle name="40% - Accent6 2 10 7" xfId="15044"/>
    <cellStyle name="40% - Accent6 2 11" xfId="2013"/>
    <cellStyle name="40% - Accent6 2 11 2" xfId="4653"/>
    <cellStyle name="40% - Accent6 2 11 2 2" xfId="15056"/>
    <cellStyle name="40% - Accent6 2 11 2 3" xfId="15055"/>
    <cellStyle name="40% - Accent6 2 11 3" xfId="15057"/>
    <cellStyle name="40% - Accent6 2 11 3 2" xfId="15058"/>
    <cellStyle name="40% - Accent6 2 11 4" xfId="15059"/>
    <cellStyle name="40% - Accent6 2 11 4 2" xfId="15060"/>
    <cellStyle name="40% - Accent6 2 11 5" xfId="15061"/>
    <cellStyle name="40% - Accent6 2 11 5 2" xfId="15062"/>
    <cellStyle name="40% - Accent6 2 11 6" xfId="15063"/>
    <cellStyle name="40% - Accent6 2 11 7" xfId="15054"/>
    <cellStyle name="40% - Accent6 2 12" xfId="2387"/>
    <cellStyle name="40% - Accent6 2 12 2" xfId="4654"/>
    <cellStyle name="40% - Accent6 2 12 2 2" xfId="15066"/>
    <cellStyle name="40% - Accent6 2 12 2 3" xfId="15065"/>
    <cellStyle name="40% - Accent6 2 12 3" xfId="15067"/>
    <cellStyle name="40% - Accent6 2 12 3 2" xfId="15068"/>
    <cellStyle name="40% - Accent6 2 12 4" xfId="15069"/>
    <cellStyle name="40% - Accent6 2 12 4 2" xfId="15070"/>
    <cellStyle name="40% - Accent6 2 12 5" xfId="15071"/>
    <cellStyle name="40% - Accent6 2 12 5 2" xfId="15072"/>
    <cellStyle name="40% - Accent6 2 12 6" xfId="15073"/>
    <cellStyle name="40% - Accent6 2 12 7" xfId="15064"/>
    <cellStyle name="40% - Accent6 2 13" xfId="2760"/>
    <cellStyle name="40% - Accent6 2 13 2" xfId="4655"/>
    <cellStyle name="40% - Accent6 2 13 2 2" xfId="15076"/>
    <cellStyle name="40% - Accent6 2 13 2 3" xfId="15075"/>
    <cellStyle name="40% - Accent6 2 13 3" xfId="15077"/>
    <cellStyle name="40% - Accent6 2 13 3 2" xfId="15078"/>
    <cellStyle name="40% - Accent6 2 13 4" xfId="15079"/>
    <cellStyle name="40% - Accent6 2 13 4 2" xfId="15080"/>
    <cellStyle name="40% - Accent6 2 13 5" xfId="15081"/>
    <cellStyle name="40% - Accent6 2 13 5 2" xfId="15082"/>
    <cellStyle name="40% - Accent6 2 13 6" xfId="15083"/>
    <cellStyle name="40% - Accent6 2 13 7" xfId="15074"/>
    <cellStyle name="40% - Accent6 2 14" xfId="3134"/>
    <cellStyle name="40% - Accent6 2 14 2" xfId="4656"/>
    <cellStyle name="40% - Accent6 2 14 2 2" xfId="15086"/>
    <cellStyle name="40% - Accent6 2 14 2 3" xfId="15085"/>
    <cellStyle name="40% - Accent6 2 14 3" xfId="15087"/>
    <cellStyle name="40% - Accent6 2 14 3 2" xfId="15088"/>
    <cellStyle name="40% - Accent6 2 14 4" xfId="15089"/>
    <cellStyle name="40% - Accent6 2 14 4 2" xfId="15090"/>
    <cellStyle name="40% - Accent6 2 14 5" xfId="15091"/>
    <cellStyle name="40% - Accent6 2 14 5 2" xfId="15092"/>
    <cellStyle name="40% - Accent6 2 14 6" xfId="15093"/>
    <cellStyle name="40% - Accent6 2 14 7" xfId="15084"/>
    <cellStyle name="40% - Accent6 2 15" xfId="3505"/>
    <cellStyle name="40% - Accent6 2 15 2" xfId="4657"/>
    <cellStyle name="40% - Accent6 2 15 2 2" xfId="15096"/>
    <cellStyle name="40% - Accent6 2 15 2 3" xfId="15095"/>
    <cellStyle name="40% - Accent6 2 15 3" xfId="15097"/>
    <cellStyle name="40% - Accent6 2 15 3 2" xfId="15098"/>
    <cellStyle name="40% - Accent6 2 15 4" xfId="15099"/>
    <cellStyle name="40% - Accent6 2 15 5" xfId="15094"/>
    <cellStyle name="40% - Accent6 2 16" xfId="3643"/>
    <cellStyle name="40% - Accent6 2 16 2" xfId="4658"/>
    <cellStyle name="40% - Accent6 2 16 2 2" xfId="15102"/>
    <cellStyle name="40% - Accent6 2 16 2 3" xfId="15101"/>
    <cellStyle name="40% - Accent6 2 16 3" xfId="15103"/>
    <cellStyle name="40% - Accent6 2 16 3 2" xfId="15104"/>
    <cellStyle name="40% - Accent6 2 16 4" xfId="15105"/>
    <cellStyle name="40% - Accent6 2 16 5" xfId="15100"/>
    <cellStyle name="40% - Accent6 2 17" xfId="15106"/>
    <cellStyle name="40% - Accent6 2 18" xfId="15043"/>
    <cellStyle name="40% - Accent6 2 19" xfId="24477"/>
    <cellStyle name="40% - Accent6 2 2" xfId="123"/>
    <cellStyle name="40% - Accent6 2 2 10" xfId="15108"/>
    <cellStyle name="40% - Accent6 2 2 10 2" xfId="15109"/>
    <cellStyle name="40% - Accent6 2 2 10 2 2" xfId="15110"/>
    <cellStyle name="40% - Accent6 2 2 10 3" xfId="15111"/>
    <cellStyle name="40% - Accent6 2 2 10 3 2" xfId="15112"/>
    <cellStyle name="40% - Accent6 2 2 10 4" xfId="15113"/>
    <cellStyle name="40% - Accent6 2 2 11" xfId="15114"/>
    <cellStyle name="40% - Accent6 2 2 11 2" xfId="15115"/>
    <cellStyle name="40% - Accent6 2 2 11 2 2" xfId="15116"/>
    <cellStyle name="40% - Accent6 2 2 11 3" xfId="15117"/>
    <cellStyle name="40% - Accent6 2 2 11 3 2" xfId="15118"/>
    <cellStyle name="40% - Accent6 2 2 11 4" xfId="15119"/>
    <cellStyle name="40% - Accent6 2 2 12" xfId="15120"/>
    <cellStyle name="40% - Accent6 2 2 12 2" xfId="15121"/>
    <cellStyle name="40% - Accent6 2 2 12 2 2" xfId="15122"/>
    <cellStyle name="40% - Accent6 2 2 12 3" xfId="15123"/>
    <cellStyle name="40% - Accent6 2 2 12 3 2" xfId="15124"/>
    <cellStyle name="40% - Accent6 2 2 12 4" xfId="15125"/>
    <cellStyle name="40% - Accent6 2 2 13" xfId="15126"/>
    <cellStyle name="40% - Accent6 2 2 13 2" xfId="15127"/>
    <cellStyle name="40% - Accent6 2 2 14" xfId="15128"/>
    <cellStyle name="40% - Accent6 2 2 14 2" xfId="15129"/>
    <cellStyle name="40% - Accent6 2 2 15" xfId="15130"/>
    <cellStyle name="40% - Accent6 2 2 15 2" xfId="15131"/>
    <cellStyle name="40% - Accent6 2 2 16" xfId="15132"/>
    <cellStyle name="40% - Accent6 2 2 17" xfId="15107"/>
    <cellStyle name="40% - Accent6 2 2 2" xfId="192"/>
    <cellStyle name="40% - Accent6 2 2 2 2" xfId="15134"/>
    <cellStyle name="40% - Accent6 2 2 2 2 2" xfId="15135"/>
    <cellStyle name="40% - Accent6 2 2 2 3" xfId="15136"/>
    <cellStyle name="40% - Accent6 2 2 2 3 2" xfId="15137"/>
    <cellStyle name="40% - Accent6 2 2 2 4" xfId="15138"/>
    <cellStyle name="40% - Accent6 2 2 2 5" xfId="15133"/>
    <cellStyle name="40% - Accent6 2 2 3" xfId="356"/>
    <cellStyle name="40% - Accent6 2 2 3 2" xfId="15140"/>
    <cellStyle name="40% - Accent6 2 2 3 2 2" xfId="15141"/>
    <cellStyle name="40% - Accent6 2 2 3 3" xfId="15142"/>
    <cellStyle name="40% - Accent6 2 2 3 3 2" xfId="15143"/>
    <cellStyle name="40% - Accent6 2 2 3 4" xfId="15144"/>
    <cellStyle name="40% - Accent6 2 2 3 5" xfId="15139"/>
    <cellStyle name="40% - Accent6 2 2 4" xfId="2178"/>
    <cellStyle name="40% - Accent6 2 2 4 2" xfId="15146"/>
    <cellStyle name="40% - Accent6 2 2 4 2 2" xfId="15147"/>
    <cellStyle name="40% - Accent6 2 2 4 3" xfId="15148"/>
    <cellStyle name="40% - Accent6 2 2 4 3 2" xfId="15149"/>
    <cellStyle name="40% - Accent6 2 2 4 4" xfId="15150"/>
    <cellStyle name="40% - Accent6 2 2 4 5" xfId="15145"/>
    <cellStyle name="40% - Accent6 2 2 5" xfId="2552"/>
    <cellStyle name="40% - Accent6 2 2 5 2" xfId="15152"/>
    <cellStyle name="40% - Accent6 2 2 5 2 2" xfId="15153"/>
    <cellStyle name="40% - Accent6 2 2 5 3" xfId="15154"/>
    <cellStyle name="40% - Accent6 2 2 5 3 2" xfId="15155"/>
    <cellStyle name="40% - Accent6 2 2 5 4" xfId="15156"/>
    <cellStyle name="40% - Accent6 2 2 5 5" xfId="15151"/>
    <cellStyle name="40% - Accent6 2 2 6" xfId="2924"/>
    <cellStyle name="40% - Accent6 2 2 6 2" xfId="15158"/>
    <cellStyle name="40% - Accent6 2 2 6 2 2" xfId="15159"/>
    <cellStyle name="40% - Accent6 2 2 6 3" xfId="15160"/>
    <cellStyle name="40% - Accent6 2 2 6 3 2" xfId="15161"/>
    <cellStyle name="40% - Accent6 2 2 6 4" xfId="15162"/>
    <cellStyle name="40% - Accent6 2 2 6 5" xfId="15157"/>
    <cellStyle name="40% - Accent6 2 2 7" xfId="3296"/>
    <cellStyle name="40% - Accent6 2 2 7 2" xfId="15164"/>
    <cellStyle name="40% - Accent6 2 2 7 2 2" xfId="15165"/>
    <cellStyle name="40% - Accent6 2 2 7 3" xfId="15166"/>
    <cellStyle name="40% - Accent6 2 2 7 3 2" xfId="15167"/>
    <cellStyle name="40% - Accent6 2 2 7 4" xfId="15168"/>
    <cellStyle name="40% - Accent6 2 2 7 5" xfId="15163"/>
    <cellStyle name="40% - Accent6 2 2 8" xfId="4659"/>
    <cellStyle name="40% - Accent6 2 2 8 2" xfId="15170"/>
    <cellStyle name="40% - Accent6 2 2 8 2 2" xfId="15171"/>
    <cellStyle name="40% - Accent6 2 2 8 3" xfId="15172"/>
    <cellStyle name="40% - Accent6 2 2 8 3 2" xfId="15173"/>
    <cellStyle name="40% - Accent6 2 2 8 4" xfId="15174"/>
    <cellStyle name="40% - Accent6 2 2 8 5" xfId="15169"/>
    <cellStyle name="40% - Accent6 2 2 9" xfId="15175"/>
    <cellStyle name="40% - Accent6 2 2 9 2" xfId="15176"/>
    <cellStyle name="40% - Accent6 2 2 9 2 2" xfId="15177"/>
    <cellStyle name="40% - Accent6 2 2 9 3" xfId="15178"/>
    <cellStyle name="40% - Accent6 2 2 9 3 2" xfId="15179"/>
    <cellStyle name="40% - Accent6 2 2 9 4" xfId="15180"/>
    <cellStyle name="40% - Accent6 2 3" xfId="288"/>
    <cellStyle name="40% - Accent6 2 3 2" xfId="1354"/>
    <cellStyle name="40% - Accent6 2 3 2 2" xfId="15183"/>
    <cellStyle name="40% - Accent6 2 3 2 2 2" xfId="15184"/>
    <cellStyle name="40% - Accent6 2 3 2 3" xfId="15185"/>
    <cellStyle name="40% - Accent6 2 3 2 3 2" xfId="15186"/>
    <cellStyle name="40% - Accent6 2 3 2 4" xfId="15187"/>
    <cellStyle name="40% - Accent6 2 3 2 5" xfId="15182"/>
    <cellStyle name="40% - Accent6 2 3 3" xfId="15188"/>
    <cellStyle name="40% - Accent6 2 3 3 2" xfId="15189"/>
    <cellStyle name="40% - Accent6 2 3 4" xfId="15190"/>
    <cellStyle name="40% - Accent6 2 3 4 2" xfId="15191"/>
    <cellStyle name="40% - Accent6 2 3 5" xfId="15192"/>
    <cellStyle name="40% - Accent6 2 3 6" xfId="15181"/>
    <cellStyle name="40% - Accent6 2 4" xfId="402"/>
    <cellStyle name="40% - Accent6 2 4 2" xfId="15194"/>
    <cellStyle name="40% - Accent6 2 4 2 2" xfId="15195"/>
    <cellStyle name="40% - Accent6 2 4 2 2 2" xfId="15196"/>
    <cellStyle name="40% - Accent6 2 4 2 3" xfId="15197"/>
    <cellStyle name="40% - Accent6 2 4 2 3 2" xfId="15198"/>
    <cellStyle name="40% - Accent6 2 4 2 4" xfId="15199"/>
    <cellStyle name="40% - Accent6 2 4 3" xfId="15200"/>
    <cellStyle name="40% - Accent6 2 4 3 2" xfId="15201"/>
    <cellStyle name="40% - Accent6 2 4 4" xfId="15202"/>
    <cellStyle name="40% - Accent6 2 4 4 2" xfId="15203"/>
    <cellStyle name="40% - Accent6 2 4 5" xfId="15204"/>
    <cellStyle name="40% - Accent6 2 4 6" xfId="15193"/>
    <cellStyle name="40% - Accent6 2 5" xfId="552"/>
    <cellStyle name="40% - Accent6 2 5 2" xfId="15206"/>
    <cellStyle name="40% - Accent6 2 5 2 2" xfId="15207"/>
    <cellStyle name="40% - Accent6 2 5 3" xfId="15208"/>
    <cellStyle name="40% - Accent6 2 5 3 2" xfId="15209"/>
    <cellStyle name="40% - Accent6 2 5 4" xfId="15210"/>
    <cellStyle name="40% - Accent6 2 5 5" xfId="15205"/>
    <cellStyle name="40% - Accent6 2 6" xfId="686"/>
    <cellStyle name="40% - Accent6 2 6 2" xfId="15212"/>
    <cellStyle name="40% - Accent6 2 6 2 2" xfId="15213"/>
    <cellStyle name="40% - Accent6 2 6 3" xfId="15214"/>
    <cellStyle name="40% - Accent6 2 6 3 2" xfId="15215"/>
    <cellStyle name="40% - Accent6 2 6 4" xfId="15216"/>
    <cellStyle name="40% - Accent6 2 6 5" xfId="15211"/>
    <cellStyle name="40% - Accent6 2 7" xfId="687"/>
    <cellStyle name="40% - Accent6 2 7 2" xfId="15218"/>
    <cellStyle name="40% - Accent6 2 7 2 2" xfId="15219"/>
    <cellStyle name="40% - Accent6 2 7 3" xfId="15220"/>
    <cellStyle name="40% - Accent6 2 7 3 2" xfId="15221"/>
    <cellStyle name="40% - Accent6 2 7 4" xfId="15222"/>
    <cellStyle name="40% - Accent6 2 7 5" xfId="15217"/>
    <cellStyle name="40% - Accent6 2 8" xfId="833"/>
    <cellStyle name="40% - Accent6 2 8 2" xfId="1407"/>
    <cellStyle name="40% - Accent6 2 8 2 2" xfId="15225"/>
    <cellStyle name="40% - Accent6 2 8 2 3" xfId="15224"/>
    <cellStyle name="40% - Accent6 2 8 3" xfId="15226"/>
    <cellStyle name="40% - Accent6 2 8 3 2" xfId="15227"/>
    <cellStyle name="40% - Accent6 2 8 4" xfId="15228"/>
    <cellStyle name="40% - Accent6 2 8 4 2" xfId="15229"/>
    <cellStyle name="40% - Accent6 2 8 5" xfId="15230"/>
    <cellStyle name="40% - Accent6 2 8 5 2" xfId="15231"/>
    <cellStyle name="40% - Accent6 2 8 6" xfId="15232"/>
    <cellStyle name="40% - Accent6 2 8 7" xfId="15223"/>
    <cellStyle name="40% - Accent6 2 9" xfId="944"/>
    <cellStyle name="40% - Accent6 2 9 2" xfId="1439"/>
    <cellStyle name="40% - Accent6 2 9 2 2" xfId="15235"/>
    <cellStyle name="40% - Accent6 2 9 2 3" xfId="15234"/>
    <cellStyle name="40% - Accent6 2 9 3" xfId="15236"/>
    <cellStyle name="40% - Accent6 2 9 3 2" xfId="15237"/>
    <cellStyle name="40% - Accent6 2 9 4" xfId="15238"/>
    <cellStyle name="40% - Accent6 2 9 4 2" xfId="15239"/>
    <cellStyle name="40% - Accent6 2 9 5" xfId="15240"/>
    <cellStyle name="40% - Accent6 2 9 5 2" xfId="15241"/>
    <cellStyle name="40% - Accent6 2 9 6" xfId="15242"/>
    <cellStyle name="40% - Accent6 2 9 7" xfId="15233"/>
    <cellStyle name="40% - Accent6 20" xfId="15243"/>
    <cellStyle name="40% - Accent6 20 2" xfId="15244"/>
    <cellStyle name="40% - Accent6 21" xfId="15245"/>
    <cellStyle name="40% - Accent6 21 2" xfId="15246"/>
    <cellStyle name="40% - Accent6 21 2 2" xfId="15247"/>
    <cellStyle name="40% - Accent6 21 2 2 2" xfId="15248"/>
    <cellStyle name="40% - Accent6 21 2 3" xfId="15249"/>
    <cellStyle name="40% - Accent6 21 2 3 2" xfId="15250"/>
    <cellStyle name="40% - Accent6 21 2 4" xfId="15251"/>
    <cellStyle name="40% - Accent6 21 3" xfId="15252"/>
    <cellStyle name="40% - Accent6 21 3 2" xfId="15253"/>
    <cellStyle name="40% - Accent6 21 4" xfId="15254"/>
    <cellStyle name="40% - Accent6 21 4 2" xfId="15255"/>
    <cellStyle name="40% - Accent6 21 5" xfId="15256"/>
    <cellStyle name="40% - Accent6 22" xfId="15257"/>
    <cellStyle name="40% - Accent6 22 2" xfId="15258"/>
    <cellStyle name="40% - Accent6 22 2 2" xfId="15259"/>
    <cellStyle name="40% - Accent6 22 2 2 2" xfId="15260"/>
    <cellStyle name="40% - Accent6 22 2 3" xfId="15261"/>
    <cellStyle name="40% - Accent6 22 2 3 2" xfId="15262"/>
    <cellStyle name="40% - Accent6 22 2 4" xfId="15263"/>
    <cellStyle name="40% - Accent6 22 3" xfId="15264"/>
    <cellStyle name="40% - Accent6 22 3 2" xfId="15265"/>
    <cellStyle name="40% - Accent6 22 4" xfId="15266"/>
    <cellStyle name="40% - Accent6 22 4 2" xfId="15267"/>
    <cellStyle name="40% - Accent6 22 5" xfId="15268"/>
    <cellStyle name="40% - Accent6 23" xfId="15269"/>
    <cellStyle name="40% - Accent6 23 2" xfId="15270"/>
    <cellStyle name="40% - Accent6 24" xfId="15271"/>
    <cellStyle name="40% - Accent6 24 2" xfId="15272"/>
    <cellStyle name="40% - Accent6 24 2 2" xfId="15273"/>
    <cellStyle name="40% - Accent6 24 2 2 2" xfId="15274"/>
    <cellStyle name="40% - Accent6 24 2 3" xfId="15275"/>
    <cellStyle name="40% - Accent6 24 2 3 2" xfId="15276"/>
    <cellStyle name="40% - Accent6 24 2 4" xfId="15277"/>
    <cellStyle name="40% - Accent6 24 3" xfId="15278"/>
    <cellStyle name="40% - Accent6 24 3 2" xfId="15279"/>
    <cellStyle name="40% - Accent6 24 4" xfId="15280"/>
    <cellStyle name="40% - Accent6 24 4 2" xfId="15281"/>
    <cellStyle name="40% - Accent6 24 5" xfId="15282"/>
    <cellStyle name="40% - Accent6 25" xfId="15283"/>
    <cellStyle name="40% - Accent6 25 2" xfId="15284"/>
    <cellStyle name="40% - Accent6 25 2 2" xfId="15285"/>
    <cellStyle name="40% - Accent6 25 2 2 2" xfId="15286"/>
    <cellStyle name="40% - Accent6 25 2 3" xfId="15287"/>
    <cellStyle name="40% - Accent6 25 2 3 2" xfId="15288"/>
    <cellStyle name="40% - Accent6 25 2 4" xfId="15289"/>
    <cellStyle name="40% - Accent6 25 3" xfId="15290"/>
    <cellStyle name="40% - Accent6 25 3 2" xfId="15291"/>
    <cellStyle name="40% - Accent6 25 4" xfId="15292"/>
    <cellStyle name="40% - Accent6 25 4 2" xfId="15293"/>
    <cellStyle name="40% - Accent6 25 5" xfId="15294"/>
    <cellStyle name="40% - Accent6 26" xfId="15295"/>
    <cellStyle name="40% - Accent6 26 2" xfId="15296"/>
    <cellStyle name="40% - Accent6 27" xfId="15297"/>
    <cellStyle name="40% - Accent6 27 2" xfId="15298"/>
    <cellStyle name="40% - Accent6 27 2 2" xfId="15299"/>
    <cellStyle name="40% - Accent6 27 2 2 2" xfId="15300"/>
    <cellStyle name="40% - Accent6 27 2 3" xfId="15301"/>
    <cellStyle name="40% - Accent6 27 2 3 2" xfId="15302"/>
    <cellStyle name="40% - Accent6 27 2 4" xfId="15303"/>
    <cellStyle name="40% - Accent6 27 3" xfId="15304"/>
    <cellStyle name="40% - Accent6 27 3 2" xfId="15305"/>
    <cellStyle name="40% - Accent6 27 4" xfId="15306"/>
    <cellStyle name="40% - Accent6 27 4 2" xfId="15307"/>
    <cellStyle name="40% - Accent6 27 5" xfId="15308"/>
    <cellStyle name="40% - Accent6 28" xfId="15309"/>
    <cellStyle name="40% - Accent6 28 2" xfId="15310"/>
    <cellStyle name="40% - Accent6 28 2 2" xfId="15311"/>
    <cellStyle name="40% - Accent6 28 3" xfId="15312"/>
    <cellStyle name="40% - Accent6 28 3 2" xfId="15313"/>
    <cellStyle name="40% - Accent6 28 4" xfId="15314"/>
    <cellStyle name="40% - Accent6 29" xfId="15315"/>
    <cellStyle name="40% - Accent6 29 2" xfId="15316"/>
    <cellStyle name="40% - Accent6 3" xfId="233"/>
    <cellStyle name="40% - Accent6 3 10" xfId="3686"/>
    <cellStyle name="40% - Accent6 3 10 2" xfId="4660"/>
    <cellStyle name="40% - Accent6 3 10 2 2" xfId="15320"/>
    <cellStyle name="40% - Accent6 3 10 2 3" xfId="15319"/>
    <cellStyle name="40% - Accent6 3 10 3" xfId="15321"/>
    <cellStyle name="40% - Accent6 3 10 3 2" xfId="15322"/>
    <cellStyle name="40% - Accent6 3 10 4" xfId="15323"/>
    <cellStyle name="40% - Accent6 3 10 4 2" xfId="15324"/>
    <cellStyle name="40% - Accent6 3 10 5" xfId="15325"/>
    <cellStyle name="40% - Accent6 3 10 5 2" xfId="15326"/>
    <cellStyle name="40% - Accent6 3 10 6" xfId="15327"/>
    <cellStyle name="40% - Accent6 3 10 7" xfId="15318"/>
    <cellStyle name="40% - Accent6 3 11" xfId="15328"/>
    <cellStyle name="40% - Accent6 3 11 2" xfId="15329"/>
    <cellStyle name="40% - Accent6 3 11 2 2" xfId="15330"/>
    <cellStyle name="40% - Accent6 3 11 3" xfId="15331"/>
    <cellStyle name="40% - Accent6 3 11 3 2" xfId="15332"/>
    <cellStyle name="40% - Accent6 3 11 4" xfId="15333"/>
    <cellStyle name="40% - Accent6 3 12" xfId="15334"/>
    <cellStyle name="40% - Accent6 3 12 2" xfId="15335"/>
    <cellStyle name="40% - Accent6 3 12 2 2" xfId="15336"/>
    <cellStyle name="40% - Accent6 3 12 3" xfId="15337"/>
    <cellStyle name="40% - Accent6 3 12 3 2" xfId="15338"/>
    <cellStyle name="40% - Accent6 3 12 4" xfId="15339"/>
    <cellStyle name="40% - Accent6 3 13" xfId="15340"/>
    <cellStyle name="40% - Accent6 3 13 2" xfId="15341"/>
    <cellStyle name="40% - Accent6 3 13 2 2" xfId="15342"/>
    <cellStyle name="40% - Accent6 3 13 3" xfId="15343"/>
    <cellStyle name="40% - Accent6 3 13 3 2" xfId="15344"/>
    <cellStyle name="40% - Accent6 3 13 4" xfId="15345"/>
    <cellStyle name="40% - Accent6 3 14" xfId="15346"/>
    <cellStyle name="40% - Accent6 3 14 2" xfId="15347"/>
    <cellStyle name="40% - Accent6 3 15" xfId="15348"/>
    <cellStyle name="40% - Accent6 3 15 2" xfId="15349"/>
    <cellStyle name="40% - Accent6 3 16" xfId="15350"/>
    <cellStyle name="40% - Accent6 3 17" xfId="15317"/>
    <cellStyle name="40% - Accent6 3 2" xfId="1459"/>
    <cellStyle name="40% - Accent6 3 2 10" xfId="15352"/>
    <cellStyle name="40% - Accent6 3 2 10 2" xfId="15353"/>
    <cellStyle name="40% - Accent6 3 2 10 2 2" xfId="15354"/>
    <cellStyle name="40% - Accent6 3 2 10 3" xfId="15355"/>
    <cellStyle name="40% - Accent6 3 2 10 3 2" xfId="15356"/>
    <cellStyle name="40% - Accent6 3 2 10 4" xfId="15357"/>
    <cellStyle name="40% - Accent6 3 2 11" xfId="15358"/>
    <cellStyle name="40% - Accent6 3 2 11 2" xfId="15359"/>
    <cellStyle name="40% - Accent6 3 2 11 2 2" xfId="15360"/>
    <cellStyle name="40% - Accent6 3 2 11 3" xfId="15361"/>
    <cellStyle name="40% - Accent6 3 2 11 3 2" xfId="15362"/>
    <cellStyle name="40% - Accent6 3 2 11 4" xfId="15363"/>
    <cellStyle name="40% - Accent6 3 2 12" xfId="15364"/>
    <cellStyle name="40% - Accent6 3 2 12 2" xfId="15365"/>
    <cellStyle name="40% - Accent6 3 2 12 2 2" xfId="15366"/>
    <cellStyle name="40% - Accent6 3 2 12 3" xfId="15367"/>
    <cellStyle name="40% - Accent6 3 2 12 3 2" xfId="15368"/>
    <cellStyle name="40% - Accent6 3 2 12 4" xfId="15369"/>
    <cellStyle name="40% - Accent6 3 2 13" xfId="15370"/>
    <cellStyle name="40% - Accent6 3 2 13 2" xfId="15371"/>
    <cellStyle name="40% - Accent6 3 2 14" xfId="15372"/>
    <cellStyle name="40% - Accent6 3 2 14 2" xfId="15373"/>
    <cellStyle name="40% - Accent6 3 2 15" xfId="15374"/>
    <cellStyle name="40% - Accent6 3 2 15 2" xfId="15375"/>
    <cellStyle name="40% - Accent6 3 2 16" xfId="15376"/>
    <cellStyle name="40% - Accent6 3 2 17" xfId="15351"/>
    <cellStyle name="40% - Accent6 3 2 2" xfId="1844"/>
    <cellStyle name="40% - Accent6 3 2 2 2" xfId="15378"/>
    <cellStyle name="40% - Accent6 3 2 2 2 2" xfId="15379"/>
    <cellStyle name="40% - Accent6 3 2 2 3" xfId="15380"/>
    <cellStyle name="40% - Accent6 3 2 2 3 2" xfId="15381"/>
    <cellStyle name="40% - Accent6 3 2 2 4" xfId="15382"/>
    <cellStyle name="40% - Accent6 3 2 2 5" xfId="15377"/>
    <cellStyle name="40% - Accent6 3 2 3" xfId="2219"/>
    <cellStyle name="40% - Accent6 3 2 3 2" xfId="15384"/>
    <cellStyle name="40% - Accent6 3 2 3 2 2" xfId="15385"/>
    <cellStyle name="40% - Accent6 3 2 3 3" xfId="15386"/>
    <cellStyle name="40% - Accent6 3 2 3 3 2" xfId="15387"/>
    <cellStyle name="40% - Accent6 3 2 3 4" xfId="15388"/>
    <cellStyle name="40% - Accent6 3 2 3 5" xfId="15383"/>
    <cellStyle name="40% - Accent6 3 2 4" xfId="2593"/>
    <cellStyle name="40% - Accent6 3 2 4 2" xfId="15390"/>
    <cellStyle name="40% - Accent6 3 2 4 2 2" xfId="15391"/>
    <cellStyle name="40% - Accent6 3 2 4 3" xfId="15392"/>
    <cellStyle name="40% - Accent6 3 2 4 3 2" xfId="15393"/>
    <cellStyle name="40% - Accent6 3 2 4 4" xfId="15394"/>
    <cellStyle name="40% - Accent6 3 2 4 5" xfId="15389"/>
    <cellStyle name="40% - Accent6 3 2 5" xfId="2965"/>
    <cellStyle name="40% - Accent6 3 2 5 2" xfId="15396"/>
    <cellStyle name="40% - Accent6 3 2 5 2 2" xfId="15397"/>
    <cellStyle name="40% - Accent6 3 2 5 3" xfId="15398"/>
    <cellStyle name="40% - Accent6 3 2 5 3 2" xfId="15399"/>
    <cellStyle name="40% - Accent6 3 2 5 4" xfId="15400"/>
    <cellStyle name="40% - Accent6 3 2 5 5" xfId="15395"/>
    <cellStyle name="40% - Accent6 3 2 6" xfId="3337"/>
    <cellStyle name="40% - Accent6 3 2 6 2" xfId="15402"/>
    <cellStyle name="40% - Accent6 3 2 6 2 2" xfId="15403"/>
    <cellStyle name="40% - Accent6 3 2 6 3" xfId="15404"/>
    <cellStyle name="40% - Accent6 3 2 6 3 2" xfId="15405"/>
    <cellStyle name="40% - Accent6 3 2 6 4" xfId="15406"/>
    <cellStyle name="40% - Accent6 3 2 6 5" xfId="15401"/>
    <cellStyle name="40% - Accent6 3 2 7" xfId="4661"/>
    <cellStyle name="40% - Accent6 3 2 7 2" xfId="15408"/>
    <cellStyle name="40% - Accent6 3 2 7 2 2" xfId="15409"/>
    <cellStyle name="40% - Accent6 3 2 7 3" xfId="15410"/>
    <cellStyle name="40% - Accent6 3 2 7 3 2" xfId="15411"/>
    <cellStyle name="40% - Accent6 3 2 7 4" xfId="15412"/>
    <cellStyle name="40% - Accent6 3 2 7 5" xfId="15407"/>
    <cellStyle name="40% - Accent6 3 2 8" xfId="15413"/>
    <cellStyle name="40% - Accent6 3 2 8 2" xfId="15414"/>
    <cellStyle name="40% - Accent6 3 2 8 2 2" xfId="15415"/>
    <cellStyle name="40% - Accent6 3 2 8 3" xfId="15416"/>
    <cellStyle name="40% - Accent6 3 2 8 3 2" xfId="15417"/>
    <cellStyle name="40% - Accent6 3 2 8 4" xfId="15418"/>
    <cellStyle name="40% - Accent6 3 2 9" xfId="15419"/>
    <cellStyle name="40% - Accent6 3 2 9 2" xfId="15420"/>
    <cellStyle name="40% - Accent6 3 2 9 2 2" xfId="15421"/>
    <cellStyle name="40% - Accent6 3 2 9 3" xfId="15422"/>
    <cellStyle name="40% - Accent6 3 2 9 3 2" xfId="15423"/>
    <cellStyle name="40% - Accent6 3 2 9 4" xfId="15424"/>
    <cellStyle name="40% - Accent6 3 3" xfId="1586"/>
    <cellStyle name="40% - Accent6 3 3 2" xfId="1921"/>
    <cellStyle name="40% - Accent6 3 3 2 2" xfId="15427"/>
    <cellStyle name="40% - Accent6 3 3 2 3" xfId="15426"/>
    <cellStyle name="40% - Accent6 3 3 3" xfId="2296"/>
    <cellStyle name="40% - Accent6 3 3 3 2" xfId="15429"/>
    <cellStyle name="40% - Accent6 3 3 3 3" xfId="15428"/>
    <cellStyle name="40% - Accent6 3 3 4" xfId="2669"/>
    <cellStyle name="40% - Accent6 3 3 4 2" xfId="15431"/>
    <cellStyle name="40% - Accent6 3 3 4 3" xfId="15430"/>
    <cellStyle name="40% - Accent6 3 3 5" xfId="3042"/>
    <cellStyle name="40% - Accent6 3 3 5 2" xfId="15433"/>
    <cellStyle name="40% - Accent6 3 3 5 3" xfId="15432"/>
    <cellStyle name="40% - Accent6 3 3 6" xfId="3413"/>
    <cellStyle name="40% - Accent6 3 3 6 2" xfId="15435"/>
    <cellStyle name="40% - Accent6 3 3 6 3" xfId="15434"/>
    <cellStyle name="40% - Accent6 3 3 7" xfId="4662"/>
    <cellStyle name="40% - Accent6 3 3 7 2" xfId="15437"/>
    <cellStyle name="40% - Accent6 3 3 7 3" xfId="15436"/>
    <cellStyle name="40% - Accent6 3 3 8" xfId="15438"/>
    <cellStyle name="40% - Accent6 3 3 9" xfId="15425"/>
    <cellStyle name="40% - Accent6 3 4" xfId="1723"/>
    <cellStyle name="40% - Accent6 3 4 2" xfId="1965"/>
    <cellStyle name="40% - Accent6 3 4 2 2" xfId="15441"/>
    <cellStyle name="40% - Accent6 3 4 2 3" xfId="15440"/>
    <cellStyle name="40% - Accent6 3 4 3" xfId="2340"/>
    <cellStyle name="40% - Accent6 3 4 3 2" xfId="15443"/>
    <cellStyle name="40% - Accent6 3 4 3 3" xfId="15442"/>
    <cellStyle name="40% - Accent6 3 4 4" xfId="2713"/>
    <cellStyle name="40% - Accent6 3 4 4 2" xfId="15445"/>
    <cellStyle name="40% - Accent6 3 4 4 3" xfId="15444"/>
    <cellStyle name="40% - Accent6 3 4 5" xfId="3086"/>
    <cellStyle name="40% - Accent6 3 4 5 2" xfId="15447"/>
    <cellStyle name="40% - Accent6 3 4 5 3" xfId="15446"/>
    <cellStyle name="40% - Accent6 3 4 6" xfId="3457"/>
    <cellStyle name="40% - Accent6 3 4 6 2" xfId="15449"/>
    <cellStyle name="40% - Accent6 3 4 6 3" xfId="15448"/>
    <cellStyle name="40% - Accent6 3 4 7" xfId="15450"/>
    <cellStyle name="40% - Accent6 3 4 8" xfId="15439"/>
    <cellStyle name="40% - Accent6 3 5" xfId="2058"/>
    <cellStyle name="40% - Accent6 3 5 2" xfId="15452"/>
    <cellStyle name="40% - Accent6 3 5 2 2" xfId="15453"/>
    <cellStyle name="40% - Accent6 3 5 3" xfId="15454"/>
    <cellStyle name="40% - Accent6 3 5 3 2" xfId="15455"/>
    <cellStyle name="40% - Accent6 3 5 4" xfId="15456"/>
    <cellStyle name="40% - Accent6 3 5 4 2" xfId="15457"/>
    <cellStyle name="40% - Accent6 3 5 5" xfId="15458"/>
    <cellStyle name="40% - Accent6 3 5 6" xfId="15451"/>
    <cellStyle name="40% - Accent6 3 6" xfId="2432"/>
    <cellStyle name="40% - Accent6 3 6 2" xfId="15460"/>
    <cellStyle name="40% - Accent6 3 6 2 2" xfId="15461"/>
    <cellStyle name="40% - Accent6 3 6 3" xfId="15462"/>
    <cellStyle name="40% - Accent6 3 6 3 2" xfId="15463"/>
    <cellStyle name="40% - Accent6 3 6 4" xfId="15464"/>
    <cellStyle name="40% - Accent6 3 6 4 2" xfId="15465"/>
    <cellStyle name="40% - Accent6 3 6 5" xfId="15466"/>
    <cellStyle name="40% - Accent6 3 6 6" xfId="15459"/>
    <cellStyle name="40% - Accent6 3 7" xfId="2804"/>
    <cellStyle name="40% - Accent6 3 7 2" xfId="15468"/>
    <cellStyle name="40% - Accent6 3 7 2 2" xfId="15469"/>
    <cellStyle name="40% - Accent6 3 7 3" xfId="15470"/>
    <cellStyle name="40% - Accent6 3 7 3 2" xfId="15471"/>
    <cellStyle name="40% - Accent6 3 7 4" xfId="15472"/>
    <cellStyle name="40% - Accent6 3 7 4 2" xfId="15473"/>
    <cellStyle name="40% - Accent6 3 7 5" xfId="15474"/>
    <cellStyle name="40% - Accent6 3 7 6" xfId="15467"/>
    <cellStyle name="40% - Accent6 3 8" xfId="3175"/>
    <cellStyle name="40% - Accent6 3 8 2" xfId="15476"/>
    <cellStyle name="40% - Accent6 3 8 2 2" xfId="15477"/>
    <cellStyle name="40% - Accent6 3 8 3" xfId="15478"/>
    <cellStyle name="40% - Accent6 3 8 3 2" xfId="15479"/>
    <cellStyle name="40% - Accent6 3 8 4" xfId="15480"/>
    <cellStyle name="40% - Accent6 3 8 4 2" xfId="15481"/>
    <cellStyle name="40% - Accent6 3 8 5" xfId="15482"/>
    <cellStyle name="40% - Accent6 3 8 6" xfId="15475"/>
    <cellStyle name="40% - Accent6 3 9" xfId="3550"/>
    <cellStyle name="40% - Accent6 3 9 2" xfId="4663"/>
    <cellStyle name="40% - Accent6 3 9 2 2" xfId="15485"/>
    <cellStyle name="40% - Accent6 3 9 2 3" xfId="15484"/>
    <cellStyle name="40% - Accent6 3 9 3" xfId="15486"/>
    <cellStyle name="40% - Accent6 3 9 3 2" xfId="15487"/>
    <cellStyle name="40% - Accent6 3 9 4" xfId="15488"/>
    <cellStyle name="40% - Accent6 3 9 4 2" xfId="15489"/>
    <cellStyle name="40% - Accent6 3 9 5" xfId="15490"/>
    <cellStyle name="40% - Accent6 3 9 5 2" xfId="15491"/>
    <cellStyle name="40% - Accent6 3 9 6" xfId="15492"/>
    <cellStyle name="40% - Accent6 3 9 7" xfId="15483"/>
    <cellStyle name="40% - Accent6 30" xfId="15493"/>
    <cellStyle name="40% - Accent6 31" xfId="14976"/>
    <cellStyle name="40% - Accent6 4" xfId="246"/>
    <cellStyle name="40% - Accent6 4 10" xfId="3730"/>
    <cellStyle name="40% - Accent6 4 10 2" xfId="4665"/>
    <cellStyle name="40% - Accent6 4 10 2 2" xfId="15497"/>
    <cellStyle name="40% - Accent6 4 10 2 3" xfId="15496"/>
    <cellStyle name="40% - Accent6 4 10 3" xfId="15498"/>
    <cellStyle name="40% - Accent6 4 10 3 2" xfId="15499"/>
    <cellStyle name="40% - Accent6 4 10 4" xfId="15500"/>
    <cellStyle name="40% - Accent6 4 10 4 2" xfId="15501"/>
    <cellStyle name="40% - Accent6 4 10 5" xfId="15502"/>
    <cellStyle name="40% - Accent6 4 10 5 2" xfId="15503"/>
    <cellStyle name="40% - Accent6 4 10 6" xfId="15504"/>
    <cellStyle name="40% - Accent6 4 10 7" xfId="15495"/>
    <cellStyle name="40% - Accent6 4 11" xfId="1315"/>
    <cellStyle name="40% - Accent6 4 11 10" xfId="24887"/>
    <cellStyle name="40% - Accent6 4 11 11" xfId="26665"/>
    <cellStyle name="40% - Accent6 4 11 2" xfId="4155"/>
    <cellStyle name="40% - Accent6 4 11 2 2" xfId="5438"/>
    <cellStyle name="40% - Accent6 4 11 2 2 2" xfId="6456"/>
    <cellStyle name="40% - Accent6 4 11 2 2 2 2" xfId="15508"/>
    <cellStyle name="40% - Accent6 4 11 2 2 2 3" xfId="26668"/>
    <cellStyle name="40% - Accent6 4 11 2 2 3" xfId="15507"/>
    <cellStyle name="40% - Accent6 4 11 2 2 4" xfId="26667"/>
    <cellStyle name="40% - Accent6 4 11 2 3" xfId="5748"/>
    <cellStyle name="40% - Accent6 4 11 2 3 2" xfId="6457"/>
    <cellStyle name="40% - Accent6 4 11 2 3 2 2" xfId="26670"/>
    <cellStyle name="40% - Accent6 4 11 2 3 3" xfId="15509"/>
    <cellStyle name="40% - Accent6 4 11 2 3 4" xfId="26669"/>
    <cellStyle name="40% - Accent6 4 11 2 4" xfId="4667"/>
    <cellStyle name="40% - Accent6 4 11 2 4 2" xfId="6458"/>
    <cellStyle name="40% - Accent6 4 11 2 4 2 2" xfId="26672"/>
    <cellStyle name="40% - Accent6 4 11 2 4 3" xfId="26671"/>
    <cellStyle name="40% - Accent6 4 11 2 5" xfId="6455"/>
    <cellStyle name="40% - Accent6 4 11 2 5 2" xfId="26673"/>
    <cellStyle name="40% - Accent6 4 11 2 6" xfId="15506"/>
    <cellStyle name="40% - Accent6 4 11 2 7" xfId="25007"/>
    <cellStyle name="40% - Accent6 4 11 2 8" xfId="26666"/>
    <cellStyle name="40% - Accent6 4 11 3" xfId="5437"/>
    <cellStyle name="40% - Accent6 4 11 3 2" xfId="6459"/>
    <cellStyle name="40% - Accent6 4 11 3 2 2" xfId="15511"/>
    <cellStyle name="40% - Accent6 4 11 3 2 3" xfId="26675"/>
    <cellStyle name="40% - Accent6 4 11 3 3" xfId="15510"/>
    <cellStyle name="40% - Accent6 4 11 3 4" xfId="26674"/>
    <cellStyle name="40% - Accent6 4 11 4" xfId="5747"/>
    <cellStyle name="40% - Accent6 4 11 4 2" xfId="6460"/>
    <cellStyle name="40% - Accent6 4 11 4 2 2" xfId="15513"/>
    <cellStyle name="40% - Accent6 4 11 4 2 3" xfId="26677"/>
    <cellStyle name="40% - Accent6 4 11 4 3" xfId="15512"/>
    <cellStyle name="40% - Accent6 4 11 4 4" xfId="26676"/>
    <cellStyle name="40% - Accent6 4 11 5" xfId="4666"/>
    <cellStyle name="40% - Accent6 4 11 5 2" xfId="6461"/>
    <cellStyle name="40% - Accent6 4 11 5 2 2" xfId="15516"/>
    <cellStyle name="40% - Accent6 4 11 5 2 3" xfId="15515"/>
    <cellStyle name="40% - Accent6 4 11 5 2 4" xfId="26679"/>
    <cellStyle name="40% - Accent6 4 11 5 3" xfId="15517"/>
    <cellStyle name="40% - Accent6 4 11 5 3 2" xfId="15518"/>
    <cellStyle name="40% - Accent6 4 11 5 4" xfId="15519"/>
    <cellStyle name="40% - Accent6 4 11 5 5" xfId="15514"/>
    <cellStyle name="40% - Accent6 4 11 5 6" xfId="26678"/>
    <cellStyle name="40% - Accent6 4 11 6" xfId="6454"/>
    <cellStyle name="40% - Accent6 4 11 6 2" xfId="15521"/>
    <cellStyle name="40% - Accent6 4 11 6 3" xfId="15520"/>
    <cellStyle name="40% - Accent6 4 11 6 4" xfId="26680"/>
    <cellStyle name="40% - Accent6 4 11 7" xfId="15522"/>
    <cellStyle name="40% - Accent6 4 11 7 2" xfId="15523"/>
    <cellStyle name="40% - Accent6 4 11 8" xfId="15524"/>
    <cellStyle name="40% - Accent6 4 11 9" xfId="15505"/>
    <cellStyle name="40% - Accent6 4 12" xfId="4668"/>
    <cellStyle name="40% - Accent6 4 12 2" xfId="5439"/>
    <cellStyle name="40% - Accent6 4 12 2 2" xfId="6463"/>
    <cellStyle name="40% - Accent6 4 12 2 2 2" xfId="15527"/>
    <cellStyle name="40% - Accent6 4 12 2 2 3" xfId="26683"/>
    <cellStyle name="40% - Accent6 4 12 2 3" xfId="15526"/>
    <cellStyle name="40% - Accent6 4 12 2 4" xfId="26682"/>
    <cellStyle name="40% - Accent6 4 12 3" xfId="5749"/>
    <cellStyle name="40% - Accent6 4 12 3 2" xfId="6464"/>
    <cellStyle name="40% - Accent6 4 12 3 2 2" xfId="15529"/>
    <cellStyle name="40% - Accent6 4 12 3 2 3" xfId="26685"/>
    <cellStyle name="40% - Accent6 4 12 3 3" xfId="15528"/>
    <cellStyle name="40% - Accent6 4 12 3 4" xfId="26684"/>
    <cellStyle name="40% - Accent6 4 12 4" xfId="6462"/>
    <cellStyle name="40% - Accent6 4 12 4 2" xfId="15531"/>
    <cellStyle name="40% - Accent6 4 12 4 3" xfId="15530"/>
    <cellStyle name="40% - Accent6 4 12 4 4" xfId="26686"/>
    <cellStyle name="40% - Accent6 4 12 5" xfId="15532"/>
    <cellStyle name="40% - Accent6 4 12 6" xfId="15525"/>
    <cellStyle name="40% - Accent6 4 12 7" xfId="26681"/>
    <cellStyle name="40% - Accent6 4 13" xfId="5436"/>
    <cellStyle name="40% - Accent6 4 13 2" xfId="6465"/>
    <cellStyle name="40% - Accent6 4 13 2 2" xfId="15535"/>
    <cellStyle name="40% - Accent6 4 13 2 3" xfId="15534"/>
    <cellStyle name="40% - Accent6 4 13 2 4" xfId="26688"/>
    <cellStyle name="40% - Accent6 4 13 3" xfId="15536"/>
    <cellStyle name="40% - Accent6 4 13 3 2" xfId="15537"/>
    <cellStyle name="40% - Accent6 4 13 4" xfId="15538"/>
    <cellStyle name="40% - Accent6 4 13 5" xfId="15533"/>
    <cellStyle name="40% - Accent6 4 13 6" xfId="26687"/>
    <cellStyle name="40% - Accent6 4 14" xfId="5746"/>
    <cellStyle name="40% - Accent6 4 14 2" xfId="6466"/>
    <cellStyle name="40% - Accent6 4 14 2 2" xfId="15540"/>
    <cellStyle name="40% - Accent6 4 14 2 3" xfId="26690"/>
    <cellStyle name="40% - Accent6 4 14 3" xfId="15539"/>
    <cellStyle name="40% - Accent6 4 14 4" xfId="26689"/>
    <cellStyle name="40% - Accent6 4 15" xfId="4664"/>
    <cellStyle name="40% - Accent6 4 15 2" xfId="6467"/>
    <cellStyle name="40% - Accent6 4 15 2 2" xfId="15542"/>
    <cellStyle name="40% - Accent6 4 15 2 3" xfId="26692"/>
    <cellStyle name="40% - Accent6 4 15 3" xfId="15541"/>
    <cellStyle name="40% - Accent6 4 15 4" xfId="26691"/>
    <cellStyle name="40% - Accent6 4 16" xfId="15543"/>
    <cellStyle name="40% - Accent6 4 16 2" xfId="15544"/>
    <cellStyle name="40% - Accent6 4 17" xfId="15545"/>
    <cellStyle name="40% - Accent6 4 17 2" xfId="15546"/>
    <cellStyle name="40% - Accent6 4 17 2 2" xfId="15547"/>
    <cellStyle name="40% - Accent6 4 17 3" xfId="15548"/>
    <cellStyle name="40% - Accent6 4 17 3 2" xfId="15549"/>
    <cellStyle name="40% - Accent6 4 17 4" xfId="15550"/>
    <cellStyle name="40% - Accent6 4 18" xfId="15551"/>
    <cellStyle name="40% - Accent6 4 18 2" xfId="15552"/>
    <cellStyle name="40% - Accent6 4 19" xfId="15553"/>
    <cellStyle name="40% - Accent6 4 19 2" xfId="15554"/>
    <cellStyle name="40% - Accent6 4 2" xfId="1504"/>
    <cellStyle name="40% - Accent6 4 2 10" xfId="15556"/>
    <cellStyle name="40% - Accent6 4 2 10 2" xfId="15557"/>
    <cellStyle name="40% - Accent6 4 2 10 2 2" xfId="15558"/>
    <cellStyle name="40% - Accent6 4 2 10 3" xfId="15559"/>
    <cellStyle name="40% - Accent6 4 2 10 3 2" xfId="15560"/>
    <cellStyle name="40% - Accent6 4 2 10 4" xfId="15561"/>
    <cellStyle name="40% - Accent6 4 2 11" xfId="15562"/>
    <cellStyle name="40% - Accent6 4 2 11 2" xfId="15563"/>
    <cellStyle name="40% - Accent6 4 2 11 2 2" xfId="15564"/>
    <cellStyle name="40% - Accent6 4 2 11 3" xfId="15565"/>
    <cellStyle name="40% - Accent6 4 2 11 3 2" xfId="15566"/>
    <cellStyle name="40% - Accent6 4 2 11 4" xfId="15567"/>
    <cellStyle name="40% - Accent6 4 2 12" xfId="15568"/>
    <cellStyle name="40% - Accent6 4 2 12 2" xfId="15569"/>
    <cellStyle name="40% - Accent6 4 2 12 2 2" xfId="15570"/>
    <cellStyle name="40% - Accent6 4 2 12 3" xfId="15571"/>
    <cellStyle name="40% - Accent6 4 2 12 3 2" xfId="15572"/>
    <cellStyle name="40% - Accent6 4 2 12 4" xfId="15573"/>
    <cellStyle name="40% - Accent6 4 2 13" xfId="15574"/>
    <cellStyle name="40% - Accent6 4 2 13 2" xfId="15575"/>
    <cellStyle name="40% - Accent6 4 2 14" xfId="15576"/>
    <cellStyle name="40% - Accent6 4 2 14 2" xfId="15577"/>
    <cellStyle name="40% - Accent6 4 2 15" xfId="15578"/>
    <cellStyle name="40% - Accent6 4 2 15 2" xfId="15579"/>
    <cellStyle name="40% - Accent6 4 2 16" xfId="15580"/>
    <cellStyle name="40% - Accent6 4 2 16 2" xfId="15581"/>
    <cellStyle name="40% - Accent6 4 2 17" xfId="15582"/>
    <cellStyle name="40% - Accent6 4 2 18" xfId="15555"/>
    <cellStyle name="40% - Accent6 4 2 2" xfId="4669"/>
    <cellStyle name="40% - Accent6 4 2 2 2" xfId="15584"/>
    <cellStyle name="40% - Accent6 4 2 2 2 2" xfId="15585"/>
    <cellStyle name="40% - Accent6 4 2 2 3" xfId="15586"/>
    <cellStyle name="40% - Accent6 4 2 2 3 2" xfId="15587"/>
    <cellStyle name="40% - Accent6 4 2 2 4" xfId="15588"/>
    <cellStyle name="40% - Accent6 4 2 2 5" xfId="15583"/>
    <cellStyle name="40% - Accent6 4 2 3" xfId="15589"/>
    <cellStyle name="40% - Accent6 4 2 3 2" xfId="15590"/>
    <cellStyle name="40% - Accent6 4 2 3 2 2" xfId="15591"/>
    <cellStyle name="40% - Accent6 4 2 3 3" xfId="15592"/>
    <cellStyle name="40% - Accent6 4 2 3 3 2" xfId="15593"/>
    <cellStyle name="40% - Accent6 4 2 3 4" xfId="15594"/>
    <cellStyle name="40% - Accent6 4 2 4" xfId="15595"/>
    <cellStyle name="40% - Accent6 4 2 4 2" xfId="15596"/>
    <cellStyle name="40% - Accent6 4 2 4 2 2" xfId="15597"/>
    <cellStyle name="40% - Accent6 4 2 4 3" xfId="15598"/>
    <cellStyle name="40% - Accent6 4 2 4 3 2" xfId="15599"/>
    <cellStyle name="40% - Accent6 4 2 4 4" xfId="15600"/>
    <cellStyle name="40% - Accent6 4 2 5" xfId="15601"/>
    <cellStyle name="40% - Accent6 4 2 5 2" xfId="15602"/>
    <cellStyle name="40% - Accent6 4 2 5 2 2" xfId="15603"/>
    <cellStyle name="40% - Accent6 4 2 5 3" xfId="15604"/>
    <cellStyle name="40% - Accent6 4 2 5 3 2" xfId="15605"/>
    <cellStyle name="40% - Accent6 4 2 5 4" xfId="15606"/>
    <cellStyle name="40% - Accent6 4 2 6" xfId="15607"/>
    <cellStyle name="40% - Accent6 4 2 6 2" xfId="15608"/>
    <cellStyle name="40% - Accent6 4 2 6 2 2" xfId="15609"/>
    <cellStyle name="40% - Accent6 4 2 6 3" xfId="15610"/>
    <cellStyle name="40% - Accent6 4 2 6 3 2" xfId="15611"/>
    <cellStyle name="40% - Accent6 4 2 6 4" xfId="15612"/>
    <cellStyle name="40% - Accent6 4 2 7" xfId="15613"/>
    <cellStyle name="40% - Accent6 4 2 7 2" xfId="15614"/>
    <cellStyle name="40% - Accent6 4 2 7 2 2" xfId="15615"/>
    <cellStyle name="40% - Accent6 4 2 7 3" xfId="15616"/>
    <cellStyle name="40% - Accent6 4 2 7 3 2" xfId="15617"/>
    <cellStyle name="40% - Accent6 4 2 7 4" xfId="15618"/>
    <cellStyle name="40% - Accent6 4 2 8" xfId="15619"/>
    <cellStyle name="40% - Accent6 4 2 8 2" xfId="15620"/>
    <cellStyle name="40% - Accent6 4 2 8 2 2" xfId="15621"/>
    <cellStyle name="40% - Accent6 4 2 8 3" xfId="15622"/>
    <cellStyle name="40% - Accent6 4 2 8 3 2" xfId="15623"/>
    <cellStyle name="40% - Accent6 4 2 8 4" xfId="15624"/>
    <cellStyle name="40% - Accent6 4 2 9" xfId="15625"/>
    <cellStyle name="40% - Accent6 4 2 9 2" xfId="15626"/>
    <cellStyle name="40% - Accent6 4 2 9 2 2" xfId="15627"/>
    <cellStyle name="40% - Accent6 4 2 9 3" xfId="15628"/>
    <cellStyle name="40% - Accent6 4 2 9 3 2" xfId="15629"/>
    <cellStyle name="40% - Accent6 4 2 9 4" xfId="15630"/>
    <cellStyle name="40% - Accent6 4 20" xfId="15631"/>
    <cellStyle name="40% - Accent6 4 21" xfId="15494"/>
    <cellStyle name="40% - Accent6 4 3" xfId="1629"/>
    <cellStyle name="40% - Accent6 4 3 2" xfId="4670"/>
    <cellStyle name="40% - Accent6 4 3 2 2" xfId="15634"/>
    <cellStyle name="40% - Accent6 4 3 2 3" xfId="15633"/>
    <cellStyle name="40% - Accent6 4 3 3" xfId="15635"/>
    <cellStyle name="40% - Accent6 4 3 3 2" xfId="15636"/>
    <cellStyle name="40% - Accent6 4 3 4" xfId="15637"/>
    <cellStyle name="40% - Accent6 4 3 4 2" xfId="15638"/>
    <cellStyle name="40% - Accent6 4 3 5" xfId="15639"/>
    <cellStyle name="40% - Accent6 4 3 5 2" xfId="15640"/>
    <cellStyle name="40% - Accent6 4 3 6" xfId="15641"/>
    <cellStyle name="40% - Accent6 4 3 7" xfId="15632"/>
    <cellStyle name="40% - Accent6 4 4" xfId="1796"/>
    <cellStyle name="40% - Accent6 4 4 2" xfId="15643"/>
    <cellStyle name="40% - Accent6 4 4 2 2" xfId="15644"/>
    <cellStyle name="40% - Accent6 4 4 3" xfId="15645"/>
    <cellStyle name="40% - Accent6 4 4 3 2" xfId="15646"/>
    <cellStyle name="40% - Accent6 4 4 4" xfId="15647"/>
    <cellStyle name="40% - Accent6 4 4 4 2" xfId="15648"/>
    <cellStyle name="40% - Accent6 4 4 5" xfId="15649"/>
    <cellStyle name="40% - Accent6 4 4 6" xfId="15642"/>
    <cellStyle name="40% - Accent6 4 5" xfId="2132"/>
    <cellStyle name="40% - Accent6 4 5 2" xfId="15651"/>
    <cellStyle name="40% - Accent6 4 5 2 2" xfId="15652"/>
    <cellStyle name="40% - Accent6 4 5 3" xfId="15653"/>
    <cellStyle name="40% - Accent6 4 5 3 2" xfId="15654"/>
    <cellStyle name="40% - Accent6 4 5 4" xfId="15655"/>
    <cellStyle name="40% - Accent6 4 5 4 2" xfId="15656"/>
    <cellStyle name="40% - Accent6 4 5 5" xfId="15657"/>
    <cellStyle name="40% - Accent6 4 5 6" xfId="15650"/>
    <cellStyle name="40% - Accent6 4 6" xfId="2506"/>
    <cellStyle name="40% - Accent6 4 6 2" xfId="15659"/>
    <cellStyle name="40% - Accent6 4 6 2 2" xfId="15660"/>
    <cellStyle name="40% - Accent6 4 6 3" xfId="15661"/>
    <cellStyle name="40% - Accent6 4 6 3 2" xfId="15662"/>
    <cellStyle name="40% - Accent6 4 6 4" xfId="15663"/>
    <cellStyle name="40% - Accent6 4 6 4 2" xfId="15664"/>
    <cellStyle name="40% - Accent6 4 6 5" xfId="15665"/>
    <cellStyle name="40% - Accent6 4 6 6" xfId="15658"/>
    <cellStyle name="40% - Accent6 4 7" xfId="2878"/>
    <cellStyle name="40% - Accent6 4 7 2" xfId="15667"/>
    <cellStyle name="40% - Accent6 4 7 2 2" xfId="15668"/>
    <cellStyle name="40% - Accent6 4 7 3" xfId="15669"/>
    <cellStyle name="40% - Accent6 4 7 3 2" xfId="15670"/>
    <cellStyle name="40% - Accent6 4 7 4" xfId="15671"/>
    <cellStyle name="40% - Accent6 4 7 4 2" xfId="15672"/>
    <cellStyle name="40% - Accent6 4 7 5" xfId="15673"/>
    <cellStyle name="40% - Accent6 4 7 6" xfId="15666"/>
    <cellStyle name="40% - Accent6 4 8" xfId="3249"/>
    <cellStyle name="40% - Accent6 4 8 2" xfId="15675"/>
    <cellStyle name="40% - Accent6 4 8 2 2" xfId="15676"/>
    <cellStyle name="40% - Accent6 4 8 3" xfId="15677"/>
    <cellStyle name="40% - Accent6 4 8 3 2" xfId="15678"/>
    <cellStyle name="40% - Accent6 4 8 4" xfId="15679"/>
    <cellStyle name="40% - Accent6 4 8 4 2" xfId="15680"/>
    <cellStyle name="40% - Accent6 4 8 5" xfId="15681"/>
    <cellStyle name="40% - Accent6 4 8 6" xfId="15674"/>
    <cellStyle name="40% - Accent6 4 9" xfId="3593"/>
    <cellStyle name="40% - Accent6 4 9 2" xfId="4671"/>
    <cellStyle name="40% - Accent6 4 9 2 2" xfId="15684"/>
    <cellStyle name="40% - Accent6 4 9 2 3" xfId="15683"/>
    <cellStyle name="40% - Accent6 4 9 3" xfId="15685"/>
    <cellStyle name="40% - Accent6 4 9 3 2" xfId="15686"/>
    <cellStyle name="40% - Accent6 4 9 4" xfId="15687"/>
    <cellStyle name="40% - Accent6 4 9 4 2" xfId="15688"/>
    <cellStyle name="40% - Accent6 4 9 5" xfId="15689"/>
    <cellStyle name="40% - Accent6 4 9 5 2" xfId="15690"/>
    <cellStyle name="40% - Accent6 4 9 6" xfId="15691"/>
    <cellStyle name="40% - Accent6 4 9 7" xfId="15682"/>
    <cellStyle name="40% - Accent6 5" xfId="403"/>
    <cellStyle name="40% - Accent6 5 10" xfId="15693"/>
    <cellStyle name="40% - Accent6 5 10 2" xfId="15694"/>
    <cellStyle name="40% - Accent6 5 10 2 2" xfId="15695"/>
    <cellStyle name="40% - Accent6 5 10 3" xfId="15696"/>
    <cellStyle name="40% - Accent6 5 10 3 2" xfId="15697"/>
    <cellStyle name="40% - Accent6 5 10 4" xfId="15698"/>
    <cellStyle name="40% - Accent6 5 11" xfId="15699"/>
    <cellStyle name="40% - Accent6 5 11 2" xfId="15700"/>
    <cellStyle name="40% - Accent6 5 11 2 2" xfId="15701"/>
    <cellStyle name="40% - Accent6 5 11 3" xfId="15702"/>
    <cellStyle name="40% - Accent6 5 11 3 2" xfId="15703"/>
    <cellStyle name="40% - Accent6 5 11 4" xfId="15704"/>
    <cellStyle name="40% - Accent6 5 12" xfId="15705"/>
    <cellStyle name="40% - Accent6 5 12 2" xfId="15706"/>
    <cellStyle name="40% - Accent6 5 12 2 2" xfId="15707"/>
    <cellStyle name="40% - Accent6 5 12 3" xfId="15708"/>
    <cellStyle name="40% - Accent6 5 12 3 2" xfId="15709"/>
    <cellStyle name="40% - Accent6 5 12 4" xfId="15710"/>
    <cellStyle name="40% - Accent6 5 13" xfId="15711"/>
    <cellStyle name="40% - Accent6 5 13 2" xfId="15712"/>
    <cellStyle name="40% - Accent6 5 13 2 2" xfId="15713"/>
    <cellStyle name="40% - Accent6 5 13 3" xfId="15714"/>
    <cellStyle name="40% - Accent6 5 13 3 2" xfId="15715"/>
    <cellStyle name="40% - Accent6 5 13 4" xfId="15716"/>
    <cellStyle name="40% - Accent6 5 14" xfId="15717"/>
    <cellStyle name="40% - Accent6 5 14 2" xfId="15718"/>
    <cellStyle name="40% - Accent6 5 15" xfId="15719"/>
    <cellStyle name="40% - Accent6 5 15 2" xfId="15720"/>
    <cellStyle name="40% - Accent6 5 16" xfId="15721"/>
    <cellStyle name="40% - Accent6 5 16 2" xfId="15722"/>
    <cellStyle name="40% - Accent6 5 17" xfId="15723"/>
    <cellStyle name="40% - Accent6 5 17 2" xfId="15724"/>
    <cellStyle name="40% - Accent6 5 18" xfId="15725"/>
    <cellStyle name="40% - Accent6 5 19" xfId="15692"/>
    <cellStyle name="40% - Accent6 5 2" xfId="1859"/>
    <cellStyle name="40% - Accent6 5 2 10" xfId="15727"/>
    <cellStyle name="40% - Accent6 5 2 10 2" xfId="15728"/>
    <cellStyle name="40% - Accent6 5 2 10 2 2" xfId="15729"/>
    <cellStyle name="40% - Accent6 5 2 10 3" xfId="15730"/>
    <cellStyle name="40% - Accent6 5 2 10 3 2" xfId="15731"/>
    <cellStyle name="40% - Accent6 5 2 10 4" xfId="15732"/>
    <cellStyle name="40% - Accent6 5 2 11" xfId="15733"/>
    <cellStyle name="40% - Accent6 5 2 11 2" xfId="15734"/>
    <cellStyle name="40% - Accent6 5 2 11 2 2" xfId="15735"/>
    <cellStyle name="40% - Accent6 5 2 11 3" xfId="15736"/>
    <cellStyle name="40% - Accent6 5 2 11 3 2" xfId="15737"/>
    <cellStyle name="40% - Accent6 5 2 11 4" xfId="15738"/>
    <cellStyle name="40% - Accent6 5 2 12" xfId="15739"/>
    <cellStyle name="40% - Accent6 5 2 12 2" xfId="15740"/>
    <cellStyle name="40% - Accent6 5 2 12 2 2" xfId="15741"/>
    <cellStyle name="40% - Accent6 5 2 12 3" xfId="15742"/>
    <cellStyle name="40% - Accent6 5 2 12 3 2" xfId="15743"/>
    <cellStyle name="40% - Accent6 5 2 12 4" xfId="15744"/>
    <cellStyle name="40% - Accent6 5 2 13" xfId="15745"/>
    <cellStyle name="40% - Accent6 5 2 13 2" xfId="15746"/>
    <cellStyle name="40% - Accent6 5 2 14" xfId="15747"/>
    <cellStyle name="40% - Accent6 5 2 14 2" xfId="15748"/>
    <cellStyle name="40% - Accent6 5 2 15" xfId="15749"/>
    <cellStyle name="40% - Accent6 5 2 15 2" xfId="15750"/>
    <cellStyle name="40% - Accent6 5 2 16" xfId="15751"/>
    <cellStyle name="40% - Accent6 5 2 17" xfId="15726"/>
    <cellStyle name="40% - Accent6 5 2 2" xfId="15752"/>
    <cellStyle name="40% - Accent6 5 2 2 2" xfId="15753"/>
    <cellStyle name="40% - Accent6 5 2 2 2 2" xfId="15754"/>
    <cellStyle name="40% - Accent6 5 2 2 3" xfId="15755"/>
    <cellStyle name="40% - Accent6 5 2 2 3 2" xfId="15756"/>
    <cellStyle name="40% - Accent6 5 2 2 4" xfId="15757"/>
    <cellStyle name="40% - Accent6 5 2 3" xfId="15758"/>
    <cellStyle name="40% - Accent6 5 2 3 2" xfId="15759"/>
    <cellStyle name="40% - Accent6 5 2 3 2 2" xfId="15760"/>
    <cellStyle name="40% - Accent6 5 2 3 3" xfId="15761"/>
    <cellStyle name="40% - Accent6 5 2 3 3 2" xfId="15762"/>
    <cellStyle name="40% - Accent6 5 2 3 4" xfId="15763"/>
    <cellStyle name="40% - Accent6 5 2 4" xfId="15764"/>
    <cellStyle name="40% - Accent6 5 2 4 2" xfId="15765"/>
    <cellStyle name="40% - Accent6 5 2 4 2 2" xfId="15766"/>
    <cellStyle name="40% - Accent6 5 2 4 3" xfId="15767"/>
    <cellStyle name="40% - Accent6 5 2 4 3 2" xfId="15768"/>
    <cellStyle name="40% - Accent6 5 2 4 4" xfId="15769"/>
    <cellStyle name="40% - Accent6 5 2 5" xfId="15770"/>
    <cellStyle name="40% - Accent6 5 2 5 2" xfId="15771"/>
    <cellStyle name="40% - Accent6 5 2 5 2 2" xfId="15772"/>
    <cellStyle name="40% - Accent6 5 2 5 3" xfId="15773"/>
    <cellStyle name="40% - Accent6 5 2 5 3 2" xfId="15774"/>
    <cellStyle name="40% - Accent6 5 2 5 4" xfId="15775"/>
    <cellStyle name="40% - Accent6 5 2 6" xfId="15776"/>
    <cellStyle name="40% - Accent6 5 2 6 2" xfId="15777"/>
    <cellStyle name="40% - Accent6 5 2 6 2 2" xfId="15778"/>
    <cellStyle name="40% - Accent6 5 2 6 3" xfId="15779"/>
    <cellStyle name="40% - Accent6 5 2 6 3 2" xfId="15780"/>
    <cellStyle name="40% - Accent6 5 2 6 4" xfId="15781"/>
    <cellStyle name="40% - Accent6 5 2 7" xfId="15782"/>
    <cellStyle name="40% - Accent6 5 2 7 2" xfId="15783"/>
    <cellStyle name="40% - Accent6 5 2 7 2 2" xfId="15784"/>
    <cellStyle name="40% - Accent6 5 2 7 3" xfId="15785"/>
    <cellStyle name="40% - Accent6 5 2 7 3 2" xfId="15786"/>
    <cellStyle name="40% - Accent6 5 2 7 4" xfId="15787"/>
    <cellStyle name="40% - Accent6 5 2 8" xfId="15788"/>
    <cellStyle name="40% - Accent6 5 2 8 2" xfId="15789"/>
    <cellStyle name="40% - Accent6 5 2 8 2 2" xfId="15790"/>
    <cellStyle name="40% - Accent6 5 2 8 3" xfId="15791"/>
    <cellStyle name="40% - Accent6 5 2 8 3 2" xfId="15792"/>
    <cellStyle name="40% - Accent6 5 2 8 4" xfId="15793"/>
    <cellStyle name="40% - Accent6 5 2 9" xfId="15794"/>
    <cellStyle name="40% - Accent6 5 2 9 2" xfId="15795"/>
    <cellStyle name="40% - Accent6 5 2 9 2 2" xfId="15796"/>
    <cellStyle name="40% - Accent6 5 2 9 3" xfId="15797"/>
    <cellStyle name="40% - Accent6 5 2 9 3 2" xfId="15798"/>
    <cellStyle name="40% - Accent6 5 2 9 4" xfId="15799"/>
    <cellStyle name="40% - Accent6 5 3" xfId="2234"/>
    <cellStyle name="40% - Accent6 5 3 2" xfId="15801"/>
    <cellStyle name="40% - Accent6 5 3 2 2" xfId="15802"/>
    <cellStyle name="40% - Accent6 5 3 3" xfId="15803"/>
    <cellStyle name="40% - Accent6 5 3 3 2" xfId="15804"/>
    <cellStyle name="40% - Accent6 5 3 4" xfId="15805"/>
    <cellStyle name="40% - Accent6 5 3 4 2" xfId="15806"/>
    <cellStyle name="40% - Accent6 5 3 5" xfId="15807"/>
    <cellStyle name="40% - Accent6 5 3 6" xfId="15800"/>
    <cellStyle name="40% - Accent6 5 4" xfId="2608"/>
    <cellStyle name="40% - Accent6 5 4 2" xfId="15809"/>
    <cellStyle name="40% - Accent6 5 4 2 2" xfId="15810"/>
    <cellStyle name="40% - Accent6 5 4 3" xfId="15811"/>
    <cellStyle name="40% - Accent6 5 4 3 2" xfId="15812"/>
    <cellStyle name="40% - Accent6 5 4 4" xfId="15813"/>
    <cellStyle name="40% - Accent6 5 4 4 2" xfId="15814"/>
    <cellStyle name="40% - Accent6 5 4 5" xfId="15815"/>
    <cellStyle name="40% - Accent6 5 4 6" xfId="15808"/>
    <cellStyle name="40% - Accent6 5 5" xfId="2980"/>
    <cellStyle name="40% - Accent6 5 5 2" xfId="15817"/>
    <cellStyle name="40% - Accent6 5 5 2 2" xfId="15818"/>
    <cellStyle name="40% - Accent6 5 5 3" xfId="15819"/>
    <cellStyle name="40% - Accent6 5 5 3 2" xfId="15820"/>
    <cellStyle name="40% - Accent6 5 5 4" xfId="15821"/>
    <cellStyle name="40% - Accent6 5 5 4 2" xfId="15822"/>
    <cellStyle name="40% - Accent6 5 5 5" xfId="15823"/>
    <cellStyle name="40% - Accent6 5 5 6" xfId="15816"/>
    <cellStyle name="40% - Accent6 5 6" xfId="3352"/>
    <cellStyle name="40% - Accent6 5 6 2" xfId="15825"/>
    <cellStyle name="40% - Accent6 5 6 2 2" xfId="15826"/>
    <cellStyle name="40% - Accent6 5 6 3" xfId="15827"/>
    <cellStyle name="40% - Accent6 5 6 3 2" xfId="15828"/>
    <cellStyle name="40% - Accent6 5 6 4" xfId="15829"/>
    <cellStyle name="40% - Accent6 5 6 4 2" xfId="15830"/>
    <cellStyle name="40% - Accent6 5 6 5" xfId="15831"/>
    <cellStyle name="40% - Accent6 5 6 6" xfId="15824"/>
    <cellStyle name="40% - Accent6 5 7" xfId="4672"/>
    <cellStyle name="40% - Accent6 5 7 2" xfId="15833"/>
    <cellStyle name="40% - Accent6 5 7 2 2" xfId="15834"/>
    <cellStyle name="40% - Accent6 5 7 3" xfId="15835"/>
    <cellStyle name="40% - Accent6 5 7 3 2" xfId="15836"/>
    <cellStyle name="40% - Accent6 5 7 4" xfId="15837"/>
    <cellStyle name="40% - Accent6 5 7 5" xfId="15832"/>
    <cellStyle name="40% - Accent6 5 8" xfId="15838"/>
    <cellStyle name="40% - Accent6 5 8 2" xfId="15839"/>
    <cellStyle name="40% - Accent6 5 8 2 2" xfId="15840"/>
    <cellStyle name="40% - Accent6 5 8 3" xfId="15841"/>
    <cellStyle name="40% - Accent6 5 8 3 2" xfId="15842"/>
    <cellStyle name="40% - Accent6 5 8 4" xfId="15843"/>
    <cellStyle name="40% - Accent6 5 9" xfId="15844"/>
    <cellStyle name="40% - Accent6 5 9 2" xfId="15845"/>
    <cellStyle name="40% - Accent6 5 9 2 2" xfId="15846"/>
    <cellStyle name="40% - Accent6 5 9 3" xfId="15847"/>
    <cellStyle name="40% - Accent6 5 9 3 2" xfId="15848"/>
    <cellStyle name="40% - Accent6 5 9 4" xfId="15849"/>
    <cellStyle name="40% - Accent6 6" xfId="404"/>
    <cellStyle name="40% - Accent6 6 10" xfId="5440"/>
    <cellStyle name="40% - Accent6 6 10 2" xfId="6469"/>
    <cellStyle name="40% - Accent6 6 10 2 2" xfId="15853"/>
    <cellStyle name="40% - Accent6 6 10 2 3" xfId="15852"/>
    <cellStyle name="40% - Accent6 6 10 2 4" xfId="26695"/>
    <cellStyle name="40% - Accent6 6 10 3" xfId="15854"/>
    <cellStyle name="40% - Accent6 6 10 3 2" xfId="15855"/>
    <cellStyle name="40% - Accent6 6 10 4" xfId="15856"/>
    <cellStyle name="40% - Accent6 6 10 5" xfId="15851"/>
    <cellStyle name="40% - Accent6 6 10 6" xfId="26694"/>
    <cellStyle name="40% - Accent6 6 11" xfId="5750"/>
    <cellStyle name="40% - Accent6 6 11 2" xfId="6470"/>
    <cellStyle name="40% - Accent6 6 11 2 2" xfId="15859"/>
    <cellStyle name="40% - Accent6 6 11 2 3" xfId="15858"/>
    <cellStyle name="40% - Accent6 6 11 2 4" xfId="26697"/>
    <cellStyle name="40% - Accent6 6 11 3" xfId="15860"/>
    <cellStyle name="40% - Accent6 6 11 3 2" xfId="15861"/>
    <cellStyle name="40% - Accent6 6 11 4" xfId="15862"/>
    <cellStyle name="40% - Accent6 6 11 5" xfId="15857"/>
    <cellStyle name="40% - Accent6 6 11 6" xfId="26696"/>
    <cellStyle name="40% - Accent6 6 12" xfId="4673"/>
    <cellStyle name="40% - Accent6 6 12 2" xfId="6471"/>
    <cellStyle name="40% - Accent6 6 12 2 2" xfId="15865"/>
    <cellStyle name="40% - Accent6 6 12 2 3" xfId="15864"/>
    <cellStyle name="40% - Accent6 6 12 2 4" xfId="26699"/>
    <cellStyle name="40% - Accent6 6 12 3" xfId="15866"/>
    <cellStyle name="40% - Accent6 6 12 3 2" xfId="15867"/>
    <cellStyle name="40% - Accent6 6 12 4" xfId="15868"/>
    <cellStyle name="40% - Accent6 6 12 5" xfId="15863"/>
    <cellStyle name="40% - Accent6 6 12 6" xfId="26698"/>
    <cellStyle name="40% - Accent6 6 13" xfId="6468"/>
    <cellStyle name="40% - Accent6 6 13 2" xfId="15870"/>
    <cellStyle name="40% - Accent6 6 13 3" xfId="15869"/>
    <cellStyle name="40% - Accent6 6 13 4" xfId="26700"/>
    <cellStyle name="40% - Accent6 6 14" xfId="15871"/>
    <cellStyle name="40% - Accent6 6 14 2" xfId="15872"/>
    <cellStyle name="40% - Accent6 6 15" xfId="15873"/>
    <cellStyle name="40% - Accent6 6 15 2" xfId="15874"/>
    <cellStyle name="40% - Accent6 6 16" xfId="15875"/>
    <cellStyle name="40% - Accent6 6 16 2" xfId="15876"/>
    <cellStyle name="40% - Accent6 6 16 2 2" xfId="15877"/>
    <cellStyle name="40% - Accent6 6 16 3" xfId="15878"/>
    <cellStyle name="40% - Accent6 6 16 3 2" xfId="15879"/>
    <cellStyle name="40% - Accent6 6 16 4" xfId="15880"/>
    <cellStyle name="40% - Accent6 6 17" xfId="15881"/>
    <cellStyle name="40% - Accent6 6 17 2" xfId="15882"/>
    <cellStyle name="40% - Accent6 6 18" xfId="15883"/>
    <cellStyle name="40% - Accent6 6 18 2" xfId="15884"/>
    <cellStyle name="40% - Accent6 6 19" xfId="15885"/>
    <cellStyle name="40% - Accent6 6 2" xfId="1980"/>
    <cellStyle name="40% - Accent6 6 2 2" xfId="4674"/>
    <cellStyle name="40% - Accent6 6 2 2 2" xfId="15888"/>
    <cellStyle name="40% - Accent6 6 2 2 3" xfId="15887"/>
    <cellStyle name="40% - Accent6 6 2 3" xfId="15889"/>
    <cellStyle name="40% - Accent6 6 2 3 2" xfId="15890"/>
    <cellStyle name="40% - Accent6 6 2 4" xfId="15891"/>
    <cellStyle name="40% - Accent6 6 2 4 2" xfId="15892"/>
    <cellStyle name="40% - Accent6 6 2 5" xfId="15893"/>
    <cellStyle name="40% - Accent6 6 2 5 2" xfId="15894"/>
    <cellStyle name="40% - Accent6 6 2 6" xfId="15895"/>
    <cellStyle name="40% - Accent6 6 2 7" xfId="15886"/>
    <cellStyle name="40% - Accent6 6 20" xfId="15850"/>
    <cellStyle name="40% - Accent6 6 21" xfId="24842"/>
    <cellStyle name="40% - Accent6 6 22" xfId="26693"/>
    <cellStyle name="40% - Accent6 6 3" xfId="2355"/>
    <cellStyle name="40% - Accent6 6 3 2" xfId="4675"/>
    <cellStyle name="40% - Accent6 6 3 2 2" xfId="15898"/>
    <cellStyle name="40% - Accent6 6 3 2 3" xfId="15897"/>
    <cellStyle name="40% - Accent6 6 3 3" xfId="15899"/>
    <cellStyle name="40% - Accent6 6 3 3 2" xfId="15900"/>
    <cellStyle name="40% - Accent6 6 3 4" xfId="15901"/>
    <cellStyle name="40% - Accent6 6 3 4 2" xfId="15902"/>
    <cellStyle name="40% - Accent6 6 3 5" xfId="15903"/>
    <cellStyle name="40% - Accent6 6 3 5 2" xfId="15904"/>
    <cellStyle name="40% - Accent6 6 3 6" xfId="15905"/>
    <cellStyle name="40% - Accent6 6 3 7" xfId="15896"/>
    <cellStyle name="40% - Accent6 6 4" xfId="2728"/>
    <cellStyle name="40% - Accent6 6 4 2" xfId="4676"/>
    <cellStyle name="40% - Accent6 6 4 2 2" xfId="15908"/>
    <cellStyle name="40% - Accent6 6 4 2 3" xfId="15907"/>
    <cellStyle name="40% - Accent6 6 4 3" xfId="15909"/>
    <cellStyle name="40% - Accent6 6 4 3 2" xfId="15910"/>
    <cellStyle name="40% - Accent6 6 4 4" xfId="15911"/>
    <cellStyle name="40% - Accent6 6 4 4 2" xfId="15912"/>
    <cellStyle name="40% - Accent6 6 4 5" xfId="15913"/>
    <cellStyle name="40% - Accent6 6 4 5 2" xfId="15914"/>
    <cellStyle name="40% - Accent6 6 4 6" xfId="15915"/>
    <cellStyle name="40% - Accent6 6 4 7" xfId="15906"/>
    <cellStyle name="40% - Accent6 6 5" xfId="3101"/>
    <cellStyle name="40% - Accent6 6 5 2" xfId="4677"/>
    <cellStyle name="40% - Accent6 6 5 2 2" xfId="15918"/>
    <cellStyle name="40% - Accent6 6 5 2 3" xfId="15917"/>
    <cellStyle name="40% - Accent6 6 5 3" xfId="15919"/>
    <cellStyle name="40% - Accent6 6 5 3 2" xfId="15920"/>
    <cellStyle name="40% - Accent6 6 5 4" xfId="15921"/>
    <cellStyle name="40% - Accent6 6 5 4 2" xfId="15922"/>
    <cellStyle name="40% - Accent6 6 5 5" xfId="15923"/>
    <cellStyle name="40% - Accent6 6 5 5 2" xfId="15924"/>
    <cellStyle name="40% - Accent6 6 5 6" xfId="15925"/>
    <cellStyle name="40% - Accent6 6 5 7" xfId="15916"/>
    <cellStyle name="40% - Accent6 6 6" xfId="3472"/>
    <cellStyle name="40% - Accent6 6 6 2" xfId="4678"/>
    <cellStyle name="40% - Accent6 6 6 2 2" xfId="15928"/>
    <cellStyle name="40% - Accent6 6 6 2 3" xfId="15927"/>
    <cellStyle name="40% - Accent6 6 6 3" xfId="15929"/>
    <cellStyle name="40% - Accent6 6 6 3 2" xfId="15930"/>
    <cellStyle name="40% - Accent6 6 6 4" xfId="15931"/>
    <cellStyle name="40% - Accent6 6 6 4 2" xfId="15932"/>
    <cellStyle name="40% - Accent6 6 6 5" xfId="15933"/>
    <cellStyle name="40% - Accent6 6 6 5 2" xfId="15934"/>
    <cellStyle name="40% - Accent6 6 6 6" xfId="15935"/>
    <cellStyle name="40% - Accent6 6 6 7" xfId="15926"/>
    <cellStyle name="40% - Accent6 6 7" xfId="3778"/>
    <cellStyle name="40% - Accent6 6 7 2" xfId="4679"/>
    <cellStyle name="40% - Accent6 6 7 2 2" xfId="15938"/>
    <cellStyle name="40% - Accent6 6 7 2 3" xfId="15937"/>
    <cellStyle name="40% - Accent6 6 7 3" xfId="15939"/>
    <cellStyle name="40% - Accent6 6 7 3 2" xfId="15940"/>
    <cellStyle name="40% - Accent6 6 7 4" xfId="15941"/>
    <cellStyle name="40% - Accent6 6 7 4 2" xfId="15942"/>
    <cellStyle name="40% - Accent6 6 7 5" xfId="15943"/>
    <cellStyle name="40% - Accent6 6 7 5 2" xfId="15944"/>
    <cellStyle name="40% - Accent6 6 7 6" xfId="15945"/>
    <cellStyle name="40% - Accent6 6 7 7" xfId="15936"/>
    <cellStyle name="40% - Accent6 6 8" xfId="1364"/>
    <cellStyle name="40% - Accent6 6 8 10" xfId="24896"/>
    <cellStyle name="40% - Accent6 6 8 11" xfId="26701"/>
    <cellStyle name="40% - Accent6 6 8 2" xfId="4164"/>
    <cellStyle name="40% - Accent6 6 8 2 2" xfId="5442"/>
    <cellStyle name="40% - Accent6 6 8 2 2 2" xfId="6474"/>
    <cellStyle name="40% - Accent6 6 8 2 2 2 2" xfId="15949"/>
    <cellStyle name="40% - Accent6 6 8 2 2 2 3" xfId="26704"/>
    <cellStyle name="40% - Accent6 6 8 2 2 3" xfId="15948"/>
    <cellStyle name="40% - Accent6 6 8 2 2 4" xfId="26703"/>
    <cellStyle name="40% - Accent6 6 8 2 3" xfId="5752"/>
    <cellStyle name="40% - Accent6 6 8 2 3 2" xfId="6475"/>
    <cellStyle name="40% - Accent6 6 8 2 3 2 2" xfId="26706"/>
    <cellStyle name="40% - Accent6 6 8 2 3 3" xfId="15950"/>
    <cellStyle name="40% - Accent6 6 8 2 3 4" xfId="26705"/>
    <cellStyle name="40% - Accent6 6 8 2 4" xfId="4681"/>
    <cellStyle name="40% - Accent6 6 8 2 4 2" xfId="6476"/>
    <cellStyle name="40% - Accent6 6 8 2 4 2 2" xfId="26708"/>
    <cellStyle name="40% - Accent6 6 8 2 4 3" xfId="26707"/>
    <cellStyle name="40% - Accent6 6 8 2 5" xfId="6473"/>
    <cellStyle name="40% - Accent6 6 8 2 5 2" xfId="26709"/>
    <cellStyle name="40% - Accent6 6 8 2 6" xfId="15947"/>
    <cellStyle name="40% - Accent6 6 8 2 7" xfId="25016"/>
    <cellStyle name="40% - Accent6 6 8 2 8" xfId="26702"/>
    <cellStyle name="40% - Accent6 6 8 3" xfId="5441"/>
    <cellStyle name="40% - Accent6 6 8 3 2" xfId="6477"/>
    <cellStyle name="40% - Accent6 6 8 3 2 2" xfId="15952"/>
    <cellStyle name="40% - Accent6 6 8 3 2 3" xfId="26711"/>
    <cellStyle name="40% - Accent6 6 8 3 3" xfId="15951"/>
    <cellStyle name="40% - Accent6 6 8 3 4" xfId="26710"/>
    <cellStyle name="40% - Accent6 6 8 4" xfId="5751"/>
    <cellStyle name="40% - Accent6 6 8 4 2" xfId="6478"/>
    <cellStyle name="40% - Accent6 6 8 4 2 2" xfId="15954"/>
    <cellStyle name="40% - Accent6 6 8 4 2 3" xfId="26713"/>
    <cellStyle name="40% - Accent6 6 8 4 3" xfId="15953"/>
    <cellStyle name="40% - Accent6 6 8 4 4" xfId="26712"/>
    <cellStyle name="40% - Accent6 6 8 5" xfId="4680"/>
    <cellStyle name="40% - Accent6 6 8 5 2" xfId="6479"/>
    <cellStyle name="40% - Accent6 6 8 5 2 2" xfId="15957"/>
    <cellStyle name="40% - Accent6 6 8 5 2 3" xfId="15956"/>
    <cellStyle name="40% - Accent6 6 8 5 2 4" xfId="26715"/>
    <cellStyle name="40% - Accent6 6 8 5 3" xfId="15958"/>
    <cellStyle name="40% - Accent6 6 8 5 3 2" xfId="15959"/>
    <cellStyle name="40% - Accent6 6 8 5 4" xfId="15960"/>
    <cellStyle name="40% - Accent6 6 8 5 5" xfId="15955"/>
    <cellStyle name="40% - Accent6 6 8 5 6" xfId="26714"/>
    <cellStyle name="40% - Accent6 6 8 6" xfId="6472"/>
    <cellStyle name="40% - Accent6 6 8 6 2" xfId="15962"/>
    <cellStyle name="40% - Accent6 6 8 6 3" xfId="15961"/>
    <cellStyle name="40% - Accent6 6 8 6 4" xfId="26716"/>
    <cellStyle name="40% - Accent6 6 8 7" xfId="15963"/>
    <cellStyle name="40% - Accent6 6 8 7 2" xfId="15964"/>
    <cellStyle name="40% - Accent6 6 8 8" xfId="15965"/>
    <cellStyle name="40% - Accent6 6 8 9" xfId="15946"/>
    <cellStyle name="40% - Accent6 6 9" xfId="3828"/>
    <cellStyle name="40% - Accent6 6 9 2" xfId="5443"/>
    <cellStyle name="40% - Accent6 6 9 2 2" xfId="6481"/>
    <cellStyle name="40% - Accent6 6 9 2 2 2" xfId="15968"/>
    <cellStyle name="40% - Accent6 6 9 2 2 3" xfId="26719"/>
    <cellStyle name="40% - Accent6 6 9 2 3" xfId="15967"/>
    <cellStyle name="40% - Accent6 6 9 2 4" xfId="26718"/>
    <cellStyle name="40% - Accent6 6 9 3" xfId="5753"/>
    <cellStyle name="40% - Accent6 6 9 3 2" xfId="6482"/>
    <cellStyle name="40% - Accent6 6 9 3 2 2" xfId="15970"/>
    <cellStyle name="40% - Accent6 6 9 3 2 3" xfId="26721"/>
    <cellStyle name="40% - Accent6 6 9 3 3" xfId="15969"/>
    <cellStyle name="40% - Accent6 6 9 3 4" xfId="26720"/>
    <cellStyle name="40% - Accent6 6 9 4" xfId="4682"/>
    <cellStyle name="40% - Accent6 6 9 4 2" xfId="6483"/>
    <cellStyle name="40% - Accent6 6 9 4 2 2" xfId="15972"/>
    <cellStyle name="40% - Accent6 6 9 4 2 3" xfId="26723"/>
    <cellStyle name="40% - Accent6 6 9 4 3" xfId="15971"/>
    <cellStyle name="40% - Accent6 6 9 4 4" xfId="26722"/>
    <cellStyle name="40% - Accent6 6 9 5" xfId="6480"/>
    <cellStyle name="40% - Accent6 6 9 5 2" xfId="15973"/>
    <cellStyle name="40% - Accent6 6 9 5 3" xfId="26724"/>
    <cellStyle name="40% - Accent6 6 9 6" xfId="15966"/>
    <cellStyle name="40% - Accent6 6 9 7" xfId="24964"/>
    <cellStyle name="40% - Accent6 6 9 8" xfId="26717"/>
    <cellStyle name="40% - Accent6 7" xfId="405"/>
    <cellStyle name="40% - Accent6 7 10" xfId="15975"/>
    <cellStyle name="40% - Accent6 7 10 2" xfId="15976"/>
    <cellStyle name="40% - Accent6 7 10 2 2" xfId="15977"/>
    <cellStyle name="40% - Accent6 7 10 3" xfId="15978"/>
    <cellStyle name="40% - Accent6 7 10 3 2" xfId="15979"/>
    <cellStyle name="40% - Accent6 7 10 4" xfId="15980"/>
    <cellStyle name="40% - Accent6 7 11" xfId="15981"/>
    <cellStyle name="40% - Accent6 7 11 2" xfId="15982"/>
    <cellStyle name="40% - Accent6 7 11 2 2" xfId="15983"/>
    <cellStyle name="40% - Accent6 7 11 3" xfId="15984"/>
    <cellStyle name="40% - Accent6 7 11 3 2" xfId="15985"/>
    <cellStyle name="40% - Accent6 7 11 4" xfId="15986"/>
    <cellStyle name="40% - Accent6 7 12" xfId="15987"/>
    <cellStyle name="40% - Accent6 7 12 2" xfId="15988"/>
    <cellStyle name="40% - Accent6 7 12 2 2" xfId="15989"/>
    <cellStyle name="40% - Accent6 7 12 3" xfId="15990"/>
    <cellStyle name="40% - Accent6 7 12 3 2" xfId="15991"/>
    <cellStyle name="40% - Accent6 7 12 4" xfId="15992"/>
    <cellStyle name="40% - Accent6 7 13" xfId="15993"/>
    <cellStyle name="40% - Accent6 7 13 2" xfId="15994"/>
    <cellStyle name="40% - Accent6 7 14" xfId="15995"/>
    <cellStyle name="40% - Accent6 7 14 2" xfId="15996"/>
    <cellStyle name="40% - Accent6 7 15" xfId="15997"/>
    <cellStyle name="40% - Accent6 7 15 2" xfId="15998"/>
    <cellStyle name="40% - Accent6 7 16" xfId="15999"/>
    <cellStyle name="40% - Accent6 7 16 2" xfId="16000"/>
    <cellStyle name="40% - Accent6 7 17" xfId="16001"/>
    <cellStyle name="40% - Accent6 7 18" xfId="15974"/>
    <cellStyle name="40% - Accent6 7 2" xfId="4683"/>
    <cellStyle name="40% - Accent6 7 2 2" xfId="16003"/>
    <cellStyle name="40% - Accent6 7 2 2 2" xfId="16004"/>
    <cellStyle name="40% - Accent6 7 2 3" xfId="16005"/>
    <cellStyle name="40% - Accent6 7 2 3 2" xfId="16006"/>
    <cellStyle name="40% - Accent6 7 2 4" xfId="16007"/>
    <cellStyle name="40% - Accent6 7 2 5" xfId="16002"/>
    <cellStyle name="40% - Accent6 7 3" xfId="16008"/>
    <cellStyle name="40% - Accent6 7 3 2" xfId="16009"/>
    <cellStyle name="40% - Accent6 7 3 2 2" xfId="16010"/>
    <cellStyle name="40% - Accent6 7 3 3" xfId="16011"/>
    <cellStyle name="40% - Accent6 7 3 3 2" xfId="16012"/>
    <cellStyle name="40% - Accent6 7 3 4" xfId="16013"/>
    <cellStyle name="40% - Accent6 7 4" xfId="16014"/>
    <cellStyle name="40% - Accent6 7 4 2" xfId="16015"/>
    <cellStyle name="40% - Accent6 7 4 2 2" xfId="16016"/>
    <cellStyle name="40% - Accent6 7 4 3" xfId="16017"/>
    <cellStyle name="40% - Accent6 7 4 3 2" xfId="16018"/>
    <cellStyle name="40% - Accent6 7 4 4" xfId="16019"/>
    <cellStyle name="40% - Accent6 7 5" xfId="16020"/>
    <cellStyle name="40% - Accent6 7 5 2" xfId="16021"/>
    <cellStyle name="40% - Accent6 7 5 2 2" xfId="16022"/>
    <cellStyle name="40% - Accent6 7 5 3" xfId="16023"/>
    <cellStyle name="40% - Accent6 7 5 3 2" xfId="16024"/>
    <cellStyle name="40% - Accent6 7 5 4" xfId="16025"/>
    <cellStyle name="40% - Accent6 7 6" xfId="16026"/>
    <cellStyle name="40% - Accent6 7 6 2" xfId="16027"/>
    <cellStyle name="40% - Accent6 7 6 2 2" xfId="16028"/>
    <cellStyle name="40% - Accent6 7 6 3" xfId="16029"/>
    <cellStyle name="40% - Accent6 7 6 3 2" xfId="16030"/>
    <cellStyle name="40% - Accent6 7 6 4" xfId="16031"/>
    <cellStyle name="40% - Accent6 7 7" xfId="16032"/>
    <cellStyle name="40% - Accent6 7 7 2" xfId="16033"/>
    <cellStyle name="40% - Accent6 7 7 2 2" xfId="16034"/>
    <cellStyle name="40% - Accent6 7 7 3" xfId="16035"/>
    <cellStyle name="40% - Accent6 7 7 3 2" xfId="16036"/>
    <cellStyle name="40% - Accent6 7 7 4" xfId="16037"/>
    <cellStyle name="40% - Accent6 7 8" xfId="16038"/>
    <cellStyle name="40% - Accent6 7 8 2" xfId="16039"/>
    <cellStyle name="40% - Accent6 7 8 2 2" xfId="16040"/>
    <cellStyle name="40% - Accent6 7 8 3" xfId="16041"/>
    <cellStyle name="40% - Accent6 7 8 3 2" xfId="16042"/>
    <cellStyle name="40% - Accent6 7 8 4" xfId="16043"/>
    <cellStyle name="40% - Accent6 7 9" xfId="16044"/>
    <cellStyle name="40% - Accent6 7 9 2" xfId="16045"/>
    <cellStyle name="40% - Accent6 7 9 2 2" xfId="16046"/>
    <cellStyle name="40% - Accent6 7 9 3" xfId="16047"/>
    <cellStyle name="40% - Accent6 7 9 3 2" xfId="16048"/>
    <cellStyle name="40% - Accent6 7 9 4" xfId="16049"/>
    <cellStyle name="40% - Accent6 8" xfId="553"/>
    <cellStyle name="40% - Accent6 8 10" xfId="16050"/>
    <cellStyle name="40% - Accent6 8 11" xfId="24856"/>
    <cellStyle name="40% - Accent6 8 12" xfId="26725"/>
    <cellStyle name="40% - Accent6 8 2" xfId="1383"/>
    <cellStyle name="40% - Accent6 8 2 10" xfId="24915"/>
    <cellStyle name="40% - Accent6 8 2 11" xfId="26726"/>
    <cellStyle name="40% - Accent6 8 2 2" xfId="4183"/>
    <cellStyle name="40% - Accent6 8 2 2 2" xfId="5446"/>
    <cellStyle name="40% - Accent6 8 2 2 2 2" xfId="6487"/>
    <cellStyle name="40% - Accent6 8 2 2 2 2 2" xfId="16054"/>
    <cellStyle name="40% - Accent6 8 2 2 2 2 3" xfId="26729"/>
    <cellStyle name="40% - Accent6 8 2 2 2 3" xfId="16053"/>
    <cellStyle name="40% - Accent6 8 2 2 2 4" xfId="26728"/>
    <cellStyle name="40% - Accent6 8 2 2 3" xfId="5756"/>
    <cellStyle name="40% - Accent6 8 2 2 3 2" xfId="6488"/>
    <cellStyle name="40% - Accent6 8 2 2 3 2 2" xfId="26731"/>
    <cellStyle name="40% - Accent6 8 2 2 3 3" xfId="16055"/>
    <cellStyle name="40% - Accent6 8 2 2 3 4" xfId="26730"/>
    <cellStyle name="40% - Accent6 8 2 2 4" xfId="4686"/>
    <cellStyle name="40% - Accent6 8 2 2 4 2" xfId="6489"/>
    <cellStyle name="40% - Accent6 8 2 2 4 2 2" xfId="26733"/>
    <cellStyle name="40% - Accent6 8 2 2 4 3" xfId="26732"/>
    <cellStyle name="40% - Accent6 8 2 2 5" xfId="6486"/>
    <cellStyle name="40% - Accent6 8 2 2 5 2" xfId="26734"/>
    <cellStyle name="40% - Accent6 8 2 2 6" xfId="16052"/>
    <cellStyle name="40% - Accent6 8 2 2 7" xfId="25035"/>
    <cellStyle name="40% - Accent6 8 2 2 8" xfId="26727"/>
    <cellStyle name="40% - Accent6 8 2 3" xfId="5445"/>
    <cellStyle name="40% - Accent6 8 2 3 2" xfId="6490"/>
    <cellStyle name="40% - Accent6 8 2 3 2 2" xfId="16057"/>
    <cellStyle name="40% - Accent6 8 2 3 2 3" xfId="26736"/>
    <cellStyle name="40% - Accent6 8 2 3 3" xfId="16056"/>
    <cellStyle name="40% - Accent6 8 2 3 4" xfId="26735"/>
    <cellStyle name="40% - Accent6 8 2 4" xfId="5755"/>
    <cellStyle name="40% - Accent6 8 2 4 2" xfId="6491"/>
    <cellStyle name="40% - Accent6 8 2 4 2 2" xfId="16059"/>
    <cellStyle name="40% - Accent6 8 2 4 2 3" xfId="26738"/>
    <cellStyle name="40% - Accent6 8 2 4 3" xfId="16058"/>
    <cellStyle name="40% - Accent6 8 2 4 4" xfId="26737"/>
    <cellStyle name="40% - Accent6 8 2 5" xfId="4685"/>
    <cellStyle name="40% - Accent6 8 2 5 2" xfId="6492"/>
    <cellStyle name="40% - Accent6 8 2 5 2 2" xfId="16062"/>
    <cellStyle name="40% - Accent6 8 2 5 2 3" xfId="16061"/>
    <cellStyle name="40% - Accent6 8 2 5 2 4" xfId="26740"/>
    <cellStyle name="40% - Accent6 8 2 5 3" xfId="16063"/>
    <cellStyle name="40% - Accent6 8 2 5 3 2" xfId="16064"/>
    <cellStyle name="40% - Accent6 8 2 5 4" xfId="16065"/>
    <cellStyle name="40% - Accent6 8 2 5 5" xfId="16060"/>
    <cellStyle name="40% - Accent6 8 2 5 6" xfId="26739"/>
    <cellStyle name="40% - Accent6 8 2 6" xfId="6485"/>
    <cellStyle name="40% - Accent6 8 2 6 2" xfId="16067"/>
    <cellStyle name="40% - Accent6 8 2 6 3" xfId="16066"/>
    <cellStyle name="40% - Accent6 8 2 6 4" xfId="26741"/>
    <cellStyle name="40% - Accent6 8 2 7" xfId="16068"/>
    <cellStyle name="40% - Accent6 8 2 7 2" xfId="16069"/>
    <cellStyle name="40% - Accent6 8 2 8" xfId="16070"/>
    <cellStyle name="40% - Accent6 8 2 9" xfId="16051"/>
    <cellStyle name="40% - Accent6 8 3" xfId="3842"/>
    <cellStyle name="40% - Accent6 8 3 2" xfId="5447"/>
    <cellStyle name="40% - Accent6 8 3 2 2" xfId="6494"/>
    <cellStyle name="40% - Accent6 8 3 2 2 2" xfId="16073"/>
    <cellStyle name="40% - Accent6 8 3 2 2 3" xfId="26744"/>
    <cellStyle name="40% - Accent6 8 3 2 3" xfId="16072"/>
    <cellStyle name="40% - Accent6 8 3 2 4" xfId="26743"/>
    <cellStyle name="40% - Accent6 8 3 3" xfId="5757"/>
    <cellStyle name="40% - Accent6 8 3 3 2" xfId="6495"/>
    <cellStyle name="40% - Accent6 8 3 3 2 2" xfId="26746"/>
    <cellStyle name="40% - Accent6 8 3 3 3" xfId="16074"/>
    <cellStyle name="40% - Accent6 8 3 3 4" xfId="26745"/>
    <cellStyle name="40% - Accent6 8 3 4" xfId="4687"/>
    <cellStyle name="40% - Accent6 8 3 4 2" xfId="6496"/>
    <cellStyle name="40% - Accent6 8 3 4 2 2" xfId="26748"/>
    <cellStyle name="40% - Accent6 8 3 4 3" xfId="26747"/>
    <cellStyle name="40% - Accent6 8 3 5" xfId="6493"/>
    <cellStyle name="40% - Accent6 8 3 5 2" xfId="26749"/>
    <cellStyle name="40% - Accent6 8 3 6" xfId="16071"/>
    <cellStyle name="40% - Accent6 8 3 7" xfId="24978"/>
    <cellStyle name="40% - Accent6 8 3 8" xfId="26742"/>
    <cellStyle name="40% - Accent6 8 4" xfId="5444"/>
    <cellStyle name="40% - Accent6 8 4 2" xfId="6497"/>
    <cellStyle name="40% - Accent6 8 4 2 2" xfId="16076"/>
    <cellStyle name="40% - Accent6 8 4 2 3" xfId="26751"/>
    <cellStyle name="40% - Accent6 8 4 3" xfId="16075"/>
    <cellStyle name="40% - Accent6 8 4 4" xfId="26750"/>
    <cellStyle name="40% - Accent6 8 5" xfId="5754"/>
    <cellStyle name="40% - Accent6 8 5 2" xfId="6498"/>
    <cellStyle name="40% - Accent6 8 5 2 2" xfId="16078"/>
    <cellStyle name="40% - Accent6 8 5 2 3" xfId="26753"/>
    <cellStyle name="40% - Accent6 8 5 3" xfId="16077"/>
    <cellStyle name="40% - Accent6 8 5 4" xfId="26752"/>
    <cellStyle name="40% - Accent6 8 6" xfId="4684"/>
    <cellStyle name="40% - Accent6 8 6 2" xfId="6499"/>
    <cellStyle name="40% - Accent6 8 6 2 2" xfId="16081"/>
    <cellStyle name="40% - Accent6 8 6 2 3" xfId="16080"/>
    <cellStyle name="40% - Accent6 8 6 2 4" xfId="26755"/>
    <cellStyle name="40% - Accent6 8 6 3" xfId="16082"/>
    <cellStyle name="40% - Accent6 8 6 3 2" xfId="16083"/>
    <cellStyle name="40% - Accent6 8 6 4" xfId="16084"/>
    <cellStyle name="40% - Accent6 8 6 5" xfId="16079"/>
    <cellStyle name="40% - Accent6 8 6 6" xfId="26754"/>
    <cellStyle name="40% - Accent6 8 7" xfId="6484"/>
    <cellStyle name="40% - Accent6 8 7 2" xfId="16086"/>
    <cellStyle name="40% - Accent6 8 7 3" xfId="16085"/>
    <cellStyle name="40% - Accent6 8 7 4" xfId="26756"/>
    <cellStyle name="40% - Accent6 8 8" xfId="16087"/>
    <cellStyle name="40% - Accent6 8 8 2" xfId="16088"/>
    <cellStyle name="40% - Accent6 8 9" xfId="16089"/>
    <cellStyle name="40% - Accent6 9" xfId="554"/>
    <cellStyle name="40% - Accent6 9 2" xfId="4688"/>
    <cellStyle name="40% - Accent6 9 2 2" xfId="16092"/>
    <cellStyle name="40% - Accent6 9 2 2 2" xfId="16093"/>
    <cellStyle name="40% - Accent6 9 2 3" xfId="16094"/>
    <cellStyle name="40% - Accent6 9 2 3 2" xfId="16095"/>
    <cellStyle name="40% - Accent6 9 2 4" xfId="16096"/>
    <cellStyle name="40% - Accent6 9 2 5" xfId="16091"/>
    <cellStyle name="40% - Accent6 9 3" xfId="16097"/>
    <cellStyle name="40% - Accent6 9 3 2" xfId="16098"/>
    <cellStyle name="40% - Accent6 9 4" xfId="16099"/>
    <cellStyle name="40% - Accent6 9 4 2" xfId="16100"/>
    <cellStyle name="40% - Accent6 9 5" xfId="16101"/>
    <cellStyle name="40% - Accent6 9 5 2" xfId="16102"/>
    <cellStyle name="40% - Accent6 9 6" xfId="16103"/>
    <cellStyle name="40% - Accent6 9 6 2" xfId="16104"/>
    <cellStyle name="40% - Accent6 9 7" xfId="16105"/>
    <cellStyle name="40% - Accent6 9 8" xfId="16090"/>
    <cellStyle name="60% - Accent1 10" xfId="688"/>
    <cellStyle name="60% - Accent1 10 2" xfId="16108"/>
    <cellStyle name="60% - Accent1 10 3" xfId="16107"/>
    <cellStyle name="60% - Accent1 11" xfId="689"/>
    <cellStyle name="60% - Accent1 11 2" xfId="16110"/>
    <cellStyle name="60% - Accent1 11 3" xfId="16109"/>
    <cellStyle name="60% - Accent1 12" xfId="834"/>
    <cellStyle name="60% - Accent1 12 2" xfId="16111"/>
    <cellStyle name="60% - Accent1 13" xfId="835"/>
    <cellStyle name="60% - Accent1 13 2" xfId="16106"/>
    <cellStyle name="60% - Accent1 14" xfId="945"/>
    <cellStyle name="60% - Accent1 2" xfId="80"/>
    <cellStyle name="60% - Accent1 2 10" xfId="1679"/>
    <cellStyle name="60% - Accent1 2 10 2" xfId="16114"/>
    <cellStyle name="60% - Accent1 2 10 3" xfId="16113"/>
    <cellStyle name="60% - Accent1 2 11" xfId="2014"/>
    <cellStyle name="60% - Accent1 2 11 2" xfId="16116"/>
    <cellStyle name="60% - Accent1 2 11 3" xfId="16115"/>
    <cellStyle name="60% - Accent1 2 12" xfId="2388"/>
    <cellStyle name="60% - Accent1 2 12 2" xfId="16118"/>
    <cellStyle name="60% - Accent1 2 12 3" xfId="16117"/>
    <cellStyle name="60% - Accent1 2 13" xfId="2761"/>
    <cellStyle name="60% - Accent1 2 13 2" xfId="16120"/>
    <cellStyle name="60% - Accent1 2 13 3" xfId="16119"/>
    <cellStyle name="60% - Accent1 2 14" xfId="3135"/>
    <cellStyle name="60% - Accent1 2 14 2" xfId="16122"/>
    <cellStyle name="60% - Accent1 2 14 3" xfId="16121"/>
    <cellStyle name="60% - Accent1 2 15" xfId="3506"/>
    <cellStyle name="60% - Accent1 2 15 2" xfId="16124"/>
    <cellStyle name="60% - Accent1 2 15 3" xfId="16123"/>
    <cellStyle name="60% - Accent1 2 16" xfId="3644"/>
    <cellStyle name="60% - Accent1 2 16 2" xfId="16126"/>
    <cellStyle name="60% - Accent1 2 16 3" xfId="16125"/>
    <cellStyle name="60% - Accent1 2 17" xfId="16127"/>
    <cellStyle name="60% - Accent1 2 17 2" xfId="16128"/>
    <cellStyle name="60% - Accent1 2 18" xfId="16129"/>
    <cellStyle name="60% - Accent1 2 19" xfId="16112"/>
    <cellStyle name="60% - Accent1 2 2" xfId="124"/>
    <cellStyle name="60% - Accent1 2 2 2" xfId="173"/>
    <cellStyle name="60% - Accent1 2 2 2 2" xfId="16132"/>
    <cellStyle name="60% - Accent1 2 2 2 3" xfId="16131"/>
    <cellStyle name="60% - Accent1 2 2 3" xfId="337"/>
    <cellStyle name="60% - Accent1 2 2 3 2" xfId="16134"/>
    <cellStyle name="60% - Accent1 2 2 3 3" xfId="16133"/>
    <cellStyle name="60% - Accent1 2 2 4" xfId="2159"/>
    <cellStyle name="60% - Accent1 2 2 4 2" xfId="16136"/>
    <cellStyle name="60% - Accent1 2 2 4 3" xfId="16135"/>
    <cellStyle name="60% - Accent1 2 2 5" xfId="2533"/>
    <cellStyle name="60% - Accent1 2 2 5 2" xfId="16138"/>
    <cellStyle name="60% - Accent1 2 2 5 3" xfId="16137"/>
    <cellStyle name="60% - Accent1 2 2 6" xfId="2905"/>
    <cellStyle name="60% - Accent1 2 2 6 2" xfId="16140"/>
    <cellStyle name="60% - Accent1 2 2 6 3" xfId="16139"/>
    <cellStyle name="60% - Accent1 2 2 7" xfId="3277"/>
    <cellStyle name="60% - Accent1 2 2 7 2" xfId="16142"/>
    <cellStyle name="60% - Accent1 2 2 7 3" xfId="16141"/>
    <cellStyle name="60% - Accent1 2 2 8" xfId="16143"/>
    <cellStyle name="60% - Accent1 2 2 9" xfId="16130"/>
    <cellStyle name="60% - Accent1 2 20" xfId="24478"/>
    <cellStyle name="60% - Accent1 2 3" xfId="289"/>
    <cellStyle name="60% - Accent1 2 3 2" xfId="1335"/>
    <cellStyle name="60% - Accent1 2 3 2 2" xfId="16145"/>
    <cellStyle name="60% - Accent1 2 3 3" xfId="16144"/>
    <cellStyle name="60% - Accent1 2 4" xfId="406"/>
    <cellStyle name="60% - Accent1 2 4 2" xfId="16147"/>
    <cellStyle name="60% - Accent1 2 4 3" xfId="16146"/>
    <cellStyle name="60% - Accent1 2 5" xfId="555"/>
    <cellStyle name="60% - Accent1 2 5 2" xfId="16149"/>
    <cellStyle name="60% - Accent1 2 5 3" xfId="16148"/>
    <cellStyle name="60% - Accent1 2 6" xfId="690"/>
    <cellStyle name="60% - Accent1 2 6 2" xfId="16151"/>
    <cellStyle name="60% - Accent1 2 6 3" xfId="16150"/>
    <cellStyle name="60% - Accent1 2 7" xfId="691"/>
    <cellStyle name="60% - Accent1 2 7 2" xfId="16153"/>
    <cellStyle name="60% - Accent1 2 7 3" xfId="16152"/>
    <cellStyle name="60% - Accent1 2 8" xfId="836"/>
    <cellStyle name="60% - Accent1 2 8 2" xfId="1408"/>
    <cellStyle name="60% - Accent1 2 8 2 2" xfId="16155"/>
    <cellStyle name="60% - Accent1 2 8 3" xfId="16154"/>
    <cellStyle name="60% - Accent1 2 9" xfId="946"/>
    <cellStyle name="60% - Accent1 2 9 2" xfId="1437"/>
    <cellStyle name="60% - Accent1 2 9 2 2" xfId="16157"/>
    <cellStyle name="60% - Accent1 2 9 3" xfId="16156"/>
    <cellStyle name="60% - Accent1 3" xfId="214"/>
    <cellStyle name="60% - Accent1 3 10" xfId="3687"/>
    <cellStyle name="60% - Accent1 3 10 2" xfId="16160"/>
    <cellStyle name="60% - Accent1 3 10 3" xfId="16159"/>
    <cellStyle name="60% - Accent1 3 11" xfId="16161"/>
    <cellStyle name="60% - Accent1 3 11 2" xfId="16162"/>
    <cellStyle name="60% - Accent1 3 12" xfId="16163"/>
    <cellStyle name="60% - Accent1 3 13" xfId="16158"/>
    <cellStyle name="60% - Accent1 3 2" xfId="1460"/>
    <cellStyle name="60% - Accent1 3 2 2" xfId="1825"/>
    <cellStyle name="60% - Accent1 3 2 2 2" xfId="16166"/>
    <cellStyle name="60% - Accent1 3 2 2 3" xfId="16165"/>
    <cellStyle name="60% - Accent1 3 2 3" xfId="2200"/>
    <cellStyle name="60% - Accent1 3 2 3 2" xfId="16168"/>
    <cellStyle name="60% - Accent1 3 2 3 3" xfId="16167"/>
    <cellStyle name="60% - Accent1 3 2 4" xfId="2574"/>
    <cellStyle name="60% - Accent1 3 2 4 2" xfId="16170"/>
    <cellStyle name="60% - Accent1 3 2 4 3" xfId="16169"/>
    <cellStyle name="60% - Accent1 3 2 5" xfId="2946"/>
    <cellStyle name="60% - Accent1 3 2 5 2" xfId="16172"/>
    <cellStyle name="60% - Accent1 3 2 5 3" xfId="16171"/>
    <cellStyle name="60% - Accent1 3 2 6" xfId="3318"/>
    <cellStyle name="60% - Accent1 3 2 6 2" xfId="16174"/>
    <cellStyle name="60% - Accent1 3 2 6 3" xfId="16173"/>
    <cellStyle name="60% - Accent1 3 2 7" xfId="16175"/>
    <cellStyle name="60% - Accent1 3 2 8" xfId="16164"/>
    <cellStyle name="60% - Accent1 3 3" xfId="1587"/>
    <cellStyle name="60% - Accent1 3 3 2" xfId="1902"/>
    <cellStyle name="60% - Accent1 3 3 2 2" xfId="16178"/>
    <cellStyle name="60% - Accent1 3 3 2 3" xfId="16177"/>
    <cellStyle name="60% - Accent1 3 3 3" xfId="2277"/>
    <cellStyle name="60% - Accent1 3 3 3 2" xfId="16180"/>
    <cellStyle name="60% - Accent1 3 3 3 3" xfId="16179"/>
    <cellStyle name="60% - Accent1 3 3 4" xfId="2650"/>
    <cellStyle name="60% - Accent1 3 3 4 2" xfId="16182"/>
    <cellStyle name="60% - Accent1 3 3 4 3" xfId="16181"/>
    <cellStyle name="60% - Accent1 3 3 5" xfId="3023"/>
    <cellStyle name="60% - Accent1 3 3 5 2" xfId="16184"/>
    <cellStyle name="60% - Accent1 3 3 5 3" xfId="16183"/>
    <cellStyle name="60% - Accent1 3 3 6" xfId="3394"/>
    <cellStyle name="60% - Accent1 3 3 6 2" xfId="16186"/>
    <cellStyle name="60% - Accent1 3 3 6 3" xfId="16185"/>
    <cellStyle name="60% - Accent1 3 3 7" xfId="16187"/>
    <cellStyle name="60% - Accent1 3 3 8" xfId="16176"/>
    <cellStyle name="60% - Accent1 3 4" xfId="1724"/>
    <cellStyle name="60% - Accent1 3 4 2" xfId="1946"/>
    <cellStyle name="60% - Accent1 3 4 2 2" xfId="16190"/>
    <cellStyle name="60% - Accent1 3 4 2 3" xfId="16189"/>
    <cellStyle name="60% - Accent1 3 4 3" xfId="2321"/>
    <cellStyle name="60% - Accent1 3 4 3 2" xfId="16192"/>
    <cellStyle name="60% - Accent1 3 4 3 3" xfId="16191"/>
    <cellStyle name="60% - Accent1 3 4 4" xfId="2694"/>
    <cellStyle name="60% - Accent1 3 4 4 2" xfId="16194"/>
    <cellStyle name="60% - Accent1 3 4 4 3" xfId="16193"/>
    <cellStyle name="60% - Accent1 3 4 5" xfId="3067"/>
    <cellStyle name="60% - Accent1 3 4 5 2" xfId="16196"/>
    <cellStyle name="60% - Accent1 3 4 5 3" xfId="16195"/>
    <cellStyle name="60% - Accent1 3 4 6" xfId="3438"/>
    <cellStyle name="60% - Accent1 3 4 6 2" xfId="16198"/>
    <cellStyle name="60% - Accent1 3 4 6 3" xfId="16197"/>
    <cellStyle name="60% - Accent1 3 4 7" xfId="16199"/>
    <cellStyle name="60% - Accent1 3 4 8" xfId="16188"/>
    <cellStyle name="60% - Accent1 3 5" xfId="2059"/>
    <cellStyle name="60% - Accent1 3 5 2" xfId="16201"/>
    <cellStyle name="60% - Accent1 3 5 3" xfId="16200"/>
    <cellStyle name="60% - Accent1 3 6" xfId="2433"/>
    <cellStyle name="60% - Accent1 3 6 2" xfId="16203"/>
    <cellStyle name="60% - Accent1 3 6 3" xfId="16202"/>
    <cellStyle name="60% - Accent1 3 7" xfId="2805"/>
    <cellStyle name="60% - Accent1 3 7 2" xfId="16205"/>
    <cellStyle name="60% - Accent1 3 7 3" xfId="16204"/>
    <cellStyle name="60% - Accent1 3 8" xfId="3176"/>
    <cellStyle name="60% - Accent1 3 8 2" xfId="16207"/>
    <cellStyle name="60% - Accent1 3 8 3" xfId="16206"/>
    <cellStyle name="60% - Accent1 3 9" xfId="3551"/>
    <cellStyle name="60% - Accent1 3 9 2" xfId="16209"/>
    <cellStyle name="60% - Accent1 3 9 3" xfId="16208"/>
    <cellStyle name="60% - Accent1 4" xfId="247"/>
    <cellStyle name="60% - Accent1 4 10" xfId="3731"/>
    <cellStyle name="60% - Accent1 4 10 2" xfId="16212"/>
    <cellStyle name="60% - Accent1 4 10 3" xfId="16211"/>
    <cellStyle name="60% - Accent1 4 11" xfId="1296"/>
    <cellStyle name="60% - Accent1 4 11 2" xfId="16214"/>
    <cellStyle name="60% - Accent1 4 11 3" xfId="16213"/>
    <cellStyle name="60% - Accent1 4 12" xfId="16215"/>
    <cellStyle name="60% - Accent1 4 13" xfId="16210"/>
    <cellStyle name="60% - Accent1 4 2" xfId="1505"/>
    <cellStyle name="60% - Accent1 4 2 2" xfId="16217"/>
    <cellStyle name="60% - Accent1 4 2 3" xfId="16216"/>
    <cellStyle name="60% - Accent1 4 3" xfId="1630"/>
    <cellStyle name="60% - Accent1 4 3 2" xfId="16219"/>
    <cellStyle name="60% - Accent1 4 3 3" xfId="16218"/>
    <cellStyle name="60% - Accent1 4 4" xfId="1795"/>
    <cellStyle name="60% - Accent1 4 4 2" xfId="16221"/>
    <cellStyle name="60% - Accent1 4 4 3" xfId="16220"/>
    <cellStyle name="60% - Accent1 4 5" xfId="2131"/>
    <cellStyle name="60% - Accent1 4 5 2" xfId="16223"/>
    <cellStyle name="60% - Accent1 4 5 3" xfId="16222"/>
    <cellStyle name="60% - Accent1 4 6" xfId="2505"/>
    <cellStyle name="60% - Accent1 4 6 2" xfId="16225"/>
    <cellStyle name="60% - Accent1 4 6 3" xfId="16224"/>
    <cellStyle name="60% - Accent1 4 7" xfId="2877"/>
    <cellStyle name="60% - Accent1 4 7 2" xfId="16227"/>
    <cellStyle name="60% - Accent1 4 7 3" xfId="16226"/>
    <cellStyle name="60% - Accent1 4 8" xfId="3248"/>
    <cellStyle name="60% - Accent1 4 8 2" xfId="16229"/>
    <cellStyle name="60% - Accent1 4 8 3" xfId="16228"/>
    <cellStyle name="60% - Accent1 4 9" xfId="3594"/>
    <cellStyle name="60% - Accent1 4 9 2" xfId="16231"/>
    <cellStyle name="60% - Accent1 4 9 3" xfId="16230"/>
    <cellStyle name="60% - Accent1 5" xfId="407"/>
    <cellStyle name="60% - Accent1 5 2" xfId="1769"/>
    <cellStyle name="60% - Accent1 5 2 2" xfId="16234"/>
    <cellStyle name="60% - Accent1 5 2 3" xfId="16233"/>
    <cellStyle name="60% - Accent1 5 3" xfId="2104"/>
    <cellStyle name="60% - Accent1 5 3 2" xfId="16236"/>
    <cellStyle name="60% - Accent1 5 3 3" xfId="16235"/>
    <cellStyle name="60% - Accent1 5 4" xfId="2478"/>
    <cellStyle name="60% - Accent1 5 4 2" xfId="16238"/>
    <cellStyle name="60% - Accent1 5 4 3" xfId="16237"/>
    <cellStyle name="60% - Accent1 5 5" xfId="2850"/>
    <cellStyle name="60% - Accent1 5 5 2" xfId="16240"/>
    <cellStyle name="60% - Accent1 5 5 3" xfId="16239"/>
    <cellStyle name="60% - Accent1 5 6" xfId="3221"/>
    <cellStyle name="60% - Accent1 5 6 2" xfId="16242"/>
    <cellStyle name="60% - Accent1 5 6 3" xfId="16241"/>
    <cellStyle name="60% - Accent1 5 7" xfId="16243"/>
    <cellStyle name="60% - Accent1 5 7 2" xfId="16244"/>
    <cellStyle name="60% - Accent1 5 8" xfId="16245"/>
    <cellStyle name="60% - Accent1 5 9" xfId="16232"/>
    <cellStyle name="60% - Accent1 6" xfId="408"/>
    <cellStyle name="60% - Accent1 6 10" xfId="16246"/>
    <cellStyle name="60% - Accent1 6 2" xfId="1981"/>
    <cellStyle name="60% - Accent1 6 2 2" xfId="16248"/>
    <cellStyle name="60% - Accent1 6 2 3" xfId="16247"/>
    <cellStyle name="60% - Accent1 6 3" xfId="2356"/>
    <cellStyle name="60% - Accent1 6 3 2" xfId="16250"/>
    <cellStyle name="60% - Accent1 6 3 3" xfId="16249"/>
    <cellStyle name="60% - Accent1 6 4" xfId="2729"/>
    <cellStyle name="60% - Accent1 6 4 2" xfId="16252"/>
    <cellStyle name="60% - Accent1 6 4 3" xfId="16251"/>
    <cellStyle name="60% - Accent1 6 5" xfId="3102"/>
    <cellStyle name="60% - Accent1 6 5 2" xfId="16254"/>
    <cellStyle name="60% - Accent1 6 5 3" xfId="16253"/>
    <cellStyle name="60% - Accent1 6 6" xfId="3473"/>
    <cellStyle name="60% - Accent1 6 6 2" xfId="16256"/>
    <cellStyle name="60% - Accent1 6 6 3" xfId="16255"/>
    <cellStyle name="60% - Accent1 6 7" xfId="3779"/>
    <cellStyle name="60% - Accent1 6 7 2" xfId="16258"/>
    <cellStyle name="60% - Accent1 6 7 3" xfId="16257"/>
    <cellStyle name="60% - Accent1 6 8" xfId="16259"/>
    <cellStyle name="60% - Accent1 6 8 2" xfId="16260"/>
    <cellStyle name="60% - Accent1 6 9" xfId="16261"/>
    <cellStyle name="60% - Accent1 7" xfId="409"/>
    <cellStyle name="60% - Accent1 7 2" xfId="16263"/>
    <cellStyle name="60% - Accent1 7 3" xfId="16262"/>
    <cellStyle name="60% - Accent1 8" xfId="556"/>
    <cellStyle name="60% - Accent1 8 2" xfId="16265"/>
    <cellStyle name="60% - Accent1 8 3" xfId="16264"/>
    <cellStyle name="60% - Accent1 9" xfId="557"/>
    <cellStyle name="60% - Accent1 9 2" xfId="16267"/>
    <cellStyle name="60% - Accent1 9 3" xfId="16266"/>
    <cellStyle name="60% - Accent2 10" xfId="692"/>
    <cellStyle name="60% - Accent2 10 2" xfId="16270"/>
    <cellStyle name="60% - Accent2 10 3" xfId="16269"/>
    <cellStyle name="60% - Accent2 11" xfId="693"/>
    <cellStyle name="60% - Accent2 11 2" xfId="16272"/>
    <cellStyle name="60% - Accent2 11 3" xfId="16271"/>
    <cellStyle name="60% - Accent2 12" xfId="837"/>
    <cellStyle name="60% - Accent2 12 2" xfId="16273"/>
    <cellStyle name="60% - Accent2 13" xfId="838"/>
    <cellStyle name="60% - Accent2 13 2" xfId="16268"/>
    <cellStyle name="60% - Accent2 14" xfId="947"/>
    <cellStyle name="60% - Accent2 2" xfId="81"/>
    <cellStyle name="60% - Accent2 2 10" xfId="1680"/>
    <cellStyle name="60% - Accent2 2 10 2" xfId="16276"/>
    <cellStyle name="60% - Accent2 2 10 3" xfId="16275"/>
    <cellStyle name="60% - Accent2 2 11" xfId="2015"/>
    <cellStyle name="60% - Accent2 2 11 2" xfId="16278"/>
    <cellStyle name="60% - Accent2 2 11 3" xfId="16277"/>
    <cellStyle name="60% - Accent2 2 12" xfId="2389"/>
    <cellStyle name="60% - Accent2 2 12 2" xfId="16280"/>
    <cellStyle name="60% - Accent2 2 12 3" xfId="16279"/>
    <cellStyle name="60% - Accent2 2 13" xfId="2762"/>
    <cellStyle name="60% - Accent2 2 13 2" xfId="16282"/>
    <cellStyle name="60% - Accent2 2 13 3" xfId="16281"/>
    <cellStyle name="60% - Accent2 2 14" xfId="3136"/>
    <cellStyle name="60% - Accent2 2 14 2" xfId="16284"/>
    <cellStyle name="60% - Accent2 2 14 3" xfId="16283"/>
    <cellStyle name="60% - Accent2 2 15" xfId="3507"/>
    <cellStyle name="60% - Accent2 2 15 2" xfId="16286"/>
    <cellStyle name="60% - Accent2 2 15 3" xfId="16285"/>
    <cellStyle name="60% - Accent2 2 16" xfId="3645"/>
    <cellStyle name="60% - Accent2 2 16 2" xfId="16288"/>
    <cellStyle name="60% - Accent2 2 16 3" xfId="16287"/>
    <cellStyle name="60% - Accent2 2 17" xfId="16289"/>
    <cellStyle name="60% - Accent2 2 17 2" xfId="16290"/>
    <cellStyle name="60% - Accent2 2 18" xfId="16291"/>
    <cellStyle name="60% - Accent2 2 19" xfId="16274"/>
    <cellStyle name="60% - Accent2 2 2" xfId="125"/>
    <cellStyle name="60% - Accent2 2 2 2" xfId="177"/>
    <cellStyle name="60% - Accent2 2 2 2 2" xfId="16294"/>
    <cellStyle name="60% - Accent2 2 2 2 3" xfId="16293"/>
    <cellStyle name="60% - Accent2 2 2 3" xfId="341"/>
    <cellStyle name="60% - Accent2 2 2 3 2" xfId="16296"/>
    <cellStyle name="60% - Accent2 2 2 3 3" xfId="16295"/>
    <cellStyle name="60% - Accent2 2 2 4" xfId="2163"/>
    <cellStyle name="60% - Accent2 2 2 4 2" xfId="16298"/>
    <cellStyle name="60% - Accent2 2 2 4 3" xfId="16297"/>
    <cellStyle name="60% - Accent2 2 2 5" xfId="2537"/>
    <cellStyle name="60% - Accent2 2 2 5 2" xfId="16300"/>
    <cellStyle name="60% - Accent2 2 2 5 3" xfId="16299"/>
    <cellStyle name="60% - Accent2 2 2 6" xfId="2909"/>
    <cellStyle name="60% - Accent2 2 2 6 2" xfId="16302"/>
    <cellStyle name="60% - Accent2 2 2 6 3" xfId="16301"/>
    <cellStyle name="60% - Accent2 2 2 7" xfId="3281"/>
    <cellStyle name="60% - Accent2 2 2 7 2" xfId="16304"/>
    <cellStyle name="60% - Accent2 2 2 7 3" xfId="16303"/>
    <cellStyle name="60% - Accent2 2 2 8" xfId="16305"/>
    <cellStyle name="60% - Accent2 2 2 9" xfId="16292"/>
    <cellStyle name="60% - Accent2 2 20" xfId="24479"/>
    <cellStyle name="60% - Accent2 2 3" xfId="290"/>
    <cellStyle name="60% - Accent2 2 3 2" xfId="1339"/>
    <cellStyle name="60% - Accent2 2 3 2 2" xfId="16307"/>
    <cellStyle name="60% - Accent2 2 3 3" xfId="16306"/>
    <cellStyle name="60% - Accent2 2 4" xfId="410"/>
    <cellStyle name="60% - Accent2 2 4 2" xfId="16309"/>
    <cellStyle name="60% - Accent2 2 4 3" xfId="16308"/>
    <cellStyle name="60% - Accent2 2 5" xfId="558"/>
    <cellStyle name="60% - Accent2 2 5 2" xfId="16311"/>
    <cellStyle name="60% - Accent2 2 5 3" xfId="16310"/>
    <cellStyle name="60% - Accent2 2 6" xfId="694"/>
    <cellStyle name="60% - Accent2 2 6 2" xfId="16313"/>
    <cellStyle name="60% - Accent2 2 6 3" xfId="16312"/>
    <cellStyle name="60% - Accent2 2 7" xfId="695"/>
    <cellStyle name="60% - Accent2 2 7 2" xfId="16315"/>
    <cellStyle name="60% - Accent2 2 7 3" xfId="16314"/>
    <cellStyle name="60% - Accent2 2 8" xfId="839"/>
    <cellStyle name="60% - Accent2 2 8 2" xfId="1409"/>
    <cellStyle name="60% - Accent2 2 8 2 2" xfId="16317"/>
    <cellStyle name="60% - Accent2 2 8 3" xfId="16316"/>
    <cellStyle name="60% - Accent2 2 9" xfId="948"/>
    <cellStyle name="60% - Accent2 2 9 2" xfId="1567"/>
    <cellStyle name="60% - Accent2 2 9 2 2" xfId="16319"/>
    <cellStyle name="60% - Accent2 2 9 3" xfId="16318"/>
    <cellStyle name="60% - Accent2 3" xfId="218"/>
    <cellStyle name="60% - Accent2 3 10" xfId="3688"/>
    <cellStyle name="60% - Accent2 3 10 2" xfId="16322"/>
    <cellStyle name="60% - Accent2 3 10 3" xfId="16321"/>
    <cellStyle name="60% - Accent2 3 11" xfId="16323"/>
    <cellStyle name="60% - Accent2 3 11 2" xfId="16324"/>
    <cellStyle name="60% - Accent2 3 12" xfId="16325"/>
    <cellStyle name="60% - Accent2 3 13" xfId="16320"/>
    <cellStyle name="60% - Accent2 3 2" xfId="1461"/>
    <cellStyle name="60% - Accent2 3 2 2" xfId="1829"/>
    <cellStyle name="60% - Accent2 3 2 2 2" xfId="16328"/>
    <cellStyle name="60% - Accent2 3 2 2 3" xfId="16327"/>
    <cellStyle name="60% - Accent2 3 2 3" xfId="2204"/>
    <cellStyle name="60% - Accent2 3 2 3 2" xfId="16330"/>
    <cellStyle name="60% - Accent2 3 2 3 3" xfId="16329"/>
    <cellStyle name="60% - Accent2 3 2 4" xfId="2578"/>
    <cellStyle name="60% - Accent2 3 2 4 2" xfId="16332"/>
    <cellStyle name="60% - Accent2 3 2 4 3" xfId="16331"/>
    <cellStyle name="60% - Accent2 3 2 5" xfId="2950"/>
    <cellStyle name="60% - Accent2 3 2 5 2" xfId="16334"/>
    <cellStyle name="60% - Accent2 3 2 5 3" xfId="16333"/>
    <cellStyle name="60% - Accent2 3 2 6" xfId="3322"/>
    <cellStyle name="60% - Accent2 3 2 6 2" xfId="16336"/>
    <cellStyle name="60% - Accent2 3 2 6 3" xfId="16335"/>
    <cellStyle name="60% - Accent2 3 2 7" xfId="16337"/>
    <cellStyle name="60% - Accent2 3 2 8" xfId="16326"/>
    <cellStyle name="60% - Accent2 3 3" xfId="1588"/>
    <cellStyle name="60% - Accent2 3 3 2" xfId="1906"/>
    <cellStyle name="60% - Accent2 3 3 2 2" xfId="16340"/>
    <cellStyle name="60% - Accent2 3 3 2 3" xfId="16339"/>
    <cellStyle name="60% - Accent2 3 3 3" xfId="2281"/>
    <cellStyle name="60% - Accent2 3 3 3 2" xfId="16342"/>
    <cellStyle name="60% - Accent2 3 3 3 3" xfId="16341"/>
    <cellStyle name="60% - Accent2 3 3 4" xfId="2654"/>
    <cellStyle name="60% - Accent2 3 3 4 2" xfId="16344"/>
    <cellStyle name="60% - Accent2 3 3 4 3" xfId="16343"/>
    <cellStyle name="60% - Accent2 3 3 5" xfId="3027"/>
    <cellStyle name="60% - Accent2 3 3 5 2" xfId="16346"/>
    <cellStyle name="60% - Accent2 3 3 5 3" xfId="16345"/>
    <cellStyle name="60% - Accent2 3 3 6" xfId="3398"/>
    <cellStyle name="60% - Accent2 3 3 6 2" xfId="16348"/>
    <cellStyle name="60% - Accent2 3 3 6 3" xfId="16347"/>
    <cellStyle name="60% - Accent2 3 3 7" xfId="16349"/>
    <cellStyle name="60% - Accent2 3 3 8" xfId="16338"/>
    <cellStyle name="60% - Accent2 3 4" xfId="1725"/>
    <cellStyle name="60% - Accent2 3 4 2" xfId="1950"/>
    <cellStyle name="60% - Accent2 3 4 2 2" xfId="16352"/>
    <cellStyle name="60% - Accent2 3 4 2 3" xfId="16351"/>
    <cellStyle name="60% - Accent2 3 4 3" xfId="2325"/>
    <cellStyle name="60% - Accent2 3 4 3 2" xfId="16354"/>
    <cellStyle name="60% - Accent2 3 4 3 3" xfId="16353"/>
    <cellStyle name="60% - Accent2 3 4 4" xfId="2698"/>
    <cellStyle name="60% - Accent2 3 4 4 2" xfId="16356"/>
    <cellStyle name="60% - Accent2 3 4 4 3" xfId="16355"/>
    <cellStyle name="60% - Accent2 3 4 5" xfId="3071"/>
    <cellStyle name="60% - Accent2 3 4 5 2" xfId="16358"/>
    <cellStyle name="60% - Accent2 3 4 5 3" xfId="16357"/>
    <cellStyle name="60% - Accent2 3 4 6" xfId="3442"/>
    <cellStyle name="60% - Accent2 3 4 6 2" xfId="16360"/>
    <cellStyle name="60% - Accent2 3 4 6 3" xfId="16359"/>
    <cellStyle name="60% - Accent2 3 4 7" xfId="16361"/>
    <cellStyle name="60% - Accent2 3 4 8" xfId="16350"/>
    <cellStyle name="60% - Accent2 3 5" xfId="2060"/>
    <cellStyle name="60% - Accent2 3 5 2" xfId="16363"/>
    <cellStyle name="60% - Accent2 3 5 3" xfId="16362"/>
    <cellStyle name="60% - Accent2 3 6" xfId="2434"/>
    <cellStyle name="60% - Accent2 3 6 2" xfId="16365"/>
    <cellStyle name="60% - Accent2 3 6 3" xfId="16364"/>
    <cellStyle name="60% - Accent2 3 7" xfId="2806"/>
    <cellStyle name="60% - Accent2 3 7 2" xfId="16367"/>
    <cellStyle name="60% - Accent2 3 7 3" xfId="16366"/>
    <cellStyle name="60% - Accent2 3 8" xfId="3177"/>
    <cellStyle name="60% - Accent2 3 8 2" xfId="16369"/>
    <cellStyle name="60% - Accent2 3 8 3" xfId="16368"/>
    <cellStyle name="60% - Accent2 3 9" xfId="3552"/>
    <cellStyle name="60% - Accent2 3 9 2" xfId="16371"/>
    <cellStyle name="60% - Accent2 3 9 3" xfId="16370"/>
    <cellStyle name="60% - Accent2 4" xfId="248"/>
    <cellStyle name="60% - Accent2 4 10" xfId="3732"/>
    <cellStyle name="60% - Accent2 4 10 2" xfId="16374"/>
    <cellStyle name="60% - Accent2 4 10 3" xfId="16373"/>
    <cellStyle name="60% - Accent2 4 11" xfId="1300"/>
    <cellStyle name="60% - Accent2 4 11 2" xfId="16376"/>
    <cellStyle name="60% - Accent2 4 11 3" xfId="16375"/>
    <cellStyle name="60% - Accent2 4 12" xfId="16377"/>
    <cellStyle name="60% - Accent2 4 13" xfId="16372"/>
    <cellStyle name="60% - Accent2 4 2" xfId="1506"/>
    <cellStyle name="60% - Accent2 4 2 2" xfId="16379"/>
    <cellStyle name="60% - Accent2 4 2 3" xfId="16378"/>
    <cellStyle name="60% - Accent2 4 3" xfId="1631"/>
    <cellStyle name="60% - Accent2 4 3 2" xfId="16381"/>
    <cellStyle name="60% - Accent2 4 3 3" xfId="16380"/>
    <cellStyle name="60% - Accent2 4 4" xfId="1794"/>
    <cellStyle name="60% - Accent2 4 4 2" xfId="16383"/>
    <cellStyle name="60% - Accent2 4 4 3" xfId="16382"/>
    <cellStyle name="60% - Accent2 4 5" xfId="2130"/>
    <cellStyle name="60% - Accent2 4 5 2" xfId="16385"/>
    <cellStyle name="60% - Accent2 4 5 3" xfId="16384"/>
    <cellStyle name="60% - Accent2 4 6" xfId="2504"/>
    <cellStyle name="60% - Accent2 4 6 2" xfId="16387"/>
    <cellStyle name="60% - Accent2 4 6 3" xfId="16386"/>
    <cellStyle name="60% - Accent2 4 7" xfId="2876"/>
    <cellStyle name="60% - Accent2 4 7 2" xfId="16389"/>
    <cellStyle name="60% - Accent2 4 7 3" xfId="16388"/>
    <cellStyle name="60% - Accent2 4 8" xfId="3247"/>
    <cellStyle name="60% - Accent2 4 8 2" xfId="16391"/>
    <cellStyle name="60% - Accent2 4 8 3" xfId="16390"/>
    <cellStyle name="60% - Accent2 4 9" xfId="3595"/>
    <cellStyle name="60% - Accent2 4 9 2" xfId="16393"/>
    <cellStyle name="60% - Accent2 4 9 3" xfId="16392"/>
    <cellStyle name="60% - Accent2 5" xfId="411"/>
    <cellStyle name="60% - Accent2 5 2" xfId="1770"/>
    <cellStyle name="60% - Accent2 5 2 2" xfId="16396"/>
    <cellStyle name="60% - Accent2 5 2 3" xfId="16395"/>
    <cellStyle name="60% - Accent2 5 3" xfId="2105"/>
    <cellStyle name="60% - Accent2 5 3 2" xfId="16398"/>
    <cellStyle name="60% - Accent2 5 3 3" xfId="16397"/>
    <cellStyle name="60% - Accent2 5 4" xfId="2479"/>
    <cellStyle name="60% - Accent2 5 4 2" xfId="16400"/>
    <cellStyle name="60% - Accent2 5 4 3" xfId="16399"/>
    <cellStyle name="60% - Accent2 5 5" xfId="2851"/>
    <cellStyle name="60% - Accent2 5 5 2" xfId="16402"/>
    <cellStyle name="60% - Accent2 5 5 3" xfId="16401"/>
    <cellStyle name="60% - Accent2 5 6" xfId="3222"/>
    <cellStyle name="60% - Accent2 5 6 2" xfId="16404"/>
    <cellStyle name="60% - Accent2 5 6 3" xfId="16403"/>
    <cellStyle name="60% - Accent2 5 7" xfId="16405"/>
    <cellStyle name="60% - Accent2 5 7 2" xfId="16406"/>
    <cellStyle name="60% - Accent2 5 8" xfId="16407"/>
    <cellStyle name="60% - Accent2 5 9" xfId="16394"/>
    <cellStyle name="60% - Accent2 6" xfId="412"/>
    <cellStyle name="60% - Accent2 6 10" xfId="16408"/>
    <cellStyle name="60% - Accent2 6 2" xfId="1982"/>
    <cellStyle name="60% - Accent2 6 2 2" xfId="16410"/>
    <cellStyle name="60% - Accent2 6 2 3" xfId="16409"/>
    <cellStyle name="60% - Accent2 6 3" xfId="2357"/>
    <cellStyle name="60% - Accent2 6 3 2" xfId="16412"/>
    <cellStyle name="60% - Accent2 6 3 3" xfId="16411"/>
    <cellStyle name="60% - Accent2 6 4" xfId="2730"/>
    <cellStyle name="60% - Accent2 6 4 2" xfId="16414"/>
    <cellStyle name="60% - Accent2 6 4 3" xfId="16413"/>
    <cellStyle name="60% - Accent2 6 5" xfId="3103"/>
    <cellStyle name="60% - Accent2 6 5 2" xfId="16416"/>
    <cellStyle name="60% - Accent2 6 5 3" xfId="16415"/>
    <cellStyle name="60% - Accent2 6 6" xfId="3474"/>
    <cellStyle name="60% - Accent2 6 6 2" xfId="16418"/>
    <cellStyle name="60% - Accent2 6 6 3" xfId="16417"/>
    <cellStyle name="60% - Accent2 6 7" xfId="3780"/>
    <cellStyle name="60% - Accent2 6 7 2" xfId="16420"/>
    <cellStyle name="60% - Accent2 6 7 3" xfId="16419"/>
    <cellStyle name="60% - Accent2 6 8" xfId="16421"/>
    <cellStyle name="60% - Accent2 6 8 2" xfId="16422"/>
    <cellStyle name="60% - Accent2 6 9" xfId="16423"/>
    <cellStyle name="60% - Accent2 7" xfId="413"/>
    <cellStyle name="60% - Accent2 7 2" xfId="16425"/>
    <cellStyle name="60% - Accent2 7 3" xfId="16424"/>
    <cellStyle name="60% - Accent2 8" xfId="559"/>
    <cellStyle name="60% - Accent2 8 2" xfId="16427"/>
    <cellStyle name="60% - Accent2 8 3" xfId="16426"/>
    <cellStyle name="60% - Accent2 9" xfId="560"/>
    <cellStyle name="60% - Accent2 9 2" xfId="16429"/>
    <cellStyle name="60% - Accent2 9 3" xfId="16428"/>
    <cellStyle name="60% - Accent3 10" xfId="696"/>
    <cellStyle name="60% - Accent3 10 2" xfId="16432"/>
    <cellStyle name="60% - Accent3 10 3" xfId="16431"/>
    <cellStyle name="60% - Accent3 11" xfId="697"/>
    <cellStyle name="60% - Accent3 11 2" xfId="16434"/>
    <cellStyle name="60% - Accent3 11 3" xfId="16433"/>
    <cellStyle name="60% - Accent3 12" xfId="840"/>
    <cellStyle name="60% - Accent3 12 2" xfId="16435"/>
    <cellStyle name="60% - Accent3 13" xfId="841"/>
    <cellStyle name="60% - Accent3 13 2" xfId="16430"/>
    <cellStyle name="60% - Accent3 14" xfId="949"/>
    <cellStyle name="60% - Accent3 2" xfId="82"/>
    <cellStyle name="60% - Accent3 2 10" xfId="1681"/>
    <cellStyle name="60% - Accent3 2 10 2" xfId="16438"/>
    <cellStyle name="60% - Accent3 2 10 3" xfId="16437"/>
    <cellStyle name="60% - Accent3 2 11" xfId="2016"/>
    <cellStyle name="60% - Accent3 2 11 2" xfId="16440"/>
    <cellStyle name="60% - Accent3 2 11 3" xfId="16439"/>
    <cellStyle name="60% - Accent3 2 12" xfId="2390"/>
    <cellStyle name="60% - Accent3 2 12 2" xfId="16442"/>
    <cellStyle name="60% - Accent3 2 12 3" xfId="16441"/>
    <cellStyle name="60% - Accent3 2 13" xfId="2763"/>
    <cellStyle name="60% - Accent3 2 13 2" xfId="16444"/>
    <cellStyle name="60% - Accent3 2 13 3" xfId="16443"/>
    <cellStyle name="60% - Accent3 2 14" xfId="3137"/>
    <cellStyle name="60% - Accent3 2 14 2" xfId="16446"/>
    <cellStyle name="60% - Accent3 2 14 3" xfId="16445"/>
    <cellStyle name="60% - Accent3 2 15" xfId="3508"/>
    <cellStyle name="60% - Accent3 2 15 2" xfId="16448"/>
    <cellStyle name="60% - Accent3 2 15 3" xfId="16447"/>
    <cellStyle name="60% - Accent3 2 16" xfId="3646"/>
    <cellStyle name="60% - Accent3 2 16 2" xfId="16450"/>
    <cellStyle name="60% - Accent3 2 16 3" xfId="16449"/>
    <cellStyle name="60% - Accent3 2 17" xfId="16451"/>
    <cellStyle name="60% - Accent3 2 17 2" xfId="16452"/>
    <cellStyle name="60% - Accent3 2 18" xfId="16453"/>
    <cellStyle name="60% - Accent3 2 19" xfId="16436"/>
    <cellStyle name="60% - Accent3 2 2" xfId="126"/>
    <cellStyle name="60% - Accent3 2 2 2" xfId="181"/>
    <cellStyle name="60% - Accent3 2 2 2 2" xfId="16456"/>
    <cellStyle name="60% - Accent3 2 2 2 3" xfId="16455"/>
    <cellStyle name="60% - Accent3 2 2 3" xfId="345"/>
    <cellStyle name="60% - Accent3 2 2 3 2" xfId="16458"/>
    <cellStyle name="60% - Accent3 2 2 3 3" xfId="16457"/>
    <cellStyle name="60% - Accent3 2 2 4" xfId="2167"/>
    <cellStyle name="60% - Accent3 2 2 4 2" xfId="16460"/>
    <cellStyle name="60% - Accent3 2 2 4 3" xfId="16459"/>
    <cellStyle name="60% - Accent3 2 2 5" xfId="2541"/>
    <cellStyle name="60% - Accent3 2 2 5 2" xfId="16462"/>
    <cellStyle name="60% - Accent3 2 2 5 3" xfId="16461"/>
    <cellStyle name="60% - Accent3 2 2 6" xfId="2913"/>
    <cellStyle name="60% - Accent3 2 2 6 2" xfId="16464"/>
    <cellStyle name="60% - Accent3 2 2 6 3" xfId="16463"/>
    <cellStyle name="60% - Accent3 2 2 7" xfId="3285"/>
    <cellStyle name="60% - Accent3 2 2 7 2" xfId="16466"/>
    <cellStyle name="60% - Accent3 2 2 7 3" xfId="16465"/>
    <cellStyle name="60% - Accent3 2 2 8" xfId="16467"/>
    <cellStyle name="60% - Accent3 2 2 9" xfId="16454"/>
    <cellStyle name="60% - Accent3 2 20" xfId="24480"/>
    <cellStyle name="60% - Accent3 2 3" xfId="291"/>
    <cellStyle name="60% - Accent3 2 3 2" xfId="1343"/>
    <cellStyle name="60% - Accent3 2 3 2 2" xfId="16469"/>
    <cellStyle name="60% - Accent3 2 3 3" xfId="16468"/>
    <cellStyle name="60% - Accent3 2 4" xfId="414"/>
    <cellStyle name="60% - Accent3 2 4 2" xfId="16471"/>
    <cellStyle name="60% - Accent3 2 4 3" xfId="16470"/>
    <cellStyle name="60% - Accent3 2 5" xfId="561"/>
    <cellStyle name="60% - Accent3 2 5 2" xfId="16473"/>
    <cellStyle name="60% - Accent3 2 5 3" xfId="16472"/>
    <cellStyle name="60% - Accent3 2 6" xfId="698"/>
    <cellStyle name="60% - Accent3 2 6 2" xfId="16475"/>
    <cellStyle name="60% - Accent3 2 6 3" xfId="16474"/>
    <cellStyle name="60% - Accent3 2 7" xfId="699"/>
    <cellStyle name="60% - Accent3 2 7 2" xfId="16477"/>
    <cellStyle name="60% - Accent3 2 7 3" xfId="16476"/>
    <cellStyle name="60% - Accent3 2 8" xfId="842"/>
    <cellStyle name="60% - Accent3 2 8 2" xfId="1410"/>
    <cellStyle name="60% - Accent3 2 8 2 2" xfId="16479"/>
    <cellStyle name="60% - Accent3 2 8 3" xfId="16478"/>
    <cellStyle name="60% - Accent3 2 9" xfId="950"/>
    <cellStyle name="60% - Accent3 2 9 2" xfId="1566"/>
    <cellStyle name="60% - Accent3 2 9 2 2" xfId="16481"/>
    <cellStyle name="60% - Accent3 2 9 3" xfId="16480"/>
    <cellStyle name="60% - Accent3 3" xfId="222"/>
    <cellStyle name="60% - Accent3 3 10" xfId="3689"/>
    <cellStyle name="60% - Accent3 3 10 2" xfId="16484"/>
    <cellStyle name="60% - Accent3 3 10 3" xfId="16483"/>
    <cellStyle name="60% - Accent3 3 11" xfId="16485"/>
    <cellStyle name="60% - Accent3 3 11 2" xfId="16486"/>
    <cellStyle name="60% - Accent3 3 12" xfId="16487"/>
    <cellStyle name="60% - Accent3 3 13" xfId="16482"/>
    <cellStyle name="60% - Accent3 3 2" xfId="1462"/>
    <cellStyle name="60% - Accent3 3 2 2" xfId="1833"/>
    <cellStyle name="60% - Accent3 3 2 2 2" xfId="16490"/>
    <cellStyle name="60% - Accent3 3 2 2 3" xfId="16489"/>
    <cellStyle name="60% - Accent3 3 2 3" xfId="2208"/>
    <cellStyle name="60% - Accent3 3 2 3 2" xfId="16492"/>
    <cellStyle name="60% - Accent3 3 2 3 3" xfId="16491"/>
    <cellStyle name="60% - Accent3 3 2 4" xfId="2582"/>
    <cellStyle name="60% - Accent3 3 2 4 2" xfId="16494"/>
    <cellStyle name="60% - Accent3 3 2 4 3" xfId="16493"/>
    <cellStyle name="60% - Accent3 3 2 5" xfId="2954"/>
    <cellStyle name="60% - Accent3 3 2 5 2" xfId="16496"/>
    <cellStyle name="60% - Accent3 3 2 5 3" xfId="16495"/>
    <cellStyle name="60% - Accent3 3 2 6" xfId="3326"/>
    <cellStyle name="60% - Accent3 3 2 6 2" xfId="16498"/>
    <cellStyle name="60% - Accent3 3 2 6 3" xfId="16497"/>
    <cellStyle name="60% - Accent3 3 2 7" xfId="16499"/>
    <cellStyle name="60% - Accent3 3 2 8" xfId="16488"/>
    <cellStyle name="60% - Accent3 3 3" xfId="1589"/>
    <cellStyle name="60% - Accent3 3 3 2" xfId="1910"/>
    <cellStyle name="60% - Accent3 3 3 2 2" xfId="16502"/>
    <cellStyle name="60% - Accent3 3 3 2 3" xfId="16501"/>
    <cellStyle name="60% - Accent3 3 3 3" xfId="2285"/>
    <cellStyle name="60% - Accent3 3 3 3 2" xfId="16504"/>
    <cellStyle name="60% - Accent3 3 3 3 3" xfId="16503"/>
    <cellStyle name="60% - Accent3 3 3 4" xfId="2658"/>
    <cellStyle name="60% - Accent3 3 3 4 2" xfId="16506"/>
    <cellStyle name="60% - Accent3 3 3 4 3" xfId="16505"/>
    <cellStyle name="60% - Accent3 3 3 5" xfId="3031"/>
    <cellStyle name="60% - Accent3 3 3 5 2" xfId="16508"/>
    <cellStyle name="60% - Accent3 3 3 5 3" xfId="16507"/>
    <cellStyle name="60% - Accent3 3 3 6" xfId="3402"/>
    <cellStyle name="60% - Accent3 3 3 6 2" xfId="16510"/>
    <cellStyle name="60% - Accent3 3 3 6 3" xfId="16509"/>
    <cellStyle name="60% - Accent3 3 3 7" xfId="16511"/>
    <cellStyle name="60% - Accent3 3 3 8" xfId="16500"/>
    <cellStyle name="60% - Accent3 3 4" xfId="1726"/>
    <cellStyle name="60% - Accent3 3 4 2" xfId="1954"/>
    <cellStyle name="60% - Accent3 3 4 2 2" xfId="16514"/>
    <cellStyle name="60% - Accent3 3 4 2 3" xfId="16513"/>
    <cellStyle name="60% - Accent3 3 4 3" xfId="2329"/>
    <cellStyle name="60% - Accent3 3 4 3 2" xfId="16516"/>
    <cellStyle name="60% - Accent3 3 4 3 3" xfId="16515"/>
    <cellStyle name="60% - Accent3 3 4 4" xfId="2702"/>
    <cellStyle name="60% - Accent3 3 4 4 2" xfId="16518"/>
    <cellStyle name="60% - Accent3 3 4 4 3" xfId="16517"/>
    <cellStyle name="60% - Accent3 3 4 5" xfId="3075"/>
    <cellStyle name="60% - Accent3 3 4 5 2" xfId="16520"/>
    <cellStyle name="60% - Accent3 3 4 5 3" xfId="16519"/>
    <cellStyle name="60% - Accent3 3 4 6" xfId="3446"/>
    <cellStyle name="60% - Accent3 3 4 6 2" xfId="16522"/>
    <cellStyle name="60% - Accent3 3 4 6 3" xfId="16521"/>
    <cellStyle name="60% - Accent3 3 4 7" xfId="16523"/>
    <cellStyle name="60% - Accent3 3 4 8" xfId="16512"/>
    <cellStyle name="60% - Accent3 3 5" xfId="2061"/>
    <cellStyle name="60% - Accent3 3 5 2" xfId="16525"/>
    <cellStyle name="60% - Accent3 3 5 3" xfId="16524"/>
    <cellStyle name="60% - Accent3 3 6" xfId="2435"/>
    <cellStyle name="60% - Accent3 3 6 2" xfId="16527"/>
    <cellStyle name="60% - Accent3 3 6 3" xfId="16526"/>
    <cellStyle name="60% - Accent3 3 7" xfId="2807"/>
    <cellStyle name="60% - Accent3 3 7 2" xfId="16529"/>
    <cellStyle name="60% - Accent3 3 7 3" xfId="16528"/>
    <cellStyle name="60% - Accent3 3 8" xfId="3178"/>
    <cellStyle name="60% - Accent3 3 8 2" xfId="16531"/>
    <cellStyle name="60% - Accent3 3 8 3" xfId="16530"/>
    <cellStyle name="60% - Accent3 3 9" xfId="3553"/>
    <cellStyle name="60% - Accent3 3 9 2" xfId="16533"/>
    <cellStyle name="60% - Accent3 3 9 3" xfId="16532"/>
    <cellStyle name="60% - Accent3 4" xfId="249"/>
    <cellStyle name="60% - Accent3 4 10" xfId="3733"/>
    <cellStyle name="60% - Accent3 4 10 2" xfId="16536"/>
    <cellStyle name="60% - Accent3 4 10 3" xfId="16535"/>
    <cellStyle name="60% - Accent3 4 11" xfId="1304"/>
    <cellStyle name="60% - Accent3 4 11 2" xfId="16538"/>
    <cellStyle name="60% - Accent3 4 11 3" xfId="16537"/>
    <cellStyle name="60% - Accent3 4 12" xfId="16539"/>
    <cellStyle name="60% - Accent3 4 13" xfId="16534"/>
    <cellStyle name="60% - Accent3 4 2" xfId="1507"/>
    <cellStyle name="60% - Accent3 4 2 2" xfId="16541"/>
    <cellStyle name="60% - Accent3 4 2 3" xfId="16540"/>
    <cellStyle name="60% - Accent3 4 3" xfId="1632"/>
    <cellStyle name="60% - Accent3 4 3 2" xfId="16543"/>
    <cellStyle name="60% - Accent3 4 3 3" xfId="16542"/>
    <cellStyle name="60% - Accent3 4 4" xfId="1747"/>
    <cellStyle name="60% - Accent3 4 4 2" xfId="16545"/>
    <cellStyle name="60% - Accent3 4 4 3" xfId="16544"/>
    <cellStyle name="60% - Accent3 4 5" xfId="2082"/>
    <cellStyle name="60% - Accent3 4 5 2" xfId="16547"/>
    <cellStyle name="60% - Accent3 4 5 3" xfId="16546"/>
    <cellStyle name="60% - Accent3 4 6" xfId="2456"/>
    <cellStyle name="60% - Accent3 4 6 2" xfId="16549"/>
    <cellStyle name="60% - Accent3 4 6 3" xfId="16548"/>
    <cellStyle name="60% - Accent3 4 7" xfId="2828"/>
    <cellStyle name="60% - Accent3 4 7 2" xfId="16551"/>
    <cellStyle name="60% - Accent3 4 7 3" xfId="16550"/>
    <cellStyle name="60% - Accent3 4 8" xfId="3199"/>
    <cellStyle name="60% - Accent3 4 8 2" xfId="16553"/>
    <cellStyle name="60% - Accent3 4 8 3" xfId="16552"/>
    <cellStyle name="60% - Accent3 4 9" xfId="3596"/>
    <cellStyle name="60% - Accent3 4 9 2" xfId="16555"/>
    <cellStyle name="60% - Accent3 4 9 3" xfId="16554"/>
    <cellStyle name="60% - Accent3 5" xfId="415"/>
    <cellStyle name="60% - Accent3 5 2" xfId="1771"/>
    <cellStyle name="60% - Accent3 5 2 2" xfId="16558"/>
    <cellStyle name="60% - Accent3 5 2 3" xfId="16557"/>
    <cellStyle name="60% - Accent3 5 3" xfId="2106"/>
    <cellStyle name="60% - Accent3 5 3 2" xfId="16560"/>
    <cellStyle name="60% - Accent3 5 3 3" xfId="16559"/>
    <cellStyle name="60% - Accent3 5 4" xfId="2480"/>
    <cellStyle name="60% - Accent3 5 4 2" xfId="16562"/>
    <cellStyle name="60% - Accent3 5 4 3" xfId="16561"/>
    <cellStyle name="60% - Accent3 5 5" xfId="2852"/>
    <cellStyle name="60% - Accent3 5 5 2" xfId="16564"/>
    <cellStyle name="60% - Accent3 5 5 3" xfId="16563"/>
    <cellStyle name="60% - Accent3 5 6" xfId="3223"/>
    <cellStyle name="60% - Accent3 5 6 2" xfId="16566"/>
    <cellStyle name="60% - Accent3 5 6 3" xfId="16565"/>
    <cellStyle name="60% - Accent3 5 7" xfId="16567"/>
    <cellStyle name="60% - Accent3 5 7 2" xfId="16568"/>
    <cellStyle name="60% - Accent3 5 8" xfId="16569"/>
    <cellStyle name="60% - Accent3 5 9" xfId="16556"/>
    <cellStyle name="60% - Accent3 6" xfId="416"/>
    <cellStyle name="60% - Accent3 6 10" xfId="16570"/>
    <cellStyle name="60% - Accent3 6 2" xfId="1983"/>
    <cellStyle name="60% - Accent3 6 2 2" xfId="16572"/>
    <cellStyle name="60% - Accent3 6 2 3" xfId="16571"/>
    <cellStyle name="60% - Accent3 6 3" xfId="2358"/>
    <cellStyle name="60% - Accent3 6 3 2" xfId="16574"/>
    <cellStyle name="60% - Accent3 6 3 3" xfId="16573"/>
    <cellStyle name="60% - Accent3 6 4" xfId="2731"/>
    <cellStyle name="60% - Accent3 6 4 2" xfId="16576"/>
    <cellStyle name="60% - Accent3 6 4 3" xfId="16575"/>
    <cellStyle name="60% - Accent3 6 5" xfId="3104"/>
    <cellStyle name="60% - Accent3 6 5 2" xfId="16578"/>
    <cellStyle name="60% - Accent3 6 5 3" xfId="16577"/>
    <cellStyle name="60% - Accent3 6 6" xfId="3475"/>
    <cellStyle name="60% - Accent3 6 6 2" xfId="16580"/>
    <cellStyle name="60% - Accent3 6 6 3" xfId="16579"/>
    <cellStyle name="60% - Accent3 6 7" xfId="3781"/>
    <cellStyle name="60% - Accent3 6 7 2" xfId="16582"/>
    <cellStyle name="60% - Accent3 6 7 3" xfId="16581"/>
    <cellStyle name="60% - Accent3 6 8" xfId="16583"/>
    <cellStyle name="60% - Accent3 6 8 2" xfId="16584"/>
    <cellStyle name="60% - Accent3 6 9" xfId="16585"/>
    <cellStyle name="60% - Accent3 7" xfId="417"/>
    <cellStyle name="60% - Accent3 7 2" xfId="16587"/>
    <cellStyle name="60% - Accent3 7 3" xfId="16586"/>
    <cellStyle name="60% - Accent3 8" xfId="562"/>
    <cellStyle name="60% - Accent3 8 2" xfId="16589"/>
    <cellStyle name="60% - Accent3 8 3" xfId="16588"/>
    <cellStyle name="60% - Accent3 9" xfId="563"/>
    <cellStyle name="60% - Accent3 9 2" xfId="16591"/>
    <cellStyle name="60% - Accent3 9 3" xfId="16590"/>
    <cellStyle name="60% - Accent4 10" xfId="700"/>
    <cellStyle name="60% - Accent4 10 2" xfId="16594"/>
    <cellStyle name="60% - Accent4 10 3" xfId="16593"/>
    <cellStyle name="60% - Accent4 11" xfId="701"/>
    <cellStyle name="60% - Accent4 11 2" xfId="16596"/>
    <cellStyle name="60% - Accent4 11 3" xfId="16595"/>
    <cellStyle name="60% - Accent4 12" xfId="843"/>
    <cellStyle name="60% - Accent4 12 2" xfId="16597"/>
    <cellStyle name="60% - Accent4 13" xfId="844"/>
    <cellStyle name="60% - Accent4 13 2" xfId="16592"/>
    <cellStyle name="60% - Accent4 14" xfId="951"/>
    <cellStyle name="60% - Accent4 2" xfId="83"/>
    <cellStyle name="60% - Accent4 2 10" xfId="1682"/>
    <cellStyle name="60% - Accent4 2 10 2" xfId="16600"/>
    <cellStyle name="60% - Accent4 2 10 3" xfId="16599"/>
    <cellStyle name="60% - Accent4 2 11" xfId="2017"/>
    <cellStyle name="60% - Accent4 2 11 2" xfId="16602"/>
    <cellStyle name="60% - Accent4 2 11 3" xfId="16601"/>
    <cellStyle name="60% - Accent4 2 12" xfId="2391"/>
    <cellStyle name="60% - Accent4 2 12 2" xfId="16604"/>
    <cellStyle name="60% - Accent4 2 12 3" xfId="16603"/>
    <cellStyle name="60% - Accent4 2 13" xfId="2764"/>
    <cellStyle name="60% - Accent4 2 13 2" xfId="16606"/>
    <cellStyle name="60% - Accent4 2 13 3" xfId="16605"/>
    <cellStyle name="60% - Accent4 2 14" xfId="3138"/>
    <cellStyle name="60% - Accent4 2 14 2" xfId="16608"/>
    <cellStyle name="60% - Accent4 2 14 3" xfId="16607"/>
    <cellStyle name="60% - Accent4 2 15" xfId="3509"/>
    <cellStyle name="60% - Accent4 2 15 2" xfId="16610"/>
    <cellStyle name="60% - Accent4 2 15 3" xfId="16609"/>
    <cellStyle name="60% - Accent4 2 16" xfId="3647"/>
    <cellStyle name="60% - Accent4 2 16 2" xfId="16612"/>
    <cellStyle name="60% - Accent4 2 16 3" xfId="16611"/>
    <cellStyle name="60% - Accent4 2 17" xfId="16613"/>
    <cellStyle name="60% - Accent4 2 17 2" xfId="16614"/>
    <cellStyle name="60% - Accent4 2 18" xfId="16615"/>
    <cellStyle name="60% - Accent4 2 19" xfId="16598"/>
    <cellStyle name="60% - Accent4 2 2" xfId="127"/>
    <cellStyle name="60% - Accent4 2 2 2" xfId="185"/>
    <cellStyle name="60% - Accent4 2 2 2 2" xfId="16618"/>
    <cellStyle name="60% - Accent4 2 2 2 3" xfId="16617"/>
    <cellStyle name="60% - Accent4 2 2 3" xfId="349"/>
    <cellStyle name="60% - Accent4 2 2 3 2" xfId="16620"/>
    <cellStyle name="60% - Accent4 2 2 3 3" xfId="16619"/>
    <cellStyle name="60% - Accent4 2 2 4" xfId="2171"/>
    <cellStyle name="60% - Accent4 2 2 4 2" xfId="16622"/>
    <cellStyle name="60% - Accent4 2 2 4 3" xfId="16621"/>
    <cellStyle name="60% - Accent4 2 2 5" xfId="2545"/>
    <cellStyle name="60% - Accent4 2 2 5 2" xfId="16624"/>
    <cellStyle name="60% - Accent4 2 2 5 3" xfId="16623"/>
    <cellStyle name="60% - Accent4 2 2 6" xfId="2917"/>
    <cellStyle name="60% - Accent4 2 2 6 2" xfId="16626"/>
    <cellStyle name="60% - Accent4 2 2 6 3" xfId="16625"/>
    <cellStyle name="60% - Accent4 2 2 7" xfId="3289"/>
    <cellStyle name="60% - Accent4 2 2 7 2" xfId="16628"/>
    <cellStyle name="60% - Accent4 2 2 7 3" xfId="16627"/>
    <cellStyle name="60% - Accent4 2 2 8" xfId="16629"/>
    <cellStyle name="60% - Accent4 2 2 9" xfId="16616"/>
    <cellStyle name="60% - Accent4 2 20" xfId="24481"/>
    <cellStyle name="60% - Accent4 2 3" xfId="292"/>
    <cellStyle name="60% - Accent4 2 3 2" xfId="1347"/>
    <cellStyle name="60% - Accent4 2 3 2 2" xfId="16631"/>
    <cellStyle name="60% - Accent4 2 3 3" xfId="16630"/>
    <cellStyle name="60% - Accent4 2 4" xfId="418"/>
    <cellStyle name="60% - Accent4 2 4 2" xfId="16633"/>
    <cellStyle name="60% - Accent4 2 4 3" xfId="16632"/>
    <cellStyle name="60% - Accent4 2 5" xfId="564"/>
    <cellStyle name="60% - Accent4 2 5 2" xfId="16635"/>
    <cellStyle name="60% - Accent4 2 5 3" xfId="16634"/>
    <cellStyle name="60% - Accent4 2 6" xfId="702"/>
    <cellStyle name="60% - Accent4 2 6 2" xfId="16637"/>
    <cellStyle name="60% - Accent4 2 6 3" xfId="16636"/>
    <cellStyle name="60% - Accent4 2 7" xfId="703"/>
    <cellStyle name="60% - Accent4 2 7 2" xfId="16639"/>
    <cellStyle name="60% - Accent4 2 7 3" xfId="16638"/>
    <cellStyle name="60% - Accent4 2 8" xfId="845"/>
    <cellStyle name="60% - Accent4 2 8 2" xfId="1411"/>
    <cellStyle name="60% - Accent4 2 8 2 2" xfId="16641"/>
    <cellStyle name="60% - Accent4 2 8 3" xfId="16640"/>
    <cellStyle name="60% - Accent4 2 9" xfId="952"/>
    <cellStyle name="60% - Accent4 2 9 2" xfId="1565"/>
    <cellStyle name="60% - Accent4 2 9 2 2" xfId="16643"/>
    <cellStyle name="60% - Accent4 2 9 3" xfId="16642"/>
    <cellStyle name="60% - Accent4 3" xfId="226"/>
    <cellStyle name="60% - Accent4 3 10" xfId="3690"/>
    <cellStyle name="60% - Accent4 3 10 2" xfId="16646"/>
    <cellStyle name="60% - Accent4 3 10 3" xfId="16645"/>
    <cellStyle name="60% - Accent4 3 11" xfId="16647"/>
    <cellStyle name="60% - Accent4 3 11 2" xfId="16648"/>
    <cellStyle name="60% - Accent4 3 12" xfId="16649"/>
    <cellStyle name="60% - Accent4 3 13" xfId="16644"/>
    <cellStyle name="60% - Accent4 3 2" xfId="1463"/>
    <cellStyle name="60% - Accent4 3 2 2" xfId="1837"/>
    <cellStyle name="60% - Accent4 3 2 2 2" xfId="16652"/>
    <cellStyle name="60% - Accent4 3 2 2 3" xfId="16651"/>
    <cellStyle name="60% - Accent4 3 2 3" xfId="2212"/>
    <cellStyle name="60% - Accent4 3 2 3 2" xfId="16654"/>
    <cellStyle name="60% - Accent4 3 2 3 3" xfId="16653"/>
    <cellStyle name="60% - Accent4 3 2 4" xfId="2586"/>
    <cellStyle name="60% - Accent4 3 2 4 2" xfId="16656"/>
    <cellStyle name="60% - Accent4 3 2 4 3" xfId="16655"/>
    <cellStyle name="60% - Accent4 3 2 5" xfId="2958"/>
    <cellStyle name="60% - Accent4 3 2 5 2" xfId="16658"/>
    <cellStyle name="60% - Accent4 3 2 5 3" xfId="16657"/>
    <cellStyle name="60% - Accent4 3 2 6" xfId="3330"/>
    <cellStyle name="60% - Accent4 3 2 6 2" xfId="16660"/>
    <cellStyle name="60% - Accent4 3 2 6 3" xfId="16659"/>
    <cellStyle name="60% - Accent4 3 2 7" xfId="16661"/>
    <cellStyle name="60% - Accent4 3 2 8" xfId="16650"/>
    <cellStyle name="60% - Accent4 3 3" xfId="1590"/>
    <cellStyle name="60% - Accent4 3 3 2" xfId="1914"/>
    <cellStyle name="60% - Accent4 3 3 2 2" xfId="16664"/>
    <cellStyle name="60% - Accent4 3 3 2 3" xfId="16663"/>
    <cellStyle name="60% - Accent4 3 3 3" xfId="2289"/>
    <cellStyle name="60% - Accent4 3 3 3 2" xfId="16666"/>
    <cellStyle name="60% - Accent4 3 3 3 3" xfId="16665"/>
    <cellStyle name="60% - Accent4 3 3 4" xfId="2662"/>
    <cellStyle name="60% - Accent4 3 3 4 2" xfId="16668"/>
    <cellStyle name="60% - Accent4 3 3 4 3" xfId="16667"/>
    <cellStyle name="60% - Accent4 3 3 5" xfId="3035"/>
    <cellStyle name="60% - Accent4 3 3 5 2" xfId="16670"/>
    <cellStyle name="60% - Accent4 3 3 5 3" xfId="16669"/>
    <cellStyle name="60% - Accent4 3 3 6" xfId="3406"/>
    <cellStyle name="60% - Accent4 3 3 6 2" xfId="16672"/>
    <cellStyle name="60% - Accent4 3 3 6 3" xfId="16671"/>
    <cellStyle name="60% - Accent4 3 3 7" xfId="16673"/>
    <cellStyle name="60% - Accent4 3 3 8" xfId="16662"/>
    <cellStyle name="60% - Accent4 3 4" xfId="1727"/>
    <cellStyle name="60% - Accent4 3 4 2" xfId="1958"/>
    <cellStyle name="60% - Accent4 3 4 2 2" xfId="16676"/>
    <cellStyle name="60% - Accent4 3 4 2 3" xfId="16675"/>
    <cellStyle name="60% - Accent4 3 4 3" xfId="2333"/>
    <cellStyle name="60% - Accent4 3 4 3 2" xfId="16678"/>
    <cellStyle name="60% - Accent4 3 4 3 3" xfId="16677"/>
    <cellStyle name="60% - Accent4 3 4 4" xfId="2706"/>
    <cellStyle name="60% - Accent4 3 4 4 2" xfId="16680"/>
    <cellStyle name="60% - Accent4 3 4 4 3" xfId="16679"/>
    <cellStyle name="60% - Accent4 3 4 5" xfId="3079"/>
    <cellStyle name="60% - Accent4 3 4 5 2" xfId="16682"/>
    <cellStyle name="60% - Accent4 3 4 5 3" xfId="16681"/>
    <cellStyle name="60% - Accent4 3 4 6" xfId="3450"/>
    <cellStyle name="60% - Accent4 3 4 6 2" xfId="16684"/>
    <cellStyle name="60% - Accent4 3 4 6 3" xfId="16683"/>
    <cellStyle name="60% - Accent4 3 4 7" xfId="16685"/>
    <cellStyle name="60% - Accent4 3 4 8" xfId="16674"/>
    <cellStyle name="60% - Accent4 3 5" xfId="2062"/>
    <cellStyle name="60% - Accent4 3 5 2" xfId="16687"/>
    <cellStyle name="60% - Accent4 3 5 3" xfId="16686"/>
    <cellStyle name="60% - Accent4 3 6" xfId="2436"/>
    <cellStyle name="60% - Accent4 3 6 2" xfId="16689"/>
    <cellStyle name="60% - Accent4 3 6 3" xfId="16688"/>
    <cellStyle name="60% - Accent4 3 7" xfId="2808"/>
    <cellStyle name="60% - Accent4 3 7 2" xfId="16691"/>
    <cellStyle name="60% - Accent4 3 7 3" xfId="16690"/>
    <cellStyle name="60% - Accent4 3 8" xfId="3179"/>
    <cellStyle name="60% - Accent4 3 8 2" xfId="16693"/>
    <cellStyle name="60% - Accent4 3 8 3" xfId="16692"/>
    <cellStyle name="60% - Accent4 3 9" xfId="3554"/>
    <cellStyle name="60% - Accent4 3 9 2" xfId="16695"/>
    <cellStyle name="60% - Accent4 3 9 3" xfId="16694"/>
    <cellStyle name="60% - Accent4 4" xfId="250"/>
    <cellStyle name="60% - Accent4 4 10" xfId="3734"/>
    <cellStyle name="60% - Accent4 4 10 2" xfId="16698"/>
    <cellStyle name="60% - Accent4 4 10 3" xfId="16697"/>
    <cellStyle name="60% - Accent4 4 11" xfId="1308"/>
    <cellStyle name="60% - Accent4 4 11 2" xfId="16700"/>
    <cellStyle name="60% - Accent4 4 11 3" xfId="16699"/>
    <cellStyle name="60% - Accent4 4 12" xfId="16701"/>
    <cellStyle name="60% - Accent4 4 13" xfId="16696"/>
    <cellStyle name="60% - Accent4 4 2" xfId="1508"/>
    <cellStyle name="60% - Accent4 4 2 2" xfId="16703"/>
    <cellStyle name="60% - Accent4 4 2 3" xfId="16702"/>
    <cellStyle name="60% - Accent4 4 3" xfId="1633"/>
    <cellStyle name="60% - Accent4 4 3 2" xfId="16705"/>
    <cellStyle name="60% - Accent4 4 3 3" xfId="16704"/>
    <cellStyle name="60% - Accent4 4 4" xfId="1792"/>
    <cellStyle name="60% - Accent4 4 4 2" xfId="16707"/>
    <cellStyle name="60% - Accent4 4 4 3" xfId="16706"/>
    <cellStyle name="60% - Accent4 4 5" xfId="2128"/>
    <cellStyle name="60% - Accent4 4 5 2" xfId="16709"/>
    <cellStyle name="60% - Accent4 4 5 3" xfId="16708"/>
    <cellStyle name="60% - Accent4 4 6" xfId="2502"/>
    <cellStyle name="60% - Accent4 4 6 2" xfId="16711"/>
    <cellStyle name="60% - Accent4 4 6 3" xfId="16710"/>
    <cellStyle name="60% - Accent4 4 7" xfId="2874"/>
    <cellStyle name="60% - Accent4 4 7 2" xfId="16713"/>
    <cellStyle name="60% - Accent4 4 7 3" xfId="16712"/>
    <cellStyle name="60% - Accent4 4 8" xfId="3245"/>
    <cellStyle name="60% - Accent4 4 8 2" xfId="16715"/>
    <cellStyle name="60% - Accent4 4 8 3" xfId="16714"/>
    <cellStyle name="60% - Accent4 4 9" xfId="3597"/>
    <cellStyle name="60% - Accent4 4 9 2" xfId="16717"/>
    <cellStyle name="60% - Accent4 4 9 3" xfId="16716"/>
    <cellStyle name="60% - Accent4 5" xfId="419"/>
    <cellStyle name="60% - Accent4 5 2" xfId="1873"/>
    <cellStyle name="60% - Accent4 5 2 2" xfId="16720"/>
    <cellStyle name="60% - Accent4 5 2 3" xfId="16719"/>
    <cellStyle name="60% - Accent4 5 3" xfId="2248"/>
    <cellStyle name="60% - Accent4 5 3 2" xfId="16722"/>
    <cellStyle name="60% - Accent4 5 3 3" xfId="16721"/>
    <cellStyle name="60% - Accent4 5 4" xfId="2622"/>
    <cellStyle name="60% - Accent4 5 4 2" xfId="16724"/>
    <cellStyle name="60% - Accent4 5 4 3" xfId="16723"/>
    <cellStyle name="60% - Accent4 5 5" xfId="2994"/>
    <cellStyle name="60% - Accent4 5 5 2" xfId="16726"/>
    <cellStyle name="60% - Accent4 5 5 3" xfId="16725"/>
    <cellStyle name="60% - Accent4 5 6" xfId="3366"/>
    <cellStyle name="60% - Accent4 5 6 2" xfId="16728"/>
    <cellStyle name="60% - Accent4 5 6 3" xfId="16727"/>
    <cellStyle name="60% - Accent4 5 7" xfId="16729"/>
    <cellStyle name="60% - Accent4 5 7 2" xfId="16730"/>
    <cellStyle name="60% - Accent4 5 8" xfId="16731"/>
    <cellStyle name="60% - Accent4 5 9" xfId="16718"/>
    <cellStyle name="60% - Accent4 6" xfId="420"/>
    <cellStyle name="60% - Accent4 6 10" xfId="16732"/>
    <cellStyle name="60% - Accent4 6 2" xfId="1984"/>
    <cellStyle name="60% - Accent4 6 2 2" xfId="16734"/>
    <cellStyle name="60% - Accent4 6 2 3" xfId="16733"/>
    <cellStyle name="60% - Accent4 6 3" xfId="2359"/>
    <cellStyle name="60% - Accent4 6 3 2" xfId="16736"/>
    <cellStyle name="60% - Accent4 6 3 3" xfId="16735"/>
    <cellStyle name="60% - Accent4 6 4" xfId="2732"/>
    <cellStyle name="60% - Accent4 6 4 2" xfId="16738"/>
    <cellStyle name="60% - Accent4 6 4 3" xfId="16737"/>
    <cellStyle name="60% - Accent4 6 5" xfId="3105"/>
    <cellStyle name="60% - Accent4 6 5 2" xfId="16740"/>
    <cellStyle name="60% - Accent4 6 5 3" xfId="16739"/>
    <cellStyle name="60% - Accent4 6 6" xfId="3476"/>
    <cellStyle name="60% - Accent4 6 6 2" xfId="16742"/>
    <cellStyle name="60% - Accent4 6 6 3" xfId="16741"/>
    <cellStyle name="60% - Accent4 6 7" xfId="3782"/>
    <cellStyle name="60% - Accent4 6 7 2" xfId="16744"/>
    <cellStyle name="60% - Accent4 6 7 3" xfId="16743"/>
    <cellStyle name="60% - Accent4 6 8" xfId="16745"/>
    <cellStyle name="60% - Accent4 6 8 2" xfId="16746"/>
    <cellStyle name="60% - Accent4 6 9" xfId="16747"/>
    <cellStyle name="60% - Accent4 7" xfId="421"/>
    <cellStyle name="60% - Accent4 7 2" xfId="16749"/>
    <cellStyle name="60% - Accent4 7 3" xfId="16748"/>
    <cellStyle name="60% - Accent4 8" xfId="565"/>
    <cellStyle name="60% - Accent4 8 2" xfId="16751"/>
    <cellStyle name="60% - Accent4 8 3" xfId="16750"/>
    <cellStyle name="60% - Accent4 9" xfId="566"/>
    <cellStyle name="60% - Accent4 9 2" xfId="16753"/>
    <cellStyle name="60% - Accent4 9 3" xfId="16752"/>
    <cellStyle name="60% - Accent5 10" xfId="704"/>
    <cellStyle name="60% - Accent5 10 2" xfId="16756"/>
    <cellStyle name="60% - Accent5 10 3" xfId="16755"/>
    <cellStyle name="60% - Accent5 11" xfId="705"/>
    <cellStyle name="60% - Accent5 11 2" xfId="16758"/>
    <cellStyle name="60% - Accent5 11 3" xfId="16757"/>
    <cellStyle name="60% - Accent5 12" xfId="846"/>
    <cellStyle name="60% - Accent5 12 2" xfId="16759"/>
    <cellStyle name="60% - Accent5 13" xfId="847"/>
    <cellStyle name="60% - Accent5 13 2" xfId="16754"/>
    <cellStyle name="60% - Accent5 14" xfId="953"/>
    <cellStyle name="60% - Accent5 2" xfId="84"/>
    <cellStyle name="60% - Accent5 2 10" xfId="1683"/>
    <cellStyle name="60% - Accent5 2 10 2" xfId="16762"/>
    <cellStyle name="60% - Accent5 2 10 3" xfId="16761"/>
    <cellStyle name="60% - Accent5 2 11" xfId="2018"/>
    <cellStyle name="60% - Accent5 2 11 2" xfId="16764"/>
    <cellStyle name="60% - Accent5 2 11 3" xfId="16763"/>
    <cellStyle name="60% - Accent5 2 12" xfId="2392"/>
    <cellStyle name="60% - Accent5 2 12 2" xfId="16766"/>
    <cellStyle name="60% - Accent5 2 12 3" xfId="16765"/>
    <cellStyle name="60% - Accent5 2 13" xfId="2765"/>
    <cellStyle name="60% - Accent5 2 13 2" xfId="16768"/>
    <cellStyle name="60% - Accent5 2 13 3" xfId="16767"/>
    <cellStyle name="60% - Accent5 2 14" xfId="3139"/>
    <cellStyle name="60% - Accent5 2 14 2" xfId="16770"/>
    <cellStyle name="60% - Accent5 2 14 3" xfId="16769"/>
    <cellStyle name="60% - Accent5 2 15" xfId="3510"/>
    <cellStyle name="60% - Accent5 2 15 2" xfId="16772"/>
    <cellStyle name="60% - Accent5 2 15 3" xfId="16771"/>
    <cellStyle name="60% - Accent5 2 16" xfId="3648"/>
    <cellStyle name="60% - Accent5 2 16 2" xfId="16774"/>
    <cellStyle name="60% - Accent5 2 16 3" xfId="16773"/>
    <cellStyle name="60% - Accent5 2 17" xfId="16775"/>
    <cellStyle name="60% - Accent5 2 17 2" xfId="16776"/>
    <cellStyle name="60% - Accent5 2 18" xfId="16777"/>
    <cellStyle name="60% - Accent5 2 19" xfId="16760"/>
    <cellStyle name="60% - Accent5 2 2" xfId="128"/>
    <cellStyle name="60% - Accent5 2 2 2" xfId="189"/>
    <cellStyle name="60% - Accent5 2 2 2 2" xfId="16780"/>
    <cellStyle name="60% - Accent5 2 2 2 3" xfId="16779"/>
    <cellStyle name="60% - Accent5 2 2 3" xfId="353"/>
    <cellStyle name="60% - Accent5 2 2 3 2" xfId="16782"/>
    <cellStyle name="60% - Accent5 2 2 3 3" xfId="16781"/>
    <cellStyle name="60% - Accent5 2 2 4" xfId="2175"/>
    <cellStyle name="60% - Accent5 2 2 4 2" xfId="16784"/>
    <cellStyle name="60% - Accent5 2 2 4 3" xfId="16783"/>
    <cellStyle name="60% - Accent5 2 2 5" xfId="2549"/>
    <cellStyle name="60% - Accent5 2 2 5 2" xfId="16786"/>
    <cellStyle name="60% - Accent5 2 2 5 3" xfId="16785"/>
    <cellStyle name="60% - Accent5 2 2 6" xfId="2921"/>
    <cellStyle name="60% - Accent5 2 2 6 2" xfId="16788"/>
    <cellStyle name="60% - Accent5 2 2 6 3" xfId="16787"/>
    <cellStyle name="60% - Accent5 2 2 7" xfId="3293"/>
    <cellStyle name="60% - Accent5 2 2 7 2" xfId="16790"/>
    <cellStyle name="60% - Accent5 2 2 7 3" xfId="16789"/>
    <cellStyle name="60% - Accent5 2 2 8" xfId="16791"/>
    <cellStyle name="60% - Accent5 2 2 9" xfId="16778"/>
    <cellStyle name="60% - Accent5 2 20" xfId="24482"/>
    <cellStyle name="60% - Accent5 2 3" xfId="293"/>
    <cellStyle name="60% - Accent5 2 3 2" xfId="1351"/>
    <cellStyle name="60% - Accent5 2 3 2 2" xfId="16793"/>
    <cellStyle name="60% - Accent5 2 3 3" xfId="16792"/>
    <cellStyle name="60% - Accent5 2 4" xfId="422"/>
    <cellStyle name="60% - Accent5 2 4 2" xfId="16795"/>
    <cellStyle name="60% - Accent5 2 4 3" xfId="16794"/>
    <cellStyle name="60% - Accent5 2 5" xfId="567"/>
    <cellStyle name="60% - Accent5 2 5 2" xfId="16797"/>
    <cellStyle name="60% - Accent5 2 5 3" xfId="16796"/>
    <cellStyle name="60% - Accent5 2 6" xfId="706"/>
    <cellStyle name="60% - Accent5 2 6 2" xfId="16799"/>
    <cellStyle name="60% - Accent5 2 6 3" xfId="16798"/>
    <cellStyle name="60% - Accent5 2 7" xfId="707"/>
    <cellStyle name="60% - Accent5 2 7 2" xfId="16801"/>
    <cellStyle name="60% - Accent5 2 7 3" xfId="16800"/>
    <cellStyle name="60% - Accent5 2 8" xfId="848"/>
    <cellStyle name="60% - Accent5 2 8 2" xfId="1412"/>
    <cellStyle name="60% - Accent5 2 8 2 2" xfId="16803"/>
    <cellStyle name="60% - Accent5 2 8 3" xfId="16802"/>
    <cellStyle name="60% - Accent5 2 9" xfId="954"/>
    <cellStyle name="60% - Accent5 2 9 2" xfId="1390"/>
    <cellStyle name="60% - Accent5 2 9 2 2" xfId="16805"/>
    <cellStyle name="60% - Accent5 2 9 3" xfId="16804"/>
    <cellStyle name="60% - Accent5 3" xfId="230"/>
    <cellStyle name="60% - Accent5 3 10" xfId="3691"/>
    <cellStyle name="60% - Accent5 3 10 2" xfId="16808"/>
    <cellStyle name="60% - Accent5 3 10 3" xfId="16807"/>
    <cellStyle name="60% - Accent5 3 11" xfId="16809"/>
    <cellStyle name="60% - Accent5 3 11 2" xfId="16810"/>
    <cellStyle name="60% - Accent5 3 12" xfId="16811"/>
    <cellStyle name="60% - Accent5 3 13" xfId="16806"/>
    <cellStyle name="60% - Accent5 3 2" xfId="1464"/>
    <cellStyle name="60% - Accent5 3 2 2" xfId="1841"/>
    <cellStyle name="60% - Accent5 3 2 2 2" xfId="16814"/>
    <cellStyle name="60% - Accent5 3 2 2 3" xfId="16813"/>
    <cellStyle name="60% - Accent5 3 2 3" xfId="2216"/>
    <cellStyle name="60% - Accent5 3 2 3 2" xfId="16816"/>
    <cellStyle name="60% - Accent5 3 2 3 3" xfId="16815"/>
    <cellStyle name="60% - Accent5 3 2 4" xfId="2590"/>
    <cellStyle name="60% - Accent5 3 2 4 2" xfId="16818"/>
    <cellStyle name="60% - Accent5 3 2 4 3" xfId="16817"/>
    <cellStyle name="60% - Accent5 3 2 5" xfId="2962"/>
    <cellStyle name="60% - Accent5 3 2 5 2" xfId="16820"/>
    <cellStyle name="60% - Accent5 3 2 5 3" xfId="16819"/>
    <cellStyle name="60% - Accent5 3 2 6" xfId="3334"/>
    <cellStyle name="60% - Accent5 3 2 6 2" xfId="16822"/>
    <cellStyle name="60% - Accent5 3 2 6 3" xfId="16821"/>
    <cellStyle name="60% - Accent5 3 2 7" xfId="16823"/>
    <cellStyle name="60% - Accent5 3 2 8" xfId="16812"/>
    <cellStyle name="60% - Accent5 3 3" xfId="1591"/>
    <cellStyle name="60% - Accent5 3 3 2" xfId="1918"/>
    <cellStyle name="60% - Accent5 3 3 2 2" xfId="16826"/>
    <cellStyle name="60% - Accent5 3 3 2 3" xfId="16825"/>
    <cellStyle name="60% - Accent5 3 3 3" xfId="2293"/>
    <cellStyle name="60% - Accent5 3 3 3 2" xfId="16828"/>
    <cellStyle name="60% - Accent5 3 3 3 3" xfId="16827"/>
    <cellStyle name="60% - Accent5 3 3 4" xfId="2666"/>
    <cellStyle name="60% - Accent5 3 3 4 2" xfId="16830"/>
    <cellStyle name="60% - Accent5 3 3 4 3" xfId="16829"/>
    <cellStyle name="60% - Accent5 3 3 5" xfId="3039"/>
    <cellStyle name="60% - Accent5 3 3 5 2" xfId="16832"/>
    <cellStyle name="60% - Accent5 3 3 5 3" xfId="16831"/>
    <cellStyle name="60% - Accent5 3 3 6" xfId="3410"/>
    <cellStyle name="60% - Accent5 3 3 6 2" xfId="16834"/>
    <cellStyle name="60% - Accent5 3 3 6 3" xfId="16833"/>
    <cellStyle name="60% - Accent5 3 3 7" xfId="16835"/>
    <cellStyle name="60% - Accent5 3 3 8" xfId="16824"/>
    <cellStyle name="60% - Accent5 3 4" xfId="1728"/>
    <cellStyle name="60% - Accent5 3 4 2" xfId="1962"/>
    <cellStyle name="60% - Accent5 3 4 2 2" xfId="16838"/>
    <cellStyle name="60% - Accent5 3 4 2 3" xfId="16837"/>
    <cellStyle name="60% - Accent5 3 4 3" xfId="2337"/>
    <cellStyle name="60% - Accent5 3 4 3 2" xfId="16840"/>
    <cellStyle name="60% - Accent5 3 4 3 3" xfId="16839"/>
    <cellStyle name="60% - Accent5 3 4 4" xfId="2710"/>
    <cellStyle name="60% - Accent5 3 4 4 2" xfId="16842"/>
    <cellStyle name="60% - Accent5 3 4 4 3" xfId="16841"/>
    <cellStyle name="60% - Accent5 3 4 5" xfId="3083"/>
    <cellStyle name="60% - Accent5 3 4 5 2" xfId="16844"/>
    <cellStyle name="60% - Accent5 3 4 5 3" xfId="16843"/>
    <cellStyle name="60% - Accent5 3 4 6" xfId="3454"/>
    <cellStyle name="60% - Accent5 3 4 6 2" xfId="16846"/>
    <cellStyle name="60% - Accent5 3 4 6 3" xfId="16845"/>
    <cellStyle name="60% - Accent5 3 4 7" xfId="16847"/>
    <cellStyle name="60% - Accent5 3 4 8" xfId="16836"/>
    <cellStyle name="60% - Accent5 3 5" xfId="2063"/>
    <cellStyle name="60% - Accent5 3 5 2" xfId="16849"/>
    <cellStyle name="60% - Accent5 3 5 3" xfId="16848"/>
    <cellStyle name="60% - Accent5 3 6" xfId="2437"/>
    <cellStyle name="60% - Accent5 3 6 2" xfId="16851"/>
    <cellStyle name="60% - Accent5 3 6 3" xfId="16850"/>
    <cellStyle name="60% - Accent5 3 7" xfId="2809"/>
    <cellStyle name="60% - Accent5 3 7 2" xfId="16853"/>
    <cellStyle name="60% - Accent5 3 7 3" xfId="16852"/>
    <cellStyle name="60% - Accent5 3 8" xfId="3180"/>
    <cellStyle name="60% - Accent5 3 8 2" xfId="16855"/>
    <cellStyle name="60% - Accent5 3 8 3" xfId="16854"/>
    <cellStyle name="60% - Accent5 3 9" xfId="3555"/>
    <cellStyle name="60% - Accent5 3 9 2" xfId="16857"/>
    <cellStyle name="60% - Accent5 3 9 3" xfId="16856"/>
    <cellStyle name="60% - Accent5 4" xfId="251"/>
    <cellStyle name="60% - Accent5 4 10" xfId="3735"/>
    <cellStyle name="60% - Accent5 4 10 2" xfId="16860"/>
    <cellStyle name="60% - Accent5 4 10 3" xfId="16859"/>
    <cellStyle name="60% - Accent5 4 11" xfId="1312"/>
    <cellStyle name="60% - Accent5 4 11 2" xfId="16862"/>
    <cellStyle name="60% - Accent5 4 11 3" xfId="16861"/>
    <cellStyle name="60% - Accent5 4 12" xfId="16863"/>
    <cellStyle name="60% - Accent5 4 13" xfId="16858"/>
    <cellStyle name="60% - Accent5 4 2" xfId="1509"/>
    <cellStyle name="60% - Accent5 4 2 2" xfId="16865"/>
    <cellStyle name="60% - Accent5 4 2 3" xfId="16864"/>
    <cellStyle name="60% - Accent5 4 3" xfId="1634"/>
    <cellStyle name="60% - Accent5 4 3 2" xfId="16867"/>
    <cellStyle name="60% - Accent5 4 3 3" xfId="16866"/>
    <cellStyle name="60% - Accent5 4 4" xfId="1791"/>
    <cellStyle name="60% - Accent5 4 4 2" xfId="16869"/>
    <cellStyle name="60% - Accent5 4 4 3" xfId="16868"/>
    <cellStyle name="60% - Accent5 4 5" xfId="2127"/>
    <cellStyle name="60% - Accent5 4 5 2" xfId="16871"/>
    <cellStyle name="60% - Accent5 4 5 3" xfId="16870"/>
    <cellStyle name="60% - Accent5 4 6" xfId="2501"/>
    <cellStyle name="60% - Accent5 4 6 2" xfId="16873"/>
    <cellStyle name="60% - Accent5 4 6 3" xfId="16872"/>
    <cellStyle name="60% - Accent5 4 7" xfId="2873"/>
    <cellStyle name="60% - Accent5 4 7 2" xfId="16875"/>
    <cellStyle name="60% - Accent5 4 7 3" xfId="16874"/>
    <cellStyle name="60% - Accent5 4 8" xfId="3244"/>
    <cellStyle name="60% - Accent5 4 8 2" xfId="16877"/>
    <cellStyle name="60% - Accent5 4 8 3" xfId="16876"/>
    <cellStyle name="60% - Accent5 4 9" xfId="3598"/>
    <cellStyle name="60% - Accent5 4 9 2" xfId="16879"/>
    <cellStyle name="60% - Accent5 4 9 3" xfId="16878"/>
    <cellStyle name="60% - Accent5 5" xfId="423"/>
    <cellStyle name="60% - Accent5 5 2" xfId="1858"/>
    <cellStyle name="60% - Accent5 5 2 2" xfId="16882"/>
    <cellStyle name="60% - Accent5 5 2 3" xfId="16881"/>
    <cellStyle name="60% - Accent5 5 3" xfId="2233"/>
    <cellStyle name="60% - Accent5 5 3 2" xfId="16884"/>
    <cellStyle name="60% - Accent5 5 3 3" xfId="16883"/>
    <cellStyle name="60% - Accent5 5 4" xfId="2607"/>
    <cellStyle name="60% - Accent5 5 4 2" xfId="16886"/>
    <cellStyle name="60% - Accent5 5 4 3" xfId="16885"/>
    <cellStyle name="60% - Accent5 5 5" xfId="2979"/>
    <cellStyle name="60% - Accent5 5 5 2" xfId="16888"/>
    <cellStyle name="60% - Accent5 5 5 3" xfId="16887"/>
    <cellStyle name="60% - Accent5 5 6" xfId="3351"/>
    <cellStyle name="60% - Accent5 5 6 2" xfId="16890"/>
    <cellStyle name="60% - Accent5 5 6 3" xfId="16889"/>
    <cellStyle name="60% - Accent5 5 7" xfId="16891"/>
    <cellStyle name="60% - Accent5 5 7 2" xfId="16892"/>
    <cellStyle name="60% - Accent5 5 8" xfId="16893"/>
    <cellStyle name="60% - Accent5 5 9" xfId="16880"/>
    <cellStyle name="60% - Accent5 6" xfId="424"/>
    <cellStyle name="60% - Accent5 6 10" xfId="16894"/>
    <cellStyle name="60% - Accent5 6 2" xfId="1985"/>
    <cellStyle name="60% - Accent5 6 2 2" xfId="16896"/>
    <cellStyle name="60% - Accent5 6 2 3" xfId="16895"/>
    <cellStyle name="60% - Accent5 6 3" xfId="2360"/>
    <cellStyle name="60% - Accent5 6 3 2" xfId="16898"/>
    <cellStyle name="60% - Accent5 6 3 3" xfId="16897"/>
    <cellStyle name="60% - Accent5 6 4" xfId="2733"/>
    <cellStyle name="60% - Accent5 6 4 2" xfId="16900"/>
    <cellStyle name="60% - Accent5 6 4 3" xfId="16899"/>
    <cellStyle name="60% - Accent5 6 5" xfId="3106"/>
    <cellStyle name="60% - Accent5 6 5 2" xfId="16902"/>
    <cellStyle name="60% - Accent5 6 5 3" xfId="16901"/>
    <cellStyle name="60% - Accent5 6 6" xfId="3477"/>
    <cellStyle name="60% - Accent5 6 6 2" xfId="16904"/>
    <cellStyle name="60% - Accent5 6 6 3" xfId="16903"/>
    <cellStyle name="60% - Accent5 6 7" xfId="3783"/>
    <cellStyle name="60% - Accent5 6 7 2" xfId="16906"/>
    <cellStyle name="60% - Accent5 6 7 3" xfId="16905"/>
    <cellStyle name="60% - Accent5 6 8" xfId="16907"/>
    <cellStyle name="60% - Accent5 6 8 2" xfId="16908"/>
    <cellStyle name="60% - Accent5 6 9" xfId="16909"/>
    <cellStyle name="60% - Accent5 7" xfId="425"/>
    <cellStyle name="60% - Accent5 7 2" xfId="16911"/>
    <cellStyle name="60% - Accent5 7 3" xfId="16910"/>
    <cellStyle name="60% - Accent5 8" xfId="568"/>
    <cellStyle name="60% - Accent5 8 2" xfId="16913"/>
    <cellStyle name="60% - Accent5 8 3" xfId="16912"/>
    <cellStyle name="60% - Accent5 9" xfId="569"/>
    <cellStyle name="60% - Accent5 9 2" xfId="16915"/>
    <cellStyle name="60% - Accent5 9 3" xfId="16914"/>
    <cellStyle name="60% - Accent6 10" xfId="708"/>
    <cellStyle name="60% - Accent6 10 2" xfId="16918"/>
    <cellStyle name="60% - Accent6 10 3" xfId="16917"/>
    <cellStyle name="60% - Accent6 11" xfId="709"/>
    <cellStyle name="60% - Accent6 11 2" xfId="16920"/>
    <cellStyle name="60% - Accent6 11 3" xfId="16919"/>
    <cellStyle name="60% - Accent6 12" xfId="849"/>
    <cellStyle name="60% - Accent6 12 2" xfId="16921"/>
    <cellStyle name="60% - Accent6 13" xfId="850"/>
    <cellStyle name="60% - Accent6 13 2" xfId="16916"/>
    <cellStyle name="60% - Accent6 14" xfId="955"/>
    <cellStyle name="60% - Accent6 2" xfId="85"/>
    <cellStyle name="60% - Accent6 2 10" xfId="1684"/>
    <cellStyle name="60% - Accent6 2 10 2" xfId="16924"/>
    <cellStyle name="60% - Accent6 2 10 3" xfId="16923"/>
    <cellStyle name="60% - Accent6 2 11" xfId="2019"/>
    <cellStyle name="60% - Accent6 2 11 2" xfId="16926"/>
    <cellStyle name="60% - Accent6 2 11 3" xfId="16925"/>
    <cellStyle name="60% - Accent6 2 12" xfId="2393"/>
    <cellStyle name="60% - Accent6 2 12 2" xfId="16928"/>
    <cellStyle name="60% - Accent6 2 12 3" xfId="16927"/>
    <cellStyle name="60% - Accent6 2 13" xfId="2766"/>
    <cellStyle name="60% - Accent6 2 13 2" xfId="16930"/>
    <cellStyle name="60% - Accent6 2 13 3" xfId="16929"/>
    <cellStyle name="60% - Accent6 2 14" xfId="3140"/>
    <cellStyle name="60% - Accent6 2 14 2" xfId="16932"/>
    <cellStyle name="60% - Accent6 2 14 3" xfId="16931"/>
    <cellStyle name="60% - Accent6 2 15" xfId="3511"/>
    <cellStyle name="60% - Accent6 2 15 2" xfId="16934"/>
    <cellStyle name="60% - Accent6 2 15 3" xfId="16933"/>
    <cellStyle name="60% - Accent6 2 16" xfId="3649"/>
    <cellStyle name="60% - Accent6 2 16 2" xfId="16936"/>
    <cellStyle name="60% - Accent6 2 16 3" xfId="16935"/>
    <cellStyle name="60% - Accent6 2 17" xfId="16937"/>
    <cellStyle name="60% - Accent6 2 17 2" xfId="16938"/>
    <cellStyle name="60% - Accent6 2 18" xfId="16939"/>
    <cellStyle name="60% - Accent6 2 19" xfId="16922"/>
    <cellStyle name="60% - Accent6 2 2" xfId="129"/>
    <cellStyle name="60% - Accent6 2 2 2" xfId="193"/>
    <cellStyle name="60% - Accent6 2 2 2 2" xfId="16942"/>
    <cellStyle name="60% - Accent6 2 2 2 3" xfId="16941"/>
    <cellStyle name="60% - Accent6 2 2 3" xfId="357"/>
    <cellStyle name="60% - Accent6 2 2 3 2" xfId="16944"/>
    <cellStyle name="60% - Accent6 2 2 3 3" xfId="16943"/>
    <cellStyle name="60% - Accent6 2 2 4" xfId="2179"/>
    <cellStyle name="60% - Accent6 2 2 4 2" xfId="16946"/>
    <cellStyle name="60% - Accent6 2 2 4 3" xfId="16945"/>
    <cellStyle name="60% - Accent6 2 2 5" xfId="2553"/>
    <cellStyle name="60% - Accent6 2 2 5 2" xfId="16948"/>
    <cellStyle name="60% - Accent6 2 2 5 3" xfId="16947"/>
    <cellStyle name="60% - Accent6 2 2 6" xfId="2925"/>
    <cellStyle name="60% - Accent6 2 2 6 2" xfId="16950"/>
    <cellStyle name="60% - Accent6 2 2 6 3" xfId="16949"/>
    <cellStyle name="60% - Accent6 2 2 7" xfId="3297"/>
    <cellStyle name="60% - Accent6 2 2 7 2" xfId="16952"/>
    <cellStyle name="60% - Accent6 2 2 7 3" xfId="16951"/>
    <cellStyle name="60% - Accent6 2 2 8" xfId="16953"/>
    <cellStyle name="60% - Accent6 2 2 9" xfId="16940"/>
    <cellStyle name="60% - Accent6 2 20" xfId="24483"/>
    <cellStyle name="60% - Accent6 2 3" xfId="294"/>
    <cellStyle name="60% - Accent6 2 3 2" xfId="1355"/>
    <cellStyle name="60% - Accent6 2 3 2 2" xfId="16955"/>
    <cellStyle name="60% - Accent6 2 3 3" xfId="16954"/>
    <cellStyle name="60% - Accent6 2 4" xfId="426"/>
    <cellStyle name="60% - Accent6 2 4 2" xfId="16957"/>
    <cellStyle name="60% - Accent6 2 4 3" xfId="16956"/>
    <cellStyle name="60% - Accent6 2 5" xfId="570"/>
    <cellStyle name="60% - Accent6 2 5 2" xfId="16959"/>
    <cellStyle name="60% - Accent6 2 5 3" xfId="16958"/>
    <cellStyle name="60% - Accent6 2 6" xfId="710"/>
    <cellStyle name="60% - Accent6 2 6 2" xfId="16961"/>
    <cellStyle name="60% - Accent6 2 6 3" xfId="16960"/>
    <cellStyle name="60% - Accent6 2 7" xfId="711"/>
    <cellStyle name="60% - Accent6 2 7 2" xfId="16963"/>
    <cellStyle name="60% - Accent6 2 7 3" xfId="16962"/>
    <cellStyle name="60% - Accent6 2 8" xfId="851"/>
    <cellStyle name="60% - Accent6 2 8 2" xfId="1413"/>
    <cellStyle name="60% - Accent6 2 8 2 2" xfId="16965"/>
    <cellStyle name="60% - Accent6 2 8 3" xfId="16964"/>
    <cellStyle name="60% - Accent6 2 9" xfId="956"/>
    <cellStyle name="60% - Accent6 2 9 2" xfId="1564"/>
    <cellStyle name="60% - Accent6 2 9 2 2" xfId="16967"/>
    <cellStyle name="60% - Accent6 2 9 3" xfId="16966"/>
    <cellStyle name="60% - Accent6 3" xfId="234"/>
    <cellStyle name="60% - Accent6 3 10" xfId="3692"/>
    <cellStyle name="60% - Accent6 3 10 2" xfId="16970"/>
    <cellStyle name="60% - Accent6 3 10 3" xfId="16969"/>
    <cellStyle name="60% - Accent6 3 11" xfId="16971"/>
    <cellStyle name="60% - Accent6 3 11 2" xfId="16972"/>
    <cellStyle name="60% - Accent6 3 12" xfId="16973"/>
    <cellStyle name="60% - Accent6 3 13" xfId="16968"/>
    <cellStyle name="60% - Accent6 3 2" xfId="1465"/>
    <cellStyle name="60% - Accent6 3 2 2" xfId="1845"/>
    <cellStyle name="60% - Accent6 3 2 2 2" xfId="16976"/>
    <cellStyle name="60% - Accent6 3 2 2 3" xfId="16975"/>
    <cellStyle name="60% - Accent6 3 2 3" xfId="2220"/>
    <cellStyle name="60% - Accent6 3 2 3 2" xfId="16978"/>
    <cellStyle name="60% - Accent6 3 2 3 3" xfId="16977"/>
    <cellStyle name="60% - Accent6 3 2 4" xfId="2594"/>
    <cellStyle name="60% - Accent6 3 2 4 2" xfId="16980"/>
    <cellStyle name="60% - Accent6 3 2 4 3" xfId="16979"/>
    <cellStyle name="60% - Accent6 3 2 5" xfId="2966"/>
    <cellStyle name="60% - Accent6 3 2 5 2" xfId="16982"/>
    <cellStyle name="60% - Accent6 3 2 5 3" xfId="16981"/>
    <cellStyle name="60% - Accent6 3 2 6" xfId="3338"/>
    <cellStyle name="60% - Accent6 3 2 6 2" xfId="16984"/>
    <cellStyle name="60% - Accent6 3 2 6 3" xfId="16983"/>
    <cellStyle name="60% - Accent6 3 2 7" xfId="16985"/>
    <cellStyle name="60% - Accent6 3 2 8" xfId="16974"/>
    <cellStyle name="60% - Accent6 3 3" xfId="1592"/>
    <cellStyle name="60% - Accent6 3 3 2" xfId="1922"/>
    <cellStyle name="60% - Accent6 3 3 2 2" xfId="16988"/>
    <cellStyle name="60% - Accent6 3 3 2 3" xfId="16987"/>
    <cellStyle name="60% - Accent6 3 3 3" xfId="2297"/>
    <cellStyle name="60% - Accent6 3 3 3 2" xfId="16990"/>
    <cellStyle name="60% - Accent6 3 3 3 3" xfId="16989"/>
    <cellStyle name="60% - Accent6 3 3 4" xfId="2670"/>
    <cellStyle name="60% - Accent6 3 3 4 2" xfId="16992"/>
    <cellStyle name="60% - Accent6 3 3 4 3" xfId="16991"/>
    <cellStyle name="60% - Accent6 3 3 5" xfId="3043"/>
    <cellStyle name="60% - Accent6 3 3 5 2" xfId="16994"/>
    <cellStyle name="60% - Accent6 3 3 5 3" xfId="16993"/>
    <cellStyle name="60% - Accent6 3 3 6" xfId="3414"/>
    <cellStyle name="60% - Accent6 3 3 6 2" xfId="16996"/>
    <cellStyle name="60% - Accent6 3 3 6 3" xfId="16995"/>
    <cellStyle name="60% - Accent6 3 3 7" xfId="16997"/>
    <cellStyle name="60% - Accent6 3 3 8" xfId="16986"/>
    <cellStyle name="60% - Accent6 3 4" xfId="1729"/>
    <cellStyle name="60% - Accent6 3 4 2" xfId="1966"/>
    <cellStyle name="60% - Accent6 3 4 2 2" xfId="17000"/>
    <cellStyle name="60% - Accent6 3 4 2 3" xfId="16999"/>
    <cellStyle name="60% - Accent6 3 4 3" xfId="2341"/>
    <cellStyle name="60% - Accent6 3 4 3 2" xfId="17002"/>
    <cellStyle name="60% - Accent6 3 4 3 3" xfId="17001"/>
    <cellStyle name="60% - Accent6 3 4 4" xfId="2714"/>
    <cellStyle name="60% - Accent6 3 4 4 2" xfId="17004"/>
    <cellStyle name="60% - Accent6 3 4 4 3" xfId="17003"/>
    <cellStyle name="60% - Accent6 3 4 5" xfId="3087"/>
    <cellStyle name="60% - Accent6 3 4 5 2" xfId="17006"/>
    <cellStyle name="60% - Accent6 3 4 5 3" xfId="17005"/>
    <cellStyle name="60% - Accent6 3 4 6" xfId="3458"/>
    <cellStyle name="60% - Accent6 3 4 6 2" xfId="17008"/>
    <cellStyle name="60% - Accent6 3 4 6 3" xfId="17007"/>
    <cellStyle name="60% - Accent6 3 4 7" xfId="17009"/>
    <cellStyle name="60% - Accent6 3 4 8" xfId="16998"/>
    <cellStyle name="60% - Accent6 3 5" xfId="2064"/>
    <cellStyle name="60% - Accent6 3 5 2" xfId="17011"/>
    <cellStyle name="60% - Accent6 3 5 3" xfId="17010"/>
    <cellStyle name="60% - Accent6 3 6" xfId="2438"/>
    <cellStyle name="60% - Accent6 3 6 2" xfId="17013"/>
    <cellStyle name="60% - Accent6 3 6 3" xfId="17012"/>
    <cellStyle name="60% - Accent6 3 7" xfId="2810"/>
    <cellStyle name="60% - Accent6 3 7 2" xfId="17015"/>
    <cellStyle name="60% - Accent6 3 7 3" xfId="17014"/>
    <cellStyle name="60% - Accent6 3 8" xfId="3181"/>
    <cellStyle name="60% - Accent6 3 8 2" xfId="17017"/>
    <cellStyle name="60% - Accent6 3 8 3" xfId="17016"/>
    <cellStyle name="60% - Accent6 3 9" xfId="3556"/>
    <cellStyle name="60% - Accent6 3 9 2" xfId="17019"/>
    <cellStyle name="60% - Accent6 3 9 3" xfId="17018"/>
    <cellStyle name="60% - Accent6 4" xfId="252"/>
    <cellStyle name="60% - Accent6 4 10" xfId="3736"/>
    <cellStyle name="60% - Accent6 4 10 2" xfId="17022"/>
    <cellStyle name="60% - Accent6 4 10 3" xfId="17021"/>
    <cellStyle name="60% - Accent6 4 11" xfId="1316"/>
    <cellStyle name="60% - Accent6 4 11 2" xfId="17024"/>
    <cellStyle name="60% - Accent6 4 11 3" xfId="17023"/>
    <cellStyle name="60% - Accent6 4 12" xfId="17025"/>
    <cellStyle name="60% - Accent6 4 13" xfId="17020"/>
    <cellStyle name="60% - Accent6 4 2" xfId="1510"/>
    <cellStyle name="60% - Accent6 4 2 2" xfId="17027"/>
    <cellStyle name="60% - Accent6 4 2 3" xfId="17026"/>
    <cellStyle name="60% - Accent6 4 3" xfId="1635"/>
    <cellStyle name="60% - Accent6 4 3 2" xfId="17029"/>
    <cellStyle name="60% - Accent6 4 3 3" xfId="17028"/>
    <cellStyle name="60% - Accent6 4 4" xfId="1790"/>
    <cellStyle name="60% - Accent6 4 4 2" xfId="17031"/>
    <cellStyle name="60% - Accent6 4 4 3" xfId="17030"/>
    <cellStyle name="60% - Accent6 4 5" xfId="2126"/>
    <cellStyle name="60% - Accent6 4 5 2" xfId="17033"/>
    <cellStyle name="60% - Accent6 4 5 3" xfId="17032"/>
    <cellStyle name="60% - Accent6 4 6" xfId="2500"/>
    <cellStyle name="60% - Accent6 4 6 2" xfId="17035"/>
    <cellStyle name="60% - Accent6 4 6 3" xfId="17034"/>
    <cellStyle name="60% - Accent6 4 7" xfId="2872"/>
    <cellStyle name="60% - Accent6 4 7 2" xfId="17037"/>
    <cellStyle name="60% - Accent6 4 7 3" xfId="17036"/>
    <cellStyle name="60% - Accent6 4 8" xfId="3243"/>
    <cellStyle name="60% - Accent6 4 8 2" xfId="17039"/>
    <cellStyle name="60% - Accent6 4 8 3" xfId="17038"/>
    <cellStyle name="60% - Accent6 4 9" xfId="3599"/>
    <cellStyle name="60% - Accent6 4 9 2" xfId="17041"/>
    <cellStyle name="60% - Accent6 4 9 3" xfId="17040"/>
    <cellStyle name="60% - Accent6 5" xfId="427"/>
    <cellStyle name="60% - Accent6 5 2" xfId="1877"/>
    <cellStyle name="60% - Accent6 5 2 2" xfId="17044"/>
    <cellStyle name="60% - Accent6 5 2 3" xfId="17043"/>
    <cellStyle name="60% - Accent6 5 3" xfId="2252"/>
    <cellStyle name="60% - Accent6 5 3 2" xfId="17046"/>
    <cellStyle name="60% - Accent6 5 3 3" xfId="17045"/>
    <cellStyle name="60% - Accent6 5 4" xfId="2625"/>
    <cellStyle name="60% - Accent6 5 4 2" xfId="17048"/>
    <cellStyle name="60% - Accent6 5 4 3" xfId="17047"/>
    <cellStyle name="60% - Accent6 5 5" xfId="2998"/>
    <cellStyle name="60% - Accent6 5 5 2" xfId="17050"/>
    <cellStyle name="60% - Accent6 5 5 3" xfId="17049"/>
    <cellStyle name="60% - Accent6 5 6" xfId="3369"/>
    <cellStyle name="60% - Accent6 5 6 2" xfId="17052"/>
    <cellStyle name="60% - Accent6 5 6 3" xfId="17051"/>
    <cellStyle name="60% - Accent6 5 7" xfId="17053"/>
    <cellStyle name="60% - Accent6 5 7 2" xfId="17054"/>
    <cellStyle name="60% - Accent6 5 8" xfId="17055"/>
    <cellStyle name="60% - Accent6 5 9" xfId="17042"/>
    <cellStyle name="60% - Accent6 6" xfId="428"/>
    <cellStyle name="60% - Accent6 6 10" xfId="17056"/>
    <cellStyle name="60% - Accent6 6 2" xfId="1986"/>
    <cellStyle name="60% - Accent6 6 2 2" xfId="17058"/>
    <cellStyle name="60% - Accent6 6 2 3" xfId="17057"/>
    <cellStyle name="60% - Accent6 6 3" xfId="2361"/>
    <cellStyle name="60% - Accent6 6 3 2" xfId="17060"/>
    <cellStyle name="60% - Accent6 6 3 3" xfId="17059"/>
    <cellStyle name="60% - Accent6 6 4" xfId="2734"/>
    <cellStyle name="60% - Accent6 6 4 2" xfId="17062"/>
    <cellStyle name="60% - Accent6 6 4 3" xfId="17061"/>
    <cellStyle name="60% - Accent6 6 5" xfId="3107"/>
    <cellStyle name="60% - Accent6 6 5 2" xfId="17064"/>
    <cellStyle name="60% - Accent6 6 5 3" xfId="17063"/>
    <cellStyle name="60% - Accent6 6 6" xfId="3478"/>
    <cellStyle name="60% - Accent6 6 6 2" xfId="17066"/>
    <cellStyle name="60% - Accent6 6 6 3" xfId="17065"/>
    <cellStyle name="60% - Accent6 6 7" xfId="3784"/>
    <cellStyle name="60% - Accent6 6 7 2" xfId="17068"/>
    <cellStyle name="60% - Accent6 6 7 3" xfId="17067"/>
    <cellStyle name="60% - Accent6 6 8" xfId="17069"/>
    <cellStyle name="60% - Accent6 6 8 2" xfId="17070"/>
    <cellStyle name="60% - Accent6 6 9" xfId="17071"/>
    <cellStyle name="60% - Accent6 7" xfId="429"/>
    <cellStyle name="60% - Accent6 7 2" xfId="17073"/>
    <cellStyle name="60% - Accent6 7 3" xfId="17072"/>
    <cellStyle name="60% - Accent6 8" xfId="571"/>
    <cellStyle name="60% - Accent6 8 2" xfId="17075"/>
    <cellStyle name="60% - Accent6 8 3" xfId="17074"/>
    <cellStyle name="60% - Accent6 9" xfId="572"/>
    <cellStyle name="60% - Accent6 9 2" xfId="17077"/>
    <cellStyle name="60% - Accent6 9 3" xfId="17076"/>
    <cellStyle name="Accent1 10" xfId="712"/>
    <cellStyle name="Accent1 10 2" xfId="17080"/>
    <cellStyle name="Accent1 10 3" xfId="17079"/>
    <cellStyle name="Accent1 11" xfId="713"/>
    <cellStyle name="Accent1 11 2" xfId="17082"/>
    <cellStyle name="Accent1 11 3" xfId="17081"/>
    <cellStyle name="Accent1 12" xfId="852"/>
    <cellStyle name="Accent1 12 2" xfId="17083"/>
    <cellStyle name="Accent1 13" xfId="853"/>
    <cellStyle name="Accent1 13 2" xfId="17078"/>
    <cellStyle name="Accent1 14" xfId="957"/>
    <cellStyle name="Accent1 2" xfId="86"/>
    <cellStyle name="Accent1 2 10" xfId="1685"/>
    <cellStyle name="Accent1 2 10 2" xfId="17086"/>
    <cellStyle name="Accent1 2 10 3" xfId="17085"/>
    <cellStyle name="Accent1 2 11" xfId="2020"/>
    <cellStyle name="Accent1 2 11 2" xfId="17088"/>
    <cellStyle name="Accent1 2 11 3" xfId="17087"/>
    <cellStyle name="Accent1 2 12" xfId="2394"/>
    <cellStyle name="Accent1 2 12 2" xfId="17090"/>
    <cellStyle name="Accent1 2 12 3" xfId="17089"/>
    <cellStyle name="Accent1 2 13" xfId="2767"/>
    <cellStyle name="Accent1 2 13 2" xfId="17092"/>
    <cellStyle name="Accent1 2 13 3" xfId="17091"/>
    <cellStyle name="Accent1 2 14" xfId="3141"/>
    <cellStyle name="Accent1 2 14 2" xfId="17094"/>
    <cellStyle name="Accent1 2 14 3" xfId="17093"/>
    <cellStyle name="Accent1 2 15" xfId="3512"/>
    <cellStyle name="Accent1 2 15 2" xfId="17096"/>
    <cellStyle name="Accent1 2 15 3" xfId="17095"/>
    <cellStyle name="Accent1 2 16" xfId="3650"/>
    <cellStyle name="Accent1 2 16 2" xfId="17098"/>
    <cellStyle name="Accent1 2 16 3" xfId="17097"/>
    <cellStyle name="Accent1 2 17" xfId="17099"/>
    <cellStyle name="Accent1 2 17 2" xfId="17100"/>
    <cellStyle name="Accent1 2 18" xfId="17101"/>
    <cellStyle name="Accent1 2 19" xfId="17084"/>
    <cellStyle name="Accent1 2 2" xfId="130"/>
    <cellStyle name="Accent1 2 2 2" xfId="170"/>
    <cellStyle name="Accent1 2 2 2 2" xfId="17104"/>
    <cellStyle name="Accent1 2 2 2 3" xfId="17103"/>
    <cellStyle name="Accent1 2 2 3" xfId="334"/>
    <cellStyle name="Accent1 2 2 3 2" xfId="17106"/>
    <cellStyle name="Accent1 2 2 3 3" xfId="17105"/>
    <cellStyle name="Accent1 2 2 4" xfId="2156"/>
    <cellStyle name="Accent1 2 2 4 2" xfId="17108"/>
    <cellStyle name="Accent1 2 2 4 3" xfId="17107"/>
    <cellStyle name="Accent1 2 2 5" xfId="2530"/>
    <cellStyle name="Accent1 2 2 5 2" xfId="17110"/>
    <cellStyle name="Accent1 2 2 5 3" xfId="17109"/>
    <cellStyle name="Accent1 2 2 6" xfId="2902"/>
    <cellStyle name="Accent1 2 2 6 2" xfId="17112"/>
    <cellStyle name="Accent1 2 2 6 3" xfId="17111"/>
    <cellStyle name="Accent1 2 2 7" xfId="3274"/>
    <cellStyle name="Accent1 2 2 7 2" xfId="17114"/>
    <cellStyle name="Accent1 2 2 7 3" xfId="17113"/>
    <cellStyle name="Accent1 2 2 8" xfId="17115"/>
    <cellStyle name="Accent1 2 2 9" xfId="17102"/>
    <cellStyle name="Accent1 2 20" xfId="24484"/>
    <cellStyle name="Accent1 2 3" xfId="295"/>
    <cellStyle name="Accent1 2 3 2" xfId="1332"/>
    <cellStyle name="Accent1 2 3 2 2" xfId="17117"/>
    <cellStyle name="Accent1 2 3 3" xfId="17116"/>
    <cellStyle name="Accent1 2 4" xfId="430"/>
    <cellStyle name="Accent1 2 4 2" xfId="17119"/>
    <cellStyle name="Accent1 2 4 3" xfId="17118"/>
    <cellStyle name="Accent1 2 5" xfId="573"/>
    <cellStyle name="Accent1 2 5 2" xfId="17121"/>
    <cellStyle name="Accent1 2 5 3" xfId="17120"/>
    <cellStyle name="Accent1 2 6" xfId="714"/>
    <cellStyle name="Accent1 2 6 2" xfId="17123"/>
    <cellStyle name="Accent1 2 6 3" xfId="17122"/>
    <cellStyle name="Accent1 2 7" xfId="715"/>
    <cellStyle name="Accent1 2 7 2" xfId="17125"/>
    <cellStyle name="Accent1 2 7 3" xfId="17124"/>
    <cellStyle name="Accent1 2 8" xfId="854"/>
    <cellStyle name="Accent1 2 8 2" xfId="1414"/>
    <cellStyle name="Accent1 2 8 2 2" xfId="17127"/>
    <cellStyle name="Accent1 2 8 3" xfId="17126"/>
    <cellStyle name="Accent1 2 9" xfId="958"/>
    <cellStyle name="Accent1 2 9 2" xfId="1563"/>
    <cellStyle name="Accent1 2 9 2 2" xfId="17129"/>
    <cellStyle name="Accent1 2 9 3" xfId="17128"/>
    <cellStyle name="Accent1 3" xfId="211"/>
    <cellStyle name="Accent1 3 10" xfId="3693"/>
    <cellStyle name="Accent1 3 10 2" xfId="17132"/>
    <cellStyle name="Accent1 3 10 3" xfId="17131"/>
    <cellStyle name="Accent1 3 11" xfId="17133"/>
    <cellStyle name="Accent1 3 11 2" xfId="17134"/>
    <cellStyle name="Accent1 3 12" xfId="17135"/>
    <cellStyle name="Accent1 3 13" xfId="17130"/>
    <cellStyle name="Accent1 3 2" xfId="1466"/>
    <cellStyle name="Accent1 3 2 2" xfId="1822"/>
    <cellStyle name="Accent1 3 2 2 2" xfId="17138"/>
    <cellStyle name="Accent1 3 2 2 3" xfId="17137"/>
    <cellStyle name="Accent1 3 2 3" xfId="2197"/>
    <cellStyle name="Accent1 3 2 3 2" xfId="17140"/>
    <cellStyle name="Accent1 3 2 3 3" xfId="17139"/>
    <cellStyle name="Accent1 3 2 4" xfId="2571"/>
    <cellStyle name="Accent1 3 2 4 2" xfId="17142"/>
    <cellStyle name="Accent1 3 2 4 3" xfId="17141"/>
    <cellStyle name="Accent1 3 2 5" xfId="2943"/>
    <cellStyle name="Accent1 3 2 5 2" xfId="17144"/>
    <cellStyle name="Accent1 3 2 5 3" xfId="17143"/>
    <cellStyle name="Accent1 3 2 6" xfId="3315"/>
    <cellStyle name="Accent1 3 2 6 2" xfId="17146"/>
    <cellStyle name="Accent1 3 2 6 3" xfId="17145"/>
    <cellStyle name="Accent1 3 2 7" xfId="17147"/>
    <cellStyle name="Accent1 3 2 8" xfId="17136"/>
    <cellStyle name="Accent1 3 3" xfId="1593"/>
    <cellStyle name="Accent1 3 3 2" xfId="1899"/>
    <cellStyle name="Accent1 3 3 2 2" xfId="17150"/>
    <cellStyle name="Accent1 3 3 2 3" xfId="17149"/>
    <cellStyle name="Accent1 3 3 3" xfId="2274"/>
    <cellStyle name="Accent1 3 3 3 2" xfId="17152"/>
    <cellStyle name="Accent1 3 3 3 3" xfId="17151"/>
    <cellStyle name="Accent1 3 3 4" xfId="2647"/>
    <cellStyle name="Accent1 3 3 4 2" xfId="17154"/>
    <cellStyle name="Accent1 3 3 4 3" xfId="17153"/>
    <cellStyle name="Accent1 3 3 5" xfId="3020"/>
    <cellStyle name="Accent1 3 3 5 2" xfId="17156"/>
    <cellStyle name="Accent1 3 3 5 3" xfId="17155"/>
    <cellStyle name="Accent1 3 3 6" xfId="3391"/>
    <cellStyle name="Accent1 3 3 6 2" xfId="17158"/>
    <cellStyle name="Accent1 3 3 6 3" xfId="17157"/>
    <cellStyle name="Accent1 3 3 7" xfId="17159"/>
    <cellStyle name="Accent1 3 3 8" xfId="17148"/>
    <cellStyle name="Accent1 3 4" xfId="1730"/>
    <cellStyle name="Accent1 3 4 2" xfId="1943"/>
    <cellStyle name="Accent1 3 4 2 2" xfId="17162"/>
    <cellStyle name="Accent1 3 4 2 3" xfId="17161"/>
    <cellStyle name="Accent1 3 4 3" xfId="2318"/>
    <cellStyle name="Accent1 3 4 3 2" xfId="17164"/>
    <cellStyle name="Accent1 3 4 3 3" xfId="17163"/>
    <cellStyle name="Accent1 3 4 4" xfId="2691"/>
    <cellStyle name="Accent1 3 4 4 2" xfId="17166"/>
    <cellStyle name="Accent1 3 4 4 3" xfId="17165"/>
    <cellStyle name="Accent1 3 4 5" xfId="3064"/>
    <cellStyle name="Accent1 3 4 5 2" xfId="17168"/>
    <cellStyle name="Accent1 3 4 5 3" xfId="17167"/>
    <cellStyle name="Accent1 3 4 6" xfId="3435"/>
    <cellStyle name="Accent1 3 4 6 2" xfId="17170"/>
    <cellStyle name="Accent1 3 4 6 3" xfId="17169"/>
    <cellStyle name="Accent1 3 4 7" xfId="17171"/>
    <cellStyle name="Accent1 3 4 8" xfId="17160"/>
    <cellStyle name="Accent1 3 5" xfId="2065"/>
    <cellStyle name="Accent1 3 5 2" xfId="17173"/>
    <cellStyle name="Accent1 3 5 3" xfId="17172"/>
    <cellStyle name="Accent1 3 6" xfId="2439"/>
    <cellStyle name="Accent1 3 6 2" xfId="17175"/>
    <cellStyle name="Accent1 3 6 3" xfId="17174"/>
    <cellStyle name="Accent1 3 7" xfId="2811"/>
    <cellStyle name="Accent1 3 7 2" xfId="17177"/>
    <cellStyle name="Accent1 3 7 3" xfId="17176"/>
    <cellStyle name="Accent1 3 8" xfId="3182"/>
    <cellStyle name="Accent1 3 8 2" xfId="17179"/>
    <cellStyle name="Accent1 3 8 3" xfId="17178"/>
    <cellStyle name="Accent1 3 9" xfId="3557"/>
    <cellStyle name="Accent1 3 9 2" xfId="17181"/>
    <cellStyle name="Accent1 3 9 3" xfId="17180"/>
    <cellStyle name="Accent1 4" xfId="253"/>
    <cellStyle name="Accent1 4 10" xfId="3737"/>
    <cellStyle name="Accent1 4 10 2" xfId="17184"/>
    <cellStyle name="Accent1 4 10 3" xfId="17183"/>
    <cellStyle name="Accent1 4 11" xfId="1293"/>
    <cellStyle name="Accent1 4 11 2" xfId="17186"/>
    <cellStyle name="Accent1 4 11 3" xfId="17185"/>
    <cellStyle name="Accent1 4 12" xfId="17187"/>
    <cellStyle name="Accent1 4 13" xfId="17182"/>
    <cellStyle name="Accent1 4 2" xfId="1511"/>
    <cellStyle name="Accent1 4 2 2" xfId="17189"/>
    <cellStyle name="Accent1 4 2 3" xfId="17188"/>
    <cellStyle name="Accent1 4 3" xfId="1636"/>
    <cellStyle name="Accent1 4 3 2" xfId="17191"/>
    <cellStyle name="Accent1 4 3 3" xfId="17190"/>
    <cellStyle name="Accent1 4 4" xfId="1789"/>
    <cellStyle name="Accent1 4 4 2" xfId="17193"/>
    <cellStyle name="Accent1 4 4 3" xfId="17192"/>
    <cellStyle name="Accent1 4 5" xfId="2125"/>
    <cellStyle name="Accent1 4 5 2" xfId="17195"/>
    <cellStyle name="Accent1 4 5 3" xfId="17194"/>
    <cellStyle name="Accent1 4 6" xfId="2499"/>
    <cellStyle name="Accent1 4 6 2" xfId="17197"/>
    <cellStyle name="Accent1 4 6 3" xfId="17196"/>
    <cellStyle name="Accent1 4 7" xfId="2871"/>
    <cellStyle name="Accent1 4 7 2" xfId="17199"/>
    <cellStyle name="Accent1 4 7 3" xfId="17198"/>
    <cellStyle name="Accent1 4 8" xfId="3242"/>
    <cellStyle name="Accent1 4 8 2" xfId="17201"/>
    <cellStyle name="Accent1 4 8 3" xfId="17200"/>
    <cellStyle name="Accent1 4 9" xfId="3600"/>
    <cellStyle name="Accent1 4 9 2" xfId="17203"/>
    <cellStyle name="Accent1 4 9 3" xfId="17202"/>
    <cellStyle name="Accent1 5" xfId="431"/>
    <cellStyle name="Accent1 5 2" xfId="1857"/>
    <cellStyle name="Accent1 5 2 2" xfId="17206"/>
    <cellStyle name="Accent1 5 2 3" xfId="17205"/>
    <cellStyle name="Accent1 5 3" xfId="2232"/>
    <cellStyle name="Accent1 5 3 2" xfId="17208"/>
    <cellStyle name="Accent1 5 3 3" xfId="17207"/>
    <cellStyle name="Accent1 5 4" xfId="2606"/>
    <cellStyle name="Accent1 5 4 2" xfId="17210"/>
    <cellStyle name="Accent1 5 4 3" xfId="17209"/>
    <cellStyle name="Accent1 5 5" xfId="2978"/>
    <cellStyle name="Accent1 5 5 2" xfId="17212"/>
    <cellStyle name="Accent1 5 5 3" xfId="17211"/>
    <cellStyle name="Accent1 5 6" xfId="3350"/>
    <cellStyle name="Accent1 5 6 2" xfId="17214"/>
    <cellStyle name="Accent1 5 6 3" xfId="17213"/>
    <cellStyle name="Accent1 5 7" xfId="17215"/>
    <cellStyle name="Accent1 5 7 2" xfId="17216"/>
    <cellStyle name="Accent1 5 8" xfId="17217"/>
    <cellStyle name="Accent1 5 9" xfId="17204"/>
    <cellStyle name="Accent1 6" xfId="432"/>
    <cellStyle name="Accent1 6 10" xfId="17218"/>
    <cellStyle name="Accent1 6 2" xfId="1987"/>
    <cellStyle name="Accent1 6 2 2" xfId="17220"/>
    <cellStyle name="Accent1 6 2 3" xfId="17219"/>
    <cellStyle name="Accent1 6 3" xfId="2362"/>
    <cellStyle name="Accent1 6 3 2" xfId="17222"/>
    <cellStyle name="Accent1 6 3 3" xfId="17221"/>
    <cellStyle name="Accent1 6 4" xfId="2735"/>
    <cellStyle name="Accent1 6 4 2" xfId="17224"/>
    <cellStyle name="Accent1 6 4 3" xfId="17223"/>
    <cellStyle name="Accent1 6 5" xfId="3108"/>
    <cellStyle name="Accent1 6 5 2" xfId="17226"/>
    <cellStyle name="Accent1 6 5 3" xfId="17225"/>
    <cellStyle name="Accent1 6 6" xfId="3479"/>
    <cellStyle name="Accent1 6 6 2" xfId="17228"/>
    <cellStyle name="Accent1 6 6 3" xfId="17227"/>
    <cellStyle name="Accent1 6 7" xfId="3785"/>
    <cellStyle name="Accent1 6 7 2" xfId="17230"/>
    <cellStyle name="Accent1 6 7 3" xfId="17229"/>
    <cellStyle name="Accent1 6 8" xfId="17231"/>
    <cellStyle name="Accent1 6 8 2" xfId="17232"/>
    <cellStyle name="Accent1 6 9" xfId="17233"/>
    <cellStyle name="Accent1 7" xfId="433"/>
    <cellStyle name="Accent1 7 2" xfId="17235"/>
    <cellStyle name="Accent1 7 3" xfId="17234"/>
    <cellStyle name="Accent1 8" xfId="574"/>
    <cellStyle name="Accent1 8 2" xfId="17237"/>
    <cellStyle name="Accent1 8 3" xfId="17236"/>
    <cellStyle name="Accent1 9" xfId="575"/>
    <cellStyle name="Accent1 9 2" xfId="17239"/>
    <cellStyle name="Accent1 9 3" xfId="17238"/>
    <cellStyle name="Accent2 10" xfId="716"/>
    <cellStyle name="Accent2 10 2" xfId="17242"/>
    <cellStyle name="Accent2 10 3" xfId="17241"/>
    <cellStyle name="Accent2 11" xfId="717"/>
    <cellStyle name="Accent2 11 2" xfId="17244"/>
    <cellStyle name="Accent2 11 3" xfId="17243"/>
    <cellStyle name="Accent2 12" xfId="855"/>
    <cellStyle name="Accent2 12 2" xfId="17245"/>
    <cellStyle name="Accent2 13" xfId="856"/>
    <cellStyle name="Accent2 13 2" xfId="17240"/>
    <cellStyle name="Accent2 14" xfId="959"/>
    <cellStyle name="Accent2 2" xfId="87"/>
    <cellStyle name="Accent2 2 10" xfId="1686"/>
    <cellStyle name="Accent2 2 10 2" xfId="17248"/>
    <cellStyle name="Accent2 2 10 3" xfId="17247"/>
    <cellStyle name="Accent2 2 11" xfId="2021"/>
    <cellStyle name="Accent2 2 11 2" xfId="17250"/>
    <cellStyle name="Accent2 2 11 3" xfId="17249"/>
    <cellStyle name="Accent2 2 12" xfId="2395"/>
    <cellStyle name="Accent2 2 12 2" xfId="17252"/>
    <cellStyle name="Accent2 2 12 3" xfId="17251"/>
    <cellStyle name="Accent2 2 13" xfId="2768"/>
    <cellStyle name="Accent2 2 13 2" xfId="17254"/>
    <cellStyle name="Accent2 2 13 3" xfId="17253"/>
    <cellStyle name="Accent2 2 14" xfId="3142"/>
    <cellStyle name="Accent2 2 14 2" xfId="17256"/>
    <cellStyle name="Accent2 2 14 3" xfId="17255"/>
    <cellStyle name="Accent2 2 15" xfId="3513"/>
    <cellStyle name="Accent2 2 15 2" xfId="17258"/>
    <cellStyle name="Accent2 2 15 3" xfId="17257"/>
    <cellStyle name="Accent2 2 16" xfId="3651"/>
    <cellStyle name="Accent2 2 16 2" xfId="17260"/>
    <cellStyle name="Accent2 2 16 3" xfId="17259"/>
    <cellStyle name="Accent2 2 17" xfId="17261"/>
    <cellStyle name="Accent2 2 17 2" xfId="17262"/>
    <cellStyle name="Accent2 2 18" xfId="17263"/>
    <cellStyle name="Accent2 2 19" xfId="17246"/>
    <cellStyle name="Accent2 2 2" xfId="131"/>
    <cellStyle name="Accent2 2 2 2" xfId="174"/>
    <cellStyle name="Accent2 2 2 2 2" xfId="17266"/>
    <cellStyle name="Accent2 2 2 2 3" xfId="17265"/>
    <cellStyle name="Accent2 2 2 3" xfId="338"/>
    <cellStyle name="Accent2 2 2 3 2" xfId="17268"/>
    <cellStyle name="Accent2 2 2 3 3" xfId="17267"/>
    <cellStyle name="Accent2 2 2 4" xfId="2160"/>
    <cellStyle name="Accent2 2 2 4 2" xfId="17270"/>
    <cellStyle name="Accent2 2 2 4 3" xfId="17269"/>
    <cellStyle name="Accent2 2 2 5" xfId="2534"/>
    <cellStyle name="Accent2 2 2 5 2" xfId="17272"/>
    <cellStyle name="Accent2 2 2 5 3" xfId="17271"/>
    <cellStyle name="Accent2 2 2 6" xfId="2906"/>
    <cellStyle name="Accent2 2 2 6 2" xfId="17274"/>
    <cellStyle name="Accent2 2 2 6 3" xfId="17273"/>
    <cellStyle name="Accent2 2 2 7" xfId="3278"/>
    <cellStyle name="Accent2 2 2 7 2" xfId="17276"/>
    <cellStyle name="Accent2 2 2 7 3" xfId="17275"/>
    <cellStyle name="Accent2 2 2 8" xfId="17277"/>
    <cellStyle name="Accent2 2 2 9" xfId="17264"/>
    <cellStyle name="Accent2 2 20" xfId="24485"/>
    <cellStyle name="Accent2 2 3" xfId="296"/>
    <cellStyle name="Accent2 2 3 2" xfId="1336"/>
    <cellStyle name="Accent2 2 3 2 2" xfId="17279"/>
    <cellStyle name="Accent2 2 3 3" xfId="17278"/>
    <cellStyle name="Accent2 2 4" xfId="434"/>
    <cellStyle name="Accent2 2 4 2" xfId="17281"/>
    <cellStyle name="Accent2 2 4 3" xfId="17280"/>
    <cellStyle name="Accent2 2 5" xfId="576"/>
    <cellStyle name="Accent2 2 5 2" xfId="17283"/>
    <cellStyle name="Accent2 2 5 3" xfId="17282"/>
    <cellStyle name="Accent2 2 6" xfId="718"/>
    <cellStyle name="Accent2 2 6 2" xfId="17285"/>
    <cellStyle name="Accent2 2 6 3" xfId="17284"/>
    <cellStyle name="Accent2 2 7" xfId="719"/>
    <cellStyle name="Accent2 2 7 2" xfId="17287"/>
    <cellStyle name="Accent2 2 7 3" xfId="17286"/>
    <cellStyle name="Accent2 2 8" xfId="857"/>
    <cellStyle name="Accent2 2 8 2" xfId="1415"/>
    <cellStyle name="Accent2 2 8 2 2" xfId="17289"/>
    <cellStyle name="Accent2 2 8 3" xfId="17288"/>
    <cellStyle name="Accent2 2 9" xfId="960"/>
    <cellStyle name="Accent2 2 9 2" xfId="1562"/>
    <cellStyle name="Accent2 2 9 2 2" xfId="17291"/>
    <cellStyle name="Accent2 2 9 3" xfId="17290"/>
    <cellStyle name="Accent2 3" xfId="215"/>
    <cellStyle name="Accent2 3 10" xfId="3694"/>
    <cellStyle name="Accent2 3 10 2" xfId="17294"/>
    <cellStyle name="Accent2 3 10 3" xfId="17293"/>
    <cellStyle name="Accent2 3 11" xfId="17295"/>
    <cellStyle name="Accent2 3 11 2" xfId="17296"/>
    <cellStyle name="Accent2 3 12" xfId="17297"/>
    <cellStyle name="Accent2 3 13" xfId="17292"/>
    <cellStyle name="Accent2 3 2" xfId="1467"/>
    <cellStyle name="Accent2 3 2 2" xfId="1826"/>
    <cellStyle name="Accent2 3 2 2 2" xfId="17300"/>
    <cellStyle name="Accent2 3 2 2 3" xfId="17299"/>
    <cellStyle name="Accent2 3 2 3" xfId="2201"/>
    <cellStyle name="Accent2 3 2 3 2" xfId="17302"/>
    <cellStyle name="Accent2 3 2 3 3" xfId="17301"/>
    <cellStyle name="Accent2 3 2 4" xfId="2575"/>
    <cellStyle name="Accent2 3 2 4 2" xfId="17304"/>
    <cellStyle name="Accent2 3 2 4 3" xfId="17303"/>
    <cellStyle name="Accent2 3 2 5" xfId="2947"/>
    <cellStyle name="Accent2 3 2 5 2" xfId="17306"/>
    <cellStyle name="Accent2 3 2 5 3" xfId="17305"/>
    <cellStyle name="Accent2 3 2 6" xfId="3319"/>
    <cellStyle name="Accent2 3 2 6 2" xfId="17308"/>
    <cellStyle name="Accent2 3 2 6 3" xfId="17307"/>
    <cellStyle name="Accent2 3 2 7" xfId="17309"/>
    <cellStyle name="Accent2 3 2 8" xfId="17298"/>
    <cellStyle name="Accent2 3 3" xfId="1594"/>
    <cellStyle name="Accent2 3 3 2" xfId="1903"/>
    <cellStyle name="Accent2 3 3 2 2" xfId="17312"/>
    <cellStyle name="Accent2 3 3 2 3" xfId="17311"/>
    <cellStyle name="Accent2 3 3 3" xfId="2278"/>
    <cellStyle name="Accent2 3 3 3 2" xfId="17314"/>
    <cellStyle name="Accent2 3 3 3 3" xfId="17313"/>
    <cellStyle name="Accent2 3 3 4" xfId="2651"/>
    <cellStyle name="Accent2 3 3 4 2" xfId="17316"/>
    <cellStyle name="Accent2 3 3 4 3" xfId="17315"/>
    <cellStyle name="Accent2 3 3 5" xfId="3024"/>
    <cellStyle name="Accent2 3 3 5 2" xfId="17318"/>
    <cellStyle name="Accent2 3 3 5 3" xfId="17317"/>
    <cellStyle name="Accent2 3 3 6" xfId="3395"/>
    <cellStyle name="Accent2 3 3 6 2" xfId="17320"/>
    <cellStyle name="Accent2 3 3 6 3" xfId="17319"/>
    <cellStyle name="Accent2 3 3 7" xfId="17321"/>
    <cellStyle name="Accent2 3 3 8" xfId="17310"/>
    <cellStyle name="Accent2 3 4" xfId="1731"/>
    <cellStyle name="Accent2 3 4 2" xfId="1947"/>
    <cellStyle name="Accent2 3 4 2 2" xfId="17324"/>
    <cellStyle name="Accent2 3 4 2 3" xfId="17323"/>
    <cellStyle name="Accent2 3 4 3" xfId="2322"/>
    <cellStyle name="Accent2 3 4 3 2" xfId="17326"/>
    <cellStyle name="Accent2 3 4 3 3" xfId="17325"/>
    <cellStyle name="Accent2 3 4 4" xfId="2695"/>
    <cellStyle name="Accent2 3 4 4 2" xfId="17328"/>
    <cellStyle name="Accent2 3 4 4 3" xfId="17327"/>
    <cellStyle name="Accent2 3 4 5" xfId="3068"/>
    <cellStyle name="Accent2 3 4 5 2" xfId="17330"/>
    <cellStyle name="Accent2 3 4 5 3" xfId="17329"/>
    <cellStyle name="Accent2 3 4 6" xfId="3439"/>
    <cellStyle name="Accent2 3 4 6 2" xfId="17332"/>
    <cellStyle name="Accent2 3 4 6 3" xfId="17331"/>
    <cellStyle name="Accent2 3 4 7" xfId="17333"/>
    <cellStyle name="Accent2 3 4 8" xfId="17322"/>
    <cellStyle name="Accent2 3 5" xfId="2066"/>
    <cellStyle name="Accent2 3 5 2" xfId="17335"/>
    <cellStyle name="Accent2 3 5 3" xfId="17334"/>
    <cellStyle name="Accent2 3 6" xfId="2440"/>
    <cellStyle name="Accent2 3 6 2" xfId="17337"/>
    <cellStyle name="Accent2 3 6 3" xfId="17336"/>
    <cellStyle name="Accent2 3 7" xfId="2812"/>
    <cellStyle name="Accent2 3 7 2" xfId="17339"/>
    <cellStyle name="Accent2 3 7 3" xfId="17338"/>
    <cellStyle name="Accent2 3 8" xfId="3183"/>
    <cellStyle name="Accent2 3 8 2" xfId="17341"/>
    <cellStyle name="Accent2 3 8 3" xfId="17340"/>
    <cellStyle name="Accent2 3 9" xfId="3558"/>
    <cellStyle name="Accent2 3 9 2" xfId="17343"/>
    <cellStyle name="Accent2 3 9 3" xfId="17342"/>
    <cellStyle name="Accent2 4" xfId="254"/>
    <cellStyle name="Accent2 4 10" xfId="3738"/>
    <cellStyle name="Accent2 4 10 2" xfId="17346"/>
    <cellStyle name="Accent2 4 10 3" xfId="17345"/>
    <cellStyle name="Accent2 4 11" xfId="1297"/>
    <cellStyle name="Accent2 4 11 2" xfId="17348"/>
    <cellStyle name="Accent2 4 11 3" xfId="17347"/>
    <cellStyle name="Accent2 4 12" xfId="17349"/>
    <cellStyle name="Accent2 4 13" xfId="17344"/>
    <cellStyle name="Accent2 4 2" xfId="1512"/>
    <cellStyle name="Accent2 4 2 2" xfId="17351"/>
    <cellStyle name="Accent2 4 2 3" xfId="17350"/>
    <cellStyle name="Accent2 4 3" xfId="1637"/>
    <cellStyle name="Accent2 4 3 2" xfId="17353"/>
    <cellStyle name="Accent2 4 3 3" xfId="17352"/>
    <cellStyle name="Accent2 4 4" xfId="1788"/>
    <cellStyle name="Accent2 4 4 2" xfId="17355"/>
    <cellStyle name="Accent2 4 4 3" xfId="17354"/>
    <cellStyle name="Accent2 4 5" xfId="2124"/>
    <cellStyle name="Accent2 4 5 2" xfId="17357"/>
    <cellStyle name="Accent2 4 5 3" xfId="17356"/>
    <cellStyle name="Accent2 4 6" xfId="2498"/>
    <cellStyle name="Accent2 4 6 2" xfId="17359"/>
    <cellStyle name="Accent2 4 6 3" xfId="17358"/>
    <cellStyle name="Accent2 4 7" xfId="2870"/>
    <cellStyle name="Accent2 4 7 2" xfId="17361"/>
    <cellStyle name="Accent2 4 7 3" xfId="17360"/>
    <cellStyle name="Accent2 4 8" xfId="3241"/>
    <cellStyle name="Accent2 4 8 2" xfId="17363"/>
    <cellStyle name="Accent2 4 8 3" xfId="17362"/>
    <cellStyle name="Accent2 4 9" xfId="3601"/>
    <cellStyle name="Accent2 4 9 2" xfId="17365"/>
    <cellStyle name="Accent2 4 9 3" xfId="17364"/>
    <cellStyle name="Accent2 5" xfId="435"/>
    <cellStyle name="Accent2 5 2" xfId="1874"/>
    <cellStyle name="Accent2 5 2 2" xfId="17368"/>
    <cellStyle name="Accent2 5 2 3" xfId="17367"/>
    <cellStyle name="Accent2 5 3" xfId="2249"/>
    <cellStyle name="Accent2 5 3 2" xfId="17370"/>
    <cellStyle name="Accent2 5 3 3" xfId="17369"/>
    <cellStyle name="Accent2 5 4" xfId="2623"/>
    <cellStyle name="Accent2 5 4 2" xfId="17372"/>
    <cellStyle name="Accent2 5 4 3" xfId="17371"/>
    <cellStyle name="Accent2 5 5" xfId="2995"/>
    <cellStyle name="Accent2 5 5 2" xfId="17374"/>
    <cellStyle name="Accent2 5 5 3" xfId="17373"/>
    <cellStyle name="Accent2 5 6" xfId="3367"/>
    <cellStyle name="Accent2 5 6 2" xfId="17376"/>
    <cellStyle name="Accent2 5 6 3" xfId="17375"/>
    <cellStyle name="Accent2 5 7" xfId="17377"/>
    <cellStyle name="Accent2 5 7 2" xfId="17378"/>
    <cellStyle name="Accent2 5 8" xfId="17379"/>
    <cellStyle name="Accent2 5 9" xfId="17366"/>
    <cellStyle name="Accent2 6" xfId="436"/>
    <cellStyle name="Accent2 6 10" xfId="17380"/>
    <cellStyle name="Accent2 6 2" xfId="1988"/>
    <cellStyle name="Accent2 6 2 2" xfId="17382"/>
    <cellStyle name="Accent2 6 2 3" xfId="17381"/>
    <cellStyle name="Accent2 6 3" xfId="2363"/>
    <cellStyle name="Accent2 6 3 2" xfId="17384"/>
    <cellStyle name="Accent2 6 3 3" xfId="17383"/>
    <cellStyle name="Accent2 6 4" xfId="2736"/>
    <cellStyle name="Accent2 6 4 2" xfId="17386"/>
    <cellStyle name="Accent2 6 4 3" xfId="17385"/>
    <cellStyle name="Accent2 6 5" xfId="3109"/>
    <cellStyle name="Accent2 6 5 2" xfId="17388"/>
    <cellStyle name="Accent2 6 5 3" xfId="17387"/>
    <cellStyle name="Accent2 6 6" xfId="3480"/>
    <cellStyle name="Accent2 6 6 2" xfId="17390"/>
    <cellStyle name="Accent2 6 6 3" xfId="17389"/>
    <cellStyle name="Accent2 6 7" xfId="3786"/>
    <cellStyle name="Accent2 6 7 2" xfId="17392"/>
    <cellStyle name="Accent2 6 7 3" xfId="17391"/>
    <cellStyle name="Accent2 6 8" xfId="17393"/>
    <cellStyle name="Accent2 6 8 2" xfId="17394"/>
    <cellStyle name="Accent2 6 9" xfId="17395"/>
    <cellStyle name="Accent2 7" xfId="437"/>
    <cellStyle name="Accent2 7 2" xfId="17397"/>
    <cellStyle name="Accent2 7 3" xfId="17396"/>
    <cellStyle name="Accent2 8" xfId="577"/>
    <cellStyle name="Accent2 8 2" xfId="17399"/>
    <cellStyle name="Accent2 8 3" xfId="17398"/>
    <cellStyle name="Accent2 9" xfId="578"/>
    <cellStyle name="Accent2 9 2" xfId="17401"/>
    <cellStyle name="Accent2 9 3" xfId="17400"/>
    <cellStyle name="Accent3 10" xfId="720"/>
    <cellStyle name="Accent3 10 2" xfId="17404"/>
    <cellStyle name="Accent3 10 3" xfId="17403"/>
    <cellStyle name="Accent3 11" xfId="721"/>
    <cellStyle name="Accent3 11 2" xfId="17406"/>
    <cellStyle name="Accent3 11 3" xfId="17405"/>
    <cellStyle name="Accent3 12" xfId="858"/>
    <cellStyle name="Accent3 12 2" xfId="17407"/>
    <cellStyle name="Accent3 13" xfId="859"/>
    <cellStyle name="Accent3 13 2" xfId="17402"/>
    <cellStyle name="Accent3 14" xfId="961"/>
    <cellStyle name="Accent3 2" xfId="88"/>
    <cellStyle name="Accent3 2 10" xfId="1687"/>
    <cellStyle name="Accent3 2 10 2" xfId="17410"/>
    <cellStyle name="Accent3 2 10 3" xfId="17409"/>
    <cellStyle name="Accent3 2 11" xfId="2022"/>
    <cellStyle name="Accent3 2 11 2" xfId="17412"/>
    <cellStyle name="Accent3 2 11 3" xfId="17411"/>
    <cellStyle name="Accent3 2 12" xfId="2396"/>
    <cellStyle name="Accent3 2 12 2" xfId="17414"/>
    <cellStyle name="Accent3 2 12 3" xfId="17413"/>
    <cellStyle name="Accent3 2 13" xfId="2769"/>
    <cellStyle name="Accent3 2 13 2" xfId="17416"/>
    <cellStyle name="Accent3 2 13 3" xfId="17415"/>
    <cellStyle name="Accent3 2 14" xfId="3143"/>
    <cellStyle name="Accent3 2 14 2" xfId="17418"/>
    <cellStyle name="Accent3 2 14 3" xfId="17417"/>
    <cellStyle name="Accent3 2 15" xfId="3514"/>
    <cellStyle name="Accent3 2 15 2" xfId="17420"/>
    <cellStyle name="Accent3 2 15 3" xfId="17419"/>
    <cellStyle name="Accent3 2 16" xfId="3652"/>
    <cellStyle name="Accent3 2 16 2" xfId="17422"/>
    <cellStyle name="Accent3 2 16 3" xfId="17421"/>
    <cellStyle name="Accent3 2 17" xfId="17423"/>
    <cellStyle name="Accent3 2 17 2" xfId="17424"/>
    <cellStyle name="Accent3 2 18" xfId="17425"/>
    <cellStyle name="Accent3 2 19" xfId="17408"/>
    <cellStyle name="Accent3 2 2" xfId="132"/>
    <cellStyle name="Accent3 2 2 2" xfId="178"/>
    <cellStyle name="Accent3 2 2 2 2" xfId="17428"/>
    <cellStyle name="Accent3 2 2 2 3" xfId="17427"/>
    <cellStyle name="Accent3 2 2 3" xfId="342"/>
    <cellStyle name="Accent3 2 2 3 2" xfId="17430"/>
    <cellStyle name="Accent3 2 2 3 3" xfId="17429"/>
    <cellStyle name="Accent3 2 2 4" xfId="2164"/>
    <cellStyle name="Accent3 2 2 4 2" xfId="17432"/>
    <cellStyle name="Accent3 2 2 4 3" xfId="17431"/>
    <cellStyle name="Accent3 2 2 5" xfId="2538"/>
    <cellStyle name="Accent3 2 2 5 2" xfId="17434"/>
    <cellStyle name="Accent3 2 2 5 3" xfId="17433"/>
    <cellStyle name="Accent3 2 2 6" xfId="2910"/>
    <cellStyle name="Accent3 2 2 6 2" xfId="17436"/>
    <cellStyle name="Accent3 2 2 6 3" xfId="17435"/>
    <cellStyle name="Accent3 2 2 7" xfId="3282"/>
    <cellStyle name="Accent3 2 2 7 2" xfId="17438"/>
    <cellStyle name="Accent3 2 2 7 3" xfId="17437"/>
    <cellStyle name="Accent3 2 2 8" xfId="17439"/>
    <cellStyle name="Accent3 2 2 9" xfId="17426"/>
    <cellStyle name="Accent3 2 20" xfId="24486"/>
    <cellStyle name="Accent3 2 3" xfId="297"/>
    <cellStyle name="Accent3 2 3 2" xfId="1340"/>
    <cellStyle name="Accent3 2 3 2 2" xfId="17441"/>
    <cellStyle name="Accent3 2 3 3" xfId="17440"/>
    <cellStyle name="Accent3 2 4" xfId="438"/>
    <cellStyle name="Accent3 2 4 2" xfId="17443"/>
    <cellStyle name="Accent3 2 4 3" xfId="17442"/>
    <cellStyle name="Accent3 2 5" xfId="579"/>
    <cellStyle name="Accent3 2 5 2" xfId="17445"/>
    <cellStyle name="Accent3 2 5 3" xfId="17444"/>
    <cellStyle name="Accent3 2 6" xfId="722"/>
    <cellStyle name="Accent3 2 6 2" xfId="17447"/>
    <cellStyle name="Accent3 2 6 3" xfId="17446"/>
    <cellStyle name="Accent3 2 7" xfId="723"/>
    <cellStyle name="Accent3 2 7 2" xfId="17449"/>
    <cellStyle name="Accent3 2 7 3" xfId="17448"/>
    <cellStyle name="Accent3 2 8" xfId="860"/>
    <cellStyle name="Accent3 2 8 2" xfId="1416"/>
    <cellStyle name="Accent3 2 8 2 2" xfId="17451"/>
    <cellStyle name="Accent3 2 8 3" xfId="17450"/>
    <cellStyle name="Accent3 2 9" xfId="962"/>
    <cellStyle name="Accent3 2 9 2" xfId="1561"/>
    <cellStyle name="Accent3 2 9 2 2" xfId="17453"/>
    <cellStyle name="Accent3 2 9 3" xfId="17452"/>
    <cellStyle name="Accent3 3" xfId="219"/>
    <cellStyle name="Accent3 3 10" xfId="3695"/>
    <cellStyle name="Accent3 3 10 2" xfId="17456"/>
    <cellStyle name="Accent3 3 10 3" xfId="17455"/>
    <cellStyle name="Accent3 3 11" xfId="17457"/>
    <cellStyle name="Accent3 3 11 2" xfId="17458"/>
    <cellStyle name="Accent3 3 12" xfId="17459"/>
    <cellStyle name="Accent3 3 13" xfId="17454"/>
    <cellStyle name="Accent3 3 2" xfId="1468"/>
    <cellStyle name="Accent3 3 2 2" xfId="1830"/>
    <cellStyle name="Accent3 3 2 2 2" xfId="17462"/>
    <cellStyle name="Accent3 3 2 2 3" xfId="17461"/>
    <cellStyle name="Accent3 3 2 3" xfId="2205"/>
    <cellStyle name="Accent3 3 2 3 2" xfId="17464"/>
    <cellStyle name="Accent3 3 2 3 3" xfId="17463"/>
    <cellStyle name="Accent3 3 2 4" xfId="2579"/>
    <cellStyle name="Accent3 3 2 4 2" xfId="17466"/>
    <cellStyle name="Accent3 3 2 4 3" xfId="17465"/>
    <cellStyle name="Accent3 3 2 5" xfId="2951"/>
    <cellStyle name="Accent3 3 2 5 2" xfId="17468"/>
    <cellStyle name="Accent3 3 2 5 3" xfId="17467"/>
    <cellStyle name="Accent3 3 2 6" xfId="3323"/>
    <cellStyle name="Accent3 3 2 6 2" xfId="17470"/>
    <cellStyle name="Accent3 3 2 6 3" xfId="17469"/>
    <cellStyle name="Accent3 3 2 7" xfId="17471"/>
    <cellStyle name="Accent3 3 2 8" xfId="17460"/>
    <cellStyle name="Accent3 3 3" xfId="1595"/>
    <cellStyle name="Accent3 3 3 2" xfId="1907"/>
    <cellStyle name="Accent3 3 3 2 2" xfId="17474"/>
    <cellStyle name="Accent3 3 3 2 3" xfId="17473"/>
    <cellStyle name="Accent3 3 3 3" xfId="2282"/>
    <cellStyle name="Accent3 3 3 3 2" xfId="17476"/>
    <cellStyle name="Accent3 3 3 3 3" xfId="17475"/>
    <cellStyle name="Accent3 3 3 4" xfId="2655"/>
    <cellStyle name="Accent3 3 3 4 2" xfId="17478"/>
    <cellStyle name="Accent3 3 3 4 3" xfId="17477"/>
    <cellStyle name="Accent3 3 3 5" xfId="3028"/>
    <cellStyle name="Accent3 3 3 5 2" xfId="17480"/>
    <cellStyle name="Accent3 3 3 5 3" xfId="17479"/>
    <cellStyle name="Accent3 3 3 6" xfId="3399"/>
    <cellStyle name="Accent3 3 3 6 2" xfId="17482"/>
    <cellStyle name="Accent3 3 3 6 3" xfId="17481"/>
    <cellStyle name="Accent3 3 3 7" xfId="17483"/>
    <cellStyle name="Accent3 3 3 8" xfId="17472"/>
    <cellStyle name="Accent3 3 4" xfId="1732"/>
    <cellStyle name="Accent3 3 4 2" xfId="1951"/>
    <cellStyle name="Accent3 3 4 2 2" xfId="17486"/>
    <cellStyle name="Accent3 3 4 2 3" xfId="17485"/>
    <cellStyle name="Accent3 3 4 3" xfId="2326"/>
    <cellStyle name="Accent3 3 4 3 2" xfId="17488"/>
    <cellStyle name="Accent3 3 4 3 3" xfId="17487"/>
    <cellStyle name="Accent3 3 4 4" xfId="2699"/>
    <cellStyle name="Accent3 3 4 4 2" xfId="17490"/>
    <cellStyle name="Accent3 3 4 4 3" xfId="17489"/>
    <cellStyle name="Accent3 3 4 5" xfId="3072"/>
    <cellStyle name="Accent3 3 4 5 2" xfId="17492"/>
    <cellStyle name="Accent3 3 4 5 3" xfId="17491"/>
    <cellStyle name="Accent3 3 4 6" xfId="3443"/>
    <cellStyle name="Accent3 3 4 6 2" xfId="17494"/>
    <cellStyle name="Accent3 3 4 6 3" xfId="17493"/>
    <cellStyle name="Accent3 3 4 7" xfId="17495"/>
    <cellStyle name="Accent3 3 4 8" xfId="17484"/>
    <cellStyle name="Accent3 3 5" xfId="2067"/>
    <cellStyle name="Accent3 3 5 2" xfId="17497"/>
    <cellStyle name="Accent3 3 5 3" xfId="17496"/>
    <cellStyle name="Accent3 3 6" xfId="2441"/>
    <cellStyle name="Accent3 3 6 2" xfId="17499"/>
    <cellStyle name="Accent3 3 6 3" xfId="17498"/>
    <cellStyle name="Accent3 3 7" xfId="2813"/>
    <cellStyle name="Accent3 3 7 2" xfId="17501"/>
    <cellStyle name="Accent3 3 7 3" xfId="17500"/>
    <cellStyle name="Accent3 3 8" xfId="3184"/>
    <cellStyle name="Accent3 3 8 2" xfId="17503"/>
    <cellStyle name="Accent3 3 8 3" xfId="17502"/>
    <cellStyle name="Accent3 3 9" xfId="3559"/>
    <cellStyle name="Accent3 3 9 2" xfId="17505"/>
    <cellStyle name="Accent3 3 9 3" xfId="17504"/>
    <cellStyle name="Accent3 4" xfId="255"/>
    <cellStyle name="Accent3 4 10" xfId="3739"/>
    <cellStyle name="Accent3 4 10 2" xfId="17508"/>
    <cellStyle name="Accent3 4 10 3" xfId="17507"/>
    <cellStyle name="Accent3 4 11" xfId="1301"/>
    <cellStyle name="Accent3 4 11 2" xfId="17510"/>
    <cellStyle name="Accent3 4 11 3" xfId="17509"/>
    <cellStyle name="Accent3 4 12" xfId="17511"/>
    <cellStyle name="Accent3 4 13" xfId="17506"/>
    <cellStyle name="Accent3 4 2" xfId="1513"/>
    <cellStyle name="Accent3 4 2 2" xfId="17513"/>
    <cellStyle name="Accent3 4 2 3" xfId="17512"/>
    <cellStyle name="Accent3 4 3" xfId="1638"/>
    <cellStyle name="Accent3 4 3 2" xfId="17515"/>
    <cellStyle name="Accent3 4 3 3" xfId="17514"/>
    <cellStyle name="Accent3 4 4" xfId="1787"/>
    <cellStyle name="Accent3 4 4 2" xfId="17517"/>
    <cellStyle name="Accent3 4 4 3" xfId="17516"/>
    <cellStyle name="Accent3 4 5" xfId="2123"/>
    <cellStyle name="Accent3 4 5 2" xfId="17519"/>
    <cellStyle name="Accent3 4 5 3" xfId="17518"/>
    <cellStyle name="Accent3 4 6" xfId="2497"/>
    <cellStyle name="Accent3 4 6 2" xfId="17521"/>
    <cellStyle name="Accent3 4 6 3" xfId="17520"/>
    <cellStyle name="Accent3 4 7" xfId="2869"/>
    <cellStyle name="Accent3 4 7 2" xfId="17523"/>
    <cellStyle name="Accent3 4 7 3" xfId="17522"/>
    <cellStyle name="Accent3 4 8" xfId="3240"/>
    <cellStyle name="Accent3 4 8 2" xfId="17525"/>
    <cellStyle name="Accent3 4 8 3" xfId="17524"/>
    <cellStyle name="Accent3 4 9" xfId="3602"/>
    <cellStyle name="Accent3 4 9 2" xfId="17527"/>
    <cellStyle name="Accent3 4 9 3" xfId="17526"/>
    <cellStyle name="Accent3 5" xfId="439"/>
    <cellStyle name="Accent3 5 2" xfId="1856"/>
    <cellStyle name="Accent3 5 2 2" xfId="17530"/>
    <cellStyle name="Accent3 5 2 3" xfId="17529"/>
    <cellStyle name="Accent3 5 3" xfId="2231"/>
    <cellStyle name="Accent3 5 3 2" xfId="17532"/>
    <cellStyle name="Accent3 5 3 3" xfId="17531"/>
    <cellStyle name="Accent3 5 4" xfId="2605"/>
    <cellStyle name="Accent3 5 4 2" xfId="17534"/>
    <cellStyle name="Accent3 5 4 3" xfId="17533"/>
    <cellStyle name="Accent3 5 5" xfId="2977"/>
    <cellStyle name="Accent3 5 5 2" xfId="17536"/>
    <cellStyle name="Accent3 5 5 3" xfId="17535"/>
    <cellStyle name="Accent3 5 6" xfId="3349"/>
    <cellStyle name="Accent3 5 6 2" xfId="17538"/>
    <cellStyle name="Accent3 5 6 3" xfId="17537"/>
    <cellStyle name="Accent3 5 7" xfId="17539"/>
    <cellStyle name="Accent3 5 7 2" xfId="17540"/>
    <cellStyle name="Accent3 5 8" xfId="17541"/>
    <cellStyle name="Accent3 5 9" xfId="17528"/>
    <cellStyle name="Accent3 6" xfId="440"/>
    <cellStyle name="Accent3 6 10" xfId="17542"/>
    <cellStyle name="Accent3 6 2" xfId="1989"/>
    <cellStyle name="Accent3 6 2 2" xfId="17544"/>
    <cellStyle name="Accent3 6 2 3" xfId="17543"/>
    <cellStyle name="Accent3 6 3" xfId="2364"/>
    <cellStyle name="Accent3 6 3 2" xfId="17546"/>
    <cellStyle name="Accent3 6 3 3" xfId="17545"/>
    <cellStyle name="Accent3 6 4" xfId="2737"/>
    <cellStyle name="Accent3 6 4 2" xfId="17548"/>
    <cellStyle name="Accent3 6 4 3" xfId="17547"/>
    <cellStyle name="Accent3 6 5" xfId="3110"/>
    <cellStyle name="Accent3 6 5 2" xfId="17550"/>
    <cellStyle name="Accent3 6 5 3" xfId="17549"/>
    <cellStyle name="Accent3 6 6" xfId="3481"/>
    <cellStyle name="Accent3 6 6 2" xfId="17552"/>
    <cellStyle name="Accent3 6 6 3" xfId="17551"/>
    <cellStyle name="Accent3 6 7" xfId="3787"/>
    <cellStyle name="Accent3 6 7 2" xfId="17554"/>
    <cellStyle name="Accent3 6 7 3" xfId="17553"/>
    <cellStyle name="Accent3 6 8" xfId="17555"/>
    <cellStyle name="Accent3 6 8 2" xfId="17556"/>
    <cellStyle name="Accent3 6 9" xfId="17557"/>
    <cellStyle name="Accent3 7" xfId="441"/>
    <cellStyle name="Accent3 7 2" xfId="17559"/>
    <cellStyle name="Accent3 7 3" xfId="17558"/>
    <cellStyle name="Accent3 8" xfId="580"/>
    <cellStyle name="Accent3 8 2" xfId="17561"/>
    <cellStyle name="Accent3 8 3" xfId="17560"/>
    <cellStyle name="Accent3 9" xfId="581"/>
    <cellStyle name="Accent3 9 2" xfId="17563"/>
    <cellStyle name="Accent3 9 3" xfId="17562"/>
    <cellStyle name="Accent4 10" xfId="724"/>
    <cellStyle name="Accent4 10 2" xfId="17566"/>
    <cellStyle name="Accent4 10 3" xfId="17565"/>
    <cellStyle name="Accent4 11" xfId="725"/>
    <cellStyle name="Accent4 11 2" xfId="17568"/>
    <cellStyle name="Accent4 11 3" xfId="17567"/>
    <cellStyle name="Accent4 12" xfId="861"/>
    <cellStyle name="Accent4 12 2" xfId="17569"/>
    <cellStyle name="Accent4 13" xfId="862"/>
    <cellStyle name="Accent4 13 2" xfId="17564"/>
    <cellStyle name="Accent4 14" xfId="963"/>
    <cellStyle name="Accent4 2" xfId="89"/>
    <cellStyle name="Accent4 2 10" xfId="1688"/>
    <cellStyle name="Accent4 2 10 2" xfId="17572"/>
    <cellStyle name="Accent4 2 10 3" xfId="17571"/>
    <cellStyle name="Accent4 2 11" xfId="2023"/>
    <cellStyle name="Accent4 2 11 2" xfId="17574"/>
    <cellStyle name="Accent4 2 11 3" xfId="17573"/>
    <cellStyle name="Accent4 2 12" xfId="2397"/>
    <cellStyle name="Accent4 2 12 2" xfId="17576"/>
    <cellStyle name="Accent4 2 12 3" xfId="17575"/>
    <cellStyle name="Accent4 2 13" xfId="2770"/>
    <cellStyle name="Accent4 2 13 2" xfId="17578"/>
    <cellStyle name="Accent4 2 13 3" xfId="17577"/>
    <cellStyle name="Accent4 2 14" xfId="3144"/>
    <cellStyle name="Accent4 2 14 2" xfId="17580"/>
    <cellStyle name="Accent4 2 14 3" xfId="17579"/>
    <cellStyle name="Accent4 2 15" xfId="3515"/>
    <cellStyle name="Accent4 2 15 2" xfId="17582"/>
    <cellStyle name="Accent4 2 15 3" xfId="17581"/>
    <cellStyle name="Accent4 2 16" xfId="3653"/>
    <cellStyle name="Accent4 2 16 2" xfId="17584"/>
    <cellStyle name="Accent4 2 16 3" xfId="17583"/>
    <cellStyle name="Accent4 2 17" xfId="17585"/>
    <cellStyle name="Accent4 2 17 2" xfId="17586"/>
    <cellStyle name="Accent4 2 18" xfId="17587"/>
    <cellStyle name="Accent4 2 19" xfId="17570"/>
    <cellStyle name="Accent4 2 2" xfId="133"/>
    <cellStyle name="Accent4 2 2 2" xfId="182"/>
    <cellStyle name="Accent4 2 2 2 2" xfId="17590"/>
    <cellStyle name="Accent4 2 2 2 3" xfId="17589"/>
    <cellStyle name="Accent4 2 2 3" xfId="346"/>
    <cellStyle name="Accent4 2 2 3 2" xfId="17592"/>
    <cellStyle name="Accent4 2 2 3 3" xfId="17591"/>
    <cellStyle name="Accent4 2 2 4" xfId="2168"/>
    <cellStyle name="Accent4 2 2 4 2" xfId="17594"/>
    <cellStyle name="Accent4 2 2 4 3" xfId="17593"/>
    <cellStyle name="Accent4 2 2 5" xfId="2542"/>
    <cellStyle name="Accent4 2 2 5 2" xfId="17596"/>
    <cellStyle name="Accent4 2 2 5 3" xfId="17595"/>
    <cellStyle name="Accent4 2 2 6" xfId="2914"/>
    <cellStyle name="Accent4 2 2 6 2" xfId="17598"/>
    <cellStyle name="Accent4 2 2 6 3" xfId="17597"/>
    <cellStyle name="Accent4 2 2 7" xfId="3286"/>
    <cellStyle name="Accent4 2 2 7 2" xfId="17600"/>
    <cellStyle name="Accent4 2 2 7 3" xfId="17599"/>
    <cellStyle name="Accent4 2 2 8" xfId="17601"/>
    <cellStyle name="Accent4 2 2 9" xfId="17588"/>
    <cellStyle name="Accent4 2 20" xfId="24487"/>
    <cellStyle name="Accent4 2 3" xfId="298"/>
    <cellStyle name="Accent4 2 3 2" xfId="1344"/>
    <cellStyle name="Accent4 2 3 2 2" xfId="17603"/>
    <cellStyle name="Accent4 2 3 3" xfId="17602"/>
    <cellStyle name="Accent4 2 4" xfId="442"/>
    <cellStyle name="Accent4 2 4 2" xfId="17605"/>
    <cellStyle name="Accent4 2 4 3" xfId="17604"/>
    <cellStyle name="Accent4 2 5" xfId="582"/>
    <cellStyle name="Accent4 2 5 2" xfId="17607"/>
    <cellStyle name="Accent4 2 5 3" xfId="17606"/>
    <cellStyle name="Accent4 2 6" xfId="726"/>
    <cellStyle name="Accent4 2 6 2" xfId="17609"/>
    <cellStyle name="Accent4 2 6 3" xfId="17608"/>
    <cellStyle name="Accent4 2 7" xfId="727"/>
    <cellStyle name="Accent4 2 7 2" xfId="17611"/>
    <cellStyle name="Accent4 2 7 3" xfId="17610"/>
    <cellStyle name="Accent4 2 8" xfId="863"/>
    <cellStyle name="Accent4 2 8 2" xfId="1417"/>
    <cellStyle name="Accent4 2 8 2 2" xfId="17613"/>
    <cellStyle name="Accent4 2 8 3" xfId="17612"/>
    <cellStyle name="Accent4 2 9" xfId="964"/>
    <cellStyle name="Accent4 2 9 2" xfId="1560"/>
    <cellStyle name="Accent4 2 9 2 2" xfId="17615"/>
    <cellStyle name="Accent4 2 9 3" xfId="17614"/>
    <cellStyle name="Accent4 3" xfId="223"/>
    <cellStyle name="Accent4 3 10" xfId="3696"/>
    <cellStyle name="Accent4 3 10 2" xfId="17618"/>
    <cellStyle name="Accent4 3 10 3" xfId="17617"/>
    <cellStyle name="Accent4 3 11" xfId="17619"/>
    <cellStyle name="Accent4 3 11 2" xfId="17620"/>
    <cellStyle name="Accent4 3 12" xfId="17621"/>
    <cellStyle name="Accent4 3 13" xfId="17616"/>
    <cellStyle name="Accent4 3 2" xfId="1469"/>
    <cellStyle name="Accent4 3 2 2" xfId="1834"/>
    <cellStyle name="Accent4 3 2 2 2" xfId="17624"/>
    <cellStyle name="Accent4 3 2 2 3" xfId="17623"/>
    <cellStyle name="Accent4 3 2 3" xfId="2209"/>
    <cellStyle name="Accent4 3 2 3 2" xfId="17626"/>
    <cellStyle name="Accent4 3 2 3 3" xfId="17625"/>
    <cellStyle name="Accent4 3 2 4" xfId="2583"/>
    <cellStyle name="Accent4 3 2 4 2" xfId="17628"/>
    <cellStyle name="Accent4 3 2 4 3" xfId="17627"/>
    <cellStyle name="Accent4 3 2 5" xfId="2955"/>
    <cellStyle name="Accent4 3 2 5 2" xfId="17630"/>
    <cellStyle name="Accent4 3 2 5 3" xfId="17629"/>
    <cellStyle name="Accent4 3 2 6" xfId="3327"/>
    <cellStyle name="Accent4 3 2 6 2" xfId="17632"/>
    <cellStyle name="Accent4 3 2 6 3" xfId="17631"/>
    <cellStyle name="Accent4 3 2 7" xfId="17633"/>
    <cellStyle name="Accent4 3 2 8" xfId="17622"/>
    <cellStyle name="Accent4 3 3" xfId="1596"/>
    <cellStyle name="Accent4 3 3 2" xfId="1911"/>
    <cellStyle name="Accent4 3 3 2 2" xfId="17636"/>
    <cellStyle name="Accent4 3 3 2 3" xfId="17635"/>
    <cellStyle name="Accent4 3 3 3" xfId="2286"/>
    <cellStyle name="Accent4 3 3 3 2" xfId="17638"/>
    <cellStyle name="Accent4 3 3 3 3" xfId="17637"/>
    <cellStyle name="Accent4 3 3 4" xfId="2659"/>
    <cellStyle name="Accent4 3 3 4 2" xfId="17640"/>
    <cellStyle name="Accent4 3 3 4 3" xfId="17639"/>
    <cellStyle name="Accent4 3 3 5" xfId="3032"/>
    <cellStyle name="Accent4 3 3 5 2" xfId="17642"/>
    <cellStyle name="Accent4 3 3 5 3" xfId="17641"/>
    <cellStyle name="Accent4 3 3 6" xfId="3403"/>
    <cellStyle name="Accent4 3 3 6 2" xfId="17644"/>
    <cellStyle name="Accent4 3 3 6 3" xfId="17643"/>
    <cellStyle name="Accent4 3 3 7" xfId="17645"/>
    <cellStyle name="Accent4 3 3 8" xfId="17634"/>
    <cellStyle name="Accent4 3 4" xfId="1733"/>
    <cellStyle name="Accent4 3 4 2" xfId="1955"/>
    <cellStyle name="Accent4 3 4 2 2" xfId="17648"/>
    <cellStyle name="Accent4 3 4 2 3" xfId="17647"/>
    <cellStyle name="Accent4 3 4 3" xfId="2330"/>
    <cellStyle name="Accent4 3 4 3 2" xfId="17650"/>
    <cellStyle name="Accent4 3 4 3 3" xfId="17649"/>
    <cellStyle name="Accent4 3 4 4" xfId="2703"/>
    <cellStyle name="Accent4 3 4 4 2" xfId="17652"/>
    <cellStyle name="Accent4 3 4 4 3" xfId="17651"/>
    <cellStyle name="Accent4 3 4 5" xfId="3076"/>
    <cellStyle name="Accent4 3 4 5 2" xfId="17654"/>
    <cellStyle name="Accent4 3 4 5 3" xfId="17653"/>
    <cellStyle name="Accent4 3 4 6" xfId="3447"/>
    <cellStyle name="Accent4 3 4 6 2" xfId="17656"/>
    <cellStyle name="Accent4 3 4 6 3" xfId="17655"/>
    <cellStyle name="Accent4 3 4 7" xfId="17657"/>
    <cellStyle name="Accent4 3 4 8" xfId="17646"/>
    <cellStyle name="Accent4 3 5" xfId="2068"/>
    <cellStyle name="Accent4 3 5 2" xfId="17659"/>
    <cellStyle name="Accent4 3 5 3" xfId="17658"/>
    <cellStyle name="Accent4 3 6" xfId="2442"/>
    <cellStyle name="Accent4 3 6 2" xfId="17661"/>
    <cellStyle name="Accent4 3 6 3" xfId="17660"/>
    <cellStyle name="Accent4 3 7" xfId="2814"/>
    <cellStyle name="Accent4 3 7 2" xfId="17663"/>
    <cellStyle name="Accent4 3 7 3" xfId="17662"/>
    <cellStyle name="Accent4 3 8" xfId="3185"/>
    <cellStyle name="Accent4 3 8 2" xfId="17665"/>
    <cellStyle name="Accent4 3 8 3" xfId="17664"/>
    <cellStyle name="Accent4 3 9" xfId="3560"/>
    <cellStyle name="Accent4 3 9 2" xfId="17667"/>
    <cellStyle name="Accent4 3 9 3" xfId="17666"/>
    <cellStyle name="Accent4 4" xfId="256"/>
    <cellStyle name="Accent4 4 10" xfId="3740"/>
    <cellStyle name="Accent4 4 10 2" xfId="17670"/>
    <cellStyle name="Accent4 4 10 3" xfId="17669"/>
    <cellStyle name="Accent4 4 11" xfId="1305"/>
    <cellStyle name="Accent4 4 11 2" xfId="17672"/>
    <cellStyle name="Accent4 4 11 3" xfId="17671"/>
    <cellStyle name="Accent4 4 12" xfId="17673"/>
    <cellStyle name="Accent4 4 13" xfId="17668"/>
    <cellStyle name="Accent4 4 2" xfId="1514"/>
    <cellStyle name="Accent4 4 2 2" xfId="17675"/>
    <cellStyle name="Accent4 4 2 3" xfId="17674"/>
    <cellStyle name="Accent4 4 3" xfId="1639"/>
    <cellStyle name="Accent4 4 3 2" xfId="17677"/>
    <cellStyle name="Accent4 4 3 3" xfId="17676"/>
    <cellStyle name="Accent4 4 4" xfId="1740"/>
    <cellStyle name="Accent4 4 4 2" xfId="17679"/>
    <cellStyle name="Accent4 4 4 3" xfId="17678"/>
    <cellStyle name="Accent4 4 5" xfId="2075"/>
    <cellStyle name="Accent4 4 5 2" xfId="17681"/>
    <cellStyle name="Accent4 4 5 3" xfId="17680"/>
    <cellStyle name="Accent4 4 6" xfId="2449"/>
    <cellStyle name="Accent4 4 6 2" xfId="17683"/>
    <cellStyle name="Accent4 4 6 3" xfId="17682"/>
    <cellStyle name="Accent4 4 7" xfId="2821"/>
    <cellStyle name="Accent4 4 7 2" xfId="17685"/>
    <cellStyle name="Accent4 4 7 3" xfId="17684"/>
    <cellStyle name="Accent4 4 8" xfId="3192"/>
    <cellStyle name="Accent4 4 8 2" xfId="17687"/>
    <cellStyle name="Accent4 4 8 3" xfId="17686"/>
    <cellStyle name="Accent4 4 9" xfId="3603"/>
    <cellStyle name="Accent4 4 9 2" xfId="17689"/>
    <cellStyle name="Accent4 4 9 3" xfId="17688"/>
    <cellStyle name="Accent4 5" xfId="443"/>
    <cellStyle name="Accent4 5 2" xfId="1855"/>
    <cellStyle name="Accent4 5 2 2" xfId="17692"/>
    <cellStyle name="Accent4 5 2 3" xfId="17691"/>
    <cellStyle name="Accent4 5 3" xfId="2230"/>
    <cellStyle name="Accent4 5 3 2" xfId="17694"/>
    <cellStyle name="Accent4 5 3 3" xfId="17693"/>
    <cellStyle name="Accent4 5 4" xfId="2604"/>
    <cellStyle name="Accent4 5 4 2" xfId="17696"/>
    <cellStyle name="Accent4 5 4 3" xfId="17695"/>
    <cellStyle name="Accent4 5 5" xfId="2976"/>
    <cellStyle name="Accent4 5 5 2" xfId="17698"/>
    <cellStyle name="Accent4 5 5 3" xfId="17697"/>
    <cellStyle name="Accent4 5 6" xfId="3348"/>
    <cellStyle name="Accent4 5 6 2" xfId="17700"/>
    <cellStyle name="Accent4 5 6 3" xfId="17699"/>
    <cellStyle name="Accent4 5 7" xfId="17701"/>
    <cellStyle name="Accent4 5 7 2" xfId="17702"/>
    <cellStyle name="Accent4 5 8" xfId="17703"/>
    <cellStyle name="Accent4 5 9" xfId="17690"/>
    <cellStyle name="Accent4 6" xfId="444"/>
    <cellStyle name="Accent4 6 10" xfId="17704"/>
    <cellStyle name="Accent4 6 2" xfId="1990"/>
    <cellStyle name="Accent4 6 2 2" xfId="17706"/>
    <cellStyle name="Accent4 6 2 3" xfId="17705"/>
    <cellStyle name="Accent4 6 3" xfId="2365"/>
    <cellStyle name="Accent4 6 3 2" xfId="17708"/>
    <cellStyle name="Accent4 6 3 3" xfId="17707"/>
    <cellStyle name="Accent4 6 4" xfId="2738"/>
    <cellStyle name="Accent4 6 4 2" xfId="17710"/>
    <cellStyle name="Accent4 6 4 3" xfId="17709"/>
    <cellStyle name="Accent4 6 5" xfId="3111"/>
    <cellStyle name="Accent4 6 5 2" xfId="17712"/>
    <cellStyle name="Accent4 6 5 3" xfId="17711"/>
    <cellStyle name="Accent4 6 6" xfId="3482"/>
    <cellStyle name="Accent4 6 6 2" xfId="17714"/>
    <cellStyle name="Accent4 6 6 3" xfId="17713"/>
    <cellStyle name="Accent4 6 7" xfId="3788"/>
    <cellStyle name="Accent4 6 7 2" xfId="17716"/>
    <cellStyle name="Accent4 6 7 3" xfId="17715"/>
    <cellStyle name="Accent4 6 8" xfId="17717"/>
    <cellStyle name="Accent4 6 8 2" xfId="17718"/>
    <cellStyle name="Accent4 6 9" xfId="17719"/>
    <cellStyle name="Accent4 7" xfId="445"/>
    <cellStyle name="Accent4 7 2" xfId="17721"/>
    <cellStyle name="Accent4 7 3" xfId="17720"/>
    <cellStyle name="Accent4 8" xfId="583"/>
    <cellStyle name="Accent4 8 2" xfId="17723"/>
    <cellStyle name="Accent4 8 3" xfId="17722"/>
    <cellStyle name="Accent4 9" xfId="584"/>
    <cellStyle name="Accent4 9 2" xfId="17725"/>
    <cellStyle name="Accent4 9 3" xfId="17724"/>
    <cellStyle name="Accent5 10" xfId="728"/>
    <cellStyle name="Accent5 10 2" xfId="17728"/>
    <cellStyle name="Accent5 10 3" xfId="17727"/>
    <cellStyle name="Accent5 11" xfId="729"/>
    <cellStyle name="Accent5 11 2" xfId="17730"/>
    <cellStyle name="Accent5 11 3" xfId="17729"/>
    <cellStyle name="Accent5 12" xfId="864"/>
    <cellStyle name="Accent5 12 2" xfId="17731"/>
    <cellStyle name="Accent5 13" xfId="865"/>
    <cellStyle name="Accent5 13 2" xfId="17726"/>
    <cellStyle name="Accent5 14" xfId="965"/>
    <cellStyle name="Accent5 2" xfId="90"/>
    <cellStyle name="Accent5 2 10" xfId="1689"/>
    <cellStyle name="Accent5 2 10 2" xfId="17734"/>
    <cellStyle name="Accent5 2 10 3" xfId="17733"/>
    <cellStyle name="Accent5 2 11" xfId="2024"/>
    <cellStyle name="Accent5 2 11 2" xfId="17736"/>
    <cellStyle name="Accent5 2 11 3" xfId="17735"/>
    <cellStyle name="Accent5 2 12" xfId="2398"/>
    <cellStyle name="Accent5 2 12 2" xfId="17738"/>
    <cellStyle name="Accent5 2 12 3" xfId="17737"/>
    <cellStyle name="Accent5 2 13" xfId="2771"/>
    <cellStyle name="Accent5 2 13 2" xfId="17740"/>
    <cellStyle name="Accent5 2 13 3" xfId="17739"/>
    <cellStyle name="Accent5 2 14" xfId="3145"/>
    <cellStyle name="Accent5 2 14 2" xfId="17742"/>
    <cellStyle name="Accent5 2 14 3" xfId="17741"/>
    <cellStyle name="Accent5 2 15" xfId="3516"/>
    <cellStyle name="Accent5 2 15 2" xfId="17744"/>
    <cellStyle name="Accent5 2 15 3" xfId="17743"/>
    <cellStyle name="Accent5 2 16" xfId="3654"/>
    <cellStyle name="Accent5 2 16 2" xfId="17746"/>
    <cellStyle name="Accent5 2 16 3" xfId="17745"/>
    <cellStyle name="Accent5 2 17" xfId="17747"/>
    <cellStyle name="Accent5 2 17 2" xfId="17748"/>
    <cellStyle name="Accent5 2 18" xfId="17749"/>
    <cellStyle name="Accent5 2 19" xfId="17732"/>
    <cellStyle name="Accent5 2 2" xfId="134"/>
    <cellStyle name="Accent5 2 2 2" xfId="186"/>
    <cellStyle name="Accent5 2 2 2 2" xfId="17752"/>
    <cellStyle name="Accent5 2 2 2 3" xfId="17751"/>
    <cellStyle name="Accent5 2 2 3" xfId="350"/>
    <cellStyle name="Accent5 2 2 3 2" xfId="17754"/>
    <cellStyle name="Accent5 2 2 3 3" xfId="17753"/>
    <cellStyle name="Accent5 2 2 4" xfId="2172"/>
    <cellStyle name="Accent5 2 2 4 2" xfId="17756"/>
    <cellStyle name="Accent5 2 2 4 3" xfId="17755"/>
    <cellStyle name="Accent5 2 2 5" xfId="2546"/>
    <cellStyle name="Accent5 2 2 5 2" xfId="17758"/>
    <cellStyle name="Accent5 2 2 5 3" xfId="17757"/>
    <cellStyle name="Accent5 2 2 6" xfId="2918"/>
    <cellStyle name="Accent5 2 2 6 2" xfId="17760"/>
    <cellStyle name="Accent5 2 2 6 3" xfId="17759"/>
    <cellStyle name="Accent5 2 2 7" xfId="3290"/>
    <cellStyle name="Accent5 2 2 7 2" xfId="17762"/>
    <cellStyle name="Accent5 2 2 7 3" xfId="17761"/>
    <cellStyle name="Accent5 2 2 8" xfId="17763"/>
    <cellStyle name="Accent5 2 2 9" xfId="17750"/>
    <cellStyle name="Accent5 2 20" xfId="24488"/>
    <cellStyle name="Accent5 2 3" xfId="299"/>
    <cellStyle name="Accent5 2 3 2" xfId="1348"/>
    <cellStyle name="Accent5 2 3 2 2" xfId="17765"/>
    <cellStyle name="Accent5 2 3 3" xfId="17764"/>
    <cellStyle name="Accent5 2 4" xfId="446"/>
    <cellStyle name="Accent5 2 4 2" xfId="17767"/>
    <cellStyle name="Accent5 2 4 3" xfId="17766"/>
    <cellStyle name="Accent5 2 5" xfId="585"/>
    <cellStyle name="Accent5 2 5 2" xfId="17769"/>
    <cellStyle name="Accent5 2 5 3" xfId="17768"/>
    <cellStyle name="Accent5 2 6" xfId="730"/>
    <cellStyle name="Accent5 2 6 2" xfId="17771"/>
    <cellStyle name="Accent5 2 6 3" xfId="17770"/>
    <cellStyle name="Accent5 2 7" xfId="731"/>
    <cellStyle name="Accent5 2 7 2" xfId="17773"/>
    <cellStyle name="Accent5 2 7 3" xfId="17772"/>
    <cellStyle name="Accent5 2 8" xfId="866"/>
    <cellStyle name="Accent5 2 8 2" xfId="1418"/>
    <cellStyle name="Accent5 2 8 2 2" xfId="17775"/>
    <cellStyle name="Accent5 2 8 3" xfId="17774"/>
    <cellStyle name="Accent5 2 9" xfId="966"/>
    <cellStyle name="Accent5 2 9 2" xfId="1559"/>
    <cellStyle name="Accent5 2 9 2 2" xfId="17777"/>
    <cellStyle name="Accent5 2 9 3" xfId="17776"/>
    <cellStyle name="Accent5 3" xfId="227"/>
    <cellStyle name="Accent5 3 10" xfId="3697"/>
    <cellStyle name="Accent5 3 10 2" xfId="17780"/>
    <cellStyle name="Accent5 3 10 3" xfId="17779"/>
    <cellStyle name="Accent5 3 11" xfId="17781"/>
    <cellStyle name="Accent5 3 11 2" xfId="17782"/>
    <cellStyle name="Accent5 3 12" xfId="17783"/>
    <cellStyle name="Accent5 3 13" xfId="17778"/>
    <cellStyle name="Accent5 3 2" xfId="1470"/>
    <cellStyle name="Accent5 3 2 2" xfId="1838"/>
    <cellStyle name="Accent5 3 2 2 2" xfId="17786"/>
    <cellStyle name="Accent5 3 2 2 3" xfId="17785"/>
    <cellStyle name="Accent5 3 2 3" xfId="2213"/>
    <cellStyle name="Accent5 3 2 3 2" xfId="17788"/>
    <cellStyle name="Accent5 3 2 3 3" xfId="17787"/>
    <cellStyle name="Accent5 3 2 4" xfId="2587"/>
    <cellStyle name="Accent5 3 2 4 2" xfId="17790"/>
    <cellStyle name="Accent5 3 2 4 3" xfId="17789"/>
    <cellStyle name="Accent5 3 2 5" xfId="2959"/>
    <cellStyle name="Accent5 3 2 5 2" xfId="17792"/>
    <cellStyle name="Accent5 3 2 5 3" xfId="17791"/>
    <cellStyle name="Accent5 3 2 6" xfId="3331"/>
    <cellStyle name="Accent5 3 2 6 2" xfId="17794"/>
    <cellStyle name="Accent5 3 2 6 3" xfId="17793"/>
    <cellStyle name="Accent5 3 2 7" xfId="17795"/>
    <cellStyle name="Accent5 3 2 8" xfId="17784"/>
    <cellStyle name="Accent5 3 3" xfId="1597"/>
    <cellStyle name="Accent5 3 3 2" xfId="1915"/>
    <cellStyle name="Accent5 3 3 2 2" xfId="17798"/>
    <cellStyle name="Accent5 3 3 2 3" xfId="17797"/>
    <cellStyle name="Accent5 3 3 3" xfId="2290"/>
    <cellStyle name="Accent5 3 3 3 2" xfId="17800"/>
    <cellStyle name="Accent5 3 3 3 3" xfId="17799"/>
    <cellStyle name="Accent5 3 3 4" xfId="2663"/>
    <cellStyle name="Accent5 3 3 4 2" xfId="17802"/>
    <cellStyle name="Accent5 3 3 4 3" xfId="17801"/>
    <cellStyle name="Accent5 3 3 5" xfId="3036"/>
    <cellStyle name="Accent5 3 3 5 2" xfId="17804"/>
    <cellStyle name="Accent5 3 3 5 3" xfId="17803"/>
    <cellStyle name="Accent5 3 3 6" xfId="3407"/>
    <cellStyle name="Accent5 3 3 6 2" xfId="17806"/>
    <cellStyle name="Accent5 3 3 6 3" xfId="17805"/>
    <cellStyle name="Accent5 3 3 7" xfId="17807"/>
    <cellStyle name="Accent5 3 3 8" xfId="17796"/>
    <cellStyle name="Accent5 3 4" xfId="1734"/>
    <cellStyle name="Accent5 3 4 2" xfId="1959"/>
    <cellStyle name="Accent5 3 4 2 2" xfId="17810"/>
    <cellStyle name="Accent5 3 4 2 3" xfId="17809"/>
    <cellStyle name="Accent5 3 4 3" xfId="2334"/>
    <cellStyle name="Accent5 3 4 3 2" xfId="17812"/>
    <cellStyle name="Accent5 3 4 3 3" xfId="17811"/>
    <cellStyle name="Accent5 3 4 4" xfId="2707"/>
    <cellStyle name="Accent5 3 4 4 2" xfId="17814"/>
    <cellStyle name="Accent5 3 4 4 3" xfId="17813"/>
    <cellStyle name="Accent5 3 4 5" xfId="3080"/>
    <cellStyle name="Accent5 3 4 5 2" xfId="17816"/>
    <cellStyle name="Accent5 3 4 5 3" xfId="17815"/>
    <cellStyle name="Accent5 3 4 6" xfId="3451"/>
    <cellStyle name="Accent5 3 4 6 2" xfId="17818"/>
    <cellStyle name="Accent5 3 4 6 3" xfId="17817"/>
    <cellStyle name="Accent5 3 4 7" xfId="17819"/>
    <cellStyle name="Accent5 3 4 8" xfId="17808"/>
    <cellStyle name="Accent5 3 5" xfId="2069"/>
    <cellStyle name="Accent5 3 5 2" xfId="17821"/>
    <cellStyle name="Accent5 3 5 3" xfId="17820"/>
    <cellStyle name="Accent5 3 6" xfId="2443"/>
    <cellStyle name="Accent5 3 6 2" xfId="17823"/>
    <cellStyle name="Accent5 3 6 3" xfId="17822"/>
    <cellStyle name="Accent5 3 7" xfId="2815"/>
    <cellStyle name="Accent5 3 7 2" xfId="17825"/>
    <cellStyle name="Accent5 3 7 3" xfId="17824"/>
    <cellStyle name="Accent5 3 8" xfId="3186"/>
    <cellStyle name="Accent5 3 8 2" xfId="17827"/>
    <cellStyle name="Accent5 3 8 3" xfId="17826"/>
    <cellStyle name="Accent5 3 9" xfId="3561"/>
    <cellStyle name="Accent5 3 9 2" xfId="17829"/>
    <cellStyle name="Accent5 3 9 3" xfId="17828"/>
    <cellStyle name="Accent5 4" xfId="257"/>
    <cellStyle name="Accent5 4 10" xfId="3741"/>
    <cellStyle name="Accent5 4 10 2" xfId="17832"/>
    <cellStyle name="Accent5 4 10 3" xfId="17831"/>
    <cellStyle name="Accent5 4 11" xfId="1309"/>
    <cellStyle name="Accent5 4 11 2" xfId="17834"/>
    <cellStyle name="Accent5 4 11 3" xfId="17833"/>
    <cellStyle name="Accent5 4 12" xfId="17835"/>
    <cellStyle name="Accent5 4 13" xfId="17830"/>
    <cellStyle name="Accent5 4 2" xfId="1515"/>
    <cellStyle name="Accent5 4 2 2" xfId="17837"/>
    <cellStyle name="Accent5 4 2 3" xfId="17836"/>
    <cellStyle name="Accent5 4 3" xfId="1640"/>
    <cellStyle name="Accent5 4 3 2" xfId="17839"/>
    <cellStyle name="Accent5 4 3 3" xfId="17838"/>
    <cellStyle name="Accent5 4 4" xfId="1739"/>
    <cellStyle name="Accent5 4 4 2" xfId="17841"/>
    <cellStyle name="Accent5 4 4 3" xfId="17840"/>
    <cellStyle name="Accent5 4 5" xfId="2074"/>
    <cellStyle name="Accent5 4 5 2" xfId="17843"/>
    <cellStyle name="Accent5 4 5 3" xfId="17842"/>
    <cellStyle name="Accent5 4 6" xfId="2448"/>
    <cellStyle name="Accent5 4 6 2" xfId="17845"/>
    <cellStyle name="Accent5 4 6 3" xfId="17844"/>
    <cellStyle name="Accent5 4 7" xfId="2820"/>
    <cellStyle name="Accent5 4 7 2" xfId="17847"/>
    <cellStyle name="Accent5 4 7 3" xfId="17846"/>
    <cellStyle name="Accent5 4 8" xfId="3191"/>
    <cellStyle name="Accent5 4 8 2" xfId="17849"/>
    <cellStyle name="Accent5 4 8 3" xfId="17848"/>
    <cellStyle name="Accent5 4 9" xfId="3604"/>
    <cellStyle name="Accent5 4 9 2" xfId="17851"/>
    <cellStyle name="Accent5 4 9 3" xfId="17850"/>
    <cellStyle name="Accent5 5" xfId="447"/>
    <cellStyle name="Accent5 5 2" xfId="1775"/>
    <cellStyle name="Accent5 5 2 2" xfId="17854"/>
    <cellStyle name="Accent5 5 2 3" xfId="17853"/>
    <cellStyle name="Accent5 5 3" xfId="2110"/>
    <cellStyle name="Accent5 5 3 2" xfId="17856"/>
    <cellStyle name="Accent5 5 3 3" xfId="17855"/>
    <cellStyle name="Accent5 5 4" xfId="2484"/>
    <cellStyle name="Accent5 5 4 2" xfId="17858"/>
    <cellStyle name="Accent5 5 4 3" xfId="17857"/>
    <cellStyle name="Accent5 5 5" xfId="2856"/>
    <cellStyle name="Accent5 5 5 2" xfId="17860"/>
    <cellStyle name="Accent5 5 5 3" xfId="17859"/>
    <cellStyle name="Accent5 5 6" xfId="3227"/>
    <cellStyle name="Accent5 5 6 2" xfId="17862"/>
    <cellStyle name="Accent5 5 6 3" xfId="17861"/>
    <cellStyle name="Accent5 5 7" xfId="17863"/>
    <cellStyle name="Accent5 5 7 2" xfId="17864"/>
    <cellStyle name="Accent5 5 8" xfId="17865"/>
    <cellStyle name="Accent5 5 9" xfId="17852"/>
    <cellStyle name="Accent5 6" xfId="448"/>
    <cellStyle name="Accent5 6 10" xfId="17866"/>
    <cellStyle name="Accent5 6 2" xfId="1991"/>
    <cellStyle name="Accent5 6 2 2" xfId="17868"/>
    <cellStyle name="Accent5 6 2 3" xfId="17867"/>
    <cellStyle name="Accent5 6 3" xfId="2366"/>
    <cellStyle name="Accent5 6 3 2" xfId="17870"/>
    <cellStyle name="Accent5 6 3 3" xfId="17869"/>
    <cellStyle name="Accent5 6 4" xfId="2739"/>
    <cellStyle name="Accent5 6 4 2" xfId="17872"/>
    <cellStyle name="Accent5 6 4 3" xfId="17871"/>
    <cellStyle name="Accent5 6 5" xfId="3112"/>
    <cellStyle name="Accent5 6 5 2" xfId="17874"/>
    <cellStyle name="Accent5 6 5 3" xfId="17873"/>
    <cellStyle name="Accent5 6 6" xfId="3483"/>
    <cellStyle name="Accent5 6 6 2" xfId="17876"/>
    <cellStyle name="Accent5 6 6 3" xfId="17875"/>
    <cellStyle name="Accent5 6 7" xfId="3789"/>
    <cellStyle name="Accent5 6 7 2" xfId="17878"/>
    <cellStyle name="Accent5 6 7 3" xfId="17877"/>
    <cellStyle name="Accent5 6 8" xfId="17879"/>
    <cellStyle name="Accent5 6 8 2" xfId="17880"/>
    <cellStyle name="Accent5 6 9" xfId="17881"/>
    <cellStyle name="Accent5 7" xfId="449"/>
    <cellStyle name="Accent5 7 2" xfId="17883"/>
    <cellStyle name="Accent5 7 3" xfId="17882"/>
    <cellStyle name="Accent5 8" xfId="586"/>
    <cellStyle name="Accent5 8 2" xfId="17885"/>
    <cellStyle name="Accent5 8 3" xfId="17884"/>
    <cellStyle name="Accent5 9" xfId="587"/>
    <cellStyle name="Accent5 9 2" xfId="17887"/>
    <cellStyle name="Accent5 9 3" xfId="17886"/>
    <cellStyle name="Accent6 10" xfId="732"/>
    <cellStyle name="Accent6 10 2" xfId="17890"/>
    <cellStyle name="Accent6 10 3" xfId="17889"/>
    <cellStyle name="Accent6 11" xfId="733"/>
    <cellStyle name="Accent6 11 2" xfId="17892"/>
    <cellStyle name="Accent6 11 3" xfId="17891"/>
    <cellStyle name="Accent6 12" xfId="867"/>
    <cellStyle name="Accent6 12 2" xfId="17893"/>
    <cellStyle name="Accent6 13" xfId="868"/>
    <cellStyle name="Accent6 13 2" xfId="17888"/>
    <cellStyle name="Accent6 14" xfId="967"/>
    <cellStyle name="Accent6 2" xfId="91"/>
    <cellStyle name="Accent6 2 10" xfId="1690"/>
    <cellStyle name="Accent6 2 10 2" xfId="17896"/>
    <cellStyle name="Accent6 2 10 3" xfId="17895"/>
    <cellStyle name="Accent6 2 11" xfId="2025"/>
    <cellStyle name="Accent6 2 11 2" xfId="17898"/>
    <cellStyle name="Accent6 2 11 3" xfId="17897"/>
    <cellStyle name="Accent6 2 12" xfId="2399"/>
    <cellStyle name="Accent6 2 12 2" xfId="17900"/>
    <cellStyle name="Accent6 2 12 3" xfId="17899"/>
    <cellStyle name="Accent6 2 13" xfId="2772"/>
    <cellStyle name="Accent6 2 13 2" xfId="17902"/>
    <cellStyle name="Accent6 2 13 3" xfId="17901"/>
    <cellStyle name="Accent6 2 14" xfId="3146"/>
    <cellStyle name="Accent6 2 14 2" xfId="17904"/>
    <cellStyle name="Accent6 2 14 3" xfId="17903"/>
    <cellStyle name="Accent6 2 15" xfId="3517"/>
    <cellStyle name="Accent6 2 15 2" xfId="17906"/>
    <cellStyle name="Accent6 2 15 3" xfId="17905"/>
    <cellStyle name="Accent6 2 16" xfId="3655"/>
    <cellStyle name="Accent6 2 16 2" xfId="17908"/>
    <cellStyle name="Accent6 2 16 3" xfId="17907"/>
    <cellStyle name="Accent6 2 17" xfId="17909"/>
    <cellStyle name="Accent6 2 17 2" xfId="17910"/>
    <cellStyle name="Accent6 2 18" xfId="17911"/>
    <cellStyle name="Accent6 2 19" xfId="17894"/>
    <cellStyle name="Accent6 2 2" xfId="135"/>
    <cellStyle name="Accent6 2 2 2" xfId="190"/>
    <cellStyle name="Accent6 2 2 2 2" xfId="17914"/>
    <cellStyle name="Accent6 2 2 2 3" xfId="17913"/>
    <cellStyle name="Accent6 2 2 3" xfId="354"/>
    <cellStyle name="Accent6 2 2 3 2" xfId="17916"/>
    <cellStyle name="Accent6 2 2 3 3" xfId="17915"/>
    <cellStyle name="Accent6 2 2 4" xfId="2176"/>
    <cellStyle name="Accent6 2 2 4 2" xfId="17918"/>
    <cellStyle name="Accent6 2 2 4 3" xfId="17917"/>
    <cellStyle name="Accent6 2 2 5" xfId="2550"/>
    <cellStyle name="Accent6 2 2 5 2" xfId="17920"/>
    <cellStyle name="Accent6 2 2 5 3" xfId="17919"/>
    <cellStyle name="Accent6 2 2 6" xfId="2922"/>
    <cellStyle name="Accent6 2 2 6 2" xfId="17922"/>
    <cellStyle name="Accent6 2 2 6 3" xfId="17921"/>
    <cellStyle name="Accent6 2 2 7" xfId="3294"/>
    <cellStyle name="Accent6 2 2 7 2" xfId="17924"/>
    <cellStyle name="Accent6 2 2 7 3" xfId="17923"/>
    <cellStyle name="Accent6 2 2 8" xfId="17925"/>
    <cellStyle name="Accent6 2 2 9" xfId="17912"/>
    <cellStyle name="Accent6 2 20" xfId="24489"/>
    <cellStyle name="Accent6 2 3" xfId="300"/>
    <cellStyle name="Accent6 2 3 2" xfId="1352"/>
    <cellStyle name="Accent6 2 3 2 2" xfId="17927"/>
    <cellStyle name="Accent6 2 3 3" xfId="17926"/>
    <cellStyle name="Accent6 2 4" xfId="450"/>
    <cellStyle name="Accent6 2 4 2" xfId="17929"/>
    <cellStyle name="Accent6 2 4 3" xfId="17928"/>
    <cellStyle name="Accent6 2 5" xfId="588"/>
    <cellStyle name="Accent6 2 5 2" xfId="17931"/>
    <cellStyle name="Accent6 2 5 3" xfId="17930"/>
    <cellStyle name="Accent6 2 6" xfId="734"/>
    <cellStyle name="Accent6 2 6 2" xfId="17933"/>
    <cellStyle name="Accent6 2 6 3" xfId="17932"/>
    <cellStyle name="Accent6 2 7" xfId="735"/>
    <cellStyle name="Accent6 2 7 2" xfId="17935"/>
    <cellStyle name="Accent6 2 7 3" xfId="17934"/>
    <cellStyle name="Accent6 2 8" xfId="869"/>
    <cellStyle name="Accent6 2 8 2" xfId="1419"/>
    <cellStyle name="Accent6 2 8 2 2" xfId="17937"/>
    <cellStyle name="Accent6 2 8 3" xfId="17936"/>
    <cellStyle name="Accent6 2 9" xfId="968"/>
    <cellStyle name="Accent6 2 9 2" xfId="1558"/>
    <cellStyle name="Accent6 2 9 2 2" xfId="17939"/>
    <cellStyle name="Accent6 2 9 3" xfId="17938"/>
    <cellStyle name="Accent6 3" xfId="231"/>
    <cellStyle name="Accent6 3 10" xfId="3698"/>
    <cellStyle name="Accent6 3 10 2" xfId="17942"/>
    <cellStyle name="Accent6 3 10 3" xfId="17941"/>
    <cellStyle name="Accent6 3 11" xfId="17943"/>
    <cellStyle name="Accent6 3 11 2" xfId="17944"/>
    <cellStyle name="Accent6 3 12" xfId="17945"/>
    <cellStyle name="Accent6 3 13" xfId="17940"/>
    <cellStyle name="Accent6 3 2" xfId="1471"/>
    <cellStyle name="Accent6 3 2 2" xfId="1842"/>
    <cellStyle name="Accent6 3 2 2 2" xfId="17948"/>
    <cellStyle name="Accent6 3 2 2 3" xfId="17947"/>
    <cellStyle name="Accent6 3 2 3" xfId="2217"/>
    <cellStyle name="Accent6 3 2 3 2" xfId="17950"/>
    <cellStyle name="Accent6 3 2 3 3" xfId="17949"/>
    <cellStyle name="Accent6 3 2 4" xfId="2591"/>
    <cellStyle name="Accent6 3 2 4 2" xfId="17952"/>
    <cellStyle name="Accent6 3 2 4 3" xfId="17951"/>
    <cellStyle name="Accent6 3 2 5" xfId="2963"/>
    <cellStyle name="Accent6 3 2 5 2" xfId="17954"/>
    <cellStyle name="Accent6 3 2 5 3" xfId="17953"/>
    <cellStyle name="Accent6 3 2 6" xfId="3335"/>
    <cellStyle name="Accent6 3 2 6 2" xfId="17956"/>
    <cellStyle name="Accent6 3 2 6 3" xfId="17955"/>
    <cellStyle name="Accent6 3 2 7" xfId="17957"/>
    <cellStyle name="Accent6 3 2 8" xfId="17946"/>
    <cellStyle name="Accent6 3 3" xfId="1598"/>
    <cellStyle name="Accent6 3 3 2" xfId="1919"/>
    <cellStyle name="Accent6 3 3 2 2" xfId="17960"/>
    <cellStyle name="Accent6 3 3 2 3" xfId="17959"/>
    <cellStyle name="Accent6 3 3 3" xfId="2294"/>
    <cellStyle name="Accent6 3 3 3 2" xfId="17962"/>
    <cellStyle name="Accent6 3 3 3 3" xfId="17961"/>
    <cellStyle name="Accent6 3 3 4" xfId="2667"/>
    <cellStyle name="Accent6 3 3 4 2" xfId="17964"/>
    <cellStyle name="Accent6 3 3 4 3" xfId="17963"/>
    <cellStyle name="Accent6 3 3 5" xfId="3040"/>
    <cellStyle name="Accent6 3 3 5 2" xfId="17966"/>
    <cellStyle name="Accent6 3 3 5 3" xfId="17965"/>
    <cellStyle name="Accent6 3 3 6" xfId="3411"/>
    <cellStyle name="Accent6 3 3 6 2" xfId="17968"/>
    <cellStyle name="Accent6 3 3 6 3" xfId="17967"/>
    <cellStyle name="Accent6 3 3 7" xfId="17969"/>
    <cellStyle name="Accent6 3 3 8" xfId="17958"/>
    <cellStyle name="Accent6 3 4" xfId="1735"/>
    <cellStyle name="Accent6 3 4 2" xfId="1963"/>
    <cellStyle name="Accent6 3 4 2 2" xfId="17972"/>
    <cellStyle name="Accent6 3 4 2 3" xfId="17971"/>
    <cellStyle name="Accent6 3 4 3" xfId="2338"/>
    <cellStyle name="Accent6 3 4 3 2" xfId="17974"/>
    <cellStyle name="Accent6 3 4 3 3" xfId="17973"/>
    <cellStyle name="Accent6 3 4 4" xfId="2711"/>
    <cellStyle name="Accent6 3 4 4 2" xfId="17976"/>
    <cellStyle name="Accent6 3 4 4 3" xfId="17975"/>
    <cellStyle name="Accent6 3 4 5" xfId="3084"/>
    <cellStyle name="Accent6 3 4 5 2" xfId="17978"/>
    <cellStyle name="Accent6 3 4 5 3" xfId="17977"/>
    <cellStyle name="Accent6 3 4 6" xfId="3455"/>
    <cellStyle name="Accent6 3 4 6 2" xfId="17980"/>
    <cellStyle name="Accent6 3 4 6 3" xfId="17979"/>
    <cellStyle name="Accent6 3 4 7" xfId="17981"/>
    <cellStyle name="Accent6 3 4 8" xfId="17970"/>
    <cellStyle name="Accent6 3 5" xfId="2070"/>
    <cellStyle name="Accent6 3 5 2" xfId="17983"/>
    <cellStyle name="Accent6 3 5 3" xfId="17982"/>
    <cellStyle name="Accent6 3 6" xfId="2444"/>
    <cellStyle name="Accent6 3 6 2" xfId="17985"/>
    <cellStyle name="Accent6 3 6 3" xfId="17984"/>
    <cellStyle name="Accent6 3 7" xfId="2816"/>
    <cellStyle name="Accent6 3 7 2" xfId="17987"/>
    <cellStyle name="Accent6 3 7 3" xfId="17986"/>
    <cellStyle name="Accent6 3 8" xfId="3187"/>
    <cellStyle name="Accent6 3 8 2" xfId="17989"/>
    <cellStyle name="Accent6 3 8 3" xfId="17988"/>
    <cellStyle name="Accent6 3 9" xfId="3562"/>
    <cellStyle name="Accent6 3 9 2" xfId="17991"/>
    <cellStyle name="Accent6 3 9 3" xfId="17990"/>
    <cellStyle name="Accent6 4" xfId="258"/>
    <cellStyle name="Accent6 4 10" xfId="3742"/>
    <cellStyle name="Accent6 4 10 2" xfId="17994"/>
    <cellStyle name="Accent6 4 10 3" xfId="17993"/>
    <cellStyle name="Accent6 4 11" xfId="1313"/>
    <cellStyle name="Accent6 4 11 2" xfId="17996"/>
    <cellStyle name="Accent6 4 11 3" xfId="17995"/>
    <cellStyle name="Accent6 4 12" xfId="17997"/>
    <cellStyle name="Accent6 4 13" xfId="17992"/>
    <cellStyle name="Accent6 4 2" xfId="1516"/>
    <cellStyle name="Accent6 4 2 2" xfId="17999"/>
    <cellStyle name="Accent6 4 2 3" xfId="17998"/>
    <cellStyle name="Accent6 4 3" xfId="1641"/>
    <cellStyle name="Accent6 4 3 2" xfId="18001"/>
    <cellStyle name="Accent6 4 3 3" xfId="18000"/>
    <cellStyle name="Accent6 4 4" xfId="1786"/>
    <cellStyle name="Accent6 4 4 2" xfId="18003"/>
    <cellStyle name="Accent6 4 4 3" xfId="18002"/>
    <cellStyle name="Accent6 4 5" xfId="2121"/>
    <cellStyle name="Accent6 4 5 2" xfId="18005"/>
    <cellStyle name="Accent6 4 5 3" xfId="18004"/>
    <cellStyle name="Accent6 4 6" xfId="2495"/>
    <cellStyle name="Accent6 4 6 2" xfId="18007"/>
    <cellStyle name="Accent6 4 6 3" xfId="18006"/>
    <cellStyle name="Accent6 4 7" xfId="2867"/>
    <cellStyle name="Accent6 4 7 2" xfId="18009"/>
    <cellStyle name="Accent6 4 7 3" xfId="18008"/>
    <cellStyle name="Accent6 4 8" xfId="3238"/>
    <cellStyle name="Accent6 4 8 2" xfId="18011"/>
    <cellStyle name="Accent6 4 8 3" xfId="18010"/>
    <cellStyle name="Accent6 4 9" xfId="3605"/>
    <cellStyle name="Accent6 4 9 2" xfId="18013"/>
    <cellStyle name="Accent6 4 9 3" xfId="18012"/>
    <cellStyle name="Accent6 5" xfId="451"/>
    <cellStyle name="Accent6 5 2" xfId="1871"/>
    <cellStyle name="Accent6 5 2 2" xfId="18016"/>
    <cellStyle name="Accent6 5 2 3" xfId="18015"/>
    <cellStyle name="Accent6 5 3" xfId="2246"/>
    <cellStyle name="Accent6 5 3 2" xfId="18018"/>
    <cellStyle name="Accent6 5 3 3" xfId="18017"/>
    <cellStyle name="Accent6 5 4" xfId="2620"/>
    <cellStyle name="Accent6 5 4 2" xfId="18020"/>
    <cellStyle name="Accent6 5 4 3" xfId="18019"/>
    <cellStyle name="Accent6 5 5" xfId="2992"/>
    <cellStyle name="Accent6 5 5 2" xfId="18022"/>
    <cellStyle name="Accent6 5 5 3" xfId="18021"/>
    <cellStyle name="Accent6 5 6" xfId="3364"/>
    <cellStyle name="Accent6 5 6 2" xfId="18024"/>
    <cellStyle name="Accent6 5 6 3" xfId="18023"/>
    <cellStyle name="Accent6 5 7" xfId="18025"/>
    <cellStyle name="Accent6 5 7 2" xfId="18026"/>
    <cellStyle name="Accent6 5 8" xfId="18027"/>
    <cellStyle name="Accent6 5 9" xfId="18014"/>
    <cellStyle name="Accent6 6" xfId="452"/>
    <cellStyle name="Accent6 6 10" xfId="18028"/>
    <cellStyle name="Accent6 6 2" xfId="1992"/>
    <cellStyle name="Accent6 6 2 2" xfId="18030"/>
    <cellStyle name="Accent6 6 2 3" xfId="18029"/>
    <cellStyle name="Accent6 6 3" xfId="2367"/>
    <cellStyle name="Accent6 6 3 2" xfId="18032"/>
    <cellStyle name="Accent6 6 3 3" xfId="18031"/>
    <cellStyle name="Accent6 6 4" xfId="2740"/>
    <cellStyle name="Accent6 6 4 2" xfId="18034"/>
    <cellStyle name="Accent6 6 4 3" xfId="18033"/>
    <cellStyle name="Accent6 6 5" xfId="3113"/>
    <cellStyle name="Accent6 6 5 2" xfId="18036"/>
    <cellStyle name="Accent6 6 5 3" xfId="18035"/>
    <cellStyle name="Accent6 6 6" xfId="3484"/>
    <cellStyle name="Accent6 6 6 2" xfId="18038"/>
    <cellStyle name="Accent6 6 6 3" xfId="18037"/>
    <cellStyle name="Accent6 6 7" xfId="3790"/>
    <cellStyle name="Accent6 6 7 2" xfId="18040"/>
    <cellStyle name="Accent6 6 7 3" xfId="18039"/>
    <cellStyle name="Accent6 6 8" xfId="18041"/>
    <cellStyle name="Accent6 6 8 2" xfId="18042"/>
    <cellStyle name="Accent6 6 9" xfId="18043"/>
    <cellStyle name="Accent6 7" xfId="453"/>
    <cellStyle name="Accent6 7 2" xfId="18045"/>
    <cellStyle name="Accent6 7 3" xfId="18044"/>
    <cellStyle name="Accent6 8" xfId="589"/>
    <cellStyle name="Accent6 8 2" xfId="18047"/>
    <cellStyle name="Accent6 8 3" xfId="18046"/>
    <cellStyle name="Accent6 9" xfId="590"/>
    <cellStyle name="Accent6 9 2" xfId="18049"/>
    <cellStyle name="Accent6 9 3" xfId="18048"/>
    <cellStyle name="Bad 10" xfId="736"/>
    <cellStyle name="Bad 10 2" xfId="18052"/>
    <cellStyle name="Bad 10 3" xfId="18051"/>
    <cellStyle name="Bad 11" xfId="737"/>
    <cellStyle name="Bad 11 2" xfId="18054"/>
    <cellStyle name="Bad 11 3" xfId="18053"/>
    <cellStyle name="Bad 12" xfId="870"/>
    <cellStyle name="Bad 12 2" xfId="18055"/>
    <cellStyle name="Bad 13" xfId="871"/>
    <cellStyle name="Bad 13 2" xfId="18050"/>
    <cellStyle name="Bad 14" xfId="969"/>
    <cellStyle name="Bad 2" xfId="92"/>
    <cellStyle name="Bad 2 10" xfId="1691"/>
    <cellStyle name="Bad 2 10 2" xfId="18058"/>
    <cellStyle name="Bad 2 10 3" xfId="18057"/>
    <cellStyle name="Bad 2 11" xfId="2026"/>
    <cellStyle name="Bad 2 11 2" xfId="18060"/>
    <cellStyle name="Bad 2 11 3" xfId="18059"/>
    <cellStyle name="Bad 2 12" xfId="2400"/>
    <cellStyle name="Bad 2 12 2" xfId="18062"/>
    <cellStyle name="Bad 2 12 3" xfId="18061"/>
    <cellStyle name="Bad 2 13" xfId="2773"/>
    <cellStyle name="Bad 2 13 2" xfId="18064"/>
    <cellStyle name="Bad 2 13 3" xfId="18063"/>
    <cellStyle name="Bad 2 14" xfId="3147"/>
    <cellStyle name="Bad 2 14 2" xfId="18066"/>
    <cellStyle name="Bad 2 14 3" xfId="18065"/>
    <cellStyle name="Bad 2 15" xfId="3518"/>
    <cellStyle name="Bad 2 15 2" xfId="18068"/>
    <cellStyle name="Bad 2 15 3" xfId="18067"/>
    <cellStyle name="Bad 2 16" xfId="3656"/>
    <cellStyle name="Bad 2 16 2" xfId="18070"/>
    <cellStyle name="Bad 2 16 3" xfId="18069"/>
    <cellStyle name="Bad 2 17" xfId="18071"/>
    <cellStyle name="Bad 2 17 2" xfId="18072"/>
    <cellStyle name="Bad 2 18" xfId="18073"/>
    <cellStyle name="Bad 2 19" xfId="18056"/>
    <cellStyle name="Bad 2 2" xfId="136"/>
    <cellStyle name="Bad 2 2 2" xfId="159"/>
    <cellStyle name="Bad 2 2 2 2" xfId="18076"/>
    <cellStyle name="Bad 2 2 2 3" xfId="18075"/>
    <cellStyle name="Bad 2 2 3" xfId="323"/>
    <cellStyle name="Bad 2 2 3 2" xfId="18078"/>
    <cellStyle name="Bad 2 2 3 3" xfId="18077"/>
    <cellStyle name="Bad 2 2 4" xfId="2146"/>
    <cellStyle name="Bad 2 2 4 2" xfId="18080"/>
    <cellStyle name="Bad 2 2 4 3" xfId="18079"/>
    <cellStyle name="Bad 2 2 5" xfId="2520"/>
    <cellStyle name="Bad 2 2 5 2" xfId="18082"/>
    <cellStyle name="Bad 2 2 5 3" xfId="18081"/>
    <cellStyle name="Bad 2 2 6" xfId="2892"/>
    <cellStyle name="Bad 2 2 6 2" xfId="18084"/>
    <cellStyle name="Bad 2 2 6 3" xfId="18083"/>
    <cellStyle name="Bad 2 2 7" xfId="3263"/>
    <cellStyle name="Bad 2 2 7 2" xfId="18086"/>
    <cellStyle name="Bad 2 2 7 3" xfId="18085"/>
    <cellStyle name="Bad 2 2 8" xfId="18087"/>
    <cellStyle name="Bad 2 2 9" xfId="18074"/>
    <cellStyle name="Bad 2 20" xfId="24490"/>
    <cellStyle name="Bad 2 3" xfId="301"/>
    <cellStyle name="Bad 2 3 2" xfId="1322"/>
    <cellStyle name="Bad 2 3 2 2" xfId="18089"/>
    <cellStyle name="Bad 2 3 3" xfId="18088"/>
    <cellStyle name="Bad 2 4" xfId="454"/>
    <cellStyle name="Bad 2 4 2" xfId="18091"/>
    <cellStyle name="Bad 2 4 3" xfId="18090"/>
    <cellStyle name="Bad 2 5" xfId="591"/>
    <cellStyle name="Bad 2 5 2" xfId="18093"/>
    <cellStyle name="Bad 2 5 3" xfId="18092"/>
    <cellStyle name="Bad 2 6" xfId="738"/>
    <cellStyle name="Bad 2 6 2" xfId="18095"/>
    <cellStyle name="Bad 2 6 3" xfId="18094"/>
    <cellStyle name="Bad 2 7" xfId="739"/>
    <cellStyle name="Bad 2 7 2" xfId="18097"/>
    <cellStyle name="Bad 2 7 3" xfId="18096"/>
    <cellStyle name="Bad 2 8" xfId="872"/>
    <cellStyle name="Bad 2 8 2" xfId="1420"/>
    <cellStyle name="Bad 2 8 2 2" xfId="18099"/>
    <cellStyle name="Bad 2 8 3" xfId="18098"/>
    <cellStyle name="Bad 2 9" xfId="970"/>
    <cellStyle name="Bad 2 9 2" xfId="1557"/>
    <cellStyle name="Bad 2 9 2 2" xfId="18101"/>
    <cellStyle name="Bad 2 9 3" xfId="18100"/>
    <cellStyle name="Bad 3" xfId="200"/>
    <cellStyle name="Bad 3 10" xfId="3699"/>
    <cellStyle name="Bad 3 10 2" xfId="18104"/>
    <cellStyle name="Bad 3 10 3" xfId="18103"/>
    <cellStyle name="Bad 3 11" xfId="18105"/>
    <cellStyle name="Bad 3 11 2" xfId="18106"/>
    <cellStyle name="Bad 3 12" xfId="18107"/>
    <cellStyle name="Bad 3 13" xfId="18102"/>
    <cellStyle name="Bad 3 2" xfId="1472"/>
    <cellStyle name="Bad 3 2 2" xfId="1811"/>
    <cellStyle name="Bad 3 2 2 2" xfId="18110"/>
    <cellStyle name="Bad 3 2 2 3" xfId="18109"/>
    <cellStyle name="Bad 3 2 3" xfId="2186"/>
    <cellStyle name="Bad 3 2 3 2" xfId="18112"/>
    <cellStyle name="Bad 3 2 3 3" xfId="18111"/>
    <cellStyle name="Bad 3 2 4" xfId="2560"/>
    <cellStyle name="Bad 3 2 4 2" xfId="18114"/>
    <cellStyle name="Bad 3 2 4 3" xfId="18113"/>
    <cellStyle name="Bad 3 2 5" xfId="2932"/>
    <cellStyle name="Bad 3 2 5 2" xfId="18116"/>
    <cellStyle name="Bad 3 2 5 3" xfId="18115"/>
    <cellStyle name="Bad 3 2 6" xfId="3304"/>
    <cellStyle name="Bad 3 2 6 2" xfId="18118"/>
    <cellStyle name="Bad 3 2 6 3" xfId="18117"/>
    <cellStyle name="Bad 3 2 7" xfId="18119"/>
    <cellStyle name="Bad 3 2 8" xfId="18108"/>
    <cellStyle name="Bad 3 3" xfId="1599"/>
    <cellStyle name="Bad 3 3 2" xfId="1888"/>
    <cellStyle name="Bad 3 3 2 2" xfId="18122"/>
    <cellStyle name="Bad 3 3 2 3" xfId="18121"/>
    <cellStyle name="Bad 3 3 3" xfId="2263"/>
    <cellStyle name="Bad 3 3 3 2" xfId="18124"/>
    <cellStyle name="Bad 3 3 3 3" xfId="18123"/>
    <cellStyle name="Bad 3 3 4" xfId="2636"/>
    <cellStyle name="Bad 3 3 4 2" xfId="18126"/>
    <cellStyle name="Bad 3 3 4 3" xfId="18125"/>
    <cellStyle name="Bad 3 3 5" xfId="3009"/>
    <cellStyle name="Bad 3 3 5 2" xfId="18128"/>
    <cellStyle name="Bad 3 3 5 3" xfId="18127"/>
    <cellStyle name="Bad 3 3 6" xfId="3380"/>
    <cellStyle name="Bad 3 3 6 2" xfId="18130"/>
    <cellStyle name="Bad 3 3 6 3" xfId="18129"/>
    <cellStyle name="Bad 3 3 7" xfId="18131"/>
    <cellStyle name="Bad 3 3 8" xfId="18120"/>
    <cellStyle name="Bad 3 4" xfId="1736"/>
    <cellStyle name="Bad 3 4 2" xfId="1932"/>
    <cellStyle name="Bad 3 4 2 2" xfId="18134"/>
    <cellStyle name="Bad 3 4 2 3" xfId="18133"/>
    <cellStyle name="Bad 3 4 3" xfId="2307"/>
    <cellStyle name="Bad 3 4 3 2" xfId="18136"/>
    <cellStyle name="Bad 3 4 3 3" xfId="18135"/>
    <cellStyle name="Bad 3 4 4" xfId="2680"/>
    <cellStyle name="Bad 3 4 4 2" xfId="18138"/>
    <cellStyle name="Bad 3 4 4 3" xfId="18137"/>
    <cellStyle name="Bad 3 4 5" xfId="3053"/>
    <cellStyle name="Bad 3 4 5 2" xfId="18140"/>
    <cellStyle name="Bad 3 4 5 3" xfId="18139"/>
    <cellStyle name="Bad 3 4 6" xfId="3424"/>
    <cellStyle name="Bad 3 4 6 2" xfId="18142"/>
    <cellStyle name="Bad 3 4 6 3" xfId="18141"/>
    <cellStyle name="Bad 3 4 7" xfId="18143"/>
    <cellStyle name="Bad 3 4 8" xfId="18132"/>
    <cellStyle name="Bad 3 5" xfId="2071"/>
    <cellStyle name="Bad 3 5 2" xfId="18145"/>
    <cellStyle name="Bad 3 5 3" xfId="18144"/>
    <cellStyle name="Bad 3 6" xfId="2445"/>
    <cellStyle name="Bad 3 6 2" xfId="18147"/>
    <cellStyle name="Bad 3 6 3" xfId="18146"/>
    <cellStyle name="Bad 3 7" xfId="2817"/>
    <cellStyle name="Bad 3 7 2" xfId="18149"/>
    <cellStyle name="Bad 3 7 3" xfId="18148"/>
    <cellStyle name="Bad 3 8" xfId="3188"/>
    <cellStyle name="Bad 3 8 2" xfId="18151"/>
    <cellStyle name="Bad 3 8 3" xfId="18150"/>
    <cellStyle name="Bad 3 9" xfId="3563"/>
    <cellStyle name="Bad 3 9 2" xfId="18153"/>
    <cellStyle name="Bad 3 9 3" xfId="18152"/>
    <cellStyle name="Bad 4" xfId="259"/>
    <cellStyle name="Bad 4 10" xfId="3743"/>
    <cellStyle name="Bad 4 10 2" xfId="18156"/>
    <cellStyle name="Bad 4 10 3" xfId="18155"/>
    <cellStyle name="Bad 4 11" xfId="1282"/>
    <cellStyle name="Bad 4 11 2" xfId="18158"/>
    <cellStyle name="Bad 4 11 3" xfId="18157"/>
    <cellStyle name="Bad 4 12" xfId="18159"/>
    <cellStyle name="Bad 4 13" xfId="18154"/>
    <cellStyle name="Bad 4 2" xfId="1517"/>
    <cellStyle name="Bad 4 2 2" xfId="18161"/>
    <cellStyle name="Bad 4 2 3" xfId="18160"/>
    <cellStyle name="Bad 4 3" xfId="1642"/>
    <cellStyle name="Bad 4 3 2" xfId="18163"/>
    <cellStyle name="Bad 4 3 3" xfId="18162"/>
    <cellStyle name="Bad 4 4" xfId="1785"/>
    <cellStyle name="Bad 4 4 2" xfId="18165"/>
    <cellStyle name="Bad 4 4 3" xfId="18164"/>
    <cellStyle name="Bad 4 5" xfId="2120"/>
    <cellStyle name="Bad 4 5 2" xfId="18167"/>
    <cellStyle name="Bad 4 5 3" xfId="18166"/>
    <cellStyle name="Bad 4 6" xfId="2494"/>
    <cellStyle name="Bad 4 6 2" xfId="18169"/>
    <cellStyle name="Bad 4 6 3" xfId="18168"/>
    <cellStyle name="Bad 4 7" xfId="2866"/>
    <cellStyle name="Bad 4 7 2" xfId="18171"/>
    <cellStyle name="Bad 4 7 3" xfId="18170"/>
    <cellStyle name="Bad 4 8" xfId="3237"/>
    <cellStyle name="Bad 4 8 2" xfId="18173"/>
    <cellStyle name="Bad 4 8 3" xfId="18172"/>
    <cellStyle name="Bad 4 9" xfId="3606"/>
    <cellStyle name="Bad 4 9 2" xfId="18175"/>
    <cellStyle name="Bad 4 9 3" xfId="18174"/>
    <cellStyle name="Bad 5" xfId="455"/>
    <cellStyle name="Bad 5 2" xfId="1854"/>
    <cellStyle name="Bad 5 2 2" xfId="18178"/>
    <cellStyle name="Bad 5 2 3" xfId="18177"/>
    <cellStyle name="Bad 5 3" xfId="2229"/>
    <cellStyle name="Bad 5 3 2" xfId="18180"/>
    <cellStyle name="Bad 5 3 3" xfId="18179"/>
    <cellStyle name="Bad 5 4" xfId="2603"/>
    <cellStyle name="Bad 5 4 2" xfId="18182"/>
    <cellStyle name="Bad 5 4 3" xfId="18181"/>
    <cellStyle name="Bad 5 5" xfId="2975"/>
    <cellStyle name="Bad 5 5 2" xfId="18184"/>
    <cellStyle name="Bad 5 5 3" xfId="18183"/>
    <cellStyle name="Bad 5 6" xfId="3347"/>
    <cellStyle name="Bad 5 6 2" xfId="18186"/>
    <cellStyle name="Bad 5 6 3" xfId="18185"/>
    <cellStyle name="Bad 5 7" xfId="18187"/>
    <cellStyle name="Bad 5 7 2" xfId="18188"/>
    <cellStyle name="Bad 5 8" xfId="18189"/>
    <cellStyle name="Bad 5 9" xfId="18176"/>
    <cellStyle name="Bad 6" xfId="456"/>
    <cellStyle name="Bad 6 10" xfId="18190"/>
    <cellStyle name="Bad 6 2" xfId="1993"/>
    <cellStyle name="Bad 6 2 2" xfId="18192"/>
    <cellStyle name="Bad 6 2 3" xfId="18191"/>
    <cellStyle name="Bad 6 3" xfId="2368"/>
    <cellStyle name="Bad 6 3 2" xfId="18194"/>
    <cellStyle name="Bad 6 3 3" xfId="18193"/>
    <cellStyle name="Bad 6 4" xfId="2741"/>
    <cellStyle name="Bad 6 4 2" xfId="18196"/>
    <cellStyle name="Bad 6 4 3" xfId="18195"/>
    <cellStyle name="Bad 6 5" xfId="3114"/>
    <cellStyle name="Bad 6 5 2" xfId="18198"/>
    <cellStyle name="Bad 6 5 3" xfId="18197"/>
    <cellStyle name="Bad 6 6" xfId="3485"/>
    <cellStyle name="Bad 6 6 2" xfId="18200"/>
    <cellStyle name="Bad 6 6 3" xfId="18199"/>
    <cellStyle name="Bad 6 7" xfId="3791"/>
    <cellStyle name="Bad 6 7 2" xfId="18202"/>
    <cellStyle name="Bad 6 7 3" xfId="18201"/>
    <cellStyle name="Bad 6 8" xfId="18203"/>
    <cellStyle name="Bad 6 8 2" xfId="18204"/>
    <cellStyle name="Bad 6 9" xfId="18205"/>
    <cellStyle name="Bad 7" xfId="457"/>
    <cellStyle name="Bad 7 2" xfId="18207"/>
    <cellStyle name="Bad 7 3" xfId="18206"/>
    <cellStyle name="Bad 8" xfId="592"/>
    <cellStyle name="Bad 8 2" xfId="18209"/>
    <cellStyle name="Bad 8 3" xfId="18208"/>
    <cellStyle name="Bad 9" xfId="593"/>
    <cellStyle name="Bad 9 2" xfId="18211"/>
    <cellStyle name="Bad 9 3" xfId="18210"/>
    <cellStyle name="Calculation 10" xfId="740"/>
    <cellStyle name="Calculation 10 2" xfId="18214"/>
    <cellStyle name="Calculation 10 3" xfId="18213"/>
    <cellStyle name="Calculation 11" xfId="741"/>
    <cellStyle name="Calculation 11 2" xfId="18216"/>
    <cellStyle name="Calculation 11 3" xfId="18215"/>
    <cellStyle name="Calculation 12" xfId="873"/>
    <cellStyle name="Calculation 12 2" xfId="18217"/>
    <cellStyle name="Calculation 13" xfId="874"/>
    <cellStyle name="Calculation 13 2" xfId="18212"/>
    <cellStyle name="Calculation 14" xfId="971"/>
    <cellStyle name="Calculation 2" xfId="93"/>
    <cellStyle name="Calculation 2 10" xfId="1692"/>
    <cellStyle name="Calculation 2 10 2" xfId="18220"/>
    <cellStyle name="Calculation 2 10 3" xfId="18219"/>
    <cellStyle name="Calculation 2 11" xfId="2027"/>
    <cellStyle name="Calculation 2 11 2" xfId="18222"/>
    <cellStyle name="Calculation 2 11 3" xfId="18221"/>
    <cellStyle name="Calculation 2 12" xfId="2401"/>
    <cellStyle name="Calculation 2 12 2" xfId="18224"/>
    <cellStyle name="Calculation 2 12 3" xfId="18223"/>
    <cellStyle name="Calculation 2 13" xfId="2774"/>
    <cellStyle name="Calculation 2 13 2" xfId="18226"/>
    <cellStyle name="Calculation 2 13 3" xfId="18225"/>
    <cellStyle name="Calculation 2 14" xfId="3148"/>
    <cellStyle name="Calculation 2 14 2" xfId="18228"/>
    <cellStyle name="Calculation 2 14 3" xfId="18227"/>
    <cellStyle name="Calculation 2 15" xfId="3519"/>
    <cellStyle name="Calculation 2 15 2" xfId="18230"/>
    <cellStyle name="Calculation 2 15 3" xfId="18229"/>
    <cellStyle name="Calculation 2 16" xfId="3657"/>
    <cellStyle name="Calculation 2 16 2" xfId="18232"/>
    <cellStyle name="Calculation 2 16 3" xfId="18231"/>
    <cellStyle name="Calculation 2 17" xfId="18233"/>
    <cellStyle name="Calculation 2 17 2" xfId="18234"/>
    <cellStyle name="Calculation 2 18" xfId="18235"/>
    <cellStyle name="Calculation 2 19" xfId="18218"/>
    <cellStyle name="Calculation 2 2" xfId="137"/>
    <cellStyle name="Calculation 2 2 2" xfId="163"/>
    <cellStyle name="Calculation 2 2 2 2" xfId="18238"/>
    <cellStyle name="Calculation 2 2 2 3" xfId="18237"/>
    <cellStyle name="Calculation 2 2 3" xfId="327"/>
    <cellStyle name="Calculation 2 2 3 2" xfId="18240"/>
    <cellStyle name="Calculation 2 2 3 3" xfId="18239"/>
    <cellStyle name="Calculation 2 2 4" xfId="2150"/>
    <cellStyle name="Calculation 2 2 4 2" xfId="18242"/>
    <cellStyle name="Calculation 2 2 4 3" xfId="18241"/>
    <cellStyle name="Calculation 2 2 5" xfId="2524"/>
    <cellStyle name="Calculation 2 2 5 2" xfId="18244"/>
    <cellStyle name="Calculation 2 2 5 3" xfId="18243"/>
    <cellStyle name="Calculation 2 2 6" xfId="2896"/>
    <cellStyle name="Calculation 2 2 6 2" xfId="18246"/>
    <cellStyle name="Calculation 2 2 6 3" xfId="18245"/>
    <cellStyle name="Calculation 2 2 7" xfId="3267"/>
    <cellStyle name="Calculation 2 2 7 2" xfId="18248"/>
    <cellStyle name="Calculation 2 2 7 3" xfId="18247"/>
    <cellStyle name="Calculation 2 2 8" xfId="18249"/>
    <cellStyle name="Calculation 2 2 9" xfId="18236"/>
    <cellStyle name="Calculation 2 20" xfId="24491"/>
    <cellStyle name="Calculation 2 3" xfId="302"/>
    <cellStyle name="Calculation 2 3 2" xfId="1326"/>
    <cellStyle name="Calculation 2 3 2 2" xfId="18251"/>
    <cellStyle name="Calculation 2 3 3" xfId="18250"/>
    <cellStyle name="Calculation 2 4" xfId="458"/>
    <cellStyle name="Calculation 2 4 2" xfId="18253"/>
    <cellStyle name="Calculation 2 4 3" xfId="18252"/>
    <cellStyle name="Calculation 2 5" xfId="594"/>
    <cellStyle name="Calculation 2 5 2" xfId="18255"/>
    <cellStyle name="Calculation 2 5 3" xfId="18254"/>
    <cellStyle name="Calculation 2 6" xfId="742"/>
    <cellStyle name="Calculation 2 6 2" xfId="18257"/>
    <cellStyle name="Calculation 2 6 3" xfId="18256"/>
    <cellStyle name="Calculation 2 7" xfId="743"/>
    <cellStyle name="Calculation 2 7 2" xfId="18259"/>
    <cellStyle name="Calculation 2 7 3" xfId="18258"/>
    <cellStyle name="Calculation 2 8" xfId="875"/>
    <cellStyle name="Calculation 2 8 2" xfId="1421"/>
    <cellStyle name="Calculation 2 8 2 2" xfId="18261"/>
    <cellStyle name="Calculation 2 8 3" xfId="18260"/>
    <cellStyle name="Calculation 2 9" xfId="972"/>
    <cellStyle name="Calculation 2 9 2" xfId="1556"/>
    <cellStyle name="Calculation 2 9 2 2" xfId="18263"/>
    <cellStyle name="Calculation 2 9 3" xfId="18262"/>
    <cellStyle name="Calculation 3" xfId="204"/>
    <cellStyle name="Calculation 3 10" xfId="3700"/>
    <cellStyle name="Calculation 3 10 2" xfId="18266"/>
    <cellStyle name="Calculation 3 10 3" xfId="18265"/>
    <cellStyle name="Calculation 3 11" xfId="18267"/>
    <cellStyle name="Calculation 3 11 2" xfId="18268"/>
    <cellStyle name="Calculation 3 12" xfId="18269"/>
    <cellStyle name="Calculation 3 13" xfId="18264"/>
    <cellStyle name="Calculation 3 2" xfId="1473"/>
    <cellStyle name="Calculation 3 2 2" xfId="1815"/>
    <cellStyle name="Calculation 3 2 2 2" xfId="18272"/>
    <cellStyle name="Calculation 3 2 2 3" xfId="18271"/>
    <cellStyle name="Calculation 3 2 3" xfId="2190"/>
    <cellStyle name="Calculation 3 2 3 2" xfId="18274"/>
    <cellStyle name="Calculation 3 2 3 3" xfId="18273"/>
    <cellStyle name="Calculation 3 2 4" xfId="2564"/>
    <cellStyle name="Calculation 3 2 4 2" xfId="18276"/>
    <cellStyle name="Calculation 3 2 4 3" xfId="18275"/>
    <cellStyle name="Calculation 3 2 5" xfId="2936"/>
    <cellStyle name="Calculation 3 2 5 2" xfId="18278"/>
    <cellStyle name="Calculation 3 2 5 3" xfId="18277"/>
    <cellStyle name="Calculation 3 2 6" xfId="3308"/>
    <cellStyle name="Calculation 3 2 6 2" xfId="18280"/>
    <cellStyle name="Calculation 3 2 6 3" xfId="18279"/>
    <cellStyle name="Calculation 3 2 7" xfId="18281"/>
    <cellStyle name="Calculation 3 2 8" xfId="18270"/>
    <cellStyle name="Calculation 3 3" xfId="1600"/>
    <cellStyle name="Calculation 3 3 2" xfId="1892"/>
    <cellStyle name="Calculation 3 3 2 2" xfId="18284"/>
    <cellStyle name="Calculation 3 3 2 3" xfId="18283"/>
    <cellStyle name="Calculation 3 3 3" xfId="2267"/>
    <cellStyle name="Calculation 3 3 3 2" xfId="18286"/>
    <cellStyle name="Calculation 3 3 3 3" xfId="18285"/>
    <cellStyle name="Calculation 3 3 4" xfId="2640"/>
    <cellStyle name="Calculation 3 3 4 2" xfId="18288"/>
    <cellStyle name="Calculation 3 3 4 3" xfId="18287"/>
    <cellStyle name="Calculation 3 3 5" xfId="3013"/>
    <cellStyle name="Calculation 3 3 5 2" xfId="18290"/>
    <cellStyle name="Calculation 3 3 5 3" xfId="18289"/>
    <cellStyle name="Calculation 3 3 6" xfId="3384"/>
    <cellStyle name="Calculation 3 3 6 2" xfId="18292"/>
    <cellStyle name="Calculation 3 3 6 3" xfId="18291"/>
    <cellStyle name="Calculation 3 3 7" xfId="18293"/>
    <cellStyle name="Calculation 3 3 8" xfId="18282"/>
    <cellStyle name="Calculation 3 4" xfId="1737"/>
    <cellStyle name="Calculation 3 4 2" xfId="1936"/>
    <cellStyle name="Calculation 3 4 2 2" xfId="18296"/>
    <cellStyle name="Calculation 3 4 2 3" xfId="18295"/>
    <cellStyle name="Calculation 3 4 3" xfId="2311"/>
    <cellStyle name="Calculation 3 4 3 2" xfId="18298"/>
    <cellStyle name="Calculation 3 4 3 3" xfId="18297"/>
    <cellStyle name="Calculation 3 4 4" xfId="2684"/>
    <cellStyle name="Calculation 3 4 4 2" xfId="18300"/>
    <cellStyle name="Calculation 3 4 4 3" xfId="18299"/>
    <cellStyle name="Calculation 3 4 5" xfId="3057"/>
    <cellStyle name="Calculation 3 4 5 2" xfId="18302"/>
    <cellStyle name="Calculation 3 4 5 3" xfId="18301"/>
    <cellStyle name="Calculation 3 4 6" xfId="3428"/>
    <cellStyle name="Calculation 3 4 6 2" xfId="18304"/>
    <cellStyle name="Calculation 3 4 6 3" xfId="18303"/>
    <cellStyle name="Calculation 3 4 7" xfId="18305"/>
    <cellStyle name="Calculation 3 4 8" xfId="18294"/>
    <cellStyle name="Calculation 3 5" xfId="2072"/>
    <cellStyle name="Calculation 3 5 2" xfId="18307"/>
    <cellStyle name="Calculation 3 5 3" xfId="18306"/>
    <cellStyle name="Calculation 3 6" xfId="2446"/>
    <cellStyle name="Calculation 3 6 2" xfId="18309"/>
    <cellStyle name="Calculation 3 6 3" xfId="18308"/>
    <cellStyle name="Calculation 3 7" xfId="2818"/>
    <cellStyle name="Calculation 3 7 2" xfId="18311"/>
    <cellStyle name="Calculation 3 7 3" xfId="18310"/>
    <cellStyle name="Calculation 3 8" xfId="3189"/>
    <cellStyle name="Calculation 3 8 2" xfId="18313"/>
    <cellStyle name="Calculation 3 8 3" xfId="18312"/>
    <cellStyle name="Calculation 3 9" xfId="3564"/>
    <cellStyle name="Calculation 3 9 2" xfId="18315"/>
    <cellStyle name="Calculation 3 9 3" xfId="18314"/>
    <cellStyle name="Calculation 4" xfId="260"/>
    <cellStyle name="Calculation 4 10" xfId="3744"/>
    <cellStyle name="Calculation 4 10 2" xfId="18318"/>
    <cellStyle name="Calculation 4 10 3" xfId="18317"/>
    <cellStyle name="Calculation 4 11" xfId="1286"/>
    <cellStyle name="Calculation 4 11 2" xfId="18320"/>
    <cellStyle name="Calculation 4 11 3" xfId="18319"/>
    <cellStyle name="Calculation 4 12" xfId="18321"/>
    <cellStyle name="Calculation 4 13" xfId="18316"/>
    <cellStyle name="Calculation 4 2" xfId="1518"/>
    <cellStyle name="Calculation 4 2 2" xfId="18323"/>
    <cellStyle name="Calculation 4 2 3" xfId="18322"/>
    <cellStyle name="Calculation 4 3" xfId="1643"/>
    <cellStyle name="Calculation 4 3 2" xfId="18325"/>
    <cellStyle name="Calculation 4 3 3" xfId="18324"/>
    <cellStyle name="Calculation 4 4" xfId="1784"/>
    <cellStyle name="Calculation 4 4 2" xfId="18327"/>
    <cellStyle name="Calculation 4 4 3" xfId="18326"/>
    <cellStyle name="Calculation 4 5" xfId="2119"/>
    <cellStyle name="Calculation 4 5 2" xfId="18329"/>
    <cellStyle name="Calculation 4 5 3" xfId="18328"/>
    <cellStyle name="Calculation 4 6" xfId="2493"/>
    <cellStyle name="Calculation 4 6 2" xfId="18331"/>
    <cellStyle name="Calculation 4 6 3" xfId="18330"/>
    <cellStyle name="Calculation 4 7" xfId="2865"/>
    <cellStyle name="Calculation 4 7 2" xfId="18333"/>
    <cellStyle name="Calculation 4 7 3" xfId="18332"/>
    <cellStyle name="Calculation 4 8" xfId="3236"/>
    <cellStyle name="Calculation 4 8 2" xfId="18335"/>
    <cellStyle name="Calculation 4 8 3" xfId="18334"/>
    <cellStyle name="Calculation 4 9" xfId="3607"/>
    <cellStyle name="Calculation 4 9 2" xfId="18337"/>
    <cellStyle name="Calculation 4 9 3" xfId="18336"/>
    <cellStyle name="Calculation 5" xfId="459"/>
    <cellStyle name="Calculation 5 2" xfId="1870"/>
    <cellStyle name="Calculation 5 2 2" xfId="18340"/>
    <cellStyle name="Calculation 5 2 3" xfId="18339"/>
    <cellStyle name="Calculation 5 3" xfId="2245"/>
    <cellStyle name="Calculation 5 3 2" xfId="18342"/>
    <cellStyle name="Calculation 5 3 3" xfId="18341"/>
    <cellStyle name="Calculation 5 4" xfId="2619"/>
    <cellStyle name="Calculation 5 4 2" xfId="18344"/>
    <cellStyle name="Calculation 5 4 3" xfId="18343"/>
    <cellStyle name="Calculation 5 5" xfId="2991"/>
    <cellStyle name="Calculation 5 5 2" xfId="18346"/>
    <cellStyle name="Calculation 5 5 3" xfId="18345"/>
    <cellStyle name="Calculation 5 6" xfId="3363"/>
    <cellStyle name="Calculation 5 6 2" xfId="18348"/>
    <cellStyle name="Calculation 5 6 3" xfId="18347"/>
    <cellStyle name="Calculation 5 7" xfId="18349"/>
    <cellStyle name="Calculation 5 7 2" xfId="18350"/>
    <cellStyle name="Calculation 5 8" xfId="18351"/>
    <cellStyle name="Calculation 5 9" xfId="18338"/>
    <cellStyle name="Calculation 6" xfId="460"/>
    <cellStyle name="Calculation 6 10" xfId="18352"/>
    <cellStyle name="Calculation 6 2" xfId="1994"/>
    <cellStyle name="Calculation 6 2 2" xfId="18354"/>
    <cellStyle name="Calculation 6 2 3" xfId="18353"/>
    <cellStyle name="Calculation 6 3" xfId="2369"/>
    <cellStyle name="Calculation 6 3 2" xfId="18356"/>
    <cellStyle name="Calculation 6 3 3" xfId="18355"/>
    <cellStyle name="Calculation 6 4" xfId="2742"/>
    <cellStyle name="Calculation 6 4 2" xfId="18358"/>
    <cellStyle name="Calculation 6 4 3" xfId="18357"/>
    <cellStyle name="Calculation 6 5" xfId="3115"/>
    <cellStyle name="Calculation 6 5 2" xfId="18360"/>
    <cellStyle name="Calculation 6 5 3" xfId="18359"/>
    <cellStyle name="Calculation 6 6" xfId="3486"/>
    <cellStyle name="Calculation 6 6 2" xfId="18362"/>
    <cellStyle name="Calculation 6 6 3" xfId="18361"/>
    <cellStyle name="Calculation 6 7" xfId="3792"/>
    <cellStyle name="Calculation 6 7 2" xfId="18364"/>
    <cellStyle name="Calculation 6 7 3" xfId="18363"/>
    <cellStyle name="Calculation 6 8" xfId="18365"/>
    <cellStyle name="Calculation 6 8 2" xfId="18366"/>
    <cellStyle name="Calculation 6 9" xfId="18367"/>
    <cellStyle name="Calculation 7" xfId="461"/>
    <cellStyle name="Calculation 7 2" xfId="18369"/>
    <cellStyle name="Calculation 7 3" xfId="18368"/>
    <cellStyle name="Calculation 8" xfId="595"/>
    <cellStyle name="Calculation 8 2" xfId="18371"/>
    <cellStyle name="Calculation 8 3" xfId="18370"/>
    <cellStyle name="Calculation 9" xfId="596"/>
    <cellStyle name="Calculation 9 2" xfId="18373"/>
    <cellStyle name="Calculation 9 3" xfId="18372"/>
    <cellStyle name="Check Cell 10" xfId="744"/>
    <cellStyle name="Check Cell 10 2" xfId="18376"/>
    <cellStyle name="Check Cell 10 3" xfId="18375"/>
    <cellStyle name="Check Cell 11" xfId="745"/>
    <cellStyle name="Check Cell 11 2" xfId="18378"/>
    <cellStyle name="Check Cell 11 3" xfId="18377"/>
    <cellStyle name="Check Cell 12" xfId="876"/>
    <cellStyle name="Check Cell 12 2" xfId="18379"/>
    <cellStyle name="Check Cell 13" xfId="877"/>
    <cellStyle name="Check Cell 13 2" xfId="18374"/>
    <cellStyle name="Check Cell 14" xfId="973"/>
    <cellStyle name="Check Cell 2" xfId="94"/>
    <cellStyle name="Check Cell 2 10" xfId="1693"/>
    <cellStyle name="Check Cell 2 10 2" xfId="18382"/>
    <cellStyle name="Check Cell 2 10 3" xfId="18381"/>
    <cellStyle name="Check Cell 2 11" xfId="2028"/>
    <cellStyle name="Check Cell 2 11 2" xfId="18384"/>
    <cellStyle name="Check Cell 2 11 3" xfId="18383"/>
    <cellStyle name="Check Cell 2 12" xfId="2402"/>
    <cellStyle name="Check Cell 2 12 2" xfId="18386"/>
    <cellStyle name="Check Cell 2 12 3" xfId="18385"/>
    <cellStyle name="Check Cell 2 13" xfId="2775"/>
    <cellStyle name="Check Cell 2 13 2" xfId="18388"/>
    <cellStyle name="Check Cell 2 13 3" xfId="18387"/>
    <cellStyle name="Check Cell 2 14" xfId="3149"/>
    <cellStyle name="Check Cell 2 14 2" xfId="18390"/>
    <cellStyle name="Check Cell 2 14 3" xfId="18389"/>
    <cellStyle name="Check Cell 2 15" xfId="3520"/>
    <cellStyle name="Check Cell 2 15 2" xfId="18392"/>
    <cellStyle name="Check Cell 2 15 3" xfId="18391"/>
    <cellStyle name="Check Cell 2 16" xfId="3658"/>
    <cellStyle name="Check Cell 2 16 2" xfId="18394"/>
    <cellStyle name="Check Cell 2 16 3" xfId="18393"/>
    <cellStyle name="Check Cell 2 17" xfId="18395"/>
    <cellStyle name="Check Cell 2 17 2" xfId="18396"/>
    <cellStyle name="Check Cell 2 18" xfId="18397"/>
    <cellStyle name="Check Cell 2 19" xfId="18380"/>
    <cellStyle name="Check Cell 2 2" xfId="138"/>
    <cellStyle name="Check Cell 2 2 2" xfId="165"/>
    <cellStyle name="Check Cell 2 2 2 2" xfId="18400"/>
    <cellStyle name="Check Cell 2 2 2 3" xfId="18399"/>
    <cellStyle name="Check Cell 2 2 3" xfId="329"/>
    <cellStyle name="Check Cell 2 2 3 2" xfId="18402"/>
    <cellStyle name="Check Cell 2 2 3 3" xfId="18401"/>
    <cellStyle name="Check Cell 2 2 4" xfId="2152"/>
    <cellStyle name="Check Cell 2 2 4 2" xfId="18404"/>
    <cellStyle name="Check Cell 2 2 4 3" xfId="18403"/>
    <cellStyle name="Check Cell 2 2 5" xfId="2526"/>
    <cellStyle name="Check Cell 2 2 5 2" xfId="18406"/>
    <cellStyle name="Check Cell 2 2 5 3" xfId="18405"/>
    <cellStyle name="Check Cell 2 2 6" xfId="2898"/>
    <cellStyle name="Check Cell 2 2 6 2" xfId="18408"/>
    <cellStyle name="Check Cell 2 2 6 3" xfId="18407"/>
    <cellStyle name="Check Cell 2 2 7" xfId="3269"/>
    <cellStyle name="Check Cell 2 2 7 2" xfId="18410"/>
    <cellStyle name="Check Cell 2 2 7 3" xfId="18409"/>
    <cellStyle name="Check Cell 2 2 8" xfId="18411"/>
    <cellStyle name="Check Cell 2 2 9" xfId="18398"/>
    <cellStyle name="Check Cell 2 20" xfId="20542"/>
    <cellStyle name="Check Cell 2 3" xfId="303"/>
    <cellStyle name="Check Cell 2 3 2" xfId="1328"/>
    <cellStyle name="Check Cell 2 3 2 2" xfId="18413"/>
    <cellStyle name="Check Cell 2 3 3" xfId="18412"/>
    <cellStyle name="Check Cell 2 4" xfId="462"/>
    <cellStyle name="Check Cell 2 4 2" xfId="18415"/>
    <cellStyle name="Check Cell 2 4 3" xfId="18414"/>
    <cellStyle name="Check Cell 2 5" xfId="597"/>
    <cellStyle name="Check Cell 2 5 2" xfId="18417"/>
    <cellStyle name="Check Cell 2 5 3" xfId="18416"/>
    <cellStyle name="Check Cell 2 6" xfId="746"/>
    <cellStyle name="Check Cell 2 6 2" xfId="18419"/>
    <cellStyle name="Check Cell 2 6 3" xfId="18418"/>
    <cellStyle name="Check Cell 2 7" xfId="747"/>
    <cellStyle name="Check Cell 2 7 2" xfId="18421"/>
    <cellStyle name="Check Cell 2 7 3" xfId="18420"/>
    <cellStyle name="Check Cell 2 8" xfId="878"/>
    <cellStyle name="Check Cell 2 8 2" xfId="1422"/>
    <cellStyle name="Check Cell 2 8 2 2" xfId="18423"/>
    <cellStyle name="Check Cell 2 8 3" xfId="18422"/>
    <cellStyle name="Check Cell 2 9" xfId="974"/>
    <cellStyle name="Check Cell 2 9 2" xfId="1555"/>
    <cellStyle name="Check Cell 2 9 2 2" xfId="18425"/>
    <cellStyle name="Check Cell 2 9 3" xfId="18424"/>
    <cellStyle name="Check Cell 3" xfId="206"/>
    <cellStyle name="Check Cell 3 10" xfId="3701"/>
    <cellStyle name="Check Cell 3 10 2" xfId="18428"/>
    <cellStyle name="Check Cell 3 10 3" xfId="18427"/>
    <cellStyle name="Check Cell 3 11" xfId="18429"/>
    <cellStyle name="Check Cell 3 11 2" xfId="18430"/>
    <cellStyle name="Check Cell 3 12" xfId="18431"/>
    <cellStyle name="Check Cell 3 13" xfId="18426"/>
    <cellStyle name="Check Cell 3 2" xfId="1474"/>
    <cellStyle name="Check Cell 3 2 2" xfId="1817"/>
    <cellStyle name="Check Cell 3 2 2 2" xfId="18434"/>
    <cellStyle name="Check Cell 3 2 2 3" xfId="18433"/>
    <cellStyle name="Check Cell 3 2 3" xfId="2192"/>
    <cellStyle name="Check Cell 3 2 3 2" xfId="18436"/>
    <cellStyle name="Check Cell 3 2 3 3" xfId="18435"/>
    <cellStyle name="Check Cell 3 2 4" xfId="2566"/>
    <cellStyle name="Check Cell 3 2 4 2" xfId="18438"/>
    <cellStyle name="Check Cell 3 2 4 3" xfId="18437"/>
    <cellStyle name="Check Cell 3 2 5" xfId="2938"/>
    <cellStyle name="Check Cell 3 2 5 2" xfId="18440"/>
    <cellStyle name="Check Cell 3 2 5 3" xfId="18439"/>
    <cellStyle name="Check Cell 3 2 6" xfId="3310"/>
    <cellStyle name="Check Cell 3 2 6 2" xfId="18442"/>
    <cellStyle name="Check Cell 3 2 6 3" xfId="18441"/>
    <cellStyle name="Check Cell 3 2 7" xfId="18443"/>
    <cellStyle name="Check Cell 3 2 8" xfId="18432"/>
    <cellStyle name="Check Cell 3 3" xfId="1601"/>
    <cellStyle name="Check Cell 3 3 2" xfId="1894"/>
    <cellStyle name="Check Cell 3 3 2 2" xfId="18446"/>
    <cellStyle name="Check Cell 3 3 2 3" xfId="18445"/>
    <cellStyle name="Check Cell 3 3 3" xfId="2269"/>
    <cellStyle name="Check Cell 3 3 3 2" xfId="18448"/>
    <cellStyle name="Check Cell 3 3 3 3" xfId="18447"/>
    <cellStyle name="Check Cell 3 3 4" xfId="2642"/>
    <cellStyle name="Check Cell 3 3 4 2" xfId="18450"/>
    <cellStyle name="Check Cell 3 3 4 3" xfId="18449"/>
    <cellStyle name="Check Cell 3 3 5" xfId="3015"/>
    <cellStyle name="Check Cell 3 3 5 2" xfId="18452"/>
    <cellStyle name="Check Cell 3 3 5 3" xfId="18451"/>
    <cellStyle name="Check Cell 3 3 6" xfId="3386"/>
    <cellStyle name="Check Cell 3 3 6 2" xfId="18454"/>
    <cellStyle name="Check Cell 3 3 6 3" xfId="18453"/>
    <cellStyle name="Check Cell 3 3 7" xfId="18455"/>
    <cellStyle name="Check Cell 3 3 8" xfId="18444"/>
    <cellStyle name="Check Cell 3 4" xfId="1738"/>
    <cellStyle name="Check Cell 3 4 2" xfId="1938"/>
    <cellStyle name="Check Cell 3 4 2 2" xfId="18458"/>
    <cellStyle name="Check Cell 3 4 2 3" xfId="18457"/>
    <cellStyle name="Check Cell 3 4 3" xfId="2313"/>
    <cellStyle name="Check Cell 3 4 3 2" xfId="18460"/>
    <cellStyle name="Check Cell 3 4 3 3" xfId="18459"/>
    <cellStyle name="Check Cell 3 4 4" xfId="2686"/>
    <cellStyle name="Check Cell 3 4 4 2" xfId="18462"/>
    <cellStyle name="Check Cell 3 4 4 3" xfId="18461"/>
    <cellStyle name="Check Cell 3 4 5" xfId="3059"/>
    <cellStyle name="Check Cell 3 4 5 2" xfId="18464"/>
    <cellStyle name="Check Cell 3 4 5 3" xfId="18463"/>
    <cellStyle name="Check Cell 3 4 6" xfId="3430"/>
    <cellStyle name="Check Cell 3 4 6 2" xfId="18466"/>
    <cellStyle name="Check Cell 3 4 6 3" xfId="18465"/>
    <cellStyle name="Check Cell 3 4 7" xfId="18467"/>
    <cellStyle name="Check Cell 3 4 8" xfId="18456"/>
    <cellStyle name="Check Cell 3 5" xfId="2073"/>
    <cellStyle name="Check Cell 3 5 2" xfId="18469"/>
    <cellStyle name="Check Cell 3 5 3" xfId="18468"/>
    <cellStyle name="Check Cell 3 6" xfId="2447"/>
    <cellStyle name="Check Cell 3 6 2" xfId="18471"/>
    <cellStyle name="Check Cell 3 6 3" xfId="18470"/>
    <cellStyle name="Check Cell 3 7" xfId="2819"/>
    <cellStyle name="Check Cell 3 7 2" xfId="18473"/>
    <cellStyle name="Check Cell 3 7 3" xfId="18472"/>
    <cellStyle name="Check Cell 3 8" xfId="3190"/>
    <cellStyle name="Check Cell 3 8 2" xfId="18475"/>
    <cellStyle name="Check Cell 3 8 3" xfId="18474"/>
    <cellStyle name="Check Cell 3 9" xfId="3565"/>
    <cellStyle name="Check Cell 3 9 2" xfId="18477"/>
    <cellStyle name="Check Cell 3 9 3" xfId="18476"/>
    <cellStyle name="Check Cell 4" xfId="261"/>
    <cellStyle name="Check Cell 4 10" xfId="3745"/>
    <cellStyle name="Check Cell 4 10 2" xfId="18480"/>
    <cellStyle name="Check Cell 4 10 3" xfId="18479"/>
    <cellStyle name="Check Cell 4 11" xfId="1288"/>
    <cellStyle name="Check Cell 4 11 2" xfId="18482"/>
    <cellStyle name="Check Cell 4 11 3" xfId="18481"/>
    <cellStyle name="Check Cell 4 12" xfId="18483"/>
    <cellStyle name="Check Cell 4 13" xfId="18478"/>
    <cellStyle name="Check Cell 4 2" xfId="1519"/>
    <cellStyle name="Check Cell 4 2 2" xfId="18485"/>
    <cellStyle name="Check Cell 4 2 3" xfId="18484"/>
    <cellStyle name="Check Cell 4 3" xfId="1644"/>
    <cellStyle name="Check Cell 4 3 2" xfId="18487"/>
    <cellStyle name="Check Cell 4 3 3" xfId="18486"/>
    <cellStyle name="Check Cell 4 4" xfId="1783"/>
    <cellStyle name="Check Cell 4 4 2" xfId="18489"/>
    <cellStyle name="Check Cell 4 4 3" xfId="18488"/>
    <cellStyle name="Check Cell 4 5" xfId="2118"/>
    <cellStyle name="Check Cell 4 5 2" xfId="18491"/>
    <cellStyle name="Check Cell 4 5 3" xfId="18490"/>
    <cellStyle name="Check Cell 4 6" xfId="2492"/>
    <cellStyle name="Check Cell 4 6 2" xfId="18493"/>
    <cellStyle name="Check Cell 4 6 3" xfId="18492"/>
    <cellStyle name="Check Cell 4 7" xfId="2864"/>
    <cellStyle name="Check Cell 4 7 2" xfId="18495"/>
    <cellStyle name="Check Cell 4 7 3" xfId="18494"/>
    <cellStyle name="Check Cell 4 8" xfId="3235"/>
    <cellStyle name="Check Cell 4 8 2" xfId="18497"/>
    <cellStyle name="Check Cell 4 8 3" xfId="18496"/>
    <cellStyle name="Check Cell 4 9" xfId="3608"/>
    <cellStyle name="Check Cell 4 9 2" xfId="18499"/>
    <cellStyle name="Check Cell 4 9 3" xfId="18498"/>
    <cellStyle name="Check Cell 5" xfId="463"/>
    <cellStyle name="Check Cell 5 2" xfId="1853"/>
    <cellStyle name="Check Cell 5 2 2" xfId="18502"/>
    <cellStyle name="Check Cell 5 2 3" xfId="18501"/>
    <cellStyle name="Check Cell 5 3" xfId="2228"/>
    <cellStyle name="Check Cell 5 3 2" xfId="18504"/>
    <cellStyle name="Check Cell 5 3 3" xfId="18503"/>
    <cellStyle name="Check Cell 5 4" xfId="2602"/>
    <cellStyle name="Check Cell 5 4 2" xfId="18506"/>
    <cellStyle name="Check Cell 5 4 3" xfId="18505"/>
    <cellStyle name="Check Cell 5 5" xfId="2974"/>
    <cellStyle name="Check Cell 5 5 2" xfId="18508"/>
    <cellStyle name="Check Cell 5 5 3" xfId="18507"/>
    <cellStyle name="Check Cell 5 6" xfId="3346"/>
    <cellStyle name="Check Cell 5 6 2" xfId="18510"/>
    <cellStyle name="Check Cell 5 6 3" xfId="18509"/>
    <cellStyle name="Check Cell 5 7" xfId="18511"/>
    <cellStyle name="Check Cell 5 7 2" xfId="18512"/>
    <cellStyle name="Check Cell 5 8" xfId="18513"/>
    <cellStyle name="Check Cell 5 9" xfId="18500"/>
    <cellStyle name="Check Cell 6" xfId="464"/>
    <cellStyle name="Check Cell 6 10" xfId="18514"/>
    <cellStyle name="Check Cell 6 2" xfId="1995"/>
    <cellStyle name="Check Cell 6 2 2" xfId="18516"/>
    <cellStyle name="Check Cell 6 2 3" xfId="18515"/>
    <cellStyle name="Check Cell 6 3" xfId="2370"/>
    <cellStyle name="Check Cell 6 3 2" xfId="18518"/>
    <cellStyle name="Check Cell 6 3 3" xfId="18517"/>
    <cellStyle name="Check Cell 6 4" xfId="2743"/>
    <cellStyle name="Check Cell 6 4 2" xfId="18520"/>
    <cellStyle name="Check Cell 6 4 3" xfId="18519"/>
    <cellStyle name="Check Cell 6 5" xfId="3116"/>
    <cellStyle name="Check Cell 6 5 2" xfId="18522"/>
    <cellStyle name="Check Cell 6 5 3" xfId="18521"/>
    <cellStyle name="Check Cell 6 6" xfId="3487"/>
    <cellStyle name="Check Cell 6 6 2" xfId="18524"/>
    <cellStyle name="Check Cell 6 6 3" xfId="18523"/>
    <cellStyle name="Check Cell 6 7" xfId="3793"/>
    <cellStyle name="Check Cell 6 7 2" xfId="18526"/>
    <cellStyle name="Check Cell 6 7 3" xfId="18525"/>
    <cellStyle name="Check Cell 6 8" xfId="18527"/>
    <cellStyle name="Check Cell 6 8 2" xfId="18528"/>
    <cellStyle name="Check Cell 6 9" xfId="18529"/>
    <cellStyle name="Check Cell 7" xfId="465"/>
    <cellStyle name="Check Cell 7 2" xfId="18531"/>
    <cellStyle name="Check Cell 7 3" xfId="18530"/>
    <cellStyle name="Check Cell 8" xfId="598"/>
    <cellStyle name="Check Cell 8 2" xfId="18533"/>
    <cellStyle name="Check Cell 8 3" xfId="18532"/>
    <cellStyle name="Check Cell 9" xfId="599"/>
    <cellStyle name="Check Cell 9 2" xfId="18535"/>
    <cellStyle name="Check Cell 9 3" xfId="18534"/>
    <cellStyle name="Comma" xfId="1" builtinId="3"/>
    <cellStyle name="Comma [0] 2" xfId="24492"/>
    <cellStyle name="Comma [0] 2 2" xfId="24508"/>
    <cellStyle name="Comma [0] 2 2 2" xfId="24573"/>
    <cellStyle name="Comma [0] 2 3" xfId="24574"/>
    <cellStyle name="Comma [0] 2 4" xfId="24575"/>
    <cellStyle name="Comma [0] 2 4 2" xfId="26757"/>
    <cellStyle name="Comma [0] 3" xfId="24509"/>
    <cellStyle name="Comma 10" xfId="31"/>
    <cellStyle name="Comma 10 10" xfId="4689"/>
    <cellStyle name="Comma 10 10 2" xfId="18538"/>
    <cellStyle name="Comma 10 10 3" xfId="18537"/>
    <cellStyle name="Comma 10 11" xfId="4690"/>
    <cellStyle name="Comma 10 11 2" xfId="18540"/>
    <cellStyle name="Comma 10 11 3" xfId="18539"/>
    <cellStyle name="Comma 10 12" xfId="4691"/>
    <cellStyle name="Comma 10 12 2" xfId="18542"/>
    <cellStyle name="Comma 10 12 3" xfId="18541"/>
    <cellStyle name="Comma 10 13" xfId="4692"/>
    <cellStyle name="Comma 10 13 2" xfId="18544"/>
    <cellStyle name="Comma 10 13 3" xfId="18543"/>
    <cellStyle name="Comma 10 14" xfId="4693"/>
    <cellStyle name="Comma 10 14 2" xfId="18546"/>
    <cellStyle name="Comma 10 14 3" xfId="18545"/>
    <cellStyle name="Comma 10 15" xfId="4694"/>
    <cellStyle name="Comma 10 15 2" xfId="18548"/>
    <cellStyle name="Comma 10 15 3" xfId="18547"/>
    <cellStyle name="Comma 10 16" xfId="4695"/>
    <cellStyle name="Comma 10 16 2" xfId="18550"/>
    <cellStyle name="Comma 10 16 3" xfId="18549"/>
    <cellStyle name="Comma 10 17" xfId="4696"/>
    <cellStyle name="Comma 10 17 2" xfId="18552"/>
    <cellStyle name="Comma 10 17 3" xfId="18551"/>
    <cellStyle name="Comma 10 18" xfId="4697"/>
    <cellStyle name="Comma 10 18 2" xfId="18554"/>
    <cellStyle name="Comma 10 18 3" xfId="18553"/>
    <cellStyle name="Comma 10 19" xfId="4698"/>
    <cellStyle name="Comma 10 19 2" xfId="18556"/>
    <cellStyle name="Comma 10 19 3" xfId="18555"/>
    <cellStyle name="Comma 10 2" xfId="3881"/>
    <cellStyle name="Comma 10 2 2" xfId="18558"/>
    <cellStyle name="Comma 10 2 2 2" xfId="24576"/>
    <cellStyle name="Comma 10 2 2 2 2" xfId="26758"/>
    <cellStyle name="Comma 10 2 3" xfId="18557"/>
    <cellStyle name="Comma 10 2 3 2" xfId="24577"/>
    <cellStyle name="Comma 10 2 3 2 2" xfId="26759"/>
    <cellStyle name="Comma 10 2 4" xfId="24578"/>
    <cellStyle name="Comma 10 2 4 2" xfId="26760"/>
    <cellStyle name="Comma 10 2 5" xfId="24579"/>
    <cellStyle name="Comma 10 2 6" xfId="24580"/>
    <cellStyle name="Comma 10 2 6 2" xfId="26761"/>
    <cellStyle name="Comma 10 2 7" xfId="24511"/>
    <cellStyle name="Comma 10 20" xfId="4699"/>
    <cellStyle name="Comma 10 20 2" xfId="18560"/>
    <cellStyle name="Comma 10 20 3" xfId="18559"/>
    <cellStyle name="Comma 10 21" xfId="4700"/>
    <cellStyle name="Comma 10 21 2" xfId="18562"/>
    <cellStyle name="Comma 10 21 3" xfId="18561"/>
    <cellStyle name="Comma 10 22" xfId="4701"/>
    <cellStyle name="Comma 10 22 2" xfId="18564"/>
    <cellStyle name="Comma 10 22 3" xfId="18563"/>
    <cellStyle name="Comma 10 23" xfId="4702"/>
    <cellStyle name="Comma 10 23 2" xfId="18566"/>
    <cellStyle name="Comma 10 23 3" xfId="18565"/>
    <cellStyle name="Comma 10 24" xfId="4703"/>
    <cellStyle name="Comma 10 24 2" xfId="18568"/>
    <cellStyle name="Comma 10 24 3" xfId="18567"/>
    <cellStyle name="Comma 10 25" xfId="18569"/>
    <cellStyle name="Comma 10 26" xfId="18536"/>
    <cellStyle name="Comma 10 27" xfId="24510"/>
    <cellStyle name="Comma 10 3" xfId="4704"/>
    <cellStyle name="Comma 10 3 2" xfId="18571"/>
    <cellStyle name="Comma 10 3 3" xfId="18570"/>
    <cellStyle name="Comma 10 3 4" xfId="24581"/>
    <cellStyle name="Comma 10 3 4 2" xfId="26762"/>
    <cellStyle name="Comma 10 4" xfId="4705"/>
    <cellStyle name="Comma 10 4 2" xfId="18573"/>
    <cellStyle name="Comma 10 4 3" xfId="18572"/>
    <cellStyle name="Comma 10 4 4" xfId="24582"/>
    <cellStyle name="Comma 10 4 4 2" xfId="26763"/>
    <cellStyle name="Comma 10 5" xfId="4706"/>
    <cellStyle name="Comma 10 5 2" xfId="18575"/>
    <cellStyle name="Comma 10 5 3" xfId="18574"/>
    <cellStyle name="Comma 10 5 4" xfId="24583"/>
    <cellStyle name="Comma 10 5 4 2" xfId="26764"/>
    <cellStyle name="Comma 10 6" xfId="4707"/>
    <cellStyle name="Comma 10 6 2" xfId="18577"/>
    <cellStyle name="Comma 10 6 3" xfId="18576"/>
    <cellStyle name="Comma 10 6 4" xfId="24584"/>
    <cellStyle name="Comma 10 7" xfId="4708"/>
    <cellStyle name="Comma 10 7 2" xfId="18579"/>
    <cellStyle name="Comma 10 7 3" xfId="18578"/>
    <cellStyle name="Comma 10 7 4" xfId="24585"/>
    <cellStyle name="Comma 10 7 4 2" xfId="26765"/>
    <cellStyle name="Comma 10 8" xfId="4709"/>
    <cellStyle name="Comma 10 8 2" xfId="18581"/>
    <cellStyle name="Comma 10 8 3" xfId="18580"/>
    <cellStyle name="Comma 10 9" xfId="4710"/>
    <cellStyle name="Comma 10 9 2" xfId="18583"/>
    <cellStyle name="Comma 10 9 3" xfId="18582"/>
    <cellStyle name="Comma 11" xfId="32"/>
    <cellStyle name="Comma 11 10" xfId="4711"/>
    <cellStyle name="Comma 11 10 2" xfId="18586"/>
    <cellStyle name="Comma 11 10 3" xfId="18585"/>
    <cellStyle name="Comma 11 11" xfId="4712"/>
    <cellStyle name="Comma 11 11 2" xfId="18588"/>
    <cellStyle name="Comma 11 11 3" xfId="18587"/>
    <cellStyle name="Comma 11 12" xfId="4713"/>
    <cellStyle name="Comma 11 12 2" xfId="18590"/>
    <cellStyle name="Comma 11 12 3" xfId="18589"/>
    <cellStyle name="Comma 11 13" xfId="4714"/>
    <cellStyle name="Comma 11 13 2" xfId="18592"/>
    <cellStyle name="Comma 11 13 3" xfId="18591"/>
    <cellStyle name="Comma 11 14" xfId="4715"/>
    <cellStyle name="Comma 11 14 2" xfId="18594"/>
    <cellStyle name="Comma 11 14 3" xfId="18593"/>
    <cellStyle name="Comma 11 15" xfId="4716"/>
    <cellStyle name="Comma 11 15 2" xfId="18596"/>
    <cellStyle name="Comma 11 15 3" xfId="18595"/>
    <cellStyle name="Comma 11 16" xfId="4717"/>
    <cellStyle name="Comma 11 16 2" xfId="18598"/>
    <cellStyle name="Comma 11 16 3" xfId="18597"/>
    <cellStyle name="Comma 11 17" xfId="4718"/>
    <cellStyle name="Comma 11 17 2" xfId="18600"/>
    <cellStyle name="Comma 11 17 3" xfId="18599"/>
    <cellStyle name="Comma 11 18" xfId="4719"/>
    <cellStyle name="Comma 11 18 2" xfId="18602"/>
    <cellStyle name="Comma 11 18 3" xfId="18601"/>
    <cellStyle name="Comma 11 19" xfId="4720"/>
    <cellStyle name="Comma 11 19 2" xfId="18604"/>
    <cellStyle name="Comma 11 19 3" xfId="18603"/>
    <cellStyle name="Comma 11 2" xfId="3913"/>
    <cellStyle name="Comma 11 2 2" xfId="18606"/>
    <cellStyle name="Comma 11 2 3" xfId="18605"/>
    <cellStyle name="Comma 11 2 4" xfId="24513"/>
    <cellStyle name="Comma 11 20" xfId="4721"/>
    <cellStyle name="Comma 11 20 2" xfId="18608"/>
    <cellStyle name="Comma 11 20 3" xfId="18607"/>
    <cellStyle name="Comma 11 21" xfId="4722"/>
    <cellStyle name="Comma 11 21 2" xfId="18610"/>
    <cellStyle name="Comma 11 21 3" xfId="18609"/>
    <cellStyle name="Comma 11 22" xfId="4723"/>
    <cellStyle name="Comma 11 22 2" xfId="18612"/>
    <cellStyle name="Comma 11 22 3" xfId="18611"/>
    <cellStyle name="Comma 11 23" xfId="4724"/>
    <cellStyle name="Comma 11 23 2" xfId="18614"/>
    <cellStyle name="Comma 11 23 3" xfId="18613"/>
    <cellStyle name="Comma 11 24" xfId="4725"/>
    <cellStyle name="Comma 11 24 2" xfId="18616"/>
    <cellStyle name="Comma 11 24 3" xfId="18615"/>
    <cellStyle name="Comma 11 25" xfId="18617"/>
    <cellStyle name="Comma 11 26" xfId="18584"/>
    <cellStyle name="Comma 11 27" xfId="24512"/>
    <cellStyle name="Comma 11 3" xfId="4726"/>
    <cellStyle name="Comma 11 3 2" xfId="18619"/>
    <cellStyle name="Comma 11 3 3" xfId="18618"/>
    <cellStyle name="Comma 11 3 4" xfId="24586"/>
    <cellStyle name="Comma 11 4" xfId="4727"/>
    <cellStyle name="Comma 11 4 2" xfId="18621"/>
    <cellStyle name="Comma 11 4 3" xfId="18620"/>
    <cellStyle name="Comma 11 4 4" xfId="24587"/>
    <cellStyle name="Comma 11 5" xfId="4728"/>
    <cellStyle name="Comma 11 5 2" xfId="18623"/>
    <cellStyle name="Comma 11 5 3" xfId="18622"/>
    <cellStyle name="Comma 11 6" xfId="4729"/>
    <cellStyle name="Comma 11 6 2" xfId="18625"/>
    <cellStyle name="Comma 11 6 3" xfId="18624"/>
    <cellStyle name="Comma 11 7" xfId="4730"/>
    <cellStyle name="Comma 11 7 2" xfId="18627"/>
    <cellStyle name="Comma 11 7 3" xfId="18626"/>
    <cellStyle name="Comma 11 8" xfId="4731"/>
    <cellStyle name="Comma 11 8 2" xfId="18629"/>
    <cellStyle name="Comma 11 8 3" xfId="18628"/>
    <cellStyle name="Comma 11 9" xfId="4732"/>
    <cellStyle name="Comma 11 9 2" xfId="18631"/>
    <cellStyle name="Comma 11 9 3" xfId="18630"/>
    <cellStyle name="Comma 12" xfId="33"/>
    <cellStyle name="Comma 12 2" xfId="3883"/>
    <cellStyle name="Comma 12 2 2" xfId="18634"/>
    <cellStyle name="Comma 12 2 2 2" xfId="24589"/>
    <cellStyle name="Comma 12 2 2 2 2" xfId="26766"/>
    <cellStyle name="Comma 12 2 3" xfId="18633"/>
    <cellStyle name="Comma 12 2 3 2" xfId="24590"/>
    <cellStyle name="Comma 12 2 3 2 2" xfId="26767"/>
    <cellStyle name="Comma 12 2 4" xfId="24591"/>
    <cellStyle name="Comma 12 2 4 2" xfId="26768"/>
    <cellStyle name="Comma 12 2 5" xfId="24588"/>
    <cellStyle name="Comma 12 2 5 2" xfId="26769"/>
    <cellStyle name="Comma 12 3" xfId="18635"/>
    <cellStyle name="Comma 12 3 2" xfId="24592"/>
    <cellStyle name="Comma 12 3 2 2" xfId="26770"/>
    <cellStyle name="Comma 12 4" xfId="18632"/>
    <cellStyle name="Comma 12 4 2" xfId="24593"/>
    <cellStyle name="Comma 12 4 2 2" xfId="26771"/>
    <cellStyle name="Comma 12 5" xfId="24594"/>
    <cellStyle name="Comma 12 5 2" xfId="26772"/>
    <cellStyle name="Comma 12 6" xfId="24595"/>
    <cellStyle name="Comma 12 7" xfId="24596"/>
    <cellStyle name="Comma 12 7 2" xfId="26773"/>
    <cellStyle name="Comma 12 8" xfId="24514"/>
    <cellStyle name="Comma 13" xfId="34"/>
    <cellStyle name="Comma 13 2" xfId="3915"/>
    <cellStyle name="Comma 13 2 2" xfId="18638"/>
    <cellStyle name="Comma 13 2 2 2" xfId="24598"/>
    <cellStyle name="Comma 13 2 2 2 2" xfId="26774"/>
    <cellStyle name="Comma 13 2 3" xfId="18637"/>
    <cellStyle name="Comma 13 2 3 2" xfId="24599"/>
    <cellStyle name="Comma 13 2 3 2 2" xfId="26775"/>
    <cellStyle name="Comma 13 2 4" xfId="24600"/>
    <cellStyle name="Comma 13 2 4 2" xfId="26776"/>
    <cellStyle name="Comma 13 2 5" xfId="24597"/>
    <cellStyle name="Comma 13 2 5 2" xfId="26777"/>
    <cellStyle name="Comma 13 3" xfId="18639"/>
    <cellStyle name="Comma 13 3 2" xfId="24601"/>
    <cellStyle name="Comma 13 3 2 2" xfId="26778"/>
    <cellStyle name="Comma 13 4" xfId="18636"/>
    <cellStyle name="Comma 13 4 2" xfId="24602"/>
    <cellStyle name="Comma 13 4 2 2" xfId="26779"/>
    <cellStyle name="Comma 13 5" xfId="24603"/>
    <cellStyle name="Comma 13 5 2" xfId="26780"/>
    <cellStyle name="Comma 13 6" xfId="24604"/>
    <cellStyle name="Comma 13 7" xfId="24605"/>
    <cellStyle name="Comma 13 7 2" xfId="26781"/>
    <cellStyle name="Comma 13 8" xfId="24515"/>
    <cellStyle name="Comma 14" xfId="35"/>
    <cellStyle name="Comma 14 2" xfId="3885"/>
    <cellStyle name="Comma 14 2 2" xfId="18641"/>
    <cellStyle name="Comma 14 2 2 2" xfId="24607"/>
    <cellStyle name="Comma 14 2 2 2 2" xfId="26782"/>
    <cellStyle name="Comma 14 2 3" xfId="24608"/>
    <cellStyle name="Comma 14 2 3 2" xfId="26783"/>
    <cellStyle name="Comma 14 2 4" xfId="24609"/>
    <cellStyle name="Comma 14 2 4 2" xfId="26784"/>
    <cellStyle name="Comma 14 2 5" xfId="24606"/>
    <cellStyle name="Comma 14 2 5 2" xfId="26785"/>
    <cellStyle name="Comma 14 3" xfId="1022"/>
    <cellStyle name="Comma 14 3 2" xfId="24610"/>
    <cellStyle name="Comma 14 3 2 2" xfId="26786"/>
    <cellStyle name="Comma 14 4" xfId="18640"/>
    <cellStyle name="Comma 14 4 2" xfId="24611"/>
    <cellStyle name="Comma 14 4 2 2" xfId="26787"/>
    <cellStyle name="Comma 14 5" xfId="24612"/>
    <cellStyle name="Comma 14 5 2" xfId="26788"/>
    <cellStyle name="Comma 14 6" xfId="24613"/>
    <cellStyle name="Comma 14 7" xfId="24614"/>
    <cellStyle name="Comma 14 7 2" xfId="26789"/>
    <cellStyle name="Comma 15" xfId="4733"/>
    <cellStyle name="Comma 15 2" xfId="24615"/>
    <cellStyle name="Comma 15 2 2" xfId="24616"/>
    <cellStyle name="Comma 15 2 2 2" xfId="26791"/>
    <cellStyle name="Comma 15 2 3" xfId="24617"/>
    <cellStyle name="Comma 15 2 3 2" xfId="26792"/>
    <cellStyle name="Comma 15 2 4" xfId="24618"/>
    <cellStyle name="Comma 15 2 4 2" xfId="26793"/>
    <cellStyle name="Comma 15 2 5" xfId="26790"/>
    <cellStyle name="Comma 15 3" xfId="24619"/>
    <cellStyle name="Comma 15 3 2" xfId="26794"/>
    <cellStyle name="Comma 15 4" xfId="24620"/>
    <cellStyle name="Comma 15 4 2" xfId="26795"/>
    <cellStyle name="Comma 15 5" xfId="24621"/>
    <cellStyle name="Comma 15 5 2" xfId="26796"/>
    <cellStyle name="Comma 15 6" xfId="24622"/>
    <cellStyle name="Comma 15 7" xfId="24623"/>
    <cellStyle name="Comma 15 7 2" xfId="26797"/>
    <cellStyle name="Comma 16" xfId="1024"/>
    <cellStyle name="Comma 16 2" xfId="3887"/>
    <cellStyle name="Comma 16 3" xfId="24569"/>
    <cellStyle name="Comma 17" xfId="7099"/>
    <cellStyle name="Comma 17 2" xfId="24624"/>
    <cellStyle name="Comma 17 2 2" xfId="24625"/>
    <cellStyle name="Comma 17 2 2 2" xfId="26800"/>
    <cellStyle name="Comma 17 2 3" xfId="24626"/>
    <cellStyle name="Comma 17 2 3 2" xfId="26801"/>
    <cellStyle name="Comma 17 2 4" xfId="24627"/>
    <cellStyle name="Comma 17 2 4 2" xfId="26802"/>
    <cellStyle name="Comma 17 2 5" xfId="26799"/>
    <cellStyle name="Comma 17 3" xfId="24628"/>
    <cellStyle name="Comma 17 3 2" xfId="26803"/>
    <cellStyle name="Comma 17 4" xfId="24629"/>
    <cellStyle name="Comma 17 4 2" xfId="26804"/>
    <cellStyle name="Comma 17 5" xfId="24630"/>
    <cellStyle name="Comma 17 5 2" xfId="26805"/>
    <cellStyle name="Comma 17 6" xfId="24631"/>
    <cellStyle name="Comma 17 7" xfId="24632"/>
    <cellStyle name="Comma 17 7 2" xfId="26806"/>
    <cellStyle name="Comma 17 8" xfId="24571"/>
    <cellStyle name="Comma 17 8 2" xfId="26807"/>
    <cellStyle name="Comma 17 9" xfId="26798"/>
    <cellStyle name="Comma 18" xfId="1026"/>
    <cellStyle name="Comma 18 2" xfId="3889"/>
    <cellStyle name="Comma 18 2 2" xfId="24635"/>
    <cellStyle name="Comma 18 2 2 2" xfId="26808"/>
    <cellStyle name="Comma 18 2 3" xfId="24636"/>
    <cellStyle name="Comma 18 2 3 2" xfId="26809"/>
    <cellStyle name="Comma 18 2 4" xfId="24637"/>
    <cellStyle name="Comma 18 2 4 2" xfId="26810"/>
    <cellStyle name="Comma 18 2 5" xfId="24634"/>
    <cellStyle name="Comma 18 2 5 2" xfId="26811"/>
    <cellStyle name="Comma 18 3" xfId="24638"/>
    <cellStyle name="Comma 18 3 2" xfId="26812"/>
    <cellStyle name="Comma 18 4" xfId="24639"/>
    <cellStyle name="Comma 18 4 2" xfId="26813"/>
    <cellStyle name="Comma 18 5" xfId="24640"/>
    <cellStyle name="Comma 18 5 2" xfId="26814"/>
    <cellStyle name="Comma 18 6" xfId="24641"/>
    <cellStyle name="Comma 18 7" xfId="24642"/>
    <cellStyle name="Comma 18 7 2" xfId="26815"/>
    <cellStyle name="Comma 18 8" xfId="24633"/>
    <cellStyle name="Comma 19" xfId="7114"/>
    <cellStyle name="Comma 19 2" xfId="24643"/>
    <cellStyle name="Comma 19 2 2" xfId="24644"/>
    <cellStyle name="Comma 19 2 2 2" xfId="26818"/>
    <cellStyle name="Comma 19 2 3" xfId="24645"/>
    <cellStyle name="Comma 19 2 3 2" xfId="26819"/>
    <cellStyle name="Comma 19 2 4" xfId="24646"/>
    <cellStyle name="Comma 19 2 4 2" xfId="26820"/>
    <cellStyle name="Comma 19 2 5" xfId="26817"/>
    <cellStyle name="Comma 19 3" xfId="24647"/>
    <cellStyle name="Comma 19 3 2" xfId="26821"/>
    <cellStyle name="Comma 19 4" xfId="24648"/>
    <cellStyle name="Comma 19 4 2" xfId="26822"/>
    <cellStyle name="Comma 19 5" xfId="24649"/>
    <cellStyle name="Comma 19 5 2" xfId="26823"/>
    <cellStyle name="Comma 19 6" xfId="26816"/>
    <cellStyle name="Comma 2" xfId="2"/>
    <cellStyle name="Comma 2 10" xfId="1016"/>
    <cellStyle name="Comma 2 10 2" xfId="3535"/>
    <cellStyle name="Comma 2 10 2 2" xfId="18643"/>
    <cellStyle name="Comma 2 10 3" xfId="3876"/>
    <cellStyle name="Comma 2 10 4" xfId="18642"/>
    <cellStyle name="Comma 2 11" xfId="1034"/>
    <cellStyle name="Comma 2 11 2" xfId="3671"/>
    <cellStyle name="Comma 2 11 2 2" xfId="18645"/>
    <cellStyle name="Comma 2 11 3" xfId="3899"/>
    <cellStyle name="Comma 2 11 4" xfId="18644"/>
    <cellStyle name="Comma 2 12" xfId="1040"/>
    <cellStyle name="Comma 2 12 2" xfId="3907"/>
    <cellStyle name="Comma 2 12 2 2" xfId="18648"/>
    <cellStyle name="Comma 2 12 2 3" xfId="18647"/>
    <cellStyle name="Comma 2 12 3" xfId="18649"/>
    <cellStyle name="Comma 2 12 4" xfId="18646"/>
    <cellStyle name="Comma 2 13" xfId="1060"/>
    <cellStyle name="Comma 2 13 2" xfId="3930"/>
    <cellStyle name="Comma 2 13 2 2" xfId="18651"/>
    <cellStyle name="Comma 2 13 3" xfId="18650"/>
    <cellStyle name="Comma 2 14" xfId="1070"/>
    <cellStyle name="Comma 2 14 2" xfId="3940"/>
    <cellStyle name="Comma 2 14 2 2" xfId="18653"/>
    <cellStyle name="Comma 2 14 3" xfId="18652"/>
    <cellStyle name="Comma 2 15" xfId="1080"/>
    <cellStyle name="Comma 2 15 2" xfId="3950"/>
    <cellStyle name="Comma 2 15 3" xfId="28692"/>
    <cellStyle name="Comma 2 16" xfId="1090"/>
    <cellStyle name="Comma 2 16 2" xfId="3960"/>
    <cellStyle name="Comma 2 17" xfId="1100"/>
    <cellStyle name="Comma 2 17 2" xfId="3970"/>
    <cellStyle name="Comma 2 18" xfId="1110"/>
    <cellStyle name="Comma 2 18 2" xfId="3980"/>
    <cellStyle name="Comma 2 19" xfId="1120"/>
    <cellStyle name="Comma 2 19 2" xfId="3990"/>
    <cellStyle name="Comma 2 2" xfId="36"/>
    <cellStyle name="Comma 2 2 10" xfId="4734"/>
    <cellStyle name="Comma 2 2 10 2" xfId="18656"/>
    <cellStyle name="Comma 2 2 10 3" xfId="18655"/>
    <cellStyle name="Comma 2 2 11" xfId="4735"/>
    <cellStyle name="Comma 2 2 11 2" xfId="18658"/>
    <cellStyle name="Comma 2 2 11 3" xfId="18657"/>
    <cellStyle name="Comma 2 2 12" xfId="4736"/>
    <cellStyle name="Comma 2 2 12 2" xfId="18660"/>
    <cellStyle name="Comma 2 2 12 3" xfId="18659"/>
    <cellStyle name="Comma 2 2 13" xfId="4737"/>
    <cellStyle name="Comma 2 2 13 2" xfId="18662"/>
    <cellStyle name="Comma 2 2 13 3" xfId="18661"/>
    <cellStyle name="Comma 2 2 14" xfId="4738"/>
    <cellStyle name="Comma 2 2 14 2" xfId="18664"/>
    <cellStyle name="Comma 2 2 14 3" xfId="18663"/>
    <cellStyle name="Comma 2 2 15" xfId="4739"/>
    <cellStyle name="Comma 2 2 15 2" xfId="18666"/>
    <cellStyle name="Comma 2 2 15 3" xfId="18665"/>
    <cellStyle name="Comma 2 2 16" xfId="4740"/>
    <cellStyle name="Comma 2 2 16 2" xfId="18668"/>
    <cellStyle name="Comma 2 2 16 3" xfId="18667"/>
    <cellStyle name="Comma 2 2 17" xfId="4741"/>
    <cellStyle name="Comma 2 2 17 2" xfId="18670"/>
    <cellStyle name="Comma 2 2 17 3" xfId="18669"/>
    <cellStyle name="Comma 2 2 18" xfId="4742"/>
    <cellStyle name="Comma 2 2 18 2" xfId="18672"/>
    <cellStyle name="Comma 2 2 18 3" xfId="18671"/>
    <cellStyle name="Comma 2 2 19" xfId="4743"/>
    <cellStyle name="Comma 2 2 19 2" xfId="18674"/>
    <cellStyle name="Comma 2 2 19 3" xfId="18673"/>
    <cellStyle name="Comma 2 2 2" xfId="111"/>
    <cellStyle name="Comma 2 2 2 2" xfId="4744"/>
    <cellStyle name="Comma 2 2 2 2 2" xfId="4745"/>
    <cellStyle name="Comma 2 2 2 2 2 2" xfId="18678"/>
    <cellStyle name="Comma 2 2 2 2 2 3" xfId="18677"/>
    <cellStyle name="Comma 2 2 2 2 3" xfId="4746"/>
    <cellStyle name="Comma 2 2 2 2 3 2" xfId="18680"/>
    <cellStyle name="Comma 2 2 2 2 3 3" xfId="18679"/>
    <cellStyle name="Comma 2 2 2 2 4" xfId="18681"/>
    <cellStyle name="Comma 2 2 2 2 5" xfId="18676"/>
    <cellStyle name="Comma 2 2 2 3" xfId="18682"/>
    <cellStyle name="Comma 2 2 2 4" xfId="18675"/>
    <cellStyle name="Comma 2 2 20" xfId="4747"/>
    <cellStyle name="Comma 2 2 20 2" xfId="18684"/>
    <cellStyle name="Comma 2 2 20 3" xfId="18683"/>
    <cellStyle name="Comma 2 2 21" xfId="4748"/>
    <cellStyle name="Comma 2 2 21 2" xfId="18686"/>
    <cellStyle name="Comma 2 2 21 3" xfId="18685"/>
    <cellStyle name="Comma 2 2 22" xfId="4749"/>
    <cellStyle name="Comma 2 2 22 2" xfId="18688"/>
    <cellStyle name="Comma 2 2 22 3" xfId="18687"/>
    <cellStyle name="Comma 2 2 23" xfId="4750"/>
    <cellStyle name="Comma 2 2 23 2" xfId="18690"/>
    <cellStyle name="Comma 2 2 23 3" xfId="18689"/>
    <cellStyle name="Comma 2 2 24" xfId="4751"/>
    <cellStyle name="Comma 2 2 24 2" xfId="18692"/>
    <cellStyle name="Comma 2 2 24 3" xfId="18691"/>
    <cellStyle name="Comma 2 2 25" xfId="18693"/>
    <cellStyle name="Comma 2 2 26" xfId="18654"/>
    <cellStyle name="Comma 2 2 3" xfId="4752"/>
    <cellStyle name="Comma 2 2 3 2" xfId="18695"/>
    <cellStyle name="Comma 2 2 3 3" xfId="18694"/>
    <cellStyle name="Comma 2 2 4" xfId="4753"/>
    <cellStyle name="Comma 2 2 4 2" xfId="18697"/>
    <cellStyle name="Comma 2 2 4 3" xfId="18696"/>
    <cellStyle name="Comma 2 2 5" xfId="4754"/>
    <cellStyle name="Comma 2 2 5 2" xfId="18699"/>
    <cellStyle name="Comma 2 2 5 3" xfId="18698"/>
    <cellStyle name="Comma 2 2 6" xfId="4755"/>
    <cellStyle name="Comma 2 2 6 2" xfId="18701"/>
    <cellStyle name="Comma 2 2 6 3" xfId="18700"/>
    <cellStyle name="Comma 2 2 7" xfId="4756"/>
    <cellStyle name="Comma 2 2 7 2" xfId="18703"/>
    <cellStyle name="Comma 2 2 7 3" xfId="18702"/>
    <cellStyle name="Comma 2 2 8" xfId="4757"/>
    <cellStyle name="Comma 2 2 8 2" xfId="18705"/>
    <cellStyle name="Comma 2 2 8 3" xfId="18704"/>
    <cellStyle name="Comma 2 2 9" xfId="4758"/>
    <cellStyle name="Comma 2 2 9 2" xfId="18707"/>
    <cellStyle name="Comma 2 2 9 3" xfId="18706"/>
    <cellStyle name="Comma 2 20" xfId="1130"/>
    <cellStyle name="Comma 2 20 2" xfId="4000"/>
    <cellStyle name="Comma 2 21" xfId="1140"/>
    <cellStyle name="Comma 2 21 2" xfId="4010"/>
    <cellStyle name="Comma 2 22" xfId="1150"/>
    <cellStyle name="Comma 2 22 2" xfId="4020"/>
    <cellStyle name="Comma 2 23" xfId="1158"/>
    <cellStyle name="Comma 2 23 2" xfId="4028"/>
    <cellStyle name="Comma 2 24" xfId="1170"/>
    <cellStyle name="Comma 2 24 2" xfId="4040"/>
    <cellStyle name="Comma 2 25" xfId="1180"/>
    <cellStyle name="Comma 2 25 2" xfId="4050"/>
    <cellStyle name="Comma 2 26" xfId="1190"/>
    <cellStyle name="Comma 2 26 2" xfId="4060"/>
    <cellStyle name="Comma 2 27" xfId="1200"/>
    <cellStyle name="Comma 2 27 2" xfId="4070"/>
    <cellStyle name="Comma 2 28" xfId="1210"/>
    <cellStyle name="Comma 2 28 2" xfId="4080"/>
    <cellStyle name="Comma 2 29" xfId="1220"/>
    <cellStyle name="Comma 2 29 2" xfId="4090"/>
    <cellStyle name="Comma 2 3" xfId="276"/>
    <cellStyle name="Comma 2 3 2" xfId="18709"/>
    <cellStyle name="Comma 2 3 2 2" xfId="24516"/>
    <cellStyle name="Comma 2 3 3" xfId="18708"/>
    <cellStyle name="Comma 2 30" xfId="1230"/>
    <cellStyle name="Comma 2 30 2" xfId="4100"/>
    <cellStyle name="Comma 2 31" xfId="1240"/>
    <cellStyle name="Comma 2 31 2" xfId="4110"/>
    <cellStyle name="Comma 2 32" xfId="1250"/>
    <cellStyle name="Comma 2 32 2" xfId="4120"/>
    <cellStyle name="Comma 2 33" xfId="1260"/>
    <cellStyle name="Comma 2 33 2" xfId="4130"/>
    <cellStyle name="Comma 2 34" xfId="1268"/>
    <cellStyle name="Comma 2 34 2" xfId="4138"/>
    <cellStyle name="Comma 2 35" xfId="95"/>
    <cellStyle name="Comma 2 4" xfId="1005"/>
    <cellStyle name="Comma 2 4 2" xfId="1538"/>
    <cellStyle name="Comma 2 4 2 2" xfId="18711"/>
    <cellStyle name="Comma 2 4 3" xfId="3864"/>
    <cellStyle name="Comma 2 4 3 2" xfId="24651"/>
    <cellStyle name="Comma 2 4 3 2 2" xfId="26824"/>
    <cellStyle name="Comma 2 4 4" xfId="18710"/>
    <cellStyle name="Comma 2 5" xfId="1007"/>
    <cellStyle name="Comma 2 5 2" xfId="1760"/>
    <cellStyle name="Comma 2 5 2 2" xfId="18713"/>
    <cellStyle name="Comma 2 5 3" xfId="3866"/>
    <cellStyle name="Comma 2 5 4" xfId="18712"/>
    <cellStyle name="Comma 2 6" xfId="1008"/>
    <cellStyle name="Comma 2 6 2" xfId="2095"/>
    <cellStyle name="Comma 2 6 2 2" xfId="18715"/>
    <cellStyle name="Comma 2 6 3" xfId="3868"/>
    <cellStyle name="Comma 2 6 4" xfId="18714"/>
    <cellStyle name="Comma 2 7" xfId="1010"/>
    <cellStyle name="Comma 2 7 2" xfId="2469"/>
    <cellStyle name="Comma 2 7 2 2" xfId="18717"/>
    <cellStyle name="Comma 2 7 3" xfId="3870"/>
    <cellStyle name="Comma 2 7 4" xfId="18716"/>
    <cellStyle name="Comma 2 8" xfId="1012"/>
    <cellStyle name="Comma 2 8 2" xfId="2841"/>
    <cellStyle name="Comma 2 8 2 2" xfId="18719"/>
    <cellStyle name="Comma 2 8 3" xfId="3872"/>
    <cellStyle name="Comma 2 8 4" xfId="18718"/>
    <cellStyle name="Comma 2 9" xfId="1014"/>
    <cellStyle name="Comma 2 9 2" xfId="3212"/>
    <cellStyle name="Comma 2 9 2 2" xfId="18721"/>
    <cellStyle name="Comma 2 9 3" xfId="3874"/>
    <cellStyle name="Comma 2 9 4" xfId="18720"/>
    <cellStyle name="Comma 20" xfId="1028"/>
    <cellStyle name="Comma 20 2" xfId="3891"/>
    <cellStyle name="Comma 20 2 2" xfId="24654"/>
    <cellStyle name="Comma 20 2 2 2" xfId="26825"/>
    <cellStyle name="Comma 20 2 3" xfId="24655"/>
    <cellStyle name="Comma 20 2 3 2" xfId="26826"/>
    <cellStyle name="Comma 20 2 4" xfId="24656"/>
    <cellStyle name="Comma 20 2 4 2" xfId="26827"/>
    <cellStyle name="Comma 20 2 5" xfId="24653"/>
    <cellStyle name="Comma 20 2 5 2" xfId="26828"/>
    <cellStyle name="Comma 20 3" xfId="24657"/>
    <cellStyle name="Comma 20 3 2" xfId="26829"/>
    <cellStyle name="Comma 20 4" xfId="24658"/>
    <cellStyle name="Comma 20 4 2" xfId="26830"/>
    <cellStyle name="Comma 20 5" xfId="24659"/>
    <cellStyle name="Comma 20 5 2" xfId="26831"/>
    <cellStyle name="Comma 20 6" xfId="24652"/>
    <cellStyle name="Comma 20 6 2" xfId="26832"/>
    <cellStyle name="Comma 21" xfId="24660"/>
    <cellStyle name="Comma 21 2" xfId="24661"/>
    <cellStyle name="Comma 21 2 2" xfId="24662"/>
    <cellStyle name="Comma 21 2 2 2" xfId="26835"/>
    <cellStyle name="Comma 21 2 3" xfId="24663"/>
    <cellStyle name="Comma 21 2 3 2" xfId="26836"/>
    <cellStyle name="Comma 21 2 4" xfId="24664"/>
    <cellStyle name="Comma 21 2 4 2" xfId="26837"/>
    <cellStyle name="Comma 21 2 5" xfId="26834"/>
    <cellStyle name="Comma 21 3" xfId="24665"/>
    <cellStyle name="Comma 21 3 2" xfId="26838"/>
    <cellStyle name="Comma 21 4" xfId="24666"/>
    <cellStyle name="Comma 21 4 2" xfId="26839"/>
    <cellStyle name="Comma 21 5" xfId="24667"/>
    <cellStyle name="Comma 21 5 2" xfId="26840"/>
    <cellStyle name="Comma 21 6" xfId="26833"/>
    <cellStyle name="Comma 22" xfId="1030"/>
    <cellStyle name="Comma 22 2" xfId="3893"/>
    <cellStyle name="Comma 22 2 2" xfId="24670"/>
    <cellStyle name="Comma 22 2 2 2" xfId="26841"/>
    <cellStyle name="Comma 22 2 3" xfId="24671"/>
    <cellStyle name="Comma 22 2 3 2" xfId="26842"/>
    <cellStyle name="Comma 22 2 4" xfId="24672"/>
    <cellStyle name="Comma 22 2 4 2" xfId="26843"/>
    <cellStyle name="Comma 22 2 5" xfId="24669"/>
    <cellStyle name="Comma 22 2 5 2" xfId="26844"/>
    <cellStyle name="Comma 22 3" xfId="24673"/>
    <cellStyle name="Comma 22 3 2" xfId="26845"/>
    <cellStyle name="Comma 22 4" xfId="24674"/>
    <cellStyle name="Comma 22 4 2" xfId="26846"/>
    <cellStyle name="Comma 22 5" xfId="24675"/>
    <cellStyle name="Comma 22 5 2" xfId="26847"/>
    <cellStyle name="Comma 22 6" xfId="24668"/>
    <cellStyle name="Comma 22 6 2" xfId="26848"/>
    <cellStyle name="Comma 23" xfId="37"/>
    <cellStyle name="Comma 23 2" xfId="18723"/>
    <cellStyle name="Comma 23 2 2" xfId="24678"/>
    <cellStyle name="Comma 23 2 2 2" xfId="26849"/>
    <cellStyle name="Comma 23 2 3" xfId="24679"/>
    <cellStyle name="Comma 23 2 3 2" xfId="26850"/>
    <cellStyle name="Comma 23 2 4" xfId="24680"/>
    <cellStyle name="Comma 23 2 4 2" xfId="26851"/>
    <cellStyle name="Comma 23 2 5" xfId="24677"/>
    <cellStyle name="Comma 23 2 5 2" xfId="26852"/>
    <cellStyle name="Comma 23 3" xfId="18722"/>
    <cellStyle name="Comma 23 3 2" xfId="24681"/>
    <cellStyle name="Comma 23 3 2 2" xfId="26853"/>
    <cellStyle name="Comma 23 4" xfId="24682"/>
    <cellStyle name="Comma 23 4 2" xfId="26854"/>
    <cellStyle name="Comma 23 5" xfId="24683"/>
    <cellStyle name="Comma 23 5 2" xfId="26855"/>
    <cellStyle name="Comma 23 6" xfId="24676"/>
    <cellStyle name="Comma 23 6 2" xfId="26856"/>
    <cellStyle name="Comma 24" xfId="38"/>
    <cellStyle name="Comma 24 2" xfId="3895"/>
    <cellStyle name="Comma 24 2 2" xfId="18725"/>
    <cellStyle name="Comma 24 3" xfId="18724"/>
    <cellStyle name="Comma 24 4" xfId="24684"/>
    <cellStyle name="Comma 25" xfId="39"/>
    <cellStyle name="Comma 25 2" xfId="18727"/>
    <cellStyle name="Comma 25 3" xfId="18726"/>
    <cellStyle name="Comma 25 4" xfId="24685"/>
    <cellStyle name="Comma 26" xfId="40"/>
    <cellStyle name="Comma 26 2" xfId="3897"/>
    <cellStyle name="Comma 26 2 2" xfId="18729"/>
    <cellStyle name="Comma 26 2 3" xfId="24687"/>
    <cellStyle name="Comma 26 2 3 2" xfId="26857"/>
    <cellStyle name="Comma 26 3" xfId="18728"/>
    <cellStyle name="Comma 26 3 2" xfId="24688"/>
    <cellStyle name="Comma 26 3 2 2" xfId="26858"/>
    <cellStyle name="Comma 26 4" xfId="24689"/>
    <cellStyle name="Comma 26 4 2" xfId="26859"/>
    <cellStyle name="Comma 26 5" xfId="24686"/>
    <cellStyle name="Comma 26 5 2" xfId="26860"/>
    <cellStyle name="Comma 27" xfId="41"/>
    <cellStyle name="Comma 27 2" xfId="18731"/>
    <cellStyle name="Comma 27 2 2" xfId="24691"/>
    <cellStyle name="Comma 27 2 2 2" xfId="26861"/>
    <cellStyle name="Comma 27 3" xfId="18730"/>
    <cellStyle name="Comma 27 3 2" xfId="24692"/>
    <cellStyle name="Comma 27 3 2 2" xfId="26862"/>
    <cellStyle name="Comma 27 4" xfId="24693"/>
    <cellStyle name="Comma 27 4 2" xfId="26863"/>
    <cellStyle name="Comma 27 5" xfId="24690"/>
    <cellStyle name="Comma 27 5 2" xfId="26864"/>
    <cellStyle name="Comma 28" xfId="24694"/>
    <cellStyle name="Comma 28 2" xfId="24695"/>
    <cellStyle name="Comma 28 2 2" xfId="26866"/>
    <cellStyle name="Comma 28 3" xfId="24696"/>
    <cellStyle name="Comma 28 3 2" xfId="26867"/>
    <cellStyle name="Comma 28 4" xfId="24697"/>
    <cellStyle name="Comma 28 4 2" xfId="26868"/>
    <cellStyle name="Comma 28 5" xfId="26865"/>
    <cellStyle name="Comma 29" xfId="18732"/>
    <cellStyle name="Comma 29 2" xfId="18733"/>
    <cellStyle name="Comma 29 2 2" xfId="18734"/>
    <cellStyle name="Comma 29 3" xfId="18735"/>
    <cellStyle name="Comma 29 4" xfId="24698"/>
    <cellStyle name="Comma 3" xfId="3"/>
    <cellStyle name="Comma 3 10" xfId="1114"/>
    <cellStyle name="Comma 3 10 2" xfId="3984"/>
    <cellStyle name="Comma 3 11" xfId="1124"/>
    <cellStyle name="Comma 3 11 2" xfId="3994"/>
    <cellStyle name="Comma 3 12" xfId="1134"/>
    <cellStyle name="Comma 3 12 2" xfId="4004"/>
    <cellStyle name="Comma 3 13" xfId="1144"/>
    <cellStyle name="Comma 3 13 2" xfId="4014"/>
    <cellStyle name="Comma 3 14" xfId="1152"/>
    <cellStyle name="Comma 3 14 2" xfId="4022"/>
    <cellStyle name="Comma 3 15" xfId="1164"/>
    <cellStyle name="Comma 3 15 2" xfId="4034"/>
    <cellStyle name="Comma 3 16" xfId="1174"/>
    <cellStyle name="Comma 3 16 2" xfId="4044"/>
    <cellStyle name="Comma 3 17" xfId="1184"/>
    <cellStyle name="Comma 3 17 2" xfId="4054"/>
    <cellStyle name="Comma 3 18" xfId="1194"/>
    <cellStyle name="Comma 3 18 2" xfId="4064"/>
    <cellStyle name="Comma 3 19" xfId="1204"/>
    <cellStyle name="Comma 3 19 2" xfId="4074"/>
    <cellStyle name="Comma 3 2" xfId="1035"/>
    <cellStyle name="Comma 3 2 2" xfId="1273"/>
    <cellStyle name="Comma 3 2 2 2" xfId="18737"/>
    <cellStyle name="Comma 3 2 2 2 2" xfId="24517"/>
    <cellStyle name="Comma 3 2 3" xfId="3900"/>
    <cellStyle name="Comma 3 2 3 2" xfId="24700"/>
    <cellStyle name="Comma 3 2 3 3" xfId="24699"/>
    <cellStyle name="Comma 3 2 4" xfId="18736"/>
    <cellStyle name="Comma 3 20" xfId="1214"/>
    <cellStyle name="Comma 3 20 2" xfId="4084"/>
    <cellStyle name="Comma 3 21" xfId="1224"/>
    <cellStyle name="Comma 3 21 2" xfId="4094"/>
    <cellStyle name="Comma 3 22" xfId="1234"/>
    <cellStyle name="Comma 3 22 2" xfId="4104"/>
    <cellStyle name="Comma 3 23" xfId="1244"/>
    <cellStyle name="Comma 3 23 2" xfId="4114"/>
    <cellStyle name="Comma 3 24" xfId="1254"/>
    <cellStyle name="Comma 3 24 2" xfId="4124"/>
    <cellStyle name="Comma 3 25" xfId="1263"/>
    <cellStyle name="Comma 3 25 2" xfId="4133"/>
    <cellStyle name="Comma 3 26" xfId="110"/>
    <cellStyle name="Comma 3 27" xfId="24506"/>
    <cellStyle name="Comma 3 27 2" xfId="26869"/>
    <cellStyle name="Comma 3 28" xfId="28688"/>
    <cellStyle name="Comma 3 3" xfId="1036"/>
    <cellStyle name="Comma 3 3 2" xfId="1759"/>
    <cellStyle name="Comma 3 3 2 2" xfId="18739"/>
    <cellStyle name="Comma 3 3 3" xfId="3901"/>
    <cellStyle name="Comma 3 3 4" xfId="18738"/>
    <cellStyle name="Comma 3 4" xfId="1054"/>
    <cellStyle name="Comma 3 4 2" xfId="2094"/>
    <cellStyle name="Comma 3 4 2 2" xfId="18741"/>
    <cellStyle name="Comma 3 4 3" xfId="3924"/>
    <cellStyle name="Comma 3 4 4" xfId="18740"/>
    <cellStyle name="Comma 3 5" xfId="1064"/>
    <cellStyle name="Comma 3 5 2" xfId="2468"/>
    <cellStyle name="Comma 3 5 2 2" xfId="18743"/>
    <cellStyle name="Comma 3 5 3" xfId="3934"/>
    <cellStyle name="Comma 3 5 4" xfId="18742"/>
    <cellStyle name="Comma 3 6" xfId="1074"/>
    <cellStyle name="Comma 3 6 2" xfId="2840"/>
    <cellStyle name="Comma 3 6 2 2" xfId="18745"/>
    <cellStyle name="Comma 3 6 3" xfId="3944"/>
    <cellStyle name="Comma 3 6 4" xfId="18744"/>
    <cellStyle name="Comma 3 7" xfId="1084"/>
    <cellStyle name="Comma 3 7 2" xfId="3211"/>
    <cellStyle name="Comma 3 7 2 2" xfId="18747"/>
    <cellStyle name="Comma 3 7 3" xfId="3954"/>
    <cellStyle name="Comma 3 7 4" xfId="18746"/>
    <cellStyle name="Comma 3 8" xfId="1094"/>
    <cellStyle name="Comma 3 8 2" xfId="3964"/>
    <cellStyle name="Comma 3 8 2 2" xfId="18749"/>
    <cellStyle name="Comma 3 8 3" xfId="18748"/>
    <cellStyle name="Comma 3 9" xfId="1104"/>
    <cellStyle name="Comma 3 9 2" xfId="3974"/>
    <cellStyle name="Comma 30" xfId="18750"/>
    <cellStyle name="Comma 30 2" xfId="18751"/>
    <cellStyle name="Comma 30 3" xfId="24701"/>
    <cellStyle name="Comma 31" xfId="42"/>
    <cellStyle name="Comma 31 2" xfId="18753"/>
    <cellStyle name="Comma 31 2 2" xfId="18754"/>
    <cellStyle name="Comma 31 2 3" xfId="24703"/>
    <cellStyle name="Comma 31 3" xfId="18755"/>
    <cellStyle name="Comma 31 3 2" xfId="18756"/>
    <cellStyle name="Comma 31 4" xfId="18757"/>
    <cellStyle name="Comma 31 5" xfId="18752"/>
    <cellStyle name="Comma 31 6" xfId="24702"/>
    <cellStyle name="Comma 31 6 2" xfId="26870"/>
    <cellStyle name="Comma 32" xfId="18758"/>
    <cellStyle name="Comma 32 2" xfId="18759"/>
    <cellStyle name="Comma 32 2 2" xfId="18760"/>
    <cellStyle name="Comma 32 2 3" xfId="24705"/>
    <cellStyle name="Comma 32 3" xfId="18761"/>
    <cellStyle name="Comma 32 4" xfId="24704"/>
    <cellStyle name="Comma 32 4 2" xfId="26871"/>
    <cellStyle name="Comma 33" xfId="18762"/>
    <cellStyle name="Comma 33 2" xfId="18763"/>
    <cellStyle name="Comma 33 2 2" xfId="18764"/>
    <cellStyle name="Comma 33 2 3" xfId="24707"/>
    <cellStyle name="Comma 33 3" xfId="18765"/>
    <cellStyle name="Comma 33 4" xfId="24706"/>
    <cellStyle name="Comma 34" xfId="24708"/>
    <cellStyle name="Comma 35" xfId="24709"/>
    <cellStyle name="Comma 36" xfId="24710"/>
    <cellStyle name="Comma 36 2" xfId="24711"/>
    <cellStyle name="Comma 36 2 2" xfId="26873"/>
    <cellStyle name="Comma 36 3" xfId="26872"/>
    <cellStyle name="Comma 37" xfId="24712"/>
    <cellStyle name="Comma 37 2" xfId="24713"/>
    <cellStyle name="Comma 38" xfId="24714"/>
    <cellStyle name="Comma 38 2" xfId="24715"/>
    <cellStyle name="Comma 39" xfId="24716"/>
    <cellStyle name="Comma 4" xfId="4"/>
    <cellStyle name="Comma 4 10" xfId="4759"/>
    <cellStyle name="Comma 4 10 2" xfId="18768"/>
    <cellStyle name="Comma 4 10 3" xfId="18767"/>
    <cellStyle name="Comma 4 11" xfId="4760"/>
    <cellStyle name="Comma 4 11 2" xfId="18770"/>
    <cellStyle name="Comma 4 11 3" xfId="18769"/>
    <cellStyle name="Comma 4 12" xfId="4761"/>
    <cellStyle name="Comma 4 12 2" xfId="18772"/>
    <cellStyle name="Comma 4 12 3" xfId="18771"/>
    <cellStyle name="Comma 4 13" xfId="4762"/>
    <cellStyle name="Comma 4 13 2" xfId="18774"/>
    <cellStyle name="Comma 4 13 3" xfId="18773"/>
    <cellStyle name="Comma 4 14" xfId="4763"/>
    <cellStyle name="Comma 4 14 2" xfId="18776"/>
    <cellStyle name="Comma 4 14 3" xfId="18775"/>
    <cellStyle name="Comma 4 15" xfId="4764"/>
    <cellStyle name="Comma 4 15 2" xfId="18778"/>
    <cellStyle name="Comma 4 15 3" xfId="18777"/>
    <cellStyle name="Comma 4 16" xfId="4765"/>
    <cellStyle name="Comma 4 16 2" xfId="18780"/>
    <cellStyle name="Comma 4 16 3" xfId="18779"/>
    <cellStyle name="Comma 4 17" xfId="4766"/>
    <cellStyle name="Comma 4 17 2" xfId="18782"/>
    <cellStyle name="Comma 4 17 3" xfId="18781"/>
    <cellStyle name="Comma 4 18" xfId="4767"/>
    <cellStyle name="Comma 4 18 2" xfId="18784"/>
    <cellStyle name="Comma 4 18 3" xfId="18783"/>
    <cellStyle name="Comma 4 19" xfId="4768"/>
    <cellStyle name="Comma 4 19 2" xfId="18786"/>
    <cellStyle name="Comma 4 19 3" xfId="18785"/>
    <cellStyle name="Comma 4 2" xfId="43"/>
    <cellStyle name="Comma 4 2 2" xfId="18788"/>
    <cellStyle name="Comma 4 2 2 2" xfId="24717"/>
    <cellStyle name="Comma 4 2 2 2 2" xfId="26874"/>
    <cellStyle name="Comma 4 2 3" xfId="18787"/>
    <cellStyle name="Comma 4 2 3 2" xfId="24718"/>
    <cellStyle name="Comma 4 2 4" xfId="24519"/>
    <cellStyle name="Comma 4 2 4 2" xfId="26875"/>
    <cellStyle name="Comma 4 20" xfId="4769"/>
    <cellStyle name="Comma 4 20 2" xfId="18790"/>
    <cellStyle name="Comma 4 20 3" xfId="18789"/>
    <cellStyle name="Comma 4 21" xfId="4770"/>
    <cellStyle name="Comma 4 21 2" xfId="18792"/>
    <cellStyle name="Comma 4 21 3" xfId="18791"/>
    <cellStyle name="Comma 4 22" xfId="4771"/>
    <cellStyle name="Comma 4 22 2" xfId="18794"/>
    <cellStyle name="Comma 4 22 3" xfId="18793"/>
    <cellStyle name="Comma 4 23" xfId="4772"/>
    <cellStyle name="Comma 4 23 2" xfId="18796"/>
    <cellStyle name="Comma 4 23 3" xfId="18795"/>
    <cellStyle name="Comma 4 24" xfId="4773"/>
    <cellStyle name="Comma 4 24 2" xfId="18798"/>
    <cellStyle name="Comma 4 24 3" xfId="18797"/>
    <cellStyle name="Comma 4 25" xfId="18799"/>
    <cellStyle name="Comma 4 26" xfId="18766"/>
    <cellStyle name="Comma 4 27" xfId="24518"/>
    <cellStyle name="Comma 4 3" xfId="44"/>
    <cellStyle name="Comma 4 3 2" xfId="18801"/>
    <cellStyle name="Comma 4 3 3" xfId="18800"/>
    <cellStyle name="Comma 4 3 4" xfId="24520"/>
    <cellStyle name="Comma 4 4" xfId="4774"/>
    <cellStyle name="Comma 4 4 2" xfId="18803"/>
    <cellStyle name="Comma 4 4 3" xfId="18802"/>
    <cellStyle name="Comma 4 5" xfId="4775"/>
    <cellStyle name="Comma 4 5 2" xfId="18805"/>
    <cellStyle name="Comma 4 5 3" xfId="18804"/>
    <cellStyle name="Comma 4 6" xfId="4776"/>
    <cellStyle name="Comma 4 6 2" xfId="18807"/>
    <cellStyle name="Comma 4 6 3" xfId="18806"/>
    <cellStyle name="Comma 4 7" xfId="4777"/>
    <cellStyle name="Comma 4 7 2" xfId="18809"/>
    <cellStyle name="Comma 4 7 3" xfId="18808"/>
    <cellStyle name="Comma 4 8" xfId="4778"/>
    <cellStyle name="Comma 4 8 2" xfId="18811"/>
    <cellStyle name="Comma 4 8 3" xfId="18810"/>
    <cellStyle name="Comma 4 9" xfId="4779"/>
    <cellStyle name="Comma 4 9 2" xfId="18813"/>
    <cellStyle name="Comma 4 9 3" xfId="18812"/>
    <cellStyle name="Comma 40" xfId="24719"/>
    <cellStyle name="Comma 41" xfId="24720"/>
    <cellStyle name="Comma 41 2" xfId="26876"/>
    <cellStyle name="Comma 42" xfId="24721"/>
    <cellStyle name="Comma 42 2" xfId="26877"/>
    <cellStyle name="Comma 43" xfId="24722"/>
    <cellStyle name="Comma 43 2" xfId="26878"/>
    <cellStyle name="Comma 44" xfId="24723"/>
    <cellStyle name="Comma 44 2" xfId="26879"/>
    <cellStyle name="Comma 45" xfId="24724"/>
    <cellStyle name="Comma 46" xfId="24725"/>
    <cellStyle name="Comma 47" xfId="24726"/>
    <cellStyle name="Comma 47 2" xfId="26880"/>
    <cellStyle name="Comma 48" xfId="24727"/>
    <cellStyle name="Comma 48 2" xfId="26881"/>
    <cellStyle name="Comma 49" xfId="24728"/>
    <cellStyle name="Comma 49 2" xfId="26882"/>
    <cellStyle name="Comma 5" xfId="45"/>
    <cellStyle name="Comma 5 10" xfId="1111"/>
    <cellStyle name="Comma 5 10 2" xfId="3981"/>
    <cellStyle name="Comma 5 10 2 2" xfId="18815"/>
    <cellStyle name="Comma 5 10 3" xfId="18814"/>
    <cellStyle name="Comma 5 11" xfId="1121"/>
    <cellStyle name="Comma 5 11 2" xfId="3991"/>
    <cellStyle name="Comma 5 11 2 2" xfId="18817"/>
    <cellStyle name="Comma 5 11 3" xfId="18816"/>
    <cellStyle name="Comma 5 12" xfId="1131"/>
    <cellStyle name="Comma 5 12 2" xfId="4001"/>
    <cellStyle name="Comma 5 12 2 2" xfId="18819"/>
    <cellStyle name="Comma 5 12 3" xfId="18818"/>
    <cellStyle name="Comma 5 13" xfId="1141"/>
    <cellStyle name="Comma 5 13 2" xfId="4011"/>
    <cellStyle name="Comma 5 13 2 2" xfId="18821"/>
    <cellStyle name="Comma 5 13 3" xfId="18820"/>
    <cellStyle name="Comma 5 14" xfId="1142"/>
    <cellStyle name="Comma 5 14 2" xfId="4012"/>
    <cellStyle name="Comma 5 14 2 2" xfId="18823"/>
    <cellStyle name="Comma 5 14 3" xfId="18822"/>
    <cellStyle name="Comma 5 15" xfId="1159"/>
    <cellStyle name="Comma 5 15 2" xfId="4029"/>
    <cellStyle name="Comma 5 15 2 2" xfId="18825"/>
    <cellStyle name="Comma 5 15 3" xfId="18824"/>
    <cellStyle name="Comma 5 16" xfId="1171"/>
    <cellStyle name="Comma 5 16 2" xfId="4041"/>
    <cellStyle name="Comma 5 16 2 2" xfId="18827"/>
    <cellStyle name="Comma 5 16 3" xfId="18826"/>
    <cellStyle name="Comma 5 17" xfId="1181"/>
    <cellStyle name="Comma 5 17 2" xfId="4051"/>
    <cellStyle name="Comma 5 17 2 2" xfId="18829"/>
    <cellStyle name="Comma 5 17 3" xfId="18828"/>
    <cellStyle name="Comma 5 18" xfId="1191"/>
    <cellStyle name="Comma 5 18 2" xfId="4061"/>
    <cellStyle name="Comma 5 18 2 2" xfId="18831"/>
    <cellStyle name="Comma 5 18 3" xfId="18830"/>
    <cellStyle name="Comma 5 19" xfId="1201"/>
    <cellStyle name="Comma 5 19 2" xfId="4071"/>
    <cellStyle name="Comma 5 19 2 2" xfId="18833"/>
    <cellStyle name="Comma 5 19 3" xfId="18832"/>
    <cellStyle name="Comma 5 2" xfId="46"/>
    <cellStyle name="Comma 5 2 2" xfId="47"/>
    <cellStyle name="Comma 5 2 2 2" xfId="18835"/>
    <cellStyle name="Comma 5 2 3" xfId="48"/>
    <cellStyle name="Comma 5 2 4" xfId="18834"/>
    <cellStyle name="Comma 5 20" xfId="1211"/>
    <cellStyle name="Comma 5 20 2" xfId="4081"/>
    <cellStyle name="Comma 5 20 2 2" xfId="18837"/>
    <cellStyle name="Comma 5 20 3" xfId="18836"/>
    <cellStyle name="Comma 5 21" xfId="1221"/>
    <cellStyle name="Comma 5 21 2" xfId="4091"/>
    <cellStyle name="Comma 5 21 2 2" xfId="18839"/>
    <cellStyle name="Comma 5 21 3" xfId="18838"/>
    <cellStyle name="Comma 5 22" xfId="1231"/>
    <cellStyle name="Comma 5 22 2" xfId="4101"/>
    <cellStyle name="Comma 5 22 2 2" xfId="18841"/>
    <cellStyle name="Comma 5 22 3" xfId="18840"/>
    <cellStyle name="Comma 5 23" xfId="1241"/>
    <cellStyle name="Comma 5 23 2" xfId="4111"/>
    <cellStyle name="Comma 5 23 2 2" xfId="18843"/>
    <cellStyle name="Comma 5 23 3" xfId="18842"/>
    <cellStyle name="Comma 5 24" xfId="1251"/>
    <cellStyle name="Comma 5 24 2" xfId="4121"/>
    <cellStyle name="Comma 5 24 2 2" xfId="18845"/>
    <cellStyle name="Comma 5 24 3" xfId="18844"/>
    <cellStyle name="Comma 5 25" xfId="1261"/>
    <cellStyle name="Comma 5 25 2" xfId="4131"/>
    <cellStyle name="Comma 5 26" xfId="24521"/>
    <cellStyle name="Comma 5 26 2" xfId="26883"/>
    <cellStyle name="Comma 5 3" xfId="49"/>
    <cellStyle name="Comma 5 3 2" xfId="3916"/>
    <cellStyle name="Comma 5 3 2 2" xfId="18847"/>
    <cellStyle name="Comma 5 3 3" xfId="1046"/>
    <cellStyle name="Comma 5 3 4" xfId="18846"/>
    <cellStyle name="Comma 5 3 5" xfId="24729"/>
    <cellStyle name="Comma 5 3 5 2" xfId="26884"/>
    <cellStyle name="Comma 5 4" xfId="1048"/>
    <cellStyle name="Comma 5 4 2" xfId="3918"/>
    <cellStyle name="Comma 5 4 2 2" xfId="18849"/>
    <cellStyle name="Comma 5 4 3" xfId="18848"/>
    <cellStyle name="Comma 5 4 4" xfId="24730"/>
    <cellStyle name="Comma 5 5" xfId="1061"/>
    <cellStyle name="Comma 5 5 2" xfId="3931"/>
    <cellStyle name="Comma 5 5 2 2" xfId="18851"/>
    <cellStyle name="Comma 5 5 3" xfId="18850"/>
    <cellStyle name="Comma 5 6" xfId="1071"/>
    <cellStyle name="Comma 5 6 2" xfId="3941"/>
    <cellStyle name="Comma 5 6 2 2" xfId="18853"/>
    <cellStyle name="Comma 5 6 3" xfId="18852"/>
    <cellStyle name="Comma 5 7" xfId="1081"/>
    <cellStyle name="Comma 5 7 2" xfId="3951"/>
    <cellStyle name="Comma 5 7 2 2" xfId="18855"/>
    <cellStyle name="Comma 5 7 3" xfId="18854"/>
    <cellStyle name="Comma 5 8" xfId="1091"/>
    <cellStyle name="Comma 5 8 2" xfId="3961"/>
    <cellStyle name="Comma 5 8 2 2" xfId="18857"/>
    <cellStyle name="Comma 5 8 3" xfId="18856"/>
    <cellStyle name="Comma 5 9" xfId="1101"/>
    <cellStyle name="Comma 5 9 2" xfId="3971"/>
    <cellStyle name="Comma 5 9 2 2" xfId="18859"/>
    <cellStyle name="Comma 5 9 3" xfId="18858"/>
    <cellStyle name="Comma 50" xfId="24731"/>
    <cellStyle name="Comma 51" xfId="24732"/>
    <cellStyle name="Comma 52" xfId="24733"/>
    <cellStyle name="Comma 53" xfId="24734"/>
    <cellStyle name="Comma 54" xfId="24735"/>
    <cellStyle name="Comma 55" xfId="24736"/>
    <cellStyle name="Comma 56" xfId="24737"/>
    <cellStyle name="Comma 57" xfId="24738"/>
    <cellStyle name="Comma 58" xfId="24466"/>
    <cellStyle name="Comma 59" xfId="24555"/>
    <cellStyle name="Comma 6" xfId="65"/>
    <cellStyle name="Comma 6 10" xfId="4780"/>
    <cellStyle name="Comma 6 10 2" xfId="18862"/>
    <cellStyle name="Comma 6 10 3" xfId="18861"/>
    <cellStyle name="Comma 6 11" xfId="4781"/>
    <cellStyle name="Comma 6 11 2" xfId="18864"/>
    <cellStyle name="Comma 6 11 3" xfId="18863"/>
    <cellStyle name="Comma 6 12" xfId="4782"/>
    <cellStyle name="Comma 6 12 2" xfId="18866"/>
    <cellStyle name="Comma 6 12 3" xfId="18865"/>
    <cellStyle name="Comma 6 13" xfId="4783"/>
    <cellStyle name="Comma 6 13 2" xfId="18868"/>
    <cellStyle name="Comma 6 13 3" xfId="18867"/>
    <cellStyle name="Comma 6 14" xfId="4784"/>
    <cellStyle name="Comma 6 14 2" xfId="18870"/>
    <cellStyle name="Comma 6 14 3" xfId="18869"/>
    <cellStyle name="Comma 6 15" xfId="4785"/>
    <cellStyle name="Comma 6 15 2" xfId="18872"/>
    <cellStyle name="Comma 6 15 3" xfId="18871"/>
    <cellStyle name="Comma 6 16" xfId="4786"/>
    <cellStyle name="Comma 6 16 2" xfId="18874"/>
    <cellStyle name="Comma 6 16 3" xfId="18873"/>
    <cellStyle name="Comma 6 17" xfId="4787"/>
    <cellStyle name="Comma 6 17 2" xfId="18876"/>
    <cellStyle name="Comma 6 17 3" xfId="18875"/>
    <cellStyle name="Comma 6 18" xfId="4788"/>
    <cellStyle name="Comma 6 18 2" xfId="18878"/>
    <cellStyle name="Comma 6 18 3" xfId="18877"/>
    <cellStyle name="Comma 6 19" xfId="4789"/>
    <cellStyle name="Comma 6 19 2" xfId="18880"/>
    <cellStyle name="Comma 6 19 3" xfId="18879"/>
    <cellStyle name="Comma 6 2" xfId="50"/>
    <cellStyle name="Comma 6 2 2" xfId="18882"/>
    <cellStyle name="Comma 6 2 3" xfId="18881"/>
    <cellStyle name="Comma 6 2 4" xfId="24739"/>
    <cellStyle name="Comma 6 20" xfId="4790"/>
    <cellStyle name="Comma 6 20 2" xfId="18884"/>
    <cellStyle name="Comma 6 20 3" xfId="18883"/>
    <cellStyle name="Comma 6 21" xfId="4791"/>
    <cellStyle name="Comma 6 21 2" xfId="18886"/>
    <cellStyle name="Comma 6 21 3" xfId="18885"/>
    <cellStyle name="Comma 6 22" xfId="4792"/>
    <cellStyle name="Comma 6 22 2" xfId="18888"/>
    <cellStyle name="Comma 6 22 3" xfId="18887"/>
    <cellStyle name="Comma 6 23" xfId="4793"/>
    <cellStyle name="Comma 6 23 2" xfId="18890"/>
    <cellStyle name="Comma 6 23 3" xfId="18889"/>
    <cellStyle name="Comma 6 24" xfId="4794"/>
    <cellStyle name="Comma 6 24 2" xfId="18892"/>
    <cellStyle name="Comma 6 24 3" xfId="18891"/>
    <cellStyle name="Comma 6 25" xfId="6500"/>
    <cellStyle name="Comma 6 25 2" xfId="18893"/>
    <cellStyle name="Comma 6 25 3" xfId="26886"/>
    <cellStyle name="Comma 6 26" xfId="18860"/>
    <cellStyle name="Comma 6 27" xfId="24522"/>
    <cellStyle name="Comma 6 28" xfId="26885"/>
    <cellStyle name="Comma 6 3" xfId="51"/>
    <cellStyle name="Comma 6 3 2" xfId="18895"/>
    <cellStyle name="Comma 6 3 3" xfId="18894"/>
    <cellStyle name="Comma 6 3 4" xfId="24740"/>
    <cellStyle name="Comma 6 4" xfId="4795"/>
    <cellStyle name="Comma 6 4 2" xfId="18897"/>
    <cellStyle name="Comma 6 4 3" xfId="18896"/>
    <cellStyle name="Comma 6 4 4" xfId="24741"/>
    <cellStyle name="Comma 6 5" xfId="4796"/>
    <cellStyle name="Comma 6 5 2" xfId="18899"/>
    <cellStyle name="Comma 6 5 3" xfId="18898"/>
    <cellStyle name="Comma 6 6" xfId="4797"/>
    <cellStyle name="Comma 6 6 2" xfId="18901"/>
    <cellStyle name="Comma 6 6 3" xfId="18900"/>
    <cellStyle name="Comma 6 7" xfId="4798"/>
    <cellStyle name="Comma 6 7 2" xfId="18903"/>
    <cellStyle name="Comma 6 7 3" xfId="18902"/>
    <cellStyle name="Comma 6 8" xfId="4799"/>
    <cellStyle name="Comma 6 8 2" xfId="18905"/>
    <cellStyle name="Comma 6 8 3" xfId="18904"/>
    <cellStyle name="Comma 6 9" xfId="4800"/>
    <cellStyle name="Comma 6 9 2" xfId="18907"/>
    <cellStyle name="Comma 6 9 3" xfId="18906"/>
    <cellStyle name="Comma 60" xfId="24650"/>
    <cellStyle name="Comma 61" xfId="24828"/>
    <cellStyle name="Comma 62" xfId="24830"/>
    <cellStyle name="Comma 63" xfId="24859"/>
    <cellStyle name="Comma 64" xfId="24873"/>
    <cellStyle name="Comma 65" xfId="28139"/>
    <cellStyle name="Comma 66" xfId="28684"/>
    <cellStyle name="Comma 67" xfId="28697"/>
    <cellStyle name="Comma 68" xfId="28683"/>
    <cellStyle name="Comma 69" xfId="28696"/>
    <cellStyle name="Comma 7" xfId="52"/>
    <cellStyle name="Comma 7 10" xfId="4801"/>
    <cellStyle name="Comma 7 10 2" xfId="18910"/>
    <cellStyle name="Comma 7 10 3" xfId="18909"/>
    <cellStyle name="Comma 7 11" xfId="4802"/>
    <cellStyle name="Comma 7 11 2" xfId="18912"/>
    <cellStyle name="Comma 7 11 3" xfId="18911"/>
    <cellStyle name="Comma 7 12" xfId="4803"/>
    <cellStyle name="Comma 7 12 2" xfId="18914"/>
    <cellStyle name="Comma 7 12 3" xfId="18913"/>
    <cellStyle name="Comma 7 13" xfId="4804"/>
    <cellStyle name="Comma 7 13 2" xfId="18916"/>
    <cellStyle name="Comma 7 13 3" xfId="18915"/>
    <cellStyle name="Comma 7 14" xfId="4805"/>
    <cellStyle name="Comma 7 14 2" xfId="18918"/>
    <cellStyle name="Comma 7 14 3" xfId="18917"/>
    <cellStyle name="Comma 7 15" xfId="4806"/>
    <cellStyle name="Comma 7 15 2" xfId="18920"/>
    <cellStyle name="Comma 7 15 3" xfId="18919"/>
    <cellStyle name="Comma 7 16" xfId="4807"/>
    <cellStyle name="Comma 7 16 2" xfId="18922"/>
    <cellStyle name="Comma 7 16 3" xfId="18921"/>
    <cellStyle name="Comma 7 17" xfId="4808"/>
    <cellStyle name="Comma 7 17 2" xfId="18924"/>
    <cellStyle name="Comma 7 17 3" xfId="18923"/>
    <cellStyle name="Comma 7 18" xfId="4809"/>
    <cellStyle name="Comma 7 18 2" xfId="18926"/>
    <cellStyle name="Comma 7 18 3" xfId="18925"/>
    <cellStyle name="Comma 7 19" xfId="4810"/>
    <cellStyle name="Comma 7 19 2" xfId="18928"/>
    <cellStyle name="Comma 7 19 3" xfId="18927"/>
    <cellStyle name="Comma 7 2" xfId="3905"/>
    <cellStyle name="Comma 7 2 2" xfId="18930"/>
    <cellStyle name="Comma 7 2 3" xfId="18929"/>
    <cellStyle name="Comma 7 2 4" xfId="24524"/>
    <cellStyle name="Comma 7 20" xfId="4811"/>
    <cellStyle name="Comma 7 20 2" xfId="18932"/>
    <cellStyle name="Comma 7 20 3" xfId="18931"/>
    <cellStyle name="Comma 7 21" xfId="4812"/>
    <cellStyle name="Comma 7 21 2" xfId="18934"/>
    <cellStyle name="Comma 7 21 3" xfId="18933"/>
    <cellStyle name="Comma 7 22" xfId="4813"/>
    <cellStyle name="Comma 7 22 2" xfId="18936"/>
    <cellStyle name="Comma 7 22 3" xfId="18935"/>
    <cellStyle name="Comma 7 23" xfId="4814"/>
    <cellStyle name="Comma 7 23 2" xfId="18938"/>
    <cellStyle name="Comma 7 23 3" xfId="18937"/>
    <cellStyle name="Comma 7 24" xfId="4815"/>
    <cellStyle name="Comma 7 24 2" xfId="18940"/>
    <cellStyle name="Comma 7 24 3" xfId="18939"/>
    <cellStyle name="Comma 7 25" xfId="18941"/>
    <cellStyle name="Comma 7 26" xfId="18908"/>
    <cellStyle name="Comma 7 27" xfId="24523"/>
    <cellStyle name="Comma 7 3" xfId="4816"/>
    <cellStyle name="Comma 7 3 2" xfId="18943"/>
    <cellStyle name="Comma 7 3 3" xfId="18942"/>
    <cellStyle name="Comma 7 4" xfId="4817"/>
    <cellStyle name="Comma 7 4 2" xfId="18945"/>
    <cellStyle name="Comma 7 4 3" xfId="18944"/>
    <cellStyle name="Comma 7 5" xfId="4818"/>
    <cellStyle name="Comma 7 5 2" xfId="18947"/>
    <cellStyle name="Comma 7 5 3" xfId="18946"/>
    <cellStyle name="Comma 7 6" xfId="4819"/>
    <cellStyle name="Comma 7 6 2" xfId="18949"/>
    <cellStyle name="Comma 7 6 3" xfId="18948"/>
    <cellStyle name="Comma 7 7" xfId="4820"/>
    <cellStyle name="Comma 7 7 2" xfId="18951"/>
    <cellStyle name="Comma 7 7 3" xfId="18950"/>
    <cellStyle name="Comma 7 8" xfId="4821"/>
    <cellStyle name="Comma 7 8 2" xfId="18953"/>
    <cellStyle name="Comma 7 8 3" xfId="18952"/>
    <cellStyle name="Comma 7 9" xfId="4822"/>
    <cellStyle name="Comma 7 9 2" xfId="18955"/>
    <cellStyle name="Comma 7 9 3" xfId="18954"/>
    <cellStyle name="Comma 70" xfId="28682"/>
    <cellStyle name="Comma 71" xfId="28695"/>
    <cellStyle name="Comma 72" xfId="28698"/>
    <cellStyle name="Comma 73" xfId="28694"/>
    <cellStyle name="Comma 74" xfId="28681"/>
    <cellStyle name="Comma 75" xfId="28693"/>
    <cellStyle name="Comma 76" xfId="28680"/>
    <cellStyle name="Comma 77" xfId="28700"/>
    <cellStyle name="Comma 78" xfId="28702"/>
    <cellStyle name="Comma 79" xfId="28703"/>
    <cellStyle name="Comma 8" xfId="53"/>
    <cellStyle name="Comma 8 10" xfId="4823"/>
    <cellStyle name="Comma 8 10 2" xfId="18958"/>
    <cellStyle name="Comma 8 10 3" xfId="18957"/>
    <cellStyle name="Comma 8 11" xfId="4824"/>
    <cellStyle name="Comma 8 11 2" xfId="18960"/>
    <cellStyle name="Comma 8 11 3" xfId="18959"/>
    <cellStyle name="Comma 8 12" xfId="4825"/>
    <cellStyle name="Comma 8 12 2" xfId="18962"/>
    <cellStyle name="Comma 8 12 3" xfId="18961"/>
    <cellStyle name="Comma 8 13" xfId="4826"/>
    <cellStyle name="Comma 8 13 2" xfId="18964"/>
    <cellStyle name="Comma 8 13 3" xfId="18963"/>
    <cellStyle name="Comma 8 14" xfId="4827"/>
    <cellStyle name="Comma 8 14 2" xfId="18966"/>
    <cellStyle name="Comma 8 14 3" xfId="18965"/>
    <cellStyle name="Comma 8 15" xfId="4828"/>
    <cellStyle name="Comma 8 15 2" xfId="18968"/>
    <cellStyle name="Comma 8 15 3" xfId="18967"/>
    <cellStyle name="Comma 8 16" xfId="4829"/>
    <cellStyle name="Comma 8 16 2" xfId="18970"/>
    <cellStyle name="Comma 8 16 3" xfId="18969"/>
    <cellStyle name="Comma 8 17" xfId="4830"/>
    <cellStyle name="Comma 8 17 2" xfId="18972"/>
    <cellStyle name="Comma 8 17 3" xfId="18971"/>
    <cellStyle name="Comma 8 18" xfId="4831"/>
    <cellStyle name="Comma 8 18 2" xfId="18974"/>
    <cellStyle name="Comma 8 18 3" xfId="18973"/>
    <cellStyle name="Comma 8 19" xfId="4832"/>
    <cellStyle name="Comma 8 19 2" xfId="18976"/>
    <cellStyle name="Comma 8 19 3" xfId="18975"/>
    <cellStyle name="Comma 8 2" xfId="3879"/>
    <cellStyle name="Comma 8 2 2" xfId="18978"/>
    <cellStyle name="Comma 8 2 2 2" xfId="24742"/>
    <cellStyle name="Comma 8 2 2 2 2" xfId="26887"/>
    <cellStyle name="Comma 8 2 3" xfId="18977"/>
    <cellStyle name="Comma 8 2 3 2" xfId="24743"/>
    <cellStyle name="Comma 8 2 3 2 2" xfId="26888"/>
    <cellStyle name="Comma 8 2 4" xfId="24744"/>
    <cellStyle name="Comma 8 2 4 2" xfId="26889"/>
    <cellStyle name="Comma 8 2 5" xfId="24745"/>
    <cellStyle name="Comma 8 2 6" xfId="24746"/>
    <cellStyle name="Comma 8 2 6 2" xfId="26890"/>
    <cellStyle name="Comma 8 2 7" xfId="24526"/>
    <cellStyle name="Comma 8 20" xfId="4833"/>
    <cellStyle name="Comma 8 20 2" xfId="18980"/>
    <cellStyle name="Comma 8 20 3" xfId="18979"/>
    <cellStyle name="Comma 8 21" xfId="4834"/>
    <cellStyle name="Comma 8 21 2" xfId="18982"/>
    <cellStyle name="Comma 8 21 3" xfId="18981"/>
    <cellStyle name="Comma 8 22" xfId="4835"/>
    <cellStyle name="Comma 8 22 2" xfId="18984"/>
    <cellStyle name="Comma 8 22 3" xfId="18983"/>
    <cellStyle name="Comma 8 23" xfId="4836"/>
    <cellStyle name="Comma 8 23 2" xfId="18986"/>
    <cellStyle name="Comma 8 23 3" xfId="18985"/>
    <cellStyle name="Comma 8 24" xfId="4837"/>
    <cellStyle name="Comma 8 24 2" xfId="18988"/>
    <cellStyle name="Comma 8 24 3" xfId="18987"/>
    <cellStyle name="Comma 8 25" xfId="18989"/>
    <cellStyle name="Comma 8 26" xfId="18956"/>
    <cellStyle name="Comma 8 27" xfId="24525"/>
    <cellStyle name="Comma 8 3" xfId="4838"/>
    <cellStyle name="Comma 8 3 2" xfId="18991"/>
    <cellStyle name="Comma 8 3 3" xfId="18990"/>
    <cellStyle name="Comma 8 3 4" xfId="24747"/>
    <cellStyle name="Comma 8 3 4 2" xfId="26891"/>
    <cellStyle name="Comma 8 4" xfId="4839"/>
    <cellStyle name="Comma 8 4 2" xfId="18993"/>
    <cellStyle name="Comma 8 4 3" xfId="18992"/>
    <cellStyle name="Comma 8 4 4" xfId="24748"/>
    <cellStyle name="Comma 8 4 4 2" xfId="26892"/>
    <cellStyle name="Comma 8 5" xfId="4840"/>
    <cellStyle name="Comma 8 5 2" xfId="18995"/>
    <cellStyle name="Comma 8 5 3" xfId="18994"/>
    <cellStyle name="Comma 8 5 4" xfId="24749"/>
    <cellStyle name="Comma 8 5 4 2" xfId="26893"/>
    <cellStyle name="Comma 8 6" xfId="4841"/>
    <cellStyle name="Comma 8 6 2" xfId="18997"/>
    <cellStyle name="Comma 8 6 3" xfId="18996"/>
    <cellStyle name="Comma 8 6 4" xfId="24750"/>
    <cellStyle name="Comma 8 7" xfId="4842"/>
    <cellStyle name="Comma 8 7 2" xfId="18999"/>
    <cellStyle name="Comma 8 7 3" xfId="18998"/>
    <cellStyle name="Comma 8 7 4" xfId="24751"/>
    <cellStyle name="Comma 8 7 4 2" xfId="26894"/>
    <cellStyle name="Comma 8 8" xfId="4843"/>
    <cellStyle name="Comma 8 8 2" xfId="19001"/>
    <cellStyle name="Comma 8 8 3" xfId="19000"/>
    <cellStyle name="Comma 8 9" xfId="4844"/>
    <cellStyle name="Comma 8 9 2" xfId="19003"/>
    <cellStyle name="Comma 8 9 3" xfId="19002"/>
    <cellStyle name="Comma 80" xfId="28704"/>
    <cellStyle name="Comma 81" xfId="28706"/>
    <cellStyle name="Comma 82" xfId="28707"/>
    <cellStyle name="Comma 83" xfId="28708"/>
    <cellStyle name="Comma 84" xfId="28709"/>
    <cellStyle name="Comma 85" xfId="28710"/>
    <cellStyle name="Comma 9" xfId="54"/>
    <cellStyle name="Comma 9 10" xfId="4845"/>
    <cellStyle name="Comma 9 10 2" xfId="19006"/>
    <cellStyle name="Comma 9 10 3" xfId="19005"/>
    <cellStyle name="Comma 9 11" xfId="4846"/>
    <cellStyle name="Comma 9 11 2" xfId="19008"/>
    <cellStyle name="Comma 9 11 3" xfId="19007"/>
    <cellStyle name="Comma 9 12" xfId="4847"/>
    <cellStyle name="Comma 9 12 2" xfId="19010"/>
    <cellStyle name="Comma 9 12 3" xfId="19009"/>
    <cellStyle name="Comma 9 13" xfId="4848"/>
    <cellStyle name="Comma 9 13 2" xfId="19012"/>
    <cellStyle name="Comma 9 13 3" xfId="19011"/>
    <cellStyle name="Comma 9 14" xfId="4849"/>
    <cellStyle name="Comma 9 14 2" xfId="19014"/>
    <cellStyle name="Comma 9 14 3" xfId="19013"/>
    <cellStyle name="Comma 9 15" xfId="4850"/>
    <cellStyle name="Comma 9 15 2" xfId="19016"/>
    <cellStyle name="Comma 9 15 3" xfId="19015"/>
    <cellStyle name="Comma 9 16" xfId="4851"/>
    <cellStyle name="Comma 9 16 2" xfId="19018"/>
    <cellStyle name="Comma 9 16 3" xfId="19017"/>
    <cellStyle name="Comma 9 17" xfId="4852"/>
    <cellStyle name="Comma 9 17 2" xfId="19020"/>
    <cellStyle name="Comma 9 17 3" xfId="19019"/>
    <cellStyle name="Comma 9 18" xfId="4853"/>
    <cellStyle name="Comma 9 18 2" xfId="19022"/>
    <cellStyle name="Comma 9 18 3" xfId="19021"/>
    <cellStyle name="Comma 9 19" xfId="4854"/>
    <cellStyle name="Comma 9 19 2" xfId="19024"/>
    <cellStyle name="Comma 9 19 3" xfId="19023"/>
    <cellStyle name="Comma 9 2" xfId="3909"/>
    <cellStyle name="Comma 9 2 2" xfId="19026"/>
    <cellStyle name="Comma 9 2 2 2" xfId="24752"/>
    <cellStyle name="Comma 9 2 2 2 2" xfId="26895"/>
    <cellStyle name="Comma 9 2 3" xfId="19025"/>
    <cellStyle name="Comma 9 2 3 2" xfId="24753"/>
    <cellStyle name="Comma 9 2 3 2 2" xfId="26896"/>
    <cellStyle name="Comma 9 2 4" xfId="24754"/>
    <cellStyle name="Comma 9 2 4 2" xfId="26897"/>
    <cellStyle name="Comma 9 2 5" xfId="24755"/>
    <cellStyle name="Comma 9 2 6" xfId="24756"/>
    <cellStyle name="Comma 9 2 6 2" xfId="26898"/>
    <cellStyle name="Comma 9 2 7" xfId="24528"/>
    <cellStyle name="Comma 9 20" xfId="4855"/>
    <cellStyle name="Comma 9 20 2" xfId="19028"/>
    <cellStyle name="Comma 9 20 3" xfId="19027"/>
    <cellStyle name="Comma 9 21" xfId="4856"/>
    <cellStyle name="Comma 9 21 2" xfId="19030"/>
    <cellStyle name="Comma 9 21 3" xfId="19029"/>
    <cellStyle name="Comma 9 22" xfId="4857"/>
    <cellStyle name="Comma 9 22 2" xfId="19032"/>
    <cellStyle name="Comma 9 22 3" xfId="19031"/>
    <cellStyle name="Comma 9 23" xfId="4858"/>
    <cellStyle name="Comma 9 23 2" xfId="19034"/>
    <cellStyle name="Comma 9 23 3" xfId="19033"/>
    <cellStyle name="Comma 9 24" xfId="4859"/>
    <cellStyle name="Comma 9 24 2" xfId="19036"/>
    <cellStyle name="Comma 9 24 3" xfId="19035"/>
    <cellStyle name="Comma 9 25" xfId="19037"/>
    <cellStyle name="Comma 9 26" xfId="19004"/>
    <cellStyle name="Comma 9 27" xfId="24527"/>
    <cellStyle name="Comma 9 3" xfId="4860"/>
    <cellStyle name="Comma 9 3 2" xfId="19039"/>
    <cellStyle name="Comma 9 3 3" xfId="19038"/>
    <cellStyle name="Comma 9 3 4" xfId="24757"/>
    <cellStyle name="Comma 9 3 4 2" xfId="26899"/>
    <cellStyle name="Comma 9 4" xfId="4861"/>
    <cellStyle name="Comma 9 4 2" xfId="19041"/>
    <cellStyle name="Comma 9 4 3" xfId="19040"/>
    <cellStyle name="Comma 9 4 4" xfId="24758"/>
    <cellStyle name="Comma 9 4 4 2" xfId="26900"/>
    <cellStyle name="Comma 9 5" xfId="4862"/>
    <cellStyle name="Comma 9 5 2" xfId="19043"/>
    <cellStyle name="Comma 9 5 3" xfId="19042"/>
    <cellStyle name="Comma 9 5 4" xfId="24759"/>
    <cellStyle name="Comma 9 5 4 2" xfId="26901"/>
    <cellStyle name="Comma 9 6" xfId="4863"/>
    <cellStyle name="Comma 9 6 2" xfId="19045"/>
    <cellStyle name="Comma 9 6 3" xfId="19044"/>
    <cellStyle name="Comma 9 6 4" xfId="24760"/>
    <cellStyle name="Comma 9 7" xfId="4864"/>
    <cellStyle name="Comma 9 7 2" xfId="19047"/>
    <cellStyle name="Comma 9 7 3" xfId="19046"/>
    <cellStyle name="Comma 9 7 4" xfId="24761"/>
    <cellStyle name="Comma 9 7 4 2" xfId="26902"/>
    <cellStyle name="Comma 9 8" xfId="4865"/>
    <cellStyle name="Comma 9 8 2" xfId="19049"/>
    <cellStyle name="Comma 9 8 3" xfId="19048"/>
    <cellStyle name="Comma 9 9" xfId="4866"/>
    <cellStyle name="Comma 9 9 2" xfId="19051"/>
    <cellStyle name="Comma 9 9 3" xfId="19050"/>
    <cellStyle name="Comma0" xfId="24762"/>
    <cellStyle name="Comma0 2" xfId="24763"/>
    <cellStyle name="Comma1 - Style1" xfId="24529"/>
    <cellStyle name="Currency" xfId="5" builtinId="4"/>
    <cellStyle name="Currency 2" xfId="6"/>
    <cellStyle name="Currency 2 2" xfId="139"/>
    <cellStyle name="Currency 2 2 2" xfId="19053"/>
    <cellStyle name="Currency 2 2 2 2" xfId="24530"/>
    <cellStyle name="Currency 2 2 3" xfId="19052"/>
    <cellStyle name="Currency 2 3" xfId="304"/>
    <cellStyle name="Currency 2 3 2" xfId="19055"/>
    <cellStyle name="Currency 2 3 2 2" xfId="24531"/>
    <cellStyle name="Currency 2 3 3" xfId="19054"/>
    <cellStyle name="Currency 2 4" xfId="2122"/>
    <cellStyle name="Currency 2 4 2" xfId="19057"/>
    <cellStyle name="Currency 2 4 3" xfId="19056"/>
    <cellStyle name="Currency 2 5" xfId="2496"/>
    <cellStyle name="Currency 2 5 2" xfId="19059"/>
    <cellStyle name="Currency 2 5 3" xfId="19058"/>
    <cellStyle name="Currency 2 6" xfId="2868"/>
    <cellStyle name="Currency 2 6 2" xfId="19061"/>
    <cellStyle name="Currency 2 6 3" xfId="19060"/>
    <cellStyle name="Currency 2 7" xfId="3239"/>
    <cellStyle name="Currency 2 7 2" xfId="19063"/>
    <cellStyle name="Currency 2 7 3" xfId="19062"/>
    <cellStyle name="Currency 2 8" xfId="1272"/>
    <cellStyle name="Currency 2 8 2" xfId="19065"/>
    <cellStyle name="Currency 2 8 3" xfId="19064"/>
    <cellStyle name="Currency 3" xfId="4867"/>
    <cellStyle name="Currency 3 2" xfId="19067"/>
    <cellStyle name="Currency 3 2 2" xfId="24764"/>
    <cellStyle name="Currency 3 2 2 2" xfId="26903"/>
    <cellStyle name="Currency 3 2 3" xfId="24765"/>
    <cellStyle name="Currency 3 2 3 2" xfId="26904"/>
    <cellStyle name="Currency 3 2 4" xfId="24766"/>
    <cellStyle name="Currency 3 2 4 2" xfId="26905"/>
    <cellStyle name="Currency 3 2 5" xfId="24767"/>
    <cellStyle name="Currency 3 2 6" xfId="24768"/>
    <cellStyle name="Currency 3 2 6 2" xfId="26906"/>
    <cellStyle name="Currency 3 2 7" xfId="24533"/>
    <cellStyle name="Currency 3 3" xfId="19066"/>
    <cellStyle name="Currency 3 3 2" xfId="24769"/>
    <cellStyle name="Currency 3 3 2 2" xfId="26907"/>
    <cellStyle name="Currency 3 4" xfId="24770"/>
    <cellStyle name="Currency 3 4 2" xfId="26908"/>
    <cellStyle name="Currency 3 5" xfId="24771"/>
    <cellStyle name="Currency 3 5 2" xfId="26909"/>
    <cellStyle name="Currency 3 6" xfId="24772"/>
    <cellStyle name="Currency 3 7" xfId="24773"/>
    <cellStyle name="Currency 3 7 2" xfId="26910"/>
    <cellStyle name="Currency 3 8" xfId="24532"/>
    <cellStyle name="Currency 4" xfId="7101"/>
    <cellStyle name="Currency 4 2" xfId="24534"/>
    <cellStyle name="Currency 5" xfId="24535"/>
    <cellStyle name="Currency0" xfId="24774"/>
    <cellStyle name="Currency0 2" xfId="24775"/>
    <cellStyle name="Date" xfId="24776"/>
    <cellStyle name="Date 2" xfId="24777"/>
    <cellStyle name="Euro" xfId="55"/>
    <cellStyle name="Euro 2" xfId="19069"/>
    <cellStyle name="Euro 2 2" xfId="19070"/>
    <cellStyle name="Euro 2 2 2" xfId="19071"/>
    <cellStyle name="Euro 2 3" xfId="19072"/>
    <cellStyle name="Euro 3" xfId="19073"/>
    <cellStyle name="Euro 3 2" xfId="19074"/>
    <cellStyle name="Euro 3 2 2" xfId="19075"/>
    <cellStyle name="Euro 3 3" xfId="19076"/>
    <cellStyle name="Euro 4" xfId="19077"/>
    <cellStyle name="Euro 4 2" xfId="19078"/>
    <cellStyle name="Euro 5" xfId="19079"/>
    <cellStyle name="Euro 5 2" xfId="19080"/>
    <cellStyle name="Euro 6" xfId="19081"/>
    <cellStyle name="Euro 7" xfId="19068"/>
    <cellStyle name="Explanatory Text 10" xfId="748"/>
    <cellStyle name="Explanatory Text 10 2" xfId="19084"/>
    <cellStyle name="Explanatory Text 10 3" xfId="19083"/>
    <cellStyle name="Explanatory Text 11" xfId="749"/>
    <cellStyle name="Explanatory Text 11 2" xfId="19086"/>
    <cellStyle name="Explanatory Text 11 3" xfId="19085"/>
    <cellStyle name="Explanatory Text 12" xfId="879"/>
    <cellStyle name="Explanatory Text 12 2" xfId="19087"/>
    <cellStyle name="Explanatory Text 13" xfId="880"/>
    <cellStyle name="Explanatory Text 13 2" xfId="19082"/>
    <cellStyle name="Explanatory Text 14" xfId="975"/>
    <cellStyle name="Explanatory Text 2" xfId="96"/>
    <cellStyle name="Explanatory Text 2 10" xfId="1694"/>
    <cellStyle name="Explanatory Text 2 10 2" xfId="19090"/>
    <cellStyle name="Explanatory Text 2 10 3" xfId="19089"/>
    <cellStyle name="Explanatory Text 2 11" xfId="2029"/>
    <cellStyle name="Explanatory Text 2 11 2" xfId="19092"/>
    <cellStyle name="Explanatory Text 2 11 3" xfId="19091"/>
    <cellStyle name="Explanatory Text 2 12" xfId="2403"/>
    <cellStyle name="Explanatory Text 2 12 2" xfId="19094"/>
    <cellStyle name="Explanatory Text 2 12 3" xfId="19093"/>
    <cellStyle name="Explanatory Text 2 13" xfId="2776"/>
    <cellStyle name="Explanatory Text 2 13 2" xfId="19096"/>
    <cellStyle name="Explanatory Text 2 13 3" xfId="19095"/>
    <cellStyle name="Explanatory Text 2 14" xfId="3150"/>
    <cellStyle name="Explanatory Text 2 14 2" xfId="19098"/>
    <cellStyle name="Explanatory Text 2 14 3" xfId="19097"/>
    <cellStyle name="Explanatory Text 2 15" xfId="3521"/>
    <cellStyle name="Explanatory Text 2 15 2" xfId="19100"/>
    <cellStyle name="Explanatory Text 2 15 3" xfId="19099"/>
    <cellStyle name="Explanatory Text 2 16" xfId="3659"/>
    <cellStyle name="Explanatory Text 2 16 2" xfId="19102"/>
    <cellStyle name="Explanatory Text 2 16 3" xfId="19101"/>
    <cellStyle name="Explanatory Text 2 17" xfId="19103"/>
    <cellStyle name="Explanatory Text 2 17 2" xfId="19104"/>
    <cellStyle name="Explanatory Text 2 18" xfId="19105"/>
    <cellStyle name="Explanatory Text 2 19" xfId="19088"/>
    <cellStyle name="Explanatory Text 2 2" xfId="140"/>
    <cellStyle name="Explanatory Text 2 2 2" xfId="168"/>
    <cellStyle name="Explanatory Text 2 2 2 2" xfId="19108"/>
    <cellStyle name="Explanatory Text 2 2 2 3" xfId="19107"/>
    <cellStyle name="Explanatory Text 2 2 3" xfId="332"/>
    <cellStyle name="Explanatory Text 2 2 3 2" xfId="19110"/>
    <cellStyle name="Explanatory Text 2 2 3 3" xfId="19109"/>
    <cellStyle name="Explanatory Text 2 2 4" xfId="2154"/>
    <cellStyle name="Explanatory Text 2 2 4 2" xfId="19112"/>
    <cellStyle name="Explanatory Text 2 2 4 3" xfId="19111"/>
    <cellStyle name="Explanatory Text 2 2 5" xfId="2528"/>
    <cellStyle name="Explanatory Text 2 2 5 2" xfId="19114"/>
    <cellStyle name="Explanatory Text 2 2 5 3" xfId="19113"/>
    <cellStyle name="Explanatory Text 2 2 6" xfId="2900"/>
    <cellStyle name="Explanatory Text 2 2 6 2" xfId="19116"/>
    <cellStyle name="Explanatory Text 2 2 6 3" xfId="19115"/>
    <cellStyle name="Explanatory Text 2 2 7" xfId="3272"/>
    <cellStyle name="Explanatory Text 2 2 7 2" xfId="19118"/>
    <cellStyle name="Explanatory Text 2 2 7 3" xfId="19117"/>
    <cellStyle name="Explanatory Text 2 2 8" xfId="19119"/>
    <cellStyle name="Explanatory Text 2 2 9" xfId="19106"/>
    <cellStyle name="Explanatory Text 2 20" xfId="24493"/>
    <cellStyle name="Explanatory Text 2 3" xfId="305"/>
    <cellStyle name="Explanatory Text 2 3 2" xfId="1330"/>
    <cellStyle name="Explanatory Text 2 3 2 2" xfId="19121"/>
    <cellStyle name="Explanatory Text 2 3 3" xfId="19120"/>
    <cellStyle name="Explanatory Text 2 4" xfId="466"/>
    <cellStyle name="Explanatory Text 2 4 2" xfId="19123"/>
    <cellStyle name="Explanatory Text 2 4 3" xfId="19122"/>
    <cellStyle name="Explanatory Text 2 5" xfId="600"/>
    <cellStyle name="Explanatory Text 2 5 2" xfId="19125"/>
    <cellStyle name="Explanatory Text 2 5 3" xfId="19124"/>
    <cellStyle name="Explanatory Text 2 6" xfId="750"/>
    <cellStyle name="Explanatory Text 2 6 2" xfId="19127"/>
    <cellStyle name="Explanatory Text 2 6 3" xfId="19126"/>
    <cellStyle name="Explanatory Text 2 7" xfId="751"/>
    <cellStyle name="Explanatory Text 2 7 2" xfId="19129"/>
    <cellStyle name="Explanatory Text 2 7 3" xfId="19128"/>
    <cellStyle name="Explanatory Text 2 8" xfId="881"/>
    <cellStyle name="Explanatory Text 2 8 2" xfId="1423"/>
    <cellStyle name="Explanatory Text 2 8 2 2" xfId="19131"/>
    <cellStyle name="Explanatory Text 2 8 3" xfId="19130"/>
    <cellStyle name="Explanatory Text 2 9" xfId="976"/>
    <cellStyle name="Explanatory Text 2 9 2" xfId="1554"/>
    <cellStyle name="Explanatory Text 2 9 2 2" xfId="19133"/>
    <cellStyle name="Explanatory Text 2 9 3" xfId="19132"/>
    <cellStyle name="Explanatory Text 3" xfId="209"/>
    <cellStyle name="Explanatory Text 3 10" xfId="3702"/>
    <cellStyle name="Explanatory Text 3 10 2" xfId="19136"/>
    <cellStyle name="Explanatory Text 3 10 3" xfId="19135"/>
    <cellStyle name="Explanatory Text 3 11" xfId="19137"/>
    <cellStyle name="Explanatory Text 3 11 2" xfId="19138"/>
    <cellStyle name="Explanatory Text 3 12" xfId="19139"/>
    <cellStyle name="Explanatory Text 3 13" xfId="19134"/>
    <cellStyle name="Explanatory Text 3 2" xfId="1475"/>
    <cellStyle name="Explanatory Text 3 2 2" xfId="1820"/>
    <cellStyle name="Explanatory Text 3 2 2 2" xfId="19142"/>
    <cellStyle name="Explanatory Text 3 2 2 3" xfId="19141"/>
    <cellStyle name="Explanatory Text 3 2 3" xfId="2195"/>
    <cellStyle name="Explanatory Text 3 2 3 2" xfId="19144"/>
    <cellStyle name="Explanatory Text 3 2 3 3" xfId="19143"/>
    <cellStyle name="Explanatory Text 3 2 4" xfId="2569"/>
    <cellStyle name="Explanatory Text 3 2 4 2" xfId="19146"/>
    <cellStyle name="Explanatory Text 3 2 4 3" xfId="19145"/>
    <cellStyle name="Explanatory Text 3 2 5" xfId="2941"/>
    <cellStyle name="Explanatory Text 3 2 5 2" xfId="19148"/>
    <cellStyle name="Explanatory Text 3 2 5 3" xfId="19147"/>
    <cellStyle name="Explanatory Text 3 2 6" xfId="3313"/>
    <cellStyle name="Explanatory Text 3 2 6 2" xfId="19150"/>
    <cellStyle name="Explanatory Text 3 2 6 3" xfId="19149"/>
    <cellStyle name="Explanatory Text 3 2 7" xfId="19151"/>
    <cellStyle name="Explanatory Text 3 2 8" xfId="19140"/>
    <cellStyle name="Explanatory Text 3 3" xfId="1602"/>
    <cellStyle name="Explanatory Text 3 3 2" xfId="1897"/>
    <cellStyle name="Explanatory Text 3 3 2 2" xfId="19154"/>
    <cellStyle name="Explanatory Text 3 3 2 3" xfId="19153"/>
    <cellStyle name="Explanatory Text 3 3 3" xfId="2272"/>
    <cellStyle name="Explanatory Text 3 3 3 2" xfId="19156"/>
    <cellStyle name="Explanatory Text 3 3 3 3" xfId="19155"/>
    <cellStyle name="Explanatory Text 3 3 4" xfId="2645"/>
    <cellStyle name="Explanatory Text 3 3 4 2" xfId="19158"/>
    <cellStyle name="Explanatory Text 3 3 4 3" xfId="19157"/>
    <cellStyle name="Explanatory Text 3 3 5" xfId="3018"/>
    <cellStyle name="Explanatory Text 3 3 5 2" xfId="19160"/>
    <cellStyle name="Explanatory Text 3 3 5 3" xfId="19159"/>
    <cellStyle name="Explanatory Text 3 3 6" xfId="3389"/>
    <cellStyle name="Explanatory Text 3 3 6 2" xfId="19162"/>
    <cellStyle name="Explanatory Text 3 3 6 3" xfId="19161"/>
    <cellStyle name="Explanatory Text 3 3 7" xfId="19163"/>
    <cellStyle name="Explanatory Text 3 3 8" xfId="19152"/>
    <cellStyle name="Explanatory Text 3 4" xfId="1741"/>
    <cellStyle name="Explanatory Text 3 4 2" xfId="1941"/>
    <cellStyle name="Explanatory Text 3 4 2 2" xfId="19166"/>
    <cellStyle name="Explanatory Text 3 4 2 3" xfId="19165"/>
    <cellStyle name="Explanatory Text 3 4 3" xfId="2316"/>
    <cellStyle name="Explanatory Text 3 4 3 2" xfId="19168"/>
    <cellStyle name="Explanatory Text 3 4 3 3" xfId="19167"/>
    <cellStyle name="Explanatory Text 3 4 4" xfId="2689"/>
    <cellStyle name="Explanatory Text 3 4 4 2" xfId="19170"/>
    <cellStyle name="Explanatory Text 3 4 4 3" xfId="19169"/>
    <cellStyle name="Explanatory Text 3 4 5" xfId="3062"/>
    <cellStyle name="Explanatory Text 3 4 5 2" xfId="19172"/>
    <cellStyle name="Explanatory Text 3 4 5 3" xfId="19171"/>
    <cellStyle name="Explanatory Text 3 4 6" xfId="3433"/>
    <cellStyle name="Explanatory Text 3 4 6 2" xfId="19174"/>
    <cellStyle name="Explanatory Text 3 4 6 3" xfId="19173"/>
    <cellStyle name="Explanatory Text 3 4 7" xfId="19175"/>
    <cellStyle name="Explanatory Text 3 4 8" xfId="19164"/>
    <cellStyle name="Explanatory Text 3 5" xfId="2076"/>
    <cellStyle name="Explanatory Text 3 5 2" xfId="19177"/>
    <cellStyle name="Explanatory Text 3 5 3" xfId="19176"/>
    <cellStyle name="Explanatory Text 3 6" xfId="2450"/>
    <cellStyle name="Explanatory Text 3 6 2" xfId="19179"/>
    <cellStyle name="Explanatory Text 3 6 3" xfId="19178"/>
    <cellStyle name="Explanatory Text 3 7" xfId="2822"/>
    <cellStyle name="Explanatory Text 3 7 2" xfId="19181"/>
    <cellStyle name="Explanatory Text 3 7 3" xfId="19180"/>
    <cellStyle name="Explanatory Text 3 8" xfId="3193"/>
    <cellStyle name="Explanatory Text 3 8 2" xfId="19183"/>
    <cellStyle name="Explanatory Text 3 8 3" xfId="19182"/>
    <cellStyle name="Explanatory Text 3 9" xfId="3566"/>
    <cellStyle name="Explanatory Text 3 9 2" xfId="19185"/>
    <cellStyle name="Explanatory Text 3 9 3" xfId="19184"/>
    <cellStyle name="Explanatory Text 4" xfId="262"/>
    <cellStyle name="Explanatory Text 4 10" xfId="3746"/>
    <cellStyle name="Explanatory Text 4 10 2" xfId="19188"/>
    <cellStyle name="Explanatory Text 4 10 3" xfId="19187"/>
    <cellStyle name="Explanatory Text 4 11" xfId="1291"/>
    <cellStyle name="Explanatory Text 4 11 2" xfId="19190"/>
    <cellStyle name="Explanatory Text 4 11 3" xfId="19189"/>
    <cellStyle name="Explanatory Text 4 12" xfId="19191"/>
    <cellStyle name="Explanatory Text 4 13" xfId="19186"/>
    <cellStyle name="Explanatory Text 4 2" xfId="1520"/>
    <cellStyle name="Explanatory Text 4 2 2" xfId="19193"/>
    <cellStyle name="Explanatory Text 4 2 3" xfId="19192"/>
    <cellStyle name="Explanatory Text 4 3" xfId="1645"/>
    <cellStyle name="Explanatory Text 4 3 2" xfId="19195"/>
    <cellStyle name="Explanatory Text 4 3 3" xfId="19194"/>
    <cellStyle name="Explanatory Text 4 4" xfId="1781"/>
    <cellStyle name="Explanatory Text 4 4 2" xfId="19197"/>
    <cellStyle name="Explanatory Text 4 4 3" xfId="19196"/>
    <cellStyle name="Explanatory Text 4 5" xfId="2116"/>
    <cellStyle name="Explanatory Text 4 5 2" xfId="19199"/>
    <cellStyle name="Explanatory Text 4 5 3" xfId="19198"/>
    <cellStyle name="Explanatory Text 4 6" xfId="2490"/>
    <cellStyle name="Explanatory Text 4 6 2" xfId="19201"/>
    <cellStyle name="Explanatory Text 4 6 3" xfId="19200"/>
    <cellStyle name="Explanatory Text 4 7" xfId="2862"/>
    <cellStyle name="Explanatory Text 4 7 2" xfId="19203"/>
    <cellStyle name="Explanatory Text 4 7 3" xfId="19202"/>
    <cellStyle name="Explanatory Text 4 8" xfId="3233"/>
    <cellStyle name="Explanatory Text 4 8 2" xfId="19205"/>
    <cellStyle name="Explanatory Text 4 8 3" xfId="19204"/>
    <cellStyle name="Explanatory Text 4 9" xfId="3609"/>
    <cellStyle name="Explanatory Text 4 9 2" xfId="19207"/>
    <cellStyle name="Explanatory Text 4 9 3" xfId="19206"/>
    <cellStyle name="Explanatory Text 5" xfId="467"/>
    <cellStyle name="Explanatory Text 5 2" xfId="1869"/>
    <cellStyle name="Explanatory Text 5 2 2" xfId="19210"/>
    <cellStyle name="Explanatory Text 5 2 3" xfId="19209"/>
    <cellStyle name="Explanatory Text 5 3" xfId="2244"/>
    <cellStyle name="Explanatory Text 5 3 2" xfId="19212"/>
    <cellStyle name="Explanatory Text 5 3 3" xfId="19211"/>
    <cellStyle name="Explanatory Text 5 4" xfId="2618"/>
    <cellStyle name="Explanatory Text 5 4 2" xfId="19214"/>
    <cellStyle name="Explanatory Text 5 4 3" xfId="19213"/>
    <cellStyle name="Explanatory Text 5 5" xfId="2990"/>
    <cellStyle name="Explanatory Text 5 5 2" xfId="19216"/>
    <cellStyle name="Explanatory Text 5 5 3" xfId="19215"/>
    <cellStyle name="Explanatory Text 5 6" xfId="3362"/>
    <cellStyle name="Explanatory Text 5 6 2" xfId="19218"/>
    <cellStyle name="Explanatory Text 5 6 3" xfId="19217"/>
    <cellStyle name="Explanatory Text 5 7" xfId="19219"/>
    <cellStyle name="Explanatory Text 5 7 2" xfId="19220"/>
    <cellStyle name="Explanatory Text 5 8" xfId="19221"/>
    <cellStyle name="Explanatory Text 5 9" xfId="19208"/>
    <cellStyle name="Explanatory Text 6" xfId="468"/>
    <cellStyle name="Explanatory Text 6 10" xfId="19222"/>
    <cellStyle name="Explanatory Text 6 2" xfId="1996"/>
    <cellStyle name="Explanatory Text 6 2 2" xfId="19224"/>
    <cellStyle name="Explanatory Text 6 2 3" xfId="19223"/>
    <cellStyle name="Explanatory Text 6 3" xfId="2371"/>
    <cellStyle name="Explanatory Text 6 3 2" xfId="19226"/>
    <cellStyle name="Explanatory Text 6 3 3" xfId="19225"/>
    <cellStyle name="Explanatory Text 6 4" xfId="2744"/>
    <cellStyle name="Explanatory Text 6 4 2" xfId="19228"/>
    <cellStyle name="Explanatory Text 6 4 3" xfId="19227"/>
    <cellStyle name="Explanatory Text 6 5" xfId="3117"/>
    <cellStyle name="Explanatory Text 6 5 2" xfId="19230"/>
    <cellStyle name="Explanatory Text 6 5 3" xfId="19229"/>
    <cellStyle name="Explanatory Text 6 6" xfId="3488"/>
    <cellStyle name="Explanatory Text 6 6 2" xfId="19232"/>
    <cellStyle name="Explanatory Text 6 6 3" xfId="19231"/>
    <cellStyle name="Explanatory Text 6 7" xfId="3794"/>
    <cellStyle name="Explanatory Text 6 7 2" xfId="19234"/>
    <cellStyle name="Explanatory Text 6 7 3" xfId="19233"/>
    <cellStyle name="Explanatory Text 6 8" xfId="19235"/>
    <cellStyle name="Explanatory Text 6 8 2" xfId="19236"/>
    <cellStyle name="Explanatory Text 6 9" xfId="19237"/>
    <cellStyle name="Explanatory Text 7" xfId="469"/>
    <cellStyle name="Explanatory Text 7 2" xfId="19239"/>
    <cellStyle name="Explanatory Text 7 3" xfId="19238"/>
    <cellStyle name="Explanatory Text 8" xfId="601"/>
    <cellStyle name="Explanatory Text 8 2" xfId="19241"/>
    <cellStyle name="Explanatory Text 8 3" xfId="19240"/>
    <cellStyle name="Explanatory Text 9" xfId="602"/>
    <cellStyle name="Explanatory Text 9 2" xfId="19243"/>
    <cellStyle name="Explanatory Text 9 3" xfId="19242"/>
    <cellStyle name="F2" xfId="24778"/>
    <cellStyle name="F3" xfId="24779"/>
    <cellStyle name="F4" xfId="24780"/>
    <cellStyle name="F5" xfId="24781"/>
    <cellStyle name="F6" xfId="24782"/>
    <cellStyle name="F7" xfId="24783"/>
    <cellStyle name="F8" xfId="24784"/>
    <cellStyle name="Fixed" xfId="24785"/>
    <cellStyle name="Good 10" xfId="752"/>
    <cellStyle name="Good 10 2" xfId="19246"/>
    <cellStyle name="Good 10 3" xfId="19245"/>
    <cellStyle name="Good 11" xfId="753"/>
    <cellStyle name="Good 11 2" xfId="19248"/>
    <cellStyle name="Good 11 3" xfId="19247"/>
    <cellStyle name="Good 12" xfId="882"/>
    <cellStyle name="Good 12 2" xfId="19249"/>
    <cellStyle name="Good 13" xfId="883"/>
    <cellStyle name="Good 13 2" xfId="19244"/>
    <cellStyle name="Good 14" xfId="977"/>
    <cellStyle name="Good 2" xfId="97"/>
    <cellStyle name="Good 2 10" xfId="1695"/>
    <cellStyle name="Good 2 10 2" xfId="19252"/>
    <cellStyle name="Good 2 10 3" xfId="19251"/>
    <cellStyle name="Good 2 11" xfId="2030"/>
    <cellStyle name="Good 2 11 2" xfId="19254"/>
    <cellStyle name="Good 2 11 3" xfId="19253"/>
    <cellStyle name="Good 2 12" xfId="2404"/>
    <cellStyle name="Good 2 12 2" xfId="19256"/>
    <cellStyle name="Good 2 12 3" xfId="19255"/>
    <cellStyle name="Good 2 13" xfId="2777"/>
    <cellStyle name="Good 2 13 2" xfId="19258"/>
    <cellStyle name="Good 2 13 3" xfId="19257"/>
    <cellStyle name="Good 2 14" xfId="3151"/>
    <cellStyle name="Good 2 14 2" xfId="19260"/>
    <cellStyle name="Good 2 14 3" xfId="19259"/>
    <cellStyle name="Good 2 15" xfId="3522"/>
    <cellStyle name="Good 2 15 2" xfId="19262"/>
    <cellStyle name="Good 2 15 3" xfId="19261"/>
    <cellStyle name="Good 2 16" xfId="3660"/>
    <cellStyle name="Good 2 16 2" xfId="19264"/>
    <cellStyle name="Good 2 16 3" xfId="19263"/>
    <cellStyle name="Good 2 17" xfId="19265"/>
    <cellStyle name="Good 2 17 2" xfId="19266"/>
    <cellStyle name="Good 2 18" xfId="19267"/>
    <cellStyle name="Good 2 19" xfId="19250"/>
    <cellStyle name="Good 2 2" xfId="141"/>
    <cellStyle name="Good 2 2 2" xfId="158"/>
    <cellStyle name="Good 2 2 2 2" xfId="19270"/>
    <cellStyle name="Good 2 2 2 3" xfId="19269"/>
    <cellStyle name="Good 2 2 3" xfId="322"/>
    <cellStyle name="Good 2 2 3 2" xfId="19272"/>
    <cellStyle name="Good 2 2 3 3" xfId="19271"/>
    <cellStyle name="Good 2 2 4" xfId="2145"/>
    <cellStyle name="Good 2 2 4 2" xfId="19274"/>
    <cellStyle name="Good 2 2 4 3" xfId="19273"/>
    <cellStyle name="Good 2 2 5" xfId="2519"/>
    <cellStyle name="Good 2 2 5 2" xfId="19276"/>
    <cellStyle name="Good 2 2 5 3" xfId="19275"/>
    <cellStyle name="Good 2 2 6" xfId="2891"/>
    <cellStyle name="Good 2 2 6 2" xfId="19278"/>
    <cellStyle name="Good 2 2 6 3" xfId="19277"/>
    <cellStyle name="Good 2 2 7" xfId="3262"/>
    <cellStyle name="Good 2 2 7 2" xfId="19280"/>
    <cellStyle name="Good 2 2 7 3" xfId="19279"/>
    <cellStyle name="Good 2 2 8" xfId="19281"/>
    <cellStyle name="Good 2 2 9" xfId="19268"/>
    <cellStyle name="Good 2 20" xfId="24494"/>
    <cellStyle name="Good 2 3" xfId="306"/>
    <cellStyle name="Good 2 3 2" xfId="1321"/>
    <cellStyle name="Good 2 3 2 2" xfId="19283"/>
    <cellStyle name="Good 2 3 3" xfId="19282"/>
    <cellStyle name="Good 2 4" xfId="470"/>
    <cellStyle name="Good 2 4 2" xfId="19285"/>
    <cellStyle name="Good 2 4 3" xfId="19284"/>
    <cellStyle name="Good 2 5" xfId="603"/>
    <cellStyle name="Good 2 5 2" xfId="19287"/>
    <cellStyle name="Good 2 5 3" xfId="19286"/>
    <cellStyle name="Good 2 6" xfId="754"/>
    <cellStyle name="Good 2 6 2" xfId="19289"/>
    <cellStyle name="Good 2 6 3" xfId="19288"/>
    <cellStyle name="Good 2 7" xfId="755"/>
    <cellStyle name="Good 2 7 2" xfId="19291"/>
    <cellStyle name="Good 2 7 3" xfId="19290"/>
    <cellStyle name="Good 2 8" xfId="884"/>
    <cellStyle name="Good 2 8 2" xfId="1424"/>
    <cellStyle name="Good 2 8 2 2" xfId="19293"/>
    <cellStyle name="Good 2 8 3" xfId="19292"/>
    <cellStyle name="Good 2 9" xfId="978"/>
    <cellStyle name="Good 2 9 2" xfId="1553"/>
    <cellStyle name="Good 2 9 2 2" xfId="19295"/>
    <cellStyle name="Good 2 9 3" xfId="19294"/>
    <cellStyle name="Good 3" xfId="199"/>
    <cellStyle name="Good 3 10" xfId="3703"/>
    <cellStyle name="Good 3 10 2" xfId="19298"/>
    <cellStyle name="Good 3 10 3" xfId="19297"/>
    <cellStyle name="Good 3 11" xfId="19299"/>
    <cellStyle name="Good 3 11 2" xfId="19300"/>
    <cellStyle name="Good 3 12" xfId="19301"/>
    <cellStyle name="Good 3 13" xfId="19296"/>
    <cellStyle name="Good 3 2" xfId="1476"/>
    <cellStyle name="Good 3 2 2" xfId="1810"/>
    <cellStyle name="Good 3 2 2 2" xfId="19304"/>
    <cellStyle name="Good 3 2 2 3" xfId="19303"/>
    <cellStyle name="Good 3 2 3" xfId="2185"/>
    <cellStyle name="Good 3 2 3 2" xfId="19306"/>
    <cellStyle name="Good 3 2 3 3" xfId="19305"/>
    <cellStyle name="Good 3 2 4" xfId="2559"/>
    <cellStyle name="Good 3 2 4 2" xfId="19308"/>
    <cellStyle name="Good 3 2 4 3" xfId="19307"/>
    <cellStyle name="Good 3 2 5" xfId="2931"/>
    <cellStyle name="Good 3 2 5 2" xfId="19310"/>
    <cellStyle name="Good 3 2 5 3" xfId="19309"/>
    <cellStyle name="Good 3 2 6" xfId="3303"/>
    <cellStyle name="Good 3 2 6 2" xfId="19312"/>
    <cellStyle name="Good 3 2 6 3" xfId="19311"/>
    <cellStyle name="Good 3 2 7" xfId="19313"/>
    <cellStyle name="Good 3 2 8" xfId="19302"/>
    <cellStyle name="Good 3 3" xfId="1603"/>
    <cellStyle name="Good 3 3 2" xfId="1887"/>
    <cellStyle name="Good 3 3 2 2" xfId="19316"/>
    <cellStyle name="Good 3 3 2 3" xfId="19315"/>
    <cellStyle name="Good 3 3 3" xfId="2262"/>
    <cellStyle name="Good 3 3 3 2" xfId="19318"/>
    <cellStyle name="Good 3 3 3 3" xfId="19317"/>
    <cellStyle name="Good 3 3 4" xfId="2635"/>
    <cellStyle name="Good 3 3 4 2" xfId="19320"/>
    <cellStyle name="Good 3 3 4 3" xfId="19319"/>
    <cellStyle name="Good 3 3 5" xfId="3008"/>
    <cellStyle name="Good 3 3 5 2" xfId="19322"/>
    <cellStyle name="Good 3 3 5 3" xfId="19321"/>
    <cellStyle name="Good 3 3 6" xfId="3379"/>
    <cellStyle name="Good 3 3 6 2" xfId="19324"/>
    <cellStyle name="Good 3 3 6 3" xfId="19323"/>
    <cellStyle name="Good 3 3 7" xfId="19325"/>
    <cellStyle name="Good 3 3 8" xfId="19314"/>
    <cellStyle name="Good 3 4" xfId="1742"/>
    <cellStyle name="Good 3 4 2" xfId="1931"/>
    <cellStyle name="Good 3 4 2 2" xfId="19328"/>
    <cellStyle name="Good 3 4 2 3" xfId="19327"/>
    <cellStyle name="Good 3 4 3" xfId="2306"/>
    <cellStyle name="Good 3 4 3 2" xfId="19330"/>
    <cellStyle name="Good 3 4 3 3" xfId="19329"/>
    <cellStyle name="Good 3 4 4" xfId="2679"/>
    <cellStyle name="Good 3 4 4 2" xfId="19332"/>
    <cellStyle name="Good 3 4 4 3" xfId="19331"/>
    <cellStyle name="Good 3 4 5" xfId="3052"/>
    <cellStyle name="Good 3 4 5 2" xfId="19334"/>
    <cellStyle name="Good 3 4 5 3" xfId="19333"/>
    <cellStyle name="Good 3 4 6" xfId="3423"/>
    <cellStyle name="Good 3 4 6 2" xfId="19336"/>
    <cellStyle name="Good 3 4 6 3" xfId="19335"/>
    <cellStyle name="Good 3 4 7" xfId="19337"/>
    <cellStyle name="Good 3 4 8" xfId="19326"/>
    <cellStyle name="Good 3 5" xfId="2077"/>
    <cellStyle name="Good 3 5 2" xfId="19339"/>
    <cellStyle name="Good 3 5 3" xfId="19338"/>
    <cellStyle name="Good 3 6" xfId="2451"/>
    <cellStyle name="Good 3 6 2" xfId="19341"/>
    <cellStyle name="Good 3 6 3" xfId="19340"/>
    <cellStyle name="Good 3 7" xfId="2823"/>
    <cellStyle name="Good 3 7 2" xfId="19343"/>
    <cellStyle name="Good 3 7 3" xfId="19342"/>
    <cellStyle name="Good 3 8" xfId="3194"/>
    <cellStyle name="Good 3 8 2" xfId="19345"/>
    <cellStyle name="Good 3 8 3" xfId="19344"/>
    <cellStyle name="Good 3 9" xfId="3567"/>
    <cellStyle name="Good 3 9 2" xfId="19347"/>
    <cellStyle name="Good 3 9 3" xfId="19346"/>
    <cellStyle name="Good 4" xfId="263"/>
    <cellStyle name="Good 4 10" xfId="3747"/>
    <cellStyle name="Good 4 10 2" xfId="19350"/>
    <cellStyle name="Good 4 10 3" xfId="19349"/>
    <cellStyle name="Good 4 11" xfId="1281"/>
    <cellStyle name="Good 4 11 2" xfId="19352"/>
    <cellStyle name="Good 4 11 3" xfId="19351"/>
    <cellStyle name="Good 4 12" xfId="19353"/>
    <cellStyle name="Good 4 13" xfId="19348"/>
    <cellStyle name="Good 4 2" xfId="1521"/>
    <cellStyle name="Good 4 2 2" xfId="19355"/>
    <cellStyle name="Good 4 2 3" xfId="19354"/>
    <cellStyle name="Good 4 3" xfId="1646"/>
    <cellStyle name="Good 4 3 2" xfId="19357"/>
    <cellStyle name="Good 4 3 3" xfId="19356"/>
    <cellStyle name="Good 4 4" xfId="1780"/>
    <cellStyle name="Good 4 4 2" xfId="19359"/>
    <cellStyle name="Good 4 4 3" xfId="19358"/>
    <cellStyle name="Good 4 5" xfId="2115"/>
    <cellStyle name="Good 4 5 2" xfId="19361"/>
    <cellStyle name="Good 4 5 3" xfId="19360"/>
    <cellStyle name="Good 4 6" xfId="2489"/>
    <cellStyle name="Good 4 6 2" xfId="19363"/>
    <cellStyle name="Good 4 6 3" xfId="19362"/>
    <cellStyle name="Good 4 7" xfId="2861"/>
    <cellStyle name="Good 4 7 2" xfId="19365"/>
    <cellStyle name="Good 4 7 3" xfId="19364"/>
    <cellStyle name="Good 4 8" xfId="3232"/>
    <cellStyle name="Good 4 8 2" xfId="19367"/>
    <cellStyle name="Good 4 8 3" xfId="19366"/>
    <cellStyle name="Good 4 9" xfId="3610"/>
    <cellStyle name="Good 4 9 2" xfId="19369"/>
    <cellStyle name="Good 4 9 3" xfId="19368"/>
    <cellStyle name="Good 5" xfId="471"/>
    <cellStyle name="Good 5 2" xfId="1852"/>
    <cellStyle name="Good 5 2 2" xfId="19372"/>
    <cellStyle name="Good 5 2 3" xfId="19371"/>
    <cellStyle name="Good 5 3" xfId="2227"/>
    <cellStyle name="Good 5 3 2" xfId="19374"/>
    <cellStyle name="Good 5 3 3" xfId="19373"/>
    <cellStyle name="Good 5 4" xfId="2601"/>
    <cellStyle name="Good 5 4 2" xfId="19376"/>
    <cellStyle name="Good 5 4 3" xfId="19375"/>
    <cellStyle name="Good 5 5" xfId="2973"/>
    <cellStyle name="Good 5 5 2" xfId="19378"/>
    <cellStyle name="Good 5 5 3" xfId="19377"/>
    <cellStyle name="Good 5 6" xfId="3345"/>
    <cellStyle name="Good 5 6 2" xfId="19380"/>
    <cellStyle name="Good 5 6 3" xfId="19379"/>
    <cellStyle name="Good 5 7" xfId="19381"/>
    <cellStyle name="Good 5 7 2" xfId="19382"/>
    <cellStyle name="Good 5 8" xfId="19383"/>
    <cellStyle name="Good 5 9" xfId="19370"/>
    <cellStyle name="Good 6" xfId="472"/>
    <cellStyle name="Good 6 10" xfId="19384"/>
    <cellStyle name="Good 6 2" xfId="1997"/>
    <cellStyle name="Good 6 2 2" xfId="19386"/>
    <cellStyle name="Good 6 2 3" xfId="19385"/>
    <cellStyle name="Good 6 3" xfId="2372"/>
    <cellStyle name="Good 6 3 2" xfId="19388"/>
    <cellStyle name="Good 6 3 3" xfId="19387"/>
    <cellStyle name="Good 6 4" xfId="2745"/>
    <cellStyle name="Good 6 4 2" xfId="19390"/>
    <cellStyle name="Good 6 4 3" xfId="19389"/>
    <cellStyle name="Good 6 5" xfId="3118"/>
    <cellStyle name="Good 6 5 2" xfId="19392"/>
    <cellStyle name="Good 6 5 3" xfId="19391"/>
    <cellStyle name="Good 6 6" xfId="3489"/>
    <cellStyle name="Good 6 6 2" xfId="19394"/>
    <cellStyle name="Good 6 6 3" xfId="19393"/>
    <cellStyle name="Good 6 7" xfId="3795"/>
    <cellStyle name="Good 6 7 2" xfId="19396"/>
    <cellStyle name="Good 6 7 3" xfId="19395"/>
    <cellStyle name="Good 6 8" xfId="19397"/>
    <cellStyle name="Good 6 8 2" xfId="19398"/>
    <cellStyle name="Good 6 9" xfId="19399"/>
    <cellStyle name="Good 7" xfId="473"/>
    <cellStyle name="Good 7 2" xfId="19401"/>
    <cellStyle name="Good 7 3" xfId="19400"/>
    <cellStyle name="Good 8" xfId="604"/>
    <cellStyle name="Good 8 2" xfId="19403"/>
    <cellStyle name="Good 8 3" xfId="19402"/>
    <cellStyle name="Good 9" xfId="605"/>
    <cellStyle name="Good 9 2" xfId="19405"/>
    <cellStyle name="Good 9 3" xfId="19404"/>
    <cellStyle name="Heading 1 10" xfId="756"/>
    <cellStyle name="Heading 1 10 2" xfId="19408"/>
    <cellStyle name="Heading 1 10 3" xfId="19407"/>
    <cellStyle name="Heading 1 11" xfId="757"/>
    <cellStyle name="Heading 1 11 2" xfId="19410"/>
    <cellStyle name="Heading 1 11 3" xfId="19409"/>
    <cellStyle name="Heading 1 12" xfId="885"/>
    <cellStyle name="Heading 1 12 2" xfId="19411"/>
    <cellStyle name="Heading 1 13" xfId="886"/>
    <cellStyle name="Heading 1 13 2" xfId="19406"/>
    <cellStyle name="Heading 1 14" xfId="979"/>
    <cellStyle name="Heading 1 2" xfId="98"/>
    <cellStyle name="Heading 1 2 10" xfId="1696"/>
    <cellStyle name="Heading 1 2 10 2" xfId="19414"/>
    <cellStyle name="Heading 1 2 10 3" xfId="19413"/>
    <cellStyle name="Heading 1 2 11" xfId="2031"/>
    <cellStyle name="Heading 1 2 11 2" xfId="19416"/>
    <cellStyle name="Heading 1 2 11 3" xfId="19415"/>
    <cellStyle name="Heading 1 2 12" xfId="2405"/>
    <cellStyle name="Heading 1 2 12 2" xfId="19418"/>
    <cellStyle name="Heading 1 2 12 3" xfId="19417"/>
    <cellStyle name="Heading 1 2 13" xfId="2778"/>
    <cellStyle name="Heading 1 2 13 2" xfId="19420"/>
    <cellStyle name="Heading 1 2 13 3" xfId="19419"/>
    <cellStyle name="Heading 1 2 14" xfId="3152"/>
    <cellStyle name="Heading 1 2 14 2" xfId="19422"/>
    <cellStyle name="Heading 1 2 14 3" xfId="19421"/>
    <cellStyle name="Heading 1 2 15" xfId="3523"/>
    <cellStyle name="Heading 1 2 15 2" xfId="19424"/>
    <cellStyle name="Heading 1 2 15 3" xfId="19423"/>
    <cellStyle name="Heading 1 2 16" xfId="3661"/>
    <cellStyle name="Heading 1 2 16 2" xfId="19426"/>
    <cellStyle name="Heading 1 2 16 3" xfId="19425"/>
    <cellStyle name="Heading 1 2 17" xfId="19427"/>
    <cellStyle name="Heading 1 2 17 2" xfId="19428"/>
    <cellStyle name="Heading 1 2 18" xfId="19429"/>
    <cellStyle name="Heading 1 2 19" xfId="19412"/>
    <cellStyle name="Heading 1 2 2" xfId="142"/>
    <cellStyle name="Heading 1 2 2 2" xfId="154"/>
    <cellStyle name="Heading 1 2 2 2 2" xfId="19432"/>
    <cellStyle name="Heading 1 2 2 2 3" xfId="19431"/>
    <cellStyle name="Heading 1 2 2 3" xfId="318"/>
    <cellStyle name="Heading 1 2 2 3 2" xfId="19434"/>
    <cellStyle name="Heading 1 2 2 3 3" xfId="19433"/>
    <cellStyle name="Heading 1 2 2 4" xfId="2141"/>
    <cellStyle name="Heading 1 2 2 4 2" xfId="19436"/>
    <cellStyle name="Heading 1 2 2 4 3" xfId="19435"/>
    <cellStyle name="Heading 1 2 2 5" xfId="2515"/>
    <cellStyle name="Heading 1 2 2 5 2" xfId="19438"/>
    <cellStyle name="Heading 1 2 2 5 3" xfId="19437"/>
    <cellStyle name="Heading 1 2 2 6" xfId="2887"/>
    <cellStyle name="Heading 1 2 2 6 2" xfId="19440"/>
    <cellStyle name="Heading 1 2 2 6 3" xfId="19439"/>
    <cellStyle name="Heading 1 2 2 7" xfId="3258"/>
    <cellStyle name="Heading 1 2 2 7 2" xfId="19442"/>
    <cellStyle name="Heading 1 2 2 7 3" xfId="19441"/>
    <cellStyle name="Heading 1 2 2 8" xfId="19443"/>
    <cellStyle name="Heading 1 2 2 9" xfId="19430"/>
    <cellStyle name="Heading 1 2 20" xfId="24495"/>
    <cellStyle name="Heading 1 2 3" xfId="307"/>
    <cellStyle name="Heading 1 2 3 2" xfId="1317"/>
    <cellStyle name="Heading 1 2 3 2 2" xfId="19445"/>
    <cellStyle name="Heading 1 2 3 3" xfId="19444"/>
    <cellStyle name="Heading 1 2 4" xfId="474"/>
    <cellStyle name="Heading 1 2 4 2" xfId="19447"/>
    <cellStyle name="Heading 1 2 4 3" xfId="19446"/>
    <cellStyle name="Heading 1 2 5" xfId="606"/>
    <cellStyle name="Heading 1 2 5 2" xfId="19449"/>
    <cellStyle name="Heading 1 2 5 3" xfId="19448"/>
    <cellStyle name="Heading 1 2 6" xfId="758"/>
    <cellStyle name="Heading 1 2 6 2" xfId="19451"/>
    <cellStyle name="Heading 1 2 6 3" xfId="19450"/>
    <cellStyle name="Heading 1 2 7" xfId="759"/>
    <cellStyle name="Heading 1 2 7 2" xfId="19453"/>
    <cellStyle name="Heading 1 2 7 3" xfId="19452"/>
    <cellStyle name="Heading 1 2 8" xfId="887"/>
    <cellStyle name="Heading 1 2 8 2" xfId="1425"/>
    <cellStyle name="Heading 1 2 8 2 2" xfId="19455"/>
    <cellStyle name="Heading 1 2 8 3" xfId="19454"/>
    <cellStyle name="Heading 1 2 9" xfId="980"/>
    <cellStyle name="Heading 1 2 9 2" xfId="1552"/>
    <cellStyle name="Heading 1 2 9 2 2" xfId="19457"/>
    <cellStyle name="Heading 1 2 9 3" xfId="19456"/>
    <cellStyle name="Heading 1 3" xfId="195"/>
    <cellStyle name="Heading 1 3 10" xfId="3704"/>
    <cellStyle name="Heading 1 3 10 2" xfId="19460"/>
    <cellStyle name="Heading 1 3 10 3" xfId="19459"/>
    <cellStyle name="Heading 1 3 11" xfId="19461"/>
    <cellStyle name="Heading 1 3 11 2" xfId="19462"/>
    <cellStyle name="Heading 1 3 12" xfId="19463"/>
    <cellStyle name="Heading 1 3 13" xfId="19458"/>
    <cellStyle name="Heading 1 3 2" xfId="1477"/>
    <cellStyle name="Heading 1 3 2 2" xfId="1806"/>
    <cellStyle name="Heading 1 3 2 2 2" xfId="19466"/>
    <cellStyle name="Heading 1 3 2 2 3" xfId="19465"/>
    <cellStyle name="Heading 1 3 2 3" xfId="2181"/>
    <cellStyle name="Heading 1 3 2 3 2" xfId="19468"/>
    <cellStyle name="Heading 1 3 2 3 3" xfId="19467"/>
    <cellStyle name="Heading 1 3 2 4" xfId="2555"/>
    <cellStyle name="Heading 1 3 2 4 2" xfId="19470"/>
    <cellStyle name="Heading 1 3 2 4 3" xfId="19469"/>
    <cellStyle name="Heading 1 3 2 5" xfId="2927"/>
    <cellStyle name="Heading 1 3 2 5 2" xfId="19472"/>
    <cellStyle name="Heading 1 3 2 5 3" xfId="19471"/>
    <cellStyle name="Heading 1 3 2 6" xfId="3299"/>
    <cellStyle name="Heading 1 3 2 6 2" xfId="19474"/>
    <cellStyle name="Heading 1 3 2 6 3" xfId="19473"/>
    <cellStyle name="Heading 1 3 2 7" xfId="19475"/>
    <cellStyle name="Heading 1 3 2 8" xfId="19464"/>
    <cellStyle name="Heading 1 3 3" xfId="1604"/>
    <cellStyle name="Heading 1 3 3 2" xfId="1883"/>
    <cellStyle name="Heading 1 3 3 2 2" xfId="19478"/>
    <cellStyle name="Heading 1 3 3 2 3" xfId="19477"/>
    <cellStyle name="Heading 1 3 3 3" xfId="2258"/>
    <cellStyle name="Heading 1 3 3 3 2" xfId="19480"/>
    <cellStyle name="Heading 1 3 3 3 3" xfId="19479"/>
    <cellStyle name="Heading 1 3 3 4" xfId="2631"/>
    <cellStyle name="Heading 1 3 3 4 2" xfId="19482"/>
    <cellStyle name="Heading 1 3 3 4 3" xfId="19481"/>
    <cellStyle name="Heading 1 3 3 5" xfId="3004"/>
    <cellStyle name="Heading 1 3 3 5 2" xfId="19484"/>
    <cellStyle name="Heading 1 3 3 5 3" xfId="19483"/>
    <cellStyle name="Heading 1 3 3 6" xfId="3375"/>
    <cellStyle name="Heading 1 3 3 6 2" xfId="19486"/>
    <cellStyle name="Heading 1 3 3 6 3" xfId="19485"/>
    <cellStyle name="Heading 1 3 3 7" xfId="19487"/>
    <cellStyle name="Heading 1 3 3 8" xfId="19476"/>
    <cellStyle name="Heading 1 3 4" xfId="1743"/>
    <cellStyle name="Heading 1 3 4 2" xfId="1927"/>
    <cellStyle name="Heading 1 3 4 2 2" xfId="19490"/>
    <cellStyle name="Heading 1 3 4 2 3" xfId="19489"/>
    <cellStyle name="Heading 1 3 4 3" xfId="2302"/>
    <cellStyle name="Heading 1 3 4 3 2" xfId="19492"/>
    <cellStyle name="Heading 1 3 4 3 3" xfId="19491"/>
    <cellStyle name="Heading 1 3 4 4" xfId="2675"/>
    <cellStyle name="Heading 1 3 4 4 2" xfId="19494"/>
    <cellStyle name="Heading 1 3 4 4 3" xfId="19493"/>
    <cellStyle name="Heading 1 3 4 5" xfId="3048"/>
    <cellStyle name="Heading 1 3 4 5 2" xfId="19496"/>
    <cellStyle name="Heading 1 3 4 5 3" xfId="19495"/>
    <cellStyle name="Heading 1 3 4 6" xfId="3419"/>
    <cellStyle name="Heading 1 3 4 6 2" xfId="19498"/>
    <cellStyle name="Heading 1 3 4 6 3" xfId="19497"/>
    <cellStyle name="Heading 1 3 4 7" xfId="19499"/>
    <cellStyle name="Heading 1 3 4 8" xfId="19488"/>
    <cellStyle name="Heading 1 3 5" xfId="2078"/>
    <cellStyle name="Heading 1 3 5 2" xfId="19501"/>
    <cellStyle name="Heading 1 3 5 3" xfId="19500"/>
    <cellStyle name="Heading 1 3 6" xfId="2452"/>
    <cellStyle name="Heading 1 3 6 2" xfId="19503"/>
    <cellStyle name="Heading 1 3 6 3" xfId="19502"/>
    <cellStyle name="Heading 1 3 7" xfId="2824"/>
    <cellStyle name="Heading 1 3 7 2" xfId="19505"/>
    <cellStyle name="Heading 1 3 7 3" xfId="19504"/>
    <cellStyle name="Heading 1 3 8" xfId="3195"/>
    <cellStyle name="Heading 1 3 8 2" xfId="19507"/>
    <cellStyle name="Heading 1 3 8 3" xfId="19506"/>
    <cellStyle name="Heading 1 3 9" xfId="3568"/>
    <cellStyle name="Heading 1 3 9 2" xfId="19509"/>
    <cellStyle name="Heading 1 3 9 3" xfId="19508"/>
    <cellStyle name="Heading 1 4" xfId="264"/>
    <cellStyle name="Heading 1 4 10" xfId="3748"/>
    <cellStyle name="Heading 1 4 10 2" xfId="19512"/>
    <cellStyle name="Heading 1 4 10 3" xfId="19511"/>
    <cellStyle name="Heading 1 4 11" xfId="1277"/>
    <cellStyle name="Heading 1 4 11 2" xfId="19514"/>
    <cellStyle name="Heading 1 4 11 3" xfId="19513"/>
    <cellStyle name="Heading 1 4 12" xfId="19515"/>
    <cellStyle name="Heading 1 4 13" xfId="19510"/>
    <cellStyle name="Heading 1 4 2" xfId="1522"/>
    <cellStyle name="Heading 1 4 2 2" xfId="19517"/>
    <cellStyle name="Heading 1 4 2 3" xfId="19516"/>
    <cellStyle name="Heading 1 4 3" xfId="1647"/>
    <cellStyle name="Heading 1 4 3 2" xfId="19519"/>
    <cellStyle name="Heading 1 4 3 3" xfId="19518"/>
    <cellStyle name="Heading 1 4 4" xfId="1779"/>
    <cellStyle name="Heading 1 4 4 2" xfId="19521"/>
    <cellStyle name="Heading 1 4 4 3" xfId="19520"/>
    <cellStyle name="Heading 1 4 5" xfId="2114"/>
    <cellStyle name="Heading 1 4 5 2" xfId="19523"/>
    <cellStyle name="Heading 1 4 5 3" xfId="19522"/>
    <cellStyle name="Heading 1 4 6" xfId="2488"/>
    <cellStyle name="Heading 1 4 6 2" xfId="19525"/>
    <cellStyle name="Heading 1 4 6 3" xfId="19524"/>
    <cellStyle name="Heading 1 4 7" xfId="2860"/>
    <cellStyle name="Heading 1 4 7 2" xfId="19527"/>
    <cellStyle name="Heading 1 4 7 3" xfId="19526"/>
    <cellStyle name="Heading 1 4 8" xfId="3231"/>
    <cellStyle name="Heading 1 4 8 2" xfId="19529"/>
    <cellStyle name="Heading 1 4 8 3" xfId="19528"/>
    <cellStyle name="Heading 1 4 9" xfId="3611"/>
    <cellStyle name="Heading 1 4 9 2" xfId="19531"/>
    <cellStyle name="Heading 1 4 9 3" xfId="19530"/>
    <cellStyle name="Heading 1 5" xfId="475"/>
    <cellStyle name="Heading 1 5 2" xfId="1872"/>
    <cellStyle name="Heading 1 5 2 2" xfId="19534"/>
    <cellStyle name="Heading 1 5 2 3" xfId="19533"/>
    <cellStyle name="Heading 1 5 3" xfId="2247"/>
    <cellStyle name="Heading 1 5 3 2" xfId="19536"/>
    <cellStyle name="Heading 1 5 3 3" xfId="19535"/>
    <cellStyle name="Heading 1 5 4" xfId="2621"/>
    <cellStyle name="Heading 1 5 4 2" xfId="19538"/>
    <cellStyle name="Heading 1 5 4 3" xfId="19537"/>
    <cellStyle name="Heading 1 5 5" xfId="2993"/>
    <cellStyle name="Heading 1 5 5 2" xfId="19540"/>
    <cellStyle name="Heading 1 5 5 3" xfId="19539"/>
    <cellStyle name="Heading 1 5 6" xfId="3365"/>
    <cellStyle name="Heading 1 5 6 2" xfId="19542"/>
    <cellStyle name="Heading 1 5 6 3" xfId="19541"/>
    <cellStyle name="Heading 1 5 7" xfId="19543"/>
    <cellStyle name="Heading 1 5 7 2" xfId="19544"/>
    <cellStyle name="Heading 1 5 8" xfId="19545"/>
    <cellStyle name="Heading 1 5 9" xfId="19532"/>
    <cellStyle name="Heading 1 6" xfId="476"/>
    <cellStyle name="Heading 1 6 10" xfId="19546"/>
    <cellStyle name="Heading 1 6 2" xfId="1998"/>
    <cellStyle name="Heading 1 6 2 2" xfId="19548"/>
    <cellStyle name="Heading 1 6 2 3" xfId="19547"/>
    <cellStyle name="Heading 1 6 3" xfId="2373"/>
    <cellStyle name="Heading 1 6 3 2" xfId="19550"/>
    <cellStyle name="Heading 1 6 3 3" xfId="19549"/>
    <cellStyle name="Heading 1 6 4" xfId="2746"/>
    <cellStyle name="Heading 1 6 4 2" xfId="19552"/>
    <cellStyle name="Heading 1 6 4 3" xfId="19551"/>
    <cellStyle name="Heading 1 6 5" xfId="3119"/>
    <cellStyle name="Heading 1 6 5 2" xfId="19554"/>
    <cellStyle name="Heading 1 6 5 3" xfId="19553"/>
    <cellStyle name="Heading 1 6 6" xfId="3490"/>
    <cellStyle name="Heading 1 6 6 2" xfId="19556"/>
    <cellStyle name="Heading 1 6 6 3" xfId="19555"/>
    <cellStyle name="Heading 1 6 7" xfId="3796"/>
    <cellStyle name="Heading 1 6 7 2" xfId="19558"/>
    <cellStyle name="Heading 1 6 7 3" xfId="19557"/>
    <cellStyle name="Heading 1 6 8" xfId="19559"/>
    <cellStyle name="Heading 1 6 8 2" xfId="19560"/>
    <cellStyle name="Heading 1 6 9" xfId="19561"/>
    <cellStyle name="Heading 1 7" xfId="477"/>
    <cellStyle name="Heading 1 7 2" xfId="19563"/>
    <cellStyle name="Heading 1 7 3" xfId="19562"/>
    <cellStyle name="Heading 1 8" xfId="607"/>
    <cellStyle name="Heading 1 8 2" xfId="19565"/>
    <cellStyle name="Heading 1 8 3" xfId="19564"/>
    <cellStyle name="Heading 1 9" xfId="608"/>
    <cellStyle name="Heading 1 9 2" xfId="19567"/>
    <cellStyle name="Heading 1 9 3" xfId="19566"/>
    <cellStyle name="Heading 2 10" xfId="760"/>
    <cellStyle name="Heading 2 10 2" xfId="19570"/>
    <cellStyle name="Heading 2 10 3" xfId="19569"/>
    <cellStyle name="Heading 2 11" xfId="761"/>
    <cellStyle name="Heading 2 11 2" xfId="19572"/>
    <cellStyle name="Heading 2 11 3" xfId="19571"/>
    <cellStyle name="Heading 2 12" xfId="888"/>
    <cellStyle name="Heading 2 12 2" xfId="19573"/>
    <cellStyle name="Heading 2 13" xfId="889"/>
    <cellStyle name="Heading 2 13 2" xfId="19568"/>
    <cellStyle name="Heading 2 14" xfId="981"/>
    <cellStyle name="Heading 2 2" xfId="99"/>
    <cellStyle name="Heading 2 2 10" xfId="1697"/>
    <cellStyle name="Heading 2 2 10 2" xfId="19576"/>
    <cellStyle name="Heading 2 2 10 3" xfId="19575"/>
    <cellStyle name="Heading 2 2 11" xfId="2032"/>
    <cellStyle name="Heading 2 2 11 2" xfId="19578"/>
    <cellStyle name="Heading 2 2 11 3" xfId="19577"/>
    <cellStyle name="Heading 2 2 12" xfId="2406"/>
    <cellStyle name="Heading 2 2 12 2" xfId="19580"/>
    <cellStyle name="Heading 2 2 12 3" xfId="19579"/>
    <cellStyle name="Heading 2 2 13" xfId="2779"/>
    <cellStyle name="Heading 2 2 13 2" xfId="19582"/>
    <cellStyle name="Heading 2 2 13 3" xfId="19581"/>
    <cellStyle name="Heading 2 2 14" xfId="3153"/>
    <cellStyle name="Heading 2 2 14 2" xfId="19584"/>
    <cellStyle name="Heading 2 2 14 3" xfId="19583"/>
    <cellStyle name="Heading 2 2 15" xfId="3524"/>
    <cellStyle name="Heading 2 2 15 2" xfId="19586"/>
    <cellStyle name="Heading 2 2 15 3" xfId="19585"/>
    <cellStyle name="Heading 2 2 16" xfId="3662"/>
    <cellStyle name="Heading 2 2 16 2" xfId="19588"/>
    <cellStyle name="Heading 2 2 16 3" xfId="19587"/>
    <cellStyle name="Heading 2 2 17" xfId="19589"/>
    <cellStyle name="Heading 2 2 17 2" xfId="19590"/>
    <cellStyle name="Heading 2 2 18" xfId="19591"/>
    <cellStyle name="Heading 2 2 19" xfId="19574"/>
    <cellStyle name="Heading 2 2 2" xfId="143"/>
    <cellStyle name="Heading 2 2 2 2" xfId="155"/>
    <cellStyle name="Heading 2 2 2 2 2" xfId="19594"/>
    <cellStyle name="Heading 2 2 2 2 3" xfId="19593"/>
    <cellStyle name="Heading 2 2 2 3" xfId="319"/>
    <cellStyle name="Heading 2 2 2 3 2" xfId="19596"/>
    <cellStyle name="Heading 2 2 2 3 3" xfId="19595"/>
    <cellStyle name="Heading 2 2 2 4" xfId="2142"/>
    <cellStyle name="Heading 2 2 2 4 2" xfId="19598"/>
    <cellStyle name="Heading 2 2 2 4 3" xfId="19597"/>
    <cellStyle name="Heading 2 2 2 5" xfId="2516"/>
    <cellStyle name="Heading 2 2 2 5 2" xfId="19600"/>
    <cellStyle name="Heading 2 2 2 5 3" xfId="19599"/>
    <cellStyle name="Heading 2 2 2 6" xfId="2888"/>
    <cellStyle name="Heading 2 2 2 6 2" xfId="19602"/>
    <cellStyle name="Heading 2 2 2 6 3" xfId="19601"/>
    <cellStyle name="Heading 2 2 2 7" xfId="3259"/>
    <cellStyle name="Heading 2 2 2 7 2" xfId="19604"/>
    <cellStyle name="Heading 2 2 2 7 3" xfId="19603"/>
    <cellStyle name="Heading 2 2 2 8" xfId="19605"/>
    <cellStyle name="Heading 2 2 2 9" xfId="19592"/>
    <cellStyle name="Heading 2 2 20" xfId="24496"/>
    <cellStyle name="Heading 2 2 3" xfId="308"/>
    <cellStyle name="Heading 2 2 3 2" xfId="1318"/>
    <cellStyle name="Heading 2 2 3 2 2" xfId="19607"/>
    <cellStyle name="Heading 2 2 3 3" xfId="19606"/>
    <cellStyle name="Heading 2 2 4" xfId="478"/>
    <cellStyle name="Heading 2 2 4 2" xfId="19609"/>
    <cellStyle name="Heading 2 2 4 3" xfId="19608"/>
    <cellStyle name="Heading 2 2 5" xfId="609"/>
    <cellStyle name="Heading 2 2 5 2" xfId="19611"/>
    <cellStyle name="Heading 2 2 5 3" xfId="19610"/>
    <cellStyle name="Heading 2 2 6" xfId="762"/>
    <cellStyle name="Heading 2 2 6 2" xfId="19613"/>
    <cellStyle name="Heading 2 2 6 3" xfId="19612"/>
    <cellStyle name="Heading 2 2 7" xfId="763"/>
    <cellStyle name="Heading 2 2 7 2" xfId="19615"/>
    <cellStyle name="Heading 2 2 7 3" xfId="19614"/>
    <cellStyle name="Heading 2 2 8" xfId="890"/>
    <cellStyle name="Heading 2 2 8 2" xfId="1426"/>
    <cellStyle name="Heading 2 2 8 2 2" xfId="19617"/>
    <cellStyle name="Heading 2 2 8 3" xfId="19616"/>
    <cellStyle name="Heading 2 2 9" xfId="982"/>
    <cellStyle name="Heading 2 2 9 2" xfId="1551"/>
    <cellStyle name="Heading 2 2 9 2 2" xfId="19619"/>
    <cellStyle name="Heading 2 2 9 3" xfId="19618"/>
    <cellStyle name="Heading 2 3" xfId="196"/>
    <cellStyle name="Heading 2 3 10" xfId="3705"/>
    <cellStyle name="Heading 2 3 10 2" xfId="19622"/>
    <cellStyle name="Heading 2 3 10 3" xfId="19621"/>
    <cellStyle name="Heading 2 3 11" xfId="19623"/>
    <cellStyle name="Heading 2 3 11 2" xfId="19624"/>
    <cellStyle name="Heading 2 3 12" xfId="19625"/>
    <cellStyle name="Heading 2 3 13" xfId="19620"/>
    <cellStyle name="Heading 2 3 2" xfId="1478"/>
    <cellStyle name="Heading 2 3 2 2" xfId="1807"/>
    <cellStyle name="Heading 2 3 2 2 2" xfId="19628"/>
    <cellStyle name="Heading 2 3 2 2 3" xfId="19627"/>
    <cellStyle name="Heading 2 3 2 3" xfId="2182"/>
    <cellStyle name="Heading 2 3 2 3 2" xfId="19630"/>
    <cellStyle name="Heading 2 3 2 3 3" xfId="19629"/>
    <cellStyle name="Heading 2 3 2 4" xfId="2556"/>
    <cellStyle name="Heading 2 3 2 4 2" xfId="19632"/>
    <cellStyle name="Heading 2 3 2 4 3" xfId="19631"/>
    <cellStyle name="Heading 2 3 2 5" xfId="2928"/>
    <cellStyle name="Heading 2 3 2 5 2" xfId="19634"/>
    <cellStyle name="Heading 2 3 2 5 3" xfId="19633"/>
    <cellStyle name="Heading 2 3 2 6" xfId="3300"/>
    <cellStyle name="Heading 2 3 2 6 2" xfId="19636"/>
    <cellStyle name="Heading 2 3 2 6 3" xfId="19635"/>
    <cellStyle name="Heading 2 3 2 7" xfId="19637"/>
    <cellStyle name="Heading 2 3 2 8" xfId="19626"/>
    <cellStyle name="Heading 2 3 3" xfId="1605"/>
    <cellStyle name="Heading 2 3 3 2" xfId="1884"/>
    <cellStyle name="Heading 2 3 3 2 2" xfId="19640"/>
    <cellStyle name="Heading 2 3 3 2 3" xfId="19639"/>
    <cellStyle name="Heading 2 3 3 3" xfId="2259"/>
    <cellStyle name="Heading 2 3 3 3 2" xfId="19642"/>
    <cellStyle name="Heading 2 3 3 3 3" xfId="19641"/>
    <cellStyle name="Heading 2 3 3 4" xfId="2632"/>
    <cellStyle name="Heading 2 3 3 4 2" xfId="19644"/>
    <cellStyle name="Heading 2 3 3 4 3" xfId="19643"/>
    <cellStyle name="Heading 2 3 3 5" xfId="3005"/>
    <cellStyle name="Heading 2 3 3 5 2" xfId="19646"/>
    <cellStyle name="Heading 2 3 3 5 3" xfId="19645"/>
    <cellStyle name="Heading 2 3 3 6" xfId="3376"/>
    <cellStyle name="Heading 2 3 3 6 2" xfId="19648"/>
    <cellStyle name="Heading 2 3 3 6 3" xfId="19647"/>
    <cellStyle name="Heading 2 3 3 7" xfId="19649"/>
    <cellStyle name="Heading 2 3 3 8" xfId="19638"/>
    <cellStyle name="Heading 2 3 4" xfId="1744"/>
    <cellStyle name="Heading 2 3 4 2" xfId="1928"/>
    <cellStyle name="Heading 2 3 4 2 2" xfId="19652"/>
    <cellStyle name="Heading 2 3 4 2 3" xfId="19651"/>
    <cellStyle name="Heading 2 3 4 3" xfId="2303"/>
    <cellStyle name="Heading 2 3 4 3 2" xfId="19654"/>
    <cellStyle name="Heading 2 3 4 3 3" xfId="19653"/>
    <cellStyle name="Heading 2 3 4 4" xfId="2676"/>
    <cellStyle name="Heading 2 3 4 4 2" xfId="19656"/>
    <cellStyle name="Heading 2 3 4 4 3" xfId="19655"/>
    <cellStyle name="Heading 2 3 4 5" xfId="3049"/>
    <cellStyle name="Heading 2 3 4 5 2" xfId="19658"/>
    <cellStyle name="Heading 2 3 4 5 3" xfId="19657"/>
    <cellStyle name="Heading 2 3 4 6" xfId="3420"/>
    <cellStyle name="Heading 2 3 4 6 2" xfId="19660"/>
    <cellStyle name="Heading 2 3 4 6 3" xfId="19659"/>
    <cellStyle name="Heading 2 3 4 7" xfId="19661"/>
    <cellStyle name="Heading 2 3 4 8" xfId="19650"/>
    <cellStyle name="Heading 2 3 5" xfId="2079"/>
    <cellStyle name="Heading 2 3 5 2" xfId="19663"/>
    <cellStyle name="Heading 2 3 5 3" xfId="19662"/>
    <cellStyle name="Heading 2 3 6" xfId="2453"/>
    <cellStyle name="Heading 2 3 6 2" xfId="19665"/>
    <cellStyle name="Heading 2 3 6 3" xfId="19664"/>
    <cellStyle name="Heading 2 3 7" xfId="2825"/>
    <cellStyle name="Heading 2 3 7 2" xfId="19667"/>
    <cellStyle name="Heading 2 3 7 3" xfId="19666"/>
    <cellStyle name="Heading 2 3 8" xfId="3196"/>
    <cellStyle name="Heading 2 3 8 2" xfId="19669"/>
    <cellStyle name="Heading 2 3 8 3" xfId="19668"/>
    <cellStyle name="Heading 2 3 9" xfId="3569"/>
    <cellStyle name="Heading 2 3 9 2" xfId="19671"/>
    <cellStyle name="Heading 2 3 9 3" xfId="19670"/>
    <cellStyle name="Heading 2 4" xfId="265"/>
    <cellStyle name="Heading 2 4 10" xfId="3749"/>
    <cellStyle name="Heading 2 4 10 2" xfId="19674"/>
    <cellStyle name="Heading 2 4 10 3" xfId="19673"/>
    <cellStyle name="Heading 2 4 11" xfId="1278"/>
    <cellStyle name="Heading 2 4 11 2" xfId="19676"/>
    <cellStyle name="Heading 2 4 11 3" xfId="19675"/>
    <cellStyle name="Heading 2 4 12" xfId="19677"/>
    <cellStyle name="Heading 2 4 13" xfId="19672"/>
    <cellStyle name="Heading 2 4 2" xfId="1523"/>
    <cellStyle name="Heading 2 4 2 2" xfId="19679"/>
    <cellStyle name="Heading 2 4 2 3" xfId="19678"/>
    <cellStyle name="Heading 2 4 3" xfId="1648"/>
    <cellStyle name="Heading 2 4 3 2" xfId="19681"/>
    <cellStyle name="Heading 2 4 3 3" xfId="19680"/>
    <cellStyle name="Heading 2 4 4" xfId="1778"/>
    <cellStyle name="Heading 2 4 4 2" xfId="19683"/>
    <cellStyle name="Heading 2 4 4 3" xfId="19682"/>
    <cellStyle name="Heading 2 4 5" xfId="2113"/>
    <cellStyle name="Heading 2 4 5 2" xfId="19685"/>
    <cellStyle name="Heading 2 4 5 3" xfId="19684"/>
    <cellStyle name="Heading 2 4 6" xfId="2487"/>
    <cellStyle name="Heading 2 4 6 2" xfId="19687"/>
    <cellStyle name="Heading 2 4 6 3" xfId="19686"/>
    <cellStyle name="Heading 2 4 7" xfId="2859"/>
    <cellStyle name="Heading 2 4 7 2" xfId="19689"/>
    <cellStyle name="Heading 2 4 7 3" xfId="19688"/>
    <cellStyle name="Heading 2 4 8" xfId="3230"/>
    <cellStyle name="Heading 2 4 8 2" xfId="19691"/>
    <cellStyle name="Heading 2 4 8 3" xfId="19690"/>
    <cellStyle name="Heading 2 4 9" xfId="3612"/>
    <cellStyle name="Heading 2 4 9 2" xfId="19693"/>
    <cellStyle name="Heading 2 4 9 3" xfId="19692"/>
    <cellStyle name="Heading 2 5" xfId="479"/>
    <cellStyle name="Heading 2 5 2" xfId="1851"/>
    <cellStyle name="Heading 2 5 2 2" xfId="19696"/>
    <cellStyle name="Heading 2 5 2 3" xfId="19695"/>
    <cellStyle name="Heading 2 5 3" xfId="2226"/>
    <cellStyle name="Heading 2 5 3 2" xfId="19698"/>
    <cellStyle name="Heading 2 5 3 3" xfId="19697"/>
    <cellStyle name="Heading 2 5 4" xfId="2600"/>
    <cellStyle name="Heading 2 5 4 2" xfId="19700"/>
    <cellStyle name="Heading 2 5 4 3" xfId="19699"/>
    <cellStyle name="Heading 2 5 5" xfId="2972"/>
    <cellStyle name="Heading 2 5 5 2" xfId="19702"/>
    <cellStyle name="Heading 2 5 5 3" xfId="19701"/>
    <cellStyle name="Heading 2 5 6" xfId="3344"/>
    <cellStyle name="Heading 2 5 6 2" xfId="19704"/>
    <cellStyle name="Heading 2 5 6 3" xfId="19703"/>
    <cellStyle name="Heading 2 5 7" xfId="19705"/>
    <cellStyle name="Heading 2 5 7 2" xfId="19706"/>
    <cellStyle name="Heading 2 5 8" xfId="19707"/>
    <cellStyle name="Heading 2 5 9" xfId="19694"/>
    <cellStyle name="Heading 2 6" xfId="480"/>
    <cellStyle name="Heading 2 6 10" xfId="19708"/>
    <cellStyle name="Heading 2 6 2" xfId="1999"/>
    <cellStyle name="Heading 2 6 2 2" xfId="19710"/>
    <cellStyle name="Heading 2 6 2 3" xfId="19709"/>
    <cellStyle name="Heading 2 6 3" xfId="2374"/>
    <cellStyle name="Heading 2 6 3 2" xfId="19712"/>
    <cellStyle name="Heading 2 6 3 3" xfId="19711"/>
    <cellStyle name="Heading 2 6 4" xfId="2747"/>
    <cellStyle name="Heading 2 6 4 2" xfId="19714"/>
    <cellStyle name="Heading 2 6 4 3" xfId="19713"/>
    <cellStyle name="Heading 2 6 5" xfId="3120"/>
    <cellStyle name="Heading 2 6 5 2" xfId="19716"/>
    <cellStyle name="Heading 2 6 5 3" xfId="19715"/>
    <cellStyle name="Heading 2 6 6" xfId="3491"/>
    <cellStyle name="Heading 2 6 6 2" xfId="19718"/>
    <cellStyle name="Heading 2 6 6 3" xfId="19717"/>
    <cellStyle name="Heading 2 6 7" xfId="3797"/>
    <cellStyle name="Heading 2 6 7 2" xfId="19720"/>
    <cellStyle name="Heading 2 6 7 3" xfId="19719"/>
    <cellStyle name="Heading 2 6 8" xfId="19721"/>
    <cellStyle name="Heading 2 6 8 2" xfId="19722"/>
    <cellStyle name="Heading 2 6 9" xfId="19723"/>
    <cellStyle name="Heading 2 7" xfId="481"/>
    <cellStyle name="Heading 2 7 2" xfId="19725"/>
    <cellStyle name="Heading 2 7 3" xfId="19724"/>
    <cellStyle name="Heading 2 8" xfId="610"/>
    <cellStyle name="Heading 2 8 2" xfId="19727"/>
    <cellStyle name="Heading 2 8 3" xfId="19726"/>
    <cellStyle name="Heading 2 9" xfId="611"/>
    <cellStyle name="Heading 2 9 2" xfId="19729"/>
    <cellStyle name="Heading 2 9 3" xfId="19728"/>
    <cellStyle name="Heading 3 10" xfId="764"/>
    <cellStyle name="Heading 3 10 2" xfId="19732"/>
    <cellStyle name="Heading 3 10 3" xfId="19731"/>
    <cellStyle name="Heading 3 11" xfId="765"/>
    <cellStyle name="Heading 3 11 2" xfId="19734"/>
    <cellStyle name="Heading 3 11 3" xfId="19733"/>
    <cellStyle name="Heading 3 12" xfId="891"/>
    <cellStyle name="Heading 3 12 2" xfId="19735"/>
    <cellStyle name="Heading 3 13" xfId="892"/>
    <cellStyle name="Heading 3 13 2" xfId="19730"/>
    <cellStyle name="Heading 3 14" xfId="983"/>
    <cellStyle name="Heading 3 2" xfId="100"/>
    <cellStyle name="Heading 3 2 10" xfId="1698"/>
    <cellStyle name="Heading 3 2 10 2" xfId="19738"/>
    <cellStyle name="Heading 3 2 10 3" xfId="19737"/>
    <cellStyle name="Heading 3 2 11" xfId="2033"/>
    <cellStyle name="Heading 3 2 11 2" xfId="19740"/>
    <cellStyle name="Heading 3 2 11 3" xfId="19739"/>
    <cellStyle name="Heading 3 2 12" xfId="2407"/>
    <cellStyle name="Heading 3 2 12 2" xfId="19742"/>
    <cellStyle name="Heading 3 2 12 3" xfId="19741"/>
    <cellStyle name="Heading 3 2 13" xfId="2780"/>
    <cellStyle name="Heading 3 2 13 2" xfId="19744"/>
    <cellStyle name="Heading 3 2 13 3" xfId="19743"/>
    <cellStyle name="Heading 3 2 14" xfId="3154"/>
    <cellStyle name="Heading 3 2 14 2" xfId="19746"/>
    <cellStyle name="Heading 3 2 14 3" xfId="19745"/>
    <cellStyle name="Heading 3 2 15" xfId="3525"/>
    <cellStyle name="Heading 3 2 15 2" xfId="19748"/>
    <cellStyle name="Heading 3 2 15 3" xfId="19747"/>
    <cellStyle name="Heading 3 2 16" xfId="3663"/>
    <cellStyle name="Heading 3 2 16 2" xfId="19750"/>
    <cellStyle name="Heading 3 2 16 3" xfId="19749"/>
    <cellStyle name="Heading 3 2 17" xfId="19751"/>
    <cellStyle name="Heading 3 2 17 2" xfId="19752"/>
    <cellStyle name="Heading 3 2 18" xfId="19753"/>
    <cellStyle name="Heading 3 2 19" xfId="19736"/>
    <cellStyle name="Heading 3 2 2" xfId="144"/>
    <cellStyle name="Heading 3 2 2 2" xfId="156"/>
    <cellStyle name="Heading 3 2 2 2 2" xfId="19756"/>
    <cellStyle name="Heading 3 2 2 2 3" xfId="19755"/>
    <cellStyle name="Heading 3 2 2 3" xfId="320"/>
    <cellStyle name="Heading 3 2 2 3 2" xfId="19758"/>
    <cellStyle name="Heading 3 2 2 3 3" xfId="19757"/>
    <cellStyle name="Heading 3 2 2 4" xfId="2143"/>
    <cellStyle name="Heading 3 2 2 4 2" xfId="19760"/>
    <cellStyle name="Heading 3 2 2 4 3" xfId="19759"/>
    <cellStyle name="Heading 3 2 2 5" xfId="2517"/>
    <cellStyle name="Heading 3 2 2 5 2" xfId="19762"/>
    <cellStyle name="Heading 3 2 2 5 3" xfId="19761"/>
    <cellStyle name="Heading 3 2 2 6" xfId="2889"/>
    <cellStyle name="Heading 3 2 2 6 2" xfId="19764"/>
    <cellStyle name="Heading 3 2 2 6 3" xfId="19763"/>
    <cellStyle name="Heading 3 2 2 7" xfId="3260"/>
    <cellStyle name="Heading 3 2 2 7 2" xfId="19766"/>
    <cellStyle name="Heading 3 2 2 7 3" xfId="19765"/>
    <cellStyle name="Heading 3 2 2 8" xfId="19767"/>
    <cellStyle name="Heading 3 2 2 9" xfId="19754"/>
    <cellStyle name="Heading 3 2 20" xfId="24497"/>
    <cellStyle name="Heading 3 2 3" xfId="309"/>
    <cellStyle name="Heading 3 2 3 2" xfId="1319"/>
    <cellStyle name="Heading 3 2 3 2 2" xfId="19769"/>
    <cellStyle name="Heading 3 2 3 3" xfId="19768"/>
    <cellStyle name="Heading 3 2 4" xfId="482"/>
    <cellStyle name="Heading 3 2 4 2" xfId="19771"/>
    <cellStyle name="Heading 3 2 4 3" xfId="19770"/>
    <cellStyle name="Heading 3 2 5" xfId="612"/>
    <cellStyle name="Heading 3 2 5 2" xfId="19773"/>
    <cellStyle name="Heading 3 2 5 3" xfId="19772"/>
    <cellStyle name="Heading 3 2 6" xfId="766"/>
    <cellStyle name="Heading 3 2 6 2" xfId="19775"/>
    <cellStyle name="Heading 3 2 6 3" xfId="19774"/>
    <cellStyle name="Heading 3 2 7" xfId="767"/>
    <cellStyle name="Heading 3 2 7 2" xfId="19777"/>
    <cellStyle name="Heading 3 2 7 3" xfId="19776"/>
    <cellStyle name="Heading 3 2 8" xfId="893"/>
    <cellStyle name="Heading 3 2 8 2" xfId="1427"/>
    <cellStyle name="Heading 3 2 8 2 2" xfId="19779"/>
    <cellStyle name="Heading 3 2 8 3" xfId="19778"/>
    <cellStyle name="Heading 3 2 9" xfId="984"/>
    <cellStyle name="Heading 3 2 9 2" xfId="1550"/>
    <cellStyle name="Heading 3 2 9 2 2" xfId="19781"/>
    <cellStyle name="Heading 3 2 9 3" xfId="19780"/>
    <cellStyle name="Heading 3 3" xfId="197"/>
    <cellStyle name="Heading 3 3 10" xfId="3706"/>
    <cellStyle name="Heading 3 3 10 2" xfId="19784"/>
    <cellStyle name="Heading 3 3 10 3" xfId="19783"/>
    <cellStyle name="Heading 3 3 11" xfId="19785"/>
    <cellStyle name="Heading 3 3 11 2" xfId="19786"/>
    <cellStyle name="Heading 3 3 12" xfId="19787"/>
    <cellStyle name="Heading 3 3 13" xfId="19782"/>
    <cellStyle name="Heading 3 3 2" xfId="1479"/>
    <cellStyle name="Heading 3 3 2 2" xfId="1808"/>
    <cellStyle name="Heading 3 3 2 2 2" xfId="19790"/>
    <cellStyle name="Heading 3 3 2 2 3" xfId="19789"/>
    <cellStyle name="Heading 3 3 2 3" xfId="2183"/>
    <cellStyle name="Heading 3 3 2 3 2" xfId="19792"/>
    <cellStyle name="Heading 3 3 2 3 3" xfId="19791"/>
    <cellStyle name="Heading 3 3 2 4" xfId="2557"/>
    <cellStyle name="Heading 3 3 2 4 2" xfId="19794"/>
    <cellStyle name="Heading 3 3 2 4 3" xfId="19793"/>
    <cellStyle name="Heading 3 3 2 5" xfId="2929"/>
    <cellStyle name="Heading 3 3 2 5 2" xfId="19796"/>
    <cellStyle name="Heading 3 3 2 5 3" xfId="19795"/>
    <cellStyle name="Heading 3 3 2 6" xfId="3301"/>
    <cellStyle name="Heading 3 3 2 6 2" xfId="19798"/>
    <cellStyle name="Heading 3 3 2 6 3" xfId="19797"/>
    <cellStyle name="Heading 3 3 2 7" xfId="19799"/>
    <cellStyle name="Heading 3 3 2 8" xfId="19788"/>
    <cellStyle name="Heading 3 3 3" xfId="1606"/>
    <cellStyle name="Heading 3 3 3 2" xfId="1885"/>
    <cellStyle name="Heading 3 3 3 2 2" xfId="19802"/>
    <cellStyle name="Heading 3 3 3 2 3" xfId="19801"/>
    <cellStyle name="Heading 3 3 3 3" xfId="2260"/>
    <cellStyle name="Heading 3 3 3 3 2" xfId="19804"/>
    <cellStyle name="Heading 3 3 3 3 3" xfId="19803"/>
    <cellStyle name="Heading 3 3 3 4" xfId="2633"/>
    <cellStyle name="Heading 3 3 3 4 2" xfId="19806"/>
    <cellStyle name="Heading 3 3 3 4 3" xfId="19805"/>
    <cellStyle name="Heading 3 3 3 5" xfId="3006"/>
    <cellStyle name="Heading 3 3 3 5 2" xfId="19808"/>
    <cellStyle name="Heading 3 3 3 5 3" xfId="19807"/>
    <cellStyle name="Heading 3 3 3 6" xfId="3377"/>
    <cellStyle name="Heading 3 3 3 6 2" xfId="19810"/>
    <cellStyle name="Heading 3 3 3 6 3" xfId="19809"/>
    <cellStyle name="Heading 3 3 3 7" xfId="19811"/>
    <cellStyle name="Heading 3 3 3 8" xfId="19800"/>
    <cellStyle name="Heading 3 3 4" xfId="1745"/>
    <cellStyle name="Heading 3 3 4 2" xfId="1929"/>
    <cellStyle name="Heading 3 3 4 2 2" xfId="19814"/>
    <cellStyle name="Heading 3 3 4 2 3" xfId="19813"/>
    <cellStyle name="Heading 3 3 4 3" xfId="2304"/>
    <cellStyle name="Heading 3 3 4 3 2" xfId="19816"/>
    <cellStyle name="Heading 3 3 4 3 3" xfId="19815"/>
    <cellStyle name="Heading 3 3 4 4" xfId="2677"/>
    <cellStyle name="Heading 3 3 4 4 2" xfId="19818"/>
    <cellStyle name="Heading 3 3 4 4 3" xfId="19817"/>
    <cellStyle name="Heading 3 3 4 5" xfId="3050"/>
    <cellStyle name="Heading 3 3 4 5 2" xfId="19820"/>
    <cellStyle name="Heading 3 3 4 5 3" xfId="19819"/>
    <cellStyle name="Heading 3 3 4 6" xfId="3421"/>
    <cellStyle name="Heading 3 3 4 6 2" xfId="19822"/>
    <cellStyle name="Heading 3 3 4 6 3" xfId="19821"/>
    <cellStyle name="Heading 3 3 4 7" xfId="19823"/>
    <cellStyle name="Heading 3 3 4 8" xfId="19812"/>
    <cellStyle name="Heading 3 3 5" xfId="2080"/>
    <cellStyle name="Heading 3 3 5 2" xfId="19825"/>
    <cellStyle name="Heading 3 3 5 3" xfId="19824"/>
    <cellStyle name="Heading 3 3 6" xfId="2454"/>
    <cellStyle name="Heading 3 3 6 2" xfId="19827"/>
    <cellStyle name="Heading 3 3 6 3" xfId="19826"/>
    <cellStyle name="Heading 3 3 7" xfId="2826"/>
    <cellStyle name="Heading 3 3 7 2" xfId="19829"/>
    <cellStyle name="Heading 3 3 7 3" xfId="19828"/>
    <cellStyle name="Heading 3 3 8" xfId="3197"/>
    <cellStyle name="Heading 3 3 8 2" xfId="19831"/>
    <cellStyle name="Heading 3 3 8 3" xfId="19830"/>
    <cellStyle name="Heading 3 3 9" xfId="3570"/>
    <cellStyle name="Heading 3 3 9 2" xfId="19833"/>
    <cellStyle name="Heading 3 3 9 3" xfId="19832"/>
    <cellStyle name="Heading 3 4" xfId="266"/>
    <cellStyle name="Heading 3 4 10" xfId="3750"/>
    <cellStyle name="Heading 3 4 10 2" xfId="19836"/>
    <cellStyle name="Heading 3 4 10 3" xfId="19835"/>
    <cellStyle name="Heading 3 4 11" xfId="1279"/>
    <cellStyle name="Heading 3 4 11 2" xfId="19838"/>
    <cellStyle name="Heading 3 4 11 3" xfId="19837"/>
    <cellStyle name="Heading 3 4 12" xfId="19839"/>
    <cellStyle name="Heading 3 4 13" xfId="19834"/>
    <cellStyle name="Heading 3 4 2" xfId="1524"/>
    <cellStyle name="Heading 3 4 2 2" xfId="19841"/>
    <cellStyle name="Heading 3 4 2 3" xfId="19840"/>
    <cellStyle name="Heading 3 4 3" xfId="1649"/>
    <cellStyle name="Heading 3 4 3 2" xfId="19843"/>
    <cellStyle name="Heading 3 4 3 3" xfId="19842"/>
    <cellStyle name="Heading 3 4 4" xfId="1777"/>
    <cellStyle name="Heading 3 4 4 2" xfId="19845"/>
    <cellStyle name="Heading 3 4 4 3" xfId="19844"/>
    <cellStyle name="Heading 3 4 5" xfId="2112"/>
    <cellStyle name="Heading 3 4 5 2" xfId="19847"/>
    <cellStyle name="Heading 3 4 5 3" xfId="19846"/>
    <cellStyle name="Heading 3 4 6" xfId="2486"/>
    <cellStyle name="Heading 3 4 6 2" xfId="19849"/>
    <cellStyle name="Heading 3 4 6 3" xfId="19848"/>
    <cellStyle name="Heading 3 4 7" xfId="2858"/>
    <cellStyle name="Heading 3 4 7 2" xfId="19851"/>
    <cellStyle name="Heading 3 4 7 3" xfId="19850"/>
    <cellStyle name="Heading 3 4 8" xfId="3229"/>
    <cellStyle name="Heading 3 4 8 2" xfId="19853"/>
    <cellStyle name="Heading 3 4 8 3" xfId="19852"/>
    <cellStyle name="Heading 3 4 9" xfId="3613"/>
    <cellStyle name="Heading 3 4 9 2" xfId="19855"/>
    <cellStyle name="Heading 3 4 9 3" xfId="19854"/>
    <cellStyle name="Heading 3 5" xfId="483"/>
    <cellStyle name="Heading 3 5 2" xfId="1879"/>
    <cellStyle name="Heading 3 5 2 2" xfId="19858"/>
    <cellStyle name="Heading 3 5 2 3" xfId="19857"/>
    <cellStyle name="Heading 3 5 3" xfId="2254"/>
    <cellStyle name="Heading 3 5 3 2" xfId="19860"/>
    <cellStyle name="Heading 3 5 3 3" xfId="19859"/>
    <cellStyle name="Heading 3 5 4" xfId="2627"/>
    <cellStyle name="Heading 3 5 4 2" xfId="19862"/>
    <cellStyle name="Heading 3 5 4 3" xfId="19861"/>
    <cellStyle name="Heading 3 5 5" xfId="3000"/>
    <cellStyle name="Heading 3 5 5 2" xfId="19864"/>
    <cellStyle name="Heading 3 5 5 3" xfId="19863"/>
    <cellStyle name="Heading 3 5 6" xfId="3371"/>
    <cellStyle name="Heading 3 5 6 2" xfId="19866"/>
    <cellStyle name="Heading 3 5 6 3" xfId="19865"/>
    <cellStyle name="Heading 3 5 7" xfId="19867"/>
    <cellStyle name="Heading 3 5 7 2" xfId="19868"/>
    <cellStyle name="Heading 3 5 8" xfId="19869"/>
    <cellStyle name="Heading 3 5 9" xfId="19856"/>
    <cellStyle name="Heading 3 6" xfId="484"/>
    <cellStyle name="Heading 3 6 10" xfId="19870"/>
    <cellStyle name="Heading 3 6 2" xfId="2000"/>
    <cellStyle name="Heading 3 6 2 2" xfId="19872"/>
    <cellStyle name="Heading 3 6 2 3" xfId="19871"/>
    <cellStyle name="Heading 3 6 3" xfId="2375"/>
    <cellStyle name="Heading 3 6 3 2" xfId="19874"/>
    <cellStyle name="Heading 3 6 3 3" xfId="19873"/>
    <cellStyle name="Heading 3 6 4" xfId="2748"/>
    <cellStyle name="Heading 3 6 4 2" xfId="19876"/>
    <cellStyle name="Heading 3 6 4 3" xfId="19875"/>
    <cellStyle name="Heading 3 6 5" xfId="3121"/>
    <cellStyle name="Heading 3 6 5 2" xfId="19878"/>
    <cellStyle name="Heading 3 6 5 3" xfId="19877"/>
    <cellStyle name="Heading 3 6 6" xfId="3492"/>
    <cellStyle name="Heading 3 6 6 2" xfId="19880"/>
    <cellStyle name="Heading 3 6 6 3" xfId="19879"/>
    <cellStyle name="Heading 3 6 7" xfId="3798"/>
    <cellStyle name="Heading 3 6 7 2" xfId="19882"/>
    <cellStyle name="Heading 3 6 7 3" xfId="19881"/>
    <cellStyle name="Heading 3 6 8" xfId="19883"/>
    <cellStyle name="Heading 3 6 8 2" xfId="19884"/>
    <cellStyle name="Heading 3 6 9" xfId="19885"/>
    <cellStyle name="Heading 3 7" xfId="485"/>
    <cellStyle name="Heading 3 7 2" xfId="19887"/>
    <cellStyle name="Heading 3 7 3" xfId="19886"/>
    <cellStyle name="Heading 3 8" xfId="613"/>
    <cellStyle name="Heading 3 8 2" xfId="19889"/>
    <cellStyle name="Heading 3 8 3" xfId="19888"/>
    <cellStyle name="Heading 3 9" xfId="614"/>
    <cellStyle name="Heading 3 9 2" xfId="19891"/>
    <cellStyle name="Heading 3 9 3" xfId="19890"/>
    <cellStyle name="Heading 4 10" xfId="768"/>
    <cellStyle name="Heading 4 10 2" xfId="19894"/>
    <cellStyle name="Heading 4 10 3" xfId="19893"/>
    <cellStyle name="Heading 4 11" xfId="769"/>
    <cellStyle name="Heading 4 11 2" xfId="19896"/>
    <cellStyle name="Heading 4 11 3" xfId="19895"/>
    <cellStyle name="Heading 4 12" xfId="894"/>
    <cellStyle name="Heading 4 12 2" xfId="19897"/>
    <cellStyle name="Heading 4 13" xfId="895"/>
    <cellStyle name="Heading 4 13 2" xfId="19892"/>
    <cellStyle name="Heading 4 14" xfId="985"/>
    <cellStyle name="Heading 4 2" xfId="101"/>
    <cellStyle name="Heading 4 2 10" xfId="1699"/>
    <cellStyle name="Heading 4 2 10 2" xfId="19900"/>
    <cellStyle name="Heading 4 2 10 3" xfId="19899"/>
    <cellStyle name="Heading 4 2 11" xfId="2034"/>
    <cellStyle name="Heading 4 2 11 2" xfId="19902"/>
    <cellStyle name="Heading 4 2 11 3" xfId="19901"/>
    <cellStyle name="Heading 4 2 12" xfId="2408"/>
    <cellStyle name="Heading 4 2 12 2" xfId="19904"/>
    <cellStyle name="Heading 4 2 12 3" xfId="19903"/>
    <cellStyle name="Heading 4 2 13" xfId="2781"/>
    <cellStyle name="Heading 4 2 13 2" xfId="19906"/>
    <cellStyle name="Heading 4 2 13 3" xfId="19905"/>
    <cellStyle name="Heading 4 2 14" xfId="3155"/>
    <cellStyle name="Heading 4 2 14 2" xfId="19908"/>
    <cellStyle name="Heading 4 2 14 3" xfId="19907"/>
    <cellStyle name="Heading 4 2 15" xfId="3526"/>
    <cellStyle name="Heading 4 2 15 2" xfId="19910"/>
    <cellStyle name="Heading 4 2 15 3" xfId="19909"/>
    <cellStyle name="Heading 4 2 16" xfId="3664"/>
    <cellStyle name="Heading 4 2 16 2" xfId="19912"/>
    <cellStyle name="Heading 4 2 16 3" xfId="19911"/>
    <cellStyle name="Heading 4 2 17" xfId="19913"/>
    <cellStyle name="Heading 4 2 17 2" xfId="19914"/>
    <cellStyle name="Heading 4 2 18" xfId="19915"/>
    <cellStyle name="Heading 4 2 19" xfId="19898"/>
    <cellStyle name="Heading 4 2 2" xfId="145"/>
    <cellStyle name="Heading 4 2 2 2" xfId="157"/>
    <cellStyle name="Heading 4 2 2 2 2" xfId="19918"/>
    <cellStyle name="Heading 4 2 2 2 3" xfId="19917"/>
    <cellStyle name="Heading 4 2 2 3" xfId="321"/>
    <cellStyle name="Heading 4 2 2 3 2" xfId="19920"/>
    <cellStyle name="Heading 4 2 2 3 3" xfId="19919"/>
    <cellStyle name="Heading 4 2 2 4" xfId="2144"/>
    <cellStyle name="Heading 4 2 2 4 2" xfId="19922"/>
    <cellStyle name="Heading 4 2 2 4 3" xfId="19921"/>
    <cellStyle name="Heading 4 2 2 5" xfId="2518"/>
    <cellStyle name="Heading 4 2 2 5 2" xfId="19924"/>
    <cellStyle name="Heading 4 2 2 5 3" xfId="19923"/>
    <cellStyle name="Heading 4 2 2 6" xfId="2890"/>
    <cellStyle name="Heading 4 2 2 6 2" xfId="19926"/>
    <cellStyle name="Heading 4 2 2 6 3" xfId="19925"/>
    <cellStyle name="Heading 4 2 2 7" xfId="3261"/>
    <cellStyle name="Heading 4 2 2 7 2" xfId="19928"/>
    <cellStyle name="Heading 4 2 2 7 3" xfId="19927"/>
    <cellStyle name="Heading 4 2 2 8" xfId="19929"/>
    <cellStyle name="Heading 4 2 2 9" xfId="19916"/>
    <cellStyle name="Heading 4 2 20" xfId="24498"/>
    <cellStyle name="Heading 4 2 3" xfId="310"/>
    <cellStyle name="Heading 4 2 3 2" xfId="1320"/>
    <cellStyle name="Heading 4 2 3 2 2" xfId="19931"/>
    <cellStyle name="Heading 4 2 3 3" xfId="19930"/>
    <cellStyle name="Heading 4 2 4" xfId="486"/>
    <cellStyle name="Heading 4 2 4 2" xfId="19933"/>
    <cellStyle name="Heading 4 2 4 3" xfId="19932"/>
    <cellStyle name="Heading 4 2 5" xfId="615"/>
    <cellStyle name="Heading 4 2 5 2" xfId="19935"/>
    <cellStyle name="Heading 4 2 5 3" xfId="19934"/>
    <cellStyle name="Heading 4 2 6" xfId="770"/>
    <cellStyle name="Heading 4 2 6 2" xfId="19937"/>
    <cellStyle name="Heading 4 2 6 3" xfId="19936"/>
    <cellStyle name="Heading 4 2 7" xfId="771"/>
    <cellStyle name="Heading 4 2 7 2" xfId="19939"/>
    <cellStyle name="Heading 4 2 7 3" xfId="19938"/>
    <cellStyle name="Heading 4 2 8" xfId="896"/>
    <cellStyle name="Heading 4 2 8 2" xfId="1428"/>
    <cellStyle name="Heading 4 2 8 2 2" xfId="19941"/>
    <cellStyle name="Heading 4 2 8 3" xfId="19940"/>
    <cellStyle name="Heading 4 2 9" xfId="986"/>
    <cellStyle name="Heading 4 2 9 2" xfId="1549"/>
    <cellStyle name="Heading 4 2 9 2 2" xfId="19943"/>
    <cellStyle name="Heading 4 2 9 3" xfId="19942"/>
    <cellStyle name="Heading 4 3" xfId="198"/>
    <cellStyle name="Heading 4 3 10" xfId="3707"/>
    <cellStyle name="Heading 4 3 10 2" xfId="19946"/>
    <cellStyle name="Heading 4 3 10 3" xfId="19945"/>
    <cellStyle name="Heading 4 3 11" xfId="19947"/>
    <cellStyle name="Heading 4 3 11 2" xfId="19948"/>
    <cellStyle name="Heading 4 3 12" xfId="19949"/>
    <cellStyle name="Heading 4 3 13" xfId="19944"/>
    <cellStyle name="Heading 4 3 2" xfId="1480"/>
    <cellStyle name="Heading 4 3 2 2" xfId="1809"/>
    <cellStyle name="Heading 4 3 2 2 2" xfId="19952"/>
    <cellStyle name="Heading 4 3 2 2 3" xfId="19951"/>
    <cellStyle name="Heading 4 3 2 3" xfId="2184"/>
    <cellStyle name="Heading 4 3 2 3 2" xfId="19954"/>
    <cellStyle name="Heading 4 3 2 3 3" xfId="19953"/>
    <cellStyle name="Heading 4 3 2 4" xfId="2558"/>
    <cellStyle name="Heading 4 3 2 4 2" xfId="19956"/>
    <cellStyle name="Heading 4 3 2 4 3" xfId="19955"/>
    <cellStyle name="Heading 4 3 2 5" xfId="2930"/>
    <cellStyle name="Heading 4 3 2 5 2" xfId="19958"/>
    <cellStyle name="Heading 4 3 2 5 3" xfId="19957"/>
    <cellStyle name="Heading 4 3 2 6" xfId="3302"/>
    <cellStyle name="Heading 4 3 2 6 2" xfId="19960"/>
    <cellStyle name="Heading 4 3 2 6 3" xfId="19959"/>
    <cellStyle name="Heading 4 3 2 7" xfId="19961"/>
    <cellStyle name="Heading 4 3 2 8" xfId="19950"/>
    <cellStyle name="Heading 4 3 3" xfId="1607"/>
    <cellStyle name="Heading 4 3 3 2" xfId="1886"/>
    <cellStyle name="Heading 4 3 3 2 2" xfId="19964"/>
    <cellStyle name="Heading 4 3 3 2 3" xfId="19963"/>
    <cellStyle name="Heading 4 3 3 3" xfId="2261"/>
    <cellStyle name="Heading 4 3 3 3 2" xfId="19966"/>
    <cellStyle name="Heading 4 3 3 3 3" xfId="19965"/>
    <cellStyle name="Heading 4 3 3 4" xfId="2634"/>
    <cellStyle name="Heading 4 3 3 4 2" xfId="19968"/>
    <cellStyle name="Heading 4 3 3 4 3" xfId="19967"/>
    <cellStyle name="Heading 4 3 3 5" xfId="3007"/>
    <cellStyle name="Heading 4 3 3 5 2" xfId="19970"/>
    <cellStyle name="Heading 4 3 3 5 3" xfId="19969"/>
    <cellStyle name="Heading 4 3 3 6" xfId="3378"/>
    <cellStyle name="Heading 4 3 3 6 2" xfId="19972"/>
    <cellStyle name="Heading 4 3 3 6 3" xfId="19971"/>
    <cellStyle name="Heading 4 3 3 7" xfId="19973"/>
    <cellStyle name="Heading 4 3 3 8" xfId="19962"/>
    <cellStyle name="Heading 4 3 4" xfId="1746"/>
    <cellStyle name="Heading 4 3 4 2" xfId="1930"/>
    <cellStyle name="Heading 4 3 4 2 2" xfId="19976"/>
    <cellStyle name="Heading 4 3 4 2 3" xfId="19975"/>
    <cellStyle name="Heading 4 3 4 3" xfId="2305"/>
    <cellStyle name="Heading 4 3 4 3 2" xfId="19978"/>
    <cellStyle name="Heading 4 3 4 3 3" xfId="19977"/>
    <cellStyle name="Heading 4 3 4 4" xfId="2678"/>
    <cellStyle name="Heading 4 3 4 4 2" xfId="19980"/>
    <cellStyle name="Heading 4 3 4 4 3" xfId="19979"/>
    <cellStyle name="Heading 4 3 4 5" xfId="3051"/>
    <cellStyle name="Heading 4 3 4 5 2" xfId="19982"/>
    <cellStyle name="Heading 4 3 4 5 3" xfId="19981"/>
    <cellStyle name="Heading 4 3 4 6" xfId="3422"/>
    <cellStyle name="Heading 4 3 4 6 2" xfId="19984"/>
    <cellStyle name="Heading 4 3 4 6 3" xfId="19983"/>
    <cellStyle name="Heading 4 3 4 7" xfId="19985"/>
    <cellStyle name="Heading 4 3 4 8" xfId="19974"/>
    <cellStyle name="Heading 4 3 5" xfId="2081"/>
    <cellStyle name="Heading 4 3 5 2" xfId="19987"/>
    <cellStyle name="Heading 4 3 5 3" xfId="19986"/>
    <cellStyle name="Heading 4 3 6" xfId="2455"/>
    <cellStyle name="Heading 4 3 6 2" xfId="19989"/>
    <cellStyle name="Heading 4 3 6 3" xfId="19988"/>
    <cellStyle name="Heading 4 3 7" xfId="2827"/>
    <cellStyle name="Heading 4 3 7 2" xfId="19991"/>
    <cellStyle name="Heading 4 3 7 3" xfId="19990"/>
    <cellStyle name="Heading 4 3 8" xfId="3198"/>
    <cellStyle name="Heading 4 3 8 2" xfId="19993"/>
    <cellStyle name="Heading 4 3 8 3" xfId="19992"/>
    <cellStyle name="Heading 4 3 9" xfId="3571"/>
    <cellStyle name="Heading 4 3 9 2" xfId="19995"/>
    <cellStyle name="Heading 4 3 9 3" xfId="19994"/>
    <cellStyle name="Heading 4 4" xfId="267"/>
    <cellStyle name="Heading 4 4 10" xfId="3751"/>
    <cellStyle name="Heading 4 4 10 2" xfId="19998"/>
    <cellStyle name="Heading 4 4 10 3" xfId="19997"/>
    <cellStyle name="Heading 4 4 11" xfId="1280"/>
    <cellStyle name="Heading 4 4 11 2" xfId="20000"/>
    <cellStyle name="Heading 4 4 11 3" xfId="19999"/>
    <cellStyle name="Heading 4 4 12" xfId="20001"/>
    <cellStyle name="Heading 4 4 13" xfId="19996"/>
    <cellStyle name="Heading 4 4 2" xfId="1525"/>
    <cellStyle name="Heading 4 4 2 2" xfId="20003"/>
    <cellStyle name="Heading 4 4 2 3" xfId="20002"/>
    <cellStyle name="Heading 4 4 3" xfId="1650"/>
    <cellStyle name="Heading 4 4 3 2" xfId="20005"/>
    <cellStyle name="Heading 4 4 3 3" xfId="20004"/>
    <cellStyle name="Heading 4 4 4" xfId="1776"/>
    <cellStyle name="Heading 4 4 4 2" xfId="20007"/>
    <cellStyle name="Heading 4 4 4 3" xfId="20006"/>
    <cellStyle name="Heading 4 4 5" xfId="2111"/>
    <cellStyle name="Heading 4 4 5 2" xfId="20009"/>
    <cellStyle name="Heading 4 4 5 3" xfId="20008"/>
    <cellStyle name="Heading 4 4 6" xfId="2485"/>
    <cellStyle name="Heading 4 4 6 2" xfId="20011"/>
    <cellStyle name="Heading 4 4 6 3" xfId="20010"/>
    <cellStyle name="Heading 4 4 7" xfId="2857"/>
    <cellStyle name="Heading 4 4 7 2" xfId="20013"/>
    <cellStyle name="Heading 4 4 7 3" xfId="20012"/>
    <cellStyle name="Heading 4 4 8" xfId="3228"/>
    <cellStyle name="Heading 4 4 8 2" xfId="20015"/>
    <cellStyle name="Heading 4 4 8 3" xfId="20014"/>
    <cellStyle name="Heading 4 4 9" xfId="3614"/>
    <cellStyle name="Heading 4 4 9 2" xfId="20017"/>
    <cellStyle name="Heading 4 4 9 3" xfId="20016"/>
    <cellStyle name="Heading 4 5" xfId="487"/>
    <cellStyle name="Heading 4 5 2" xfId="1850"/>
    <cellStyle name="Heading 4 5 2 2" xfId="20020"/>
    <cellStyle name="Heading 4 5 2 3" xfId="20019"/>
    <cellStyle name="Heading 4 5 3" xfId="2225"/>
    <cellStyle name="Heading 4 5 3 2" xfId="20022"/>
    <cellStyle name="Heading 4 5 3 3" xfId="20021"/>
    <cellStyle name="Heading 4 5 4" xfId="2599"/>
    <cellStyle name="Heading 4 5 4 2" xfId="20024"/>
    <cellStyle name="Heading 4 5 4 3" xfId="20023"/>
    <cellStyle name="Heading 4 5 5" xfId="2971"/>
    <cellStyle name="Heading 4 5 5 2" xfId="20026"/>
    <cellStyle name="Heading 4 5 5 3" xfId="20025"/>
    <cellStyle name="Heading 4 5 6" xfId="3343"/>
    <cellStyle name="Heading 4 5 6 2" xfId="20028"/>
    <cellStyle name="Heading 4 5 6 3" xfId="20027"/>
    <cellStyle name="Heading 4 5 7" xfId="20029"/>
    <cellStyle name="Heading 4 5 7 2" xfId="20030"/>
    <cellStyle name="Heading 4 5 8" xfId="20031"/>
    <cellStyle name="Heading 4 5 9" xfId="20018"/>
    <cellStyle name="Heading 4 6" xfId="488"/>
    <cellStyle name="Heading 4 6 10" xfId="20032"/>
    <cellStyle name="Heading 4 6 2" xfId="2001"/>
    <cellStyle name="Heading 4 6 2 2" xfId="20034"/>
    <cellStyle name="Heading 4 6 2 3" xfId="20033"/>
    <cellStyle name="Heading 4 6 3" xfId="2376"/>
    <cellStyle name="Heading 4 6 3 2" xfId="20036"/>
    <cellStyle name="Heading 4 6 3 3" xfId="20035"/>
    <cellStyle name="Heading 4 6 4" xfId="2749"/>
    <cellStyle name="Heading 4 6 4 2" xfId="20038"/>
    <cellStyle name="Heading 4 6 4 3" xfId="20037"/>
    <cellStyle name="Heading 4 6 5" xfId="3122"/>
    <cellStyle name="Heading 4 6 5 2" xfId="20040"/>
    <cellStyle name="Heading 4 6 5 3" xfId="20039"/>
    <cellStyle name="Heading 4 6 6" xfId="3493"/>
    <cellStyle name="Heading 4 6 6 2" xfId="20042"/>
    <cellStyle name="Heading 4 6 6 3" xfId="20041"/>
    <cellStyle name="Heading 4 6 7" xfId="3799"/>
    <cellStyle name="Heading 4 6 7 2" xfId="20044"/>
    <cellStyle name="Heading 4 6 7 3" xfId="20043"/>
    <cellStyle name="Heading 4 6 8" xfId="20045"/>
    <cellStyle name="Heading 4 6 8 2" xfId="20046"/>
    <cellStyle name="Heading 4 6 9" xfId="20047"/>
    <cellStyle name="Heading 4 7" xfId="489"/>
    <cellStyle name="Heading 4 7 2" xfId="20049"/>
    <cellStyle name="Heading 4 7 3" xfId="20048"/>
    <cellStyle name="Heading 4 8" xfId="616"/>
    <cellStyle name="Heading 4 8 2" xfId="20051"/>
    <cellStyle name="Heading 4 8 3" xfId="20050"/>
    <cellStyle name="Heading 4 9" xfId="617"/>
    <cellStyle name="Heading 4 9 2" xfId="20053"/>
    <cellStyle name="Heading 4 9 3" xfId="20052"/>
    <cellStyle name="Hyperlink 2" xfId="146"/>
    <cellStyle name="Hyperlink 2 2" xfId="20055"/>
    <cellStyle name="Hyperlink 2 3" xfId="20054"/>
    <cellStyle name="Input 10" xfId="772"/>
    <cellStyle name="Input 10 2" xfId="20058"/>
    <cellStyle name="Input 10 3" xfId="20057"/>
    <cellStyle name="Input 11" xfId="773"/>
    <cellStyle name="Input 11 2" xfId="20060"/>
    <cellStyle name="Input 11 3" xfId="20059"/>
    <cellStyle name="Input 12" xfId="897"/>
    <cellStyle name="Input 12 2" xfId="20061"/>
    <cellStyle name="Input 13" xfId="898"/>
    <cellStyle name="Input 13 2" xfId="20056"/>
    <cellStyle name="Input 14" xfId="987"/>
    <cellStyle name="Input 2" xfId="102"/>
    <cellStyle name="Input 2 10" xfId="1700"/>
    <cellStyle name="Input 2 10 2" xfId="20064"/>
    <cellStyle name="Input 2 10 3" xfId="20063"/>
    <cellStyle name="Input 2 11" xfId="2035"/>
    <cellStyle name="Input 2 11 2" xfId="20066"/>
    <cellStyle name="Input 2 11 3" xfId="20065"/>
    <cellStyle name="Input 2 12" xfId="2409"/>
    <cellStyle name="Input 2 12 2" xfId="20068"/>
    <cellStyle name="Input 2 12 3" xfId="20067"/>
    <cellStyle name="Input 2 13" xfId="2782"/>
    <cellStyle name="Input 2 13 2" xfId="20070"/>
    <cellStyle name="Input 2 13 3" xfId="20069"/>
    <cellStyle name="Input 2 14" xfId="3156"/>
    <cellStyle name="Input 2 14 2" xfId="20072"/>
    <cellStyle name="Input 2 14 3" xfId="20071"/>
    <cellStyle name="Input 2 15" xfId="3527"/>
    <cellStyle name="Input 2 15 2" xfId="20074"/>
    <cellStyle name="Input 2 15 3" xfId="20073"/>
    <cellStyle name="Input 2 16" xfId="3665"/>
    <cellStyle name="Input 2 16 2" xfId="20076"/>
    <cellStyle name="Input 2 16 3" xfId="20075"/>
    <cellStyle name="Input 2 17" xfId="20077"/>
    <cellStyle name="Input 2 17 2" xfId="20078"/>
    <cellStyle name="Input 2 18" xfId="20079"/>
    <cellStyle name="Input 2 19" xfId="20062"/>
    <cellStyle name="Input 2 2" xfId="147"/>
    <cellStyle name="Input 2 2 10" xfId="24786"/>
    <cellStyle name="Input 2 2 2" xfId="161"/>
    <cellStyle name="Input 2 2 2 2" xfId="20082"/>
    <cellStyle name="Input 2 2 2 3" xfId="20081"/>
    <cellStyle name="Input 2 2 3" xfId="325"/>
    <cellStyle name="Input 2 2 3 2" xfId="20084"/>
    <cellStyle name="Input 2 2 3 3" xfId="20083"/>
    <cellStyle name="Input 2 2 4" xfId="2148"/>
    <cellStyle name="Input 2 2 4 2" xfId="20086"/>
    <cellStyle name="Input 2 2 4 3" xfId="20085"/>
    <cellStyle name="Input 2 2 5" xfId="2522"/>
    <cellStyle name="Input 2 2 5 2" xfId="20088"/>
    <cellStyle name="Input 2 2 5 3" xfId="20087"/>
    <cellStyle name="Input 2 2 6" xfId="2894"/>
    <cellStyle name="Input 2 2 6 2" xfId="20090"/>
    <cellStyle name="Input 2 2 6 3" xfId="20089"/>
    <cellStyle name="Input 2 2 7" xfId="3265"/>
    <cellStyle name="Input 2 2 7 2" xfId="20092"/>
    <cellStyle name="Input 2 2 7 3" xfId="20091"/>
    <cellStyle name="Input 2 2 8" xfId="20093"/>
    <cellStyle name="Input 2 2 9" xfId="20080"/>
    <cellStyle name="Input 2 20" xfId="24499"/>
    <cellStyle name="Input 2 3" xfId="311"/>
    <cellStyle name="Input 2 3 2" xfId="1324"/>
    <cellStyle name="Input 2 3 2 2" xfId="20095"/>
    <cellStyle name="Input 2 3 3" xfId="20094"/>
    <cellStyle name="Input 2 4" xfId="490"/>
    <cellStyle name="Input 2 4 2" xfId="20097"/>
    <cellStyle name="Input 2 4 3" xfId="20096"/>
    <cellStyle name="Input 2 5" xfId="618"/>
    <cellStyle name="Input 2 5 2" xfId="20099"/>
    <cellStyle name="Input 2 5 3" xfId="20098"/>
    <cellStyle name="Input 2 6" xfId="774"/>
    <cellStyle name="Input 2 6 2" xfId="20101"/>
    <cellStyle name="Input 2 6 3" xfId="20100"/>
    <cellStyle name="Input 2 7" xfId="775"/>
    <cellStyle name="Input 2 7 2" xfId="20103"/>
    <cellStyle name="Input 2 7 3" xfId="20102"/>
    <cellStyle name="Input 2 8" xfId="899"/>
    <cellStyle name="Input 2 8 2" xfId="1429"/>
    <cellStyle name="Input 2 8 2 2" xfId="20105"/>
    <cellStyle name="Input 2 8 3" xfId="20104"/>
    <cellStyle name="Input 2 9" xfId="988"/>
    <cellStyle name="Input 2 9 2" xfId="1548"/>
    <cellStyle name="Input 2 9 2 2" xfId="20107"/>
    <cellStyle name="Input 2 9 3" xfId="20106"/>
    <cellStyle name="Input 3" xfId="202"/>
    <cellStyle name="Input 3 10" xfId="3708"/>
    <cellStyle name="Input 3 10 2" xfId="20110"/>
    <cellStyle name="Input 3 10 3" xfId="20109"/>
    <cellStyle name="Input 3 11" xfId="20111"/>
    <cellStyle name="Input 3 11 2" xfId="20112"/>
    <cellStyle name="Input 3 12" xfId="20113"/>
    <cellStyle name="Input 3 13" xfId="20108"/>
    <cellStyle name="Input 3 14" xfId="24536"/>
    <cellStyle name="Input 3 2" xfId="1481"/>
    <cellStyle name="Input 3 2 2" xfId="1813"/>
    <cellStyle name="Input 3 2 2 2" xfId="20116"/>
    <cellStyle name="Input 3 2 2 3" xfId="20115"/>
    <cellStyle name="Input 3 2 3" xfId="2188"/>
    <cellStyle name="Input 3 2 3 2" xfId="20118"/>
    <cellStyle name="Input 3 2 3 3" xfId="20117"/>
    <cellStyle name="Input 3 2 4" xfId="2562"/>
    <cellStyle name="Input 3 2 4 2" xfId="20120"/>
    <cellStyle name="Input 3 2 4 3" xfId="20119"/>
    <cellStyle name="Input 3 2 5" xfId="2934"/>
    <cellStyle name="Input 3 2 5 2" xfId="20122"/>
    <cellStyle name="Input 3 2 5 3" xfId="20121"/>
    <cellStyle name="Input 3 2 6" xfId="3306"/>
    <cellStyle name="Input 3 2 6 2" xfId="20124"/>
    <cellStyle name="Input 3 2 6 3" xfId="20123"/>
    <cellStyle name="Input 3 2 7" xfId="20125"/>
    <cellStyle name="Input 3 2 8" xfId="20114"/>
    <cellStyle name="Input 3 3" xfId="1608"/>
    <cellStyle name="Input 3 3 2" xfId="1890"/>
    <cellStyle name="Input 3 3 2 2" xfId="20128"/>
    <cellStyle name="Input 3 3 2 3" xfId="20127"/>
    <cellStyle name="Input 3 3 3" xfId="2265"/>
    <cellStyle name="Input 3 3 3 2" xfId="20130"/>
    <cellStyle name="Input 3 3 3 3" xfId="20129"/>
    <cellStyle name="Input 3 3 4" xfId="2638"/>
    <cellStyle name="Input 3 3 4 2" xfId="20132"/>
    <cellStyle name="Input 3 3 4 3" xfId="20131"/>
    <cellStyle name="Input 3 3 5" xfId="3011"/>
    <cellStyle name="Input 3 3 5 2" xfId="20134"/>
    <cellStyle name="Input 3 3 5 3" xfId="20133"/>
    <cellStyle name="Input 3 3 6" xfId="3382"/>
    <cellStyle name="Input 3 3 6 2" xfId="20136"/>
    <cellStyle name="Input 3 3 6 3" xfId="20135"/>
    <cellStyle name="Input 3 3 7" xfId="20137"/>
    <cellStyle name="Input 3 3 8" xfId="20126"/>
    <cellStyle name="Input 3 4" xfId="1748"/>
    <cellStyle name="Input 3 4 2" xfId="1934"/>
    <cellStyle name="Input 3 4 2 2" xfId="20140"/>
    <cellStyle name="Input 3 4 2 3" xfId="20139"/>
    <cellStyle name="Input 3 4 3" xfId="2309"/>
    <cellStyle name="Input 3 4 3 2" xfId="20142"/>
    <cellStyle name="Input 3 4 3 3" xfId="20141"/>
    <cellStyle name="Input 3 4 4" xfId="2682"/>
    <cellStyle name="Input 3 4 4 2" xfId="20144"/>
    <cellStyle name="Input 3 4 4 3" xfId="20143"/>
    <cellStyle name="Input 3 4 5" xfId="3055"/>
    <cellStyle name="Input 3 4 5 2" xfId="20146"/>
    <cellStyle name="Input 3 4 5 3" xfId="20145"/>
    <cellStyle name="Input 3 4 6" xfId="3426"/>
    <cellStyle name="Input 3 4 6 2" xfId="20148"/>
    <cellStyle name="Input 3 4 6 3" xfId="20147"/>
    <cellStyle name="Input 3 4 7" xfId="20149"/>
    <cellStyle name="Input 3 4 8" xfId="20138"/>
    <cellStyle name="Input 3 5" xfId="2083"/>
    <cellStyle name="Input 3 5 2" xfId="20151"/>
    <cellStyle name="Input 3 5 3" xfId="20150"/>
    <cellStyle name="Input 3 6" xfId="2457"/>
    <cellStyle name="Input 3 6 2" xfId="20153"/>
    <cellStyle name="Input 3 6 3" xfId="20152"/>
    <cellStyle name="Input 3 7" xfId="2829"/>
    <cellStyle name="Input 3 7 2" xfId="20155"/>
    <cellStyle name="Input 3 7 3" xfId="20154"/>
    <cellStyle name="Input 3 8" xfId="3200"/>
    <cellStyle name="Input 3 8 2" xfId="20157"/>
    <cellStyle name="Input 3 8 3" xfId="20156"/>
    <cellStyle name="Input 3 9" xfId="3572"/>
    <cellStyle name="Input 3 9 2" xfId="20159"/>
    <cellStyle name="Input 3 9 3" xfId="20158"/>
    <cellStyle name="Input 4" xfId="268"/>
    <cellStyle name="Input 4 10" xfId="3752"/>
    <cellStyle name="Input 4 10 2" xfId="20162"/>
    <cellStyle name="Input 4 10 3" xfId="20161"/>
    <cellStyle name="Input 4 11" xfId="1284"/>
    <cellStyle name="Input 4 11 2" xfId="20164"/>
    <cellStyle name="Input 4 11 3" xfId="20163"/>
    <cellStyle name="Input 4 12" xfId="20165"/>
    <cellStyle name="Input 4 13" xfId="20160"/>
    <cellStyle name="Input 4 2" xfId="1526"/>
    <cellStyle name="Input 4 2 2" xfId="20167"/>
    <cellStyle name="Input 4 2 3" xfId="20166"/>
    <cellStyle name="Input 4 3" xfId="1651"/>
    <cellStyle name="Input 4 3 2" xfId="20169"/>
    <cellStyle name="Input 4 3 3" xfId="20168"/>
    <cellStyle name="Input 4 4" xfId="1774"/>
    <cellStyle name="Input 4 4 2" xfId="20171"/>
    <cellStyle name="Input 4 4 3" xfId="20170"/>
    <cellStyle name="Input 4 5" xfId="2109"/>
    <cellStyle name="Input 4 5 2" xfId="20173"/>
    <cellStyle name="Input 4 5 3" xfId="20172"/>
    <cellStyle name="Input 4 6" xfId="2483"/>
    <cellStyle name="Input 4 6 2" xfId="20175"/>
    <cellStyle name="Input 4 6 3" xfId="20174"/>
    <cellStyle name="Input 4 7" xfId="2855"/>
    <cellStyle name="Input 4 7 2" xfId="20177"/>
    <cellStyle name="Input 4 7 3" xfId="20176"/>
    <cellStyle name="Input 4 8" xfId="3226"/>
    <cellStyle name="Input 4 8 2" xfId="20179"/>
    <cellStyle name="Input 4 8 3" xfId="20178"/>
    <cellStyle name="Input 4 9" xfId="3615"/>
    <cellStyle name="Input 4 9 2" xfId="20181"/>
    <cellStyle name="Input 4 9 3" xfId="20180"/>
    <cellStyle name="Input 5" xfId="491"/>
    <cellStyle name="Input 5 2" xfId="1782"/>
    <cellStyle name="Input 5 2 2" xfId="20184"/>
    <cellStyle name="Input 5 2 3" xfId="20183"/>
    <cellStyle name="Input 5 3" xfId="2117"/>
    <cellStyle name="Input 5 3 2" xfId="20186"/>
    <cellStyle name="Input 5 3 3" xfId="20185"/>
    <cellStyle name="Input 5 4" xfId="2491"/>
    <cellStyle name="Input 5 4 2" xfId="20188"/>
    <cellStyle name="Input 5 4 3" xfId="20187"/>
    <cellStyle name="Input 5 5" xfId="2863"/>
    <cellStyle name="Input 5 5 2" xfId="20190"/>
    <cellStyle name="Input 5 5 3" xfId="20189"/>
    <cellStyle name="Input 5 6" xfId="3234"/>
    <cellStyle name="Input 5 6 2" xfId="20192"/>
    <cellStyle name="Input 5 6 3" xfId="20191"/>
    <cellStyle name="Input 5 7" xfId="20193"/>
    <cellStyle name="Input 5 7 2" xfId="20194"/>
    <cellStyle name="Input 5 8" xfId="20195"/>
    <cellStyle name="Input 5 9" xfId="20182"/>
    <cellStyle name="Input 6" xfId="492"/>
    <cellStyle name="Input 6 10" xfId="20196"/>
    <cellStyle name="Input 6 2" xfId="2002"/>
    <cellStyle name="Input 6 2 2" xfId="20198"/>
    <cellStyle name="Input 6 2 3" xfId="20197"/>
    <cellStyle name="Input 6 3" xfId="2377"/>
    <cellStyle name="Input 6 3 2" xfId="20200"/>
    <cellStyle name="Input 6 3 3" xfId="20199"/>
    <cellStyle name="Input 6 4" xfId="2750"/>
    <cellStyle name="Input 6 4 2" xfId="20202"/>
    <cellStyle name="Input 6 4 3" xfId="20201"/>
    <cellStyle name="Input 6 5" xfId="3123"/>
    <cellStyle name="Input 6 5 2" xfId="20204"/>
    <cellStyle name="Input 6 5 3" xfId="20203"/>
    <cellStyle name="Input 6 6" xfId="3494"/>
    <cellStyle name="Input 6 6 2" xfId="20206"/>
    <cellStyle name="Input 6 6 3" xfId="20205"/>
    <cellStyle name="Input 6 7" xfId="3800"/>
    <cellStyle name="Input 6 7 2" xfId="20208"/>
    <cellStyle name="Input 6 7 3" xfId="20207"/>
    <cellStyle name="Input 6 8" xfId="20209"/>
    <cellStyle name="Input 6 8 2" xfId="20210"/>
    <cellStyle name="Input 6 9" xfId="20211"/>
    <cellStyle name="Input 7" xfId="493"/>
    <cellStyle name="Input 7 2" xfId="20213"/>
    <cellStyle name="Input 7 3" xfId="20212"/>
    <cellStyle name="Input 8" xfId="619"/>
    <cellStyle name="Input 8 2" xfId="20215"/>
    <cellStyle name="Input 8 3" xfId="20214"/>
    <cellStyle name="Input 9" xfId="620"/>
    <cellStyle name="Input 9 2" xfId="20217"/>
    <cellStyle name="Input 9 3" xfId="20216"/>
    <cellStyle name="Linked Cell 10" xfId="776"/>
    <cellStyle name="Linked Cell 10 2" xfId="20220"/>
    <cellStyle name="Linked Cell 10 3" xfId="20219"/>
    <cellStyle name="Linked Cell 11" xfId="777"/>
    <cellStyle name="Linked Cell 11 2" xfId="20222"/>
    <cellStyle name="Linked Cell 11 3" xfId="20221"/>
    <cellStyle name="Linked Cell 12" xfId="900"/>
    <cellStyle name="Linked Cell 12 2" xfId="20223"/>
    <cellStyle name="Linked Cell 13" xfId="901"/>
    <cellStyle name="Linked Cell 13 2" xfId="20218"/>
    <cellStyle name="Linked Cell 14" xfId="989"/>
    <cellStyle name="Linked Cell 2" xfId="103"/>
    <cellStyle name="Linked Cell 2 10" xfId="1701"/>
    <cellStyle name="Linked Cell 2 10 2" xfId="20226"/>
    <cellStyle name="Linked Cell 2 10 3" xfId="20225"/>
    <cellStyle name="Linked Cell 2 11" xfId="2036"/>
    <cellStyle name="Linked Cell 2 11 2" xfId="20228"/>
    <cellStyle name="Linked Cell 2 11 3" xfId="20227"/>
    <cellStyle name="Linked Cell 2 12" xfId="2410"/>
    <cellStyle name="Linked Cell 2 12 2" xfId="20230"/>
    <cellStyle name="Linked Cell 2 12 3" xfId="20229"/>
    <cellStyle name="Linked Cell 2 13" xfId="2783"/>
    <cellStyle name="Linked Cell 2 13 2" xfId="20232"/>
    <cellStyle name="Linked Cell 2 13 3" xfId="20231"/>
    <cellStyle name="Linked Cell 2 14" xfId="3157"/>
    <cellStyle name="Linked Cell 2 14 2" xfId="20234"/>
    <cellStyle name="Linked Cell 2 14 3" xfId="20233"/>
    <cellStyle name="Linked Cell 2 15" xfId="3528"/>
    <cellStyle name="Linked Cell 2 15 2" xfId="20236"/>
    <cellStyle name="Linked Cell 2 15 3" xfId="20235"/>
    <cellStyle name="Linked Cell 2 16" xfId="3666"/>
    <cellStyle name="Linked Cell 2 16 2" xfId="20238"/>
    <cellStyle name="Linked Cell 2 16 3" xfId="20237"/>
    <cellStyle name="Linked Cell 2 17" xfId="20239"/>
    <cellStyle name="Linked Cell 2 17 2" xfId="20240"/>
    <cellStyle name="Linked Cell 2 18" xfId="20241"/>
    <cellStyle name="Linked Cell 2 19" xfId="20224"/>
    <cellStyle name="Linked Cell 2 2" xfId="148"/>
    <cellStyle name="Linked Cell 2 2 2" xfId="164"/>
    <cellStyle name="Linked Cell 2 2 2 2" xfId="20244"/>
    <cellStyle name="Linked Cell 2 2 2 3" xfId="20243"/>
    <cellStyle name="Linked Cell 2 2 3" xfId="328"/>
    <cellStyle name="Linked Cell 2 2 3 2" xfId="20246"/>
    <cellStyle name="Linked Cell 2 2 3 3" xfId="20245"/>
    <cellStyle name="Linked Cell 2 2 4" xfId="2151"/>
    <cellStyle name="Linked Cell 2 2 4 2" xfId="20248"/>
    <cellStyle name="Linked Cell 2 2 4 3" xfId="20247"/>
    <cellStyle name="Linked Cell 2 2 5" xfId="2525"/>
    <cellStyle name="Linked Cell 2 2 5 2" xfId="20250"/>
    <cellStyle name="Linked Cell 2 2 5 3" xfId="20249"/>
    <cellStyle name="Linked Cell 2 2 6" xfId="2897"/>
    <cellStyle name="Linked Cell 2 2 6 2" xfId="20252"/>
    <cellStyle name="Linked Cell 2 2 6 3" xfId="20251"/>
    <cellStyle name="Linked Cell 2 2 7" xfId="3268"/>
    <cellStyle name="Linked Cell 2 2 7 2" xfId="20254"/>
    <cellStyle name="Linked Cell 2 2 7 3" xfId="20253"/>
    <cellStyle name="Linked Cell 2 2 8" xfId="20255"/>
    <cellStyle name="Linked Cell 2 2 9" xfId="20242"/>
    <cellStyle name="Linked Cell 2 20" xfId="24500"/>
    <cellStyle name="Linked Cell 2 3" xfId="312"/>
    <cellStyle name="Linked Cell 2 3 2" xfId="1327"/>
    <cellStyle name="Linked Cell 2 3 2 2" xfId="20257"/>
    <cellStyle name="Linked Cell 2 3 3" xfId="20256"/>
    <cellStyle name="Linked Cell 2 4" xfId="494"/>
    <cellStyle name="Linked Cell 2 4 2" xfId="20259"/>
    <cellStyle name="Linked Cell 2 4 3" xfId="20258"/>
    <cellStyle name="Linked Cell 2 5" xfId="621"/>
    <cellStyle name="Linked Cell 2 5 2" xfId="20261"/>
    <cellStyle name="Linked Cell 2 5 3" xfId="20260"/>
    <cellStyle name="Linked Cell 2 6" xfId="778"/>
    <cellStyle name="Linked Cell 2 6 2" xfId="20263"/>
    <cellStyle name="Linked Cell 2 6 3" xfId="20262"/>
    <cellStyle name="Linked Cell 2 7" xfId="779"/>
    <cellStyle name="Linked Cell 2 7 2" xfId="20265"/>
    <cellStyle name="Linked Cell 2 7 3" xfId="20264"/>
    <cellStyle name="Linked Cell 2 8" xfId="902"/>
    <cellStyle name="Linked Cell 2 8 2" xfId="1430"/>
    <cellStyle name="Linked Cell 2 8 2 2" xfId="20267"/>
    <cellStyle name="Linked Cell 2 8 3" xfId="20266"/>
    <cellStyle name="Linked Cell 2 9" xfId="990"/>
    <cellStyle name="Linked Cell 2 9 2" xfId="1547"/>
    <cellStyle name="Linked Cell 2 9 2 2" xfId="20269"/>
    <cellStyle name="Linked Cell 2 9 3" xfId="20268"/>
    <cellStyle name="Linked Cell 3" xfId="205"/>
    <cellStyle name="Linked Cell 3 10" xfId="3709"/>
    <cellStyle name="Linked Cell 3 10 2" xfId="20272"/>
    <cellStyle name="Linked Cell 3 10 3" xfId="20271"/>
    <cellStyle name="Linked Cell 3 11" xfId="20273"/>
    <cellStyle name="Linked Cell 3 11 2" xfId="20274"/>
    <cellStyle name="Linked Cell 3 12" xfId="20275"/>
    <cellStyle name="Linked Cell 3 13" xfId="20270"/>
    <cellStyle name="Linked Cell 3 2" xfId="1482"/>
    <cellStyle name="Linked Cell 3 2 2" xfId="1816"/>
    <cellStyle name="Linked Cell 3 2 2 2" xfId="20278"/>
    <cellStyle name="Linked Cell 3 2 2 3" xfId="20277"/>
    <cellStyle name="Linked Cell 3 2 3" xfId="2191"/>
    <cellStyle name="Linked Cell 3 2 3 2" xfId="20280"/>
    <cellStyle name="Linked Cell 3 2 3 3" xfId="20279"/>
    <cellStyle name="Linked Cell 3 2 4" xfId="2565"/>
    <cellStyle name="Linked Cell 3 2 4 2" xfId="20282"/>
    <cellStyle name="Linked Cell 3 2 4 3" xfId="20281"/>
    <cellStyle name="Linked Cell 3 2 5" xfId="2937"/>
    <cellStyle name="Linked Cell 3 2 5 2" xfId="20284"/>
    <cellStyle name="Linked Cell 3 2 5 3" xfId="20283"/>
    <cellStyle name="Linked Cell 3 2 6" xfId="3309"/>
    <cellStyle name="Linked Cell 3 2 6 2" xfId="20286"/>
    <cellStyle name="Linked Cell 3 2 6 3" xfId="20285"/>
    <cellStyle name="Linked Cell 3 2 7" xfId="20287"/>
    <cellStyle name="Linked Cell 3 2 8" xfId="20276"/>
    <cellStyle name="Linked Cell 3 3" xfId="1609"/>
    <cellStyle name="Linked Cell 3 3 2" xfId="1893"/>
    <cellStyle name="Linked Cell 3 3 2 2" xfId="20290"/>
    <cellStyle name="Linked Cell 3 3 2 3" xfId="20289"/>
    <cellStyle name="Linked Cell 3 3 3" xfId="2268"/>
    <cellStyle name="Linked Cell 3 3 3 2" xfId="20292"/>
    <cellStyle name="Linked Cell 3 3 3 3" xfId="20291"/>
    <cellStyle name="Linked Cell 3 3 4" xfId="2641"/>
    <cellStyle name="Linked Cell 3 3 4 2" xfId="20294"/>
    <cellStyle name="Linked Cell 3 3 4 3" xfId="20293"/>
    <cellStyle name="Linked Cell 3 3 5" xfId="3014"/>
    <cellStyle name="Linked Cell 3 3 5 2" xfId="20296"/>
    <cellStyle name="Linked Cell 3 3 5 3" xfId="20295"/>
    <cellStyle name="Linked Cell 3 3 6" xfId="3385"/>
    <cellStyle name="Linked Cell 3 3 6 2" xfId="20298"/>
    <cellStyle name="Linked Cell 3 3 6 3" xfId="20297"/>
    <cellStyle name="Linked Cell 3 3 7" xfId="20299"/>
    <cellStyle name="Linked Cell 3 3 8" xfId="20288"/>
    <cellStyle name="Linked Cell 3 4" xfId="1749"/>
    <cellStyle name="Linked Cell 3 4 2" xfId="1937"/>
    <cellStyle name="Linked Cell 3 4 2 2" xfId="20302"/>
    <cellStyle name="Linked Cell 3 4 2 3" xfId="20301"/>
    <cellStyle name="Linked Cell 3 4 3" xfId="2312"/>
    <cellStyle name="Linked Cell 3 4 3 2" xfId="20304"/>
    <cellStyle name="Linked Cell 3 4 3 3" xfId="20303"/>
    <cellStyle name="Linked Cell 3 4 4" xfId="2685"/>
    <cellStyle name="Linked Cell 3 4 4 2" xfId="20306"/>
    <cellStyle name="Linked Cell 3 4 4 3" xfId="20305"/>
    <cellStyle name="Linked Cell 3 4 5" xfId="3058"/>
    <cellStyle name="Linked Cell 3 4 5 2" xfId="20308"/>
    <cellStyle name="Linked Cell 3 4 5 3" xfId="20307"/>
    <cellStyle name="Linked Cell 3 4 6" xfId="3429"/>
    <cellStyle name="Linked Cell 3 4 6 2" xfId="20310"/>
    <cellStyle name="Linked Cell 3 4 6 3" xfId="20309"/>
    <cellStyle name="Linked Cell 3 4 7" xfId="20311"/>
    <cellStyle name="Linked Cell 3 4 8" xfId="20300"/>
    <cellStyle name="Linked Cell 3 5" xfId="2084"/>
    <cellStyle name="Linked Cell 3 5 2" xfId="20313"/>
    <cellStyle name="Linked Cell 3 5 3" xfId="20312"/>
    <cellStyle name="Linked Cell 3 6" xfId="2458"/>
    <cellStyle name="Linked Cell 3 6 2" xfId="20315"/>
    <cellStyle name="Linked Cell 3 6 3" xfId="20314"/>
    <cellStyle name="Linked Cell 3 7" xfId="2830"/>
    <cellStyle name="Linked Cell 3 7 2" xfId="20317"/>
    <cellStyle name="Linked Cell 3 7 3" xfId="20316"/>
    <cellStyle name="Linked Cell 3 8" xfId="3201"/>
    <cellStyle name="Linked Cell 3 8 2" xfId="20319"/>
    <cellStyle name="Linked Cell 3 8 3" xfId="20318"/>
    <cellStyle name="Linked Cell 3 9" xfId="3573"/>
    <cellStyle name="Linked Cell 3 9 2" xfId="20321"/>
    <cellStyle name="Linked Cell 3 9 3" xfId="20320"/>
    <cellStyle name="Linked Cell 4" xfId="269"/>
    <cellStyle name="Linked Cell 4 10" xfId="3753"/>
    <cellStyle name="Linked Cell 4 10 2" xfId="20324"/>
    <cellStyle name="Linked Cell 4 10 3" xfId="20323"/>
    <cellStyle name="Linked Cell 4 11" xfId="1287"/>
    <cellStyle name="Linked Cell 4 11 2" xfId="20326"/>
    <cellStyle name="Linked Cell 4 11 3" xfId="20325"/>
    <cellStyle name="Linked Cell 4 12" xfId="20327"/>
    <cellStyle name="Linked Cell 4 13" xfId="20322"/>
    <cellStyle name="Linked Cell 4 2" xfId="1527"/>
    <cellStyle name="Linked Cell 4 2 2" xfId="20329"/>
    <cellStyle name="Linked Cell 4 2 3" xfId="20328"/>
    <cellStyle name="Linked Cell 4 3" xfId="1652"/>
    <cellStyle name="Linked Cell 4 3 2" xfId="20331"/>
    <cellStyle name="Linked Cell 4 3 3" xfId="20330"/>
    <cellStyle name="Linked Cell 4 4" xfId="1773"/>
    <cellStyle name="Linked Cell 4 4 2" xfId="20333"/>
    <cellStyle name="Linked Cell 4 4 3" xfId="20332"/>
    <cellStyle name="Linked Cell 4 5" xfId="2108"/>
    <cellStyle name="Linked Cell 4 5 2" xfId="20335"/>
    <cellStyle name="Linked Cell 4 5 3" xfId="20334"/>
    <cellStyle name="Linked Cell 4 6" xfId="2482"/>
    <cellStyle name="Linked Cell 4 6 2" xfId="20337"/>
    <cellStyle name="Linked Cell 4 6 3" xfId="20336"/>
    <cellStyle name="Linked Cell 4 7" xfId="2854"/>
    <cellStyle name="Linked Cell 4 7 2" xfId="20339"/>
    <cellStyle name="Linked Cell 4 7 3" xfId="20338"/>
    <cellStyle name="Linked Cell 4 8" xfId="3225"/>
    <cellStyle name="Linked Cell 4 8 2" xfId="20341"/>
    <cellStyle name="Linked Cell 4 8 3" xfId="20340"/>
    <cellStyle name="Linked Cell 4 9" xfId="3616"/>
    <cellStyle name="Linked Cell 4 9 2" xfId="20343"/>
    <cellStyle name="Linked Cell 4 9 3" xfId="20342"/>
    <cellStyle name="Linked Cell 5" xfId="495"/>
    <cellStyle name="Linked Cell 5 2" xfId="1762"/>
    <cellStyle name="Linked Cell 5 2 2" xfId="20346"/>
    <cellStyle name="Linked Cell 5 2 3" xfId="20345"/>
    <cellStyle name="Linked Cell 5 3" xfId="2097"/>
    <cellStyle name="Linked Cell 5 3 2" xfId="20348"/>
    <cellStyle name="Linked Cell 5 3 3" xfId="20347"/>
    <cellStyle name="Linked Cell 5 4" xfId="2471"/>
    <cellStyle name="Linked Cell 5 4 2" xfId="20350"/>
    <cellStyle name="Linked Cell 5 4 3" xfId="20349"/>
    <cellStyle name="Linked Cell 5 5" xfId="2843"/>
    <cellStyle name="Linked Cell 5 5 2" xfId="20352"/>
    <cellStyle name="Linked Cell 5 5 3" xfId="20351"/>
    <cellStyle name="Linked Cell 5 6" xfId="3214"/>
    <cellStyle name="Linked Cell 5 6 2" xfId="20354"/>
    <cellStyle name="Linked Cell 5 6 3" xfId="20353"/>
    <cellStyle name="Linked Cell 5 7" xfId="20355"/>
    <cellStyle name="Linked Cell 5 7 2" xfId="20356"/>
    <cellStyle name="Linked Cell 5 8" xfId="20357"/>
    <cellStyle name="Linked Cell 5 9" xfId="20344"/>
    <cellStyle name="Linked Cell 6" xfId="496"/>
    <cellStyle name="Linked Cell 6 10" xfId="20358"/>
    <cellStyle name="Linked Cell 6 2" xfId="2003"/>
    <cellStyle name="Linked Cell 6 2 2" xfId="20360"/>
    <cellStyle name="Linked Cell 6 2 3" xfId="20359"/>
    <cellStyle name="Linked Cell 6 3" xfId="2378"/>
    <cellStyle name="Linked Cell 6 3 2" xfId="20362"/>
    <cellStyle name="Linked Cell 6 3 3" xfId="20361"/>
    <cellStyle name="Linked Cell 6 4" xfId="2751"/>
    <cellStyle name="Linked Cell 6 4 2" xfId="20364"/>
    <cellStyle name="Linked Cell 6 4 3" xfId="20363"/>
    <cellStyle name="Linked Cell 6 5" xfId="3124"/>
    <cellStyle name="Linked Cell 6 5 2" xfId="20366"/>
    <cellStyle name="Linked Cell 6 5 3" xfId="20365"/>
    <cellStyle name="Linked Cell 6 6" xfId="3495"/>
    <cellStyle name="Linked Cell 6 6 2" xfId="20368"/>
    <cellStyle name="Linked Cell 6 6 3" xfId="20367"/>
    <cellStyle name="Linked Cell 6 7" xfId="3801"/>
    <cellStyle name="Linked Cell 6 7 2" xfId="20370"/>
    <cellStyle name="Linked Cell 6 7 3" xfId="20369"/>
    <cellStyle name="Linked Cell 6 8" xfId="20371"/>
    <cellStyle name="Linked Cell 6 8 2" xfId="20372"/>
    <cellStyle name="Linked Cell 6 9" xfId="20373"/>
    <cellStyle name="Linked Cell 7" xfId="497"/>
    <cellStyle name="Linked Cell 7 2" xfId="20375"/>
    <cellStyle name="Linked Cell 7 3" xfId="20374"/>
    <cellStyle name="Linked Cell 8" xfId="622"/>
    <cellStyle name="Linked Cell 8 2" xfId="20377"/>
    <cellStyle name="Linked Cell 8 3" xfId="20376"/>
    <cellStyle name="Linked Cell 9" xfId="623"/>
    <cellStyle name="Linked Cell 9 2" xfId="20379"/>
    <cellStyle name="Linked Cell 9 3" xfId="20378"/>
    <cellStyle name="Neutral 10" xfId="780"/>
    <cellStyle name="Neutral 10 2" xfId="20382"/>
    <cellStyle name="Neutral 10 3" xfId="20381"/>
    <cellStyle name="Neutral 11" xfId="781"/>
    <cellStyle name="Neutral 11 2" xfId="20384"/>
    <cellStyle name="Neutral 11 3" xfId="20383"/>
    <cellStyle name="Neutral 12" xfId="903"/>
    <cellStyle name="Neutral 12 2" xfId="20385"/>
    <cellStyle name="Neutral 13" xfId="904"/>
    <cellStyle name="Neutral 13 2" xfId="20380"/>
    <cellStyle name="Neutral 14" xfId="991"/>
    <cellStyle name="Neutral 2" xfId="104"/>
    <cellStyle name="Neutral 2 10" xfId="1702"/>
    <cellStyle name="Neutral 2 10 2" xfId="20388"/>
    <cellStyle name="Neutral 2 10 3" xfId="20387"/>
    <cellStyle name="Neutral 2 11" xfId="2037"/>
    <cellStyle name="Neutral 2 11 2" xfId="20390"/>
    <cellStyle name="Neutral 2 11 3" xfId="20389"/>
    <cellStyle name="Neutral 2 12" xfId="2411"/>
    <cellStyle name="Neutral 2 12 2" xfId="20392"/>
    <cellStyle name="Neutral 2 12 3" xfId="20391"/>
    <cellStyle name="Neutral 2 13" xfId="2784"/>
    <cellStyle name="Neutral 2 13 2" xfId="20394"/>
    <cellStyle name="Neutral 2 13 3" xfId="20393"/>
    <cellStyle name="Neutral 2 14" xfId="3158"/>
    <cellStyle name="Neutral 2 14 2" xfId="20396"/>
    <cellStyle name="Neutral 2 14 3" xfId="20395"/>
    <cellStyle name="Neutral 2 15" xfId="3529"/>
    <cellStyle name="Neutral 2 15 2" xfId="20398"/>
    <cellStyle name="Neutral 2 15 3" xfId="20397"/>
    <cellStyle name="Neutral 2 16" xfId="3667"/>
    <cellStyle name="Neutral 2 16 2" xfId="20400"/>
    <cellStyle name="Neutral 2 16 3" xfId="20399"/>
    <cellStyle name="Neutral 2 17" xfId="20401"/>
    <cellStyle name="Neutral 2 17 2" xfId="20402"/>
    <cellStyle name="Neutral 2 18" xfId="20403"/>
    <cellStyle name="Neutral 2 19" xfId="20386"/>
    <cellStyle name="Neutral 2 2" xfId="149"/>
    <cellStyle name="Neutral 2 2 2" xfId="160"/>
    <cellStyle name="Neutral 2 2 2 2" xfId="20406"/>
    <cellStyle name="Neutral 2 2 2 3" xfId="20405"/>
    <cellStyle name="Neutral 2 2 3" xfId="324"/>
    <cellStyle name="Neutral 2 2 3 2" xfId="20408"/>
    <cellStyle name="Neutral 2 2 3 3" xfId="20407"/>
    <cellStyle name="Neutral 2 2 4" xfId="2147"/>
    <cellStyle name="Neutral 2 2 4 2" xfId="20410"/>
    <cellStyle name="Neutral 2 2 4 3" xfId="20409"/>
    <cellStyle name="Neutral 2 2 5" xfId="2521"/>
    <cellStyle name="Neutral 2 2 5 2" xfId="20412"/>
    <cellStyle name="Neutral 2 2 5 3" xfId="20411"/>
    <cellStyle name="Neutral 2 2 6" xfId="2893"/>
    <cellStyle name="Neutral 2 2 6 2" xfId="20414"/>
    <cellStyle name="Neutral 2 2 6 3" xfId="20413"/>
    <cellStyle name="Neutral 2 2 7" xfId="3264"/>
    <cellStyle name="Neutral 2 2 7 2" xfId="20416"/>
    <cellStyle name="Neutral 2 2 7 3" xfId="20415"/>
    <cellStyle name="Neutral 2 2 8" xfId="20417"/>
    <cellStyle name="Neutral 2 2 9" xfId="20404"/>
    <cellStyle name="Neutral 2 20" xfId="24501"/>
    <cellStyle name="Neutral 2 3" xfId="313"/>
    <cellStyle name="Neutral 2 3 2" xfId="1323"/>
    <cellStyle name="Neutral 2 3 2 2" xfId="20419"/>
    <cellStyle name="Neutral 2 3 3" xfId="20418"/>
    <cellStyle name="Neutral 2 4" xfId="498"/>
    <cellStyle name="Neutral 2 4 2" xfId="20421"/>
    <cellStyle name="Neutral 2 4 3" xfId="20420"/>
    <cellStyle name="Neutral 2 5" xfId="624"/>
    <cellStyle name="Neutral 2 5 2" xfId="20423"/>
    <cellStyle name="Neutral 2 5 3" xfId="20422"/>
    <cellStyle name="Neutral 2 6" xfId="782"/>
    <cellStyle name="Neutral 2 6 2" xfId="20425"/>
    <cellStyle name="Neutral 2 6 3" xfId="20424"/>
    <cellStyle name="Neutral 2 7" xfId="783"/>
    <cellStyle name="Neutral 2 7 2" xfId="20427"/>
    <cellStyle name="Neutral 2 7 3" xfId="20426"/>
    <cellStyle name="Neutral 2 8" xfId="905"/>
    <cellStyle name="Neutral 2 8 2" xfId="1431"/>
    <cellStyle name="Neutral 2 8 2 2" xfId="20429"/>
    <cellStyle name="Neutral 2 8 3" xfId="20428"/>
    <cellStyle name="Neutral 2 9" xfId="992"/>
    <cellStyle name="Neutral 2 9 2" xfId="1546"/>
    <cellStyle name="Neutral 2 9 2 2" xfId="20431"/>
    <cellStyle name="Neutral 2 9 3" xfId="20430"/>
    <cellStyle name="Neutral 3" xfId="201"/>
    <cellStyle name="Neutral 3 10" xfId="3710"/>
    <cellStyle name="Neutral 3 10 2" xfId="20434"/>
    <cellStyle name="Neutral 3 10 3" xfId="20433"/>
    <cellStyle name="Neutral 3 11" xfId="20435"/>
    <cellStyle name="Neutral 3 11 2" xfId="20436"/>
    <cellStyle name="Neutral 3 12" xfId="20437"/>
    <cellStyle name="Neutral 3 13" xfId="20432"/>
    <cellStyle name="Neutral 3 2" xfId="1483"/>
    <cellStyle name="Neutral 3 2 2" xfId="1812"/>
    <cellStyle name="Neutral 3 2 2 2" xfId="20440"/>
    <cellStyle name="Neutral 3 2 2 3" xfId="20439"/>
    <cellStyle name="Neutral 3 2 3" xfId="2187"/>
    <cellStyle name="Neutral 3 2 3 2" xfId="20442"/>
    <cellStyle name="Neutral 3 2 3 3" xfId="20441"/>
    <cellStyle name="Neutral 3 2 4" xfId="2561"/>
    <cellStyle name="Neutral 3 2 4 2" xfId="20444"/>
    <cellStyle name="Neutral 3 2 4 3" xfId="20443"/>
    <cellStyle name="Neutral 3 2 5" xfId="2933"/>
    <cellStyle name="Neutral 3 2 5 2" xfId="20446"/>
    <cellStyle name="Neutral 3 2 5 3" xfId="20445"/>
    <cellStyle name="Neutral 3 2 6" xfId="3305"/>
    <cellStyle name="Neutral 3 2 6 2" xfId="20448"/>
    <cellStyle name="Neutral 3 2 6 3" xfId="20447"/>
    <cellStyle name="Neutral 3 2 7" xfId="20449"/>
    <cellStyle name="Neutral 3 2 8" xfId="20438"/>
    <cellStyle name="Neutral 3 3" xfId="1610"/>
    <cellStyle name="Neutral 3 3 2" xfId="1889"/>
    <cellStyle name="Neutral 3 3 2 2" xfId="20452"/>
    <cellStyle name="Neutral 3 3 2 3" xfId="20451"/>
    <cellStyle name="Neutral 3 3 3" xfId="2264"/>
    <cellStyle name="Neutral 3 3 3 2" xfId="20454"/>
    <cellStyle name="Neutral 3 3 3 3" xfId="20453"/>
    <cellStyle name="Neutral 3 3 4" xfId="2637"/>
    <cellStyle name="Neutral 3 3 4 2" xfId="20456"/>
    <cellStyle name="Neutral 3 3 4 3" xfId="20455"/>
    <cellStyle name="Neutral 3 3 5" xfId="3010"/>
    <cellStyle name="Neutral 3 3 5 2" xfId="20458"/>
    <cellStyle name="Neutral 3 3 5 3" xfId="20457"/>
    <cellStyle name="Neutral 3 3 6" xfId="3381"/>
    <cellStyle name="Neutral 3 3 6 2" xfId="20460"/>
    <cellStyle name="Neutral 3 3 6 3" xfId="20459"/>
    <cellStyle name="Neutral 3 3 7" xfId="20461"/>
    <cellStyle name="Neutral 3 3 8" xfId="20450"/>
    <cellStyle name="Neutral 3 4" xfId="1750"/>
    <cellStyle name="Neutral 3 4 2" xfId="1933"/>
    <cellStyle name="Neutral 3 4 2 2" xfId="20464"/>
    <cellStyle name="Neutral 3 4 2 3" xfId="20463"/>
    <cellStyle name="Neutral 3 4 3" xfId="2308"/>
    <cellStyle name="Neutral 3 4 3 2" xfId="20466"/>
    <cellStyle name="Neutral 3 4 3 3" xfId="20465"/>
    <cellStyle name="Neutral 3 4 4" xfId="2681"/>
    <cellStyle name="Neutral 3 4 4 2" xfId="20468"/>
    <cellStyle name="Neutral 3 4 4 3" xfId="20467"/>
    <cellStyle name="Neutral 3 4 5" xfId="3054"/>
    <cellStyle name="Neutral 3 4 5 2" xfId="20470"/>
    <cellStyle name="Neutral 3 4 5 3" xfId="20469"/>
    <cellStyle name="Neutral 3 4 6" xfId="3425"/>
    <cellStyle name="Neutral 3 4 6 2" xfId="20472"/>
    <cellStyle name="Neutral 3 4 6 3" xfId="20471"/>
    <cellStyle name="Neutral 3 4 7" xfId="20473"/>
    <cellStyle name="Neutral 3 4 8" xfId="20462"/>
    <cellStyle name="Neutral 3 5" xfId="2085"/>
    <cellStyle name="Neutral 3 5 2" xfId="20475"/>
    <cellStyle name="Neutral 3 5 3" xfId="20474"/>
    <cellStyle name="Neutral 3 6" xfId="2459"/>
    <cellStyle name="Neutral 3 6 2" xfId="20477"/>
    <cellStyle name="Neutral 3 6 3" xfId="20476"/>
    <cellStyle name="Neutral 3 7" xfId="2831"/>
    <cellStyle name="Neutral 3 7 2" xfId="20479"/>
    <cellStyle name="Neutral 3 7 3" xfId="20478"/>
    <cellStyle name="Neutral 3 8" xfId="3202"/>
    <cellStyle name="Neutral 3 8 2" xfId="20481"/>
    <cellStyle name="Neutral 3 8 3" xfId="20480"/>
    <cellStyle name="Neutral 3 9" xfId="3574"/>
    <cellStyle name="Neutral 3 9 2" xfId="20483"/>
    <cellStyle name="Neutral 3 9 3" xfId="20482"/>
    <cellStyle name="Neutral 4" xfId="270"/>
    <cellStyle name="Neutral 4 10" xfId="3754"/>
    <cellStyle name="Neutral 4 10 2" xfId="20486"/>
    <cellStyle name="Neutral 4 10 3" xfId="20485"/>
    <cellStyle name="Neutral 4 11" xfId="1283"/>
    <cellStyle name="Neutral 4 11 2" xfId="20488"/>
    <cellStyle name="Neutral 4 11 3" xfId="20487"/>
    <cellStyle name="Neutral 4 12" xfId="20489"/>
    <cellStyle name="Neutral 4 13" xfId="20484"/>
    <cellStyle name="Neutral 4 2" xfId="1528"/>
    <cellStyle name="Neutral 4 2 2" xfId="20491"/>
    <cellStyle name="Neutral 4 2 3" xfId="20490"/>
    <cellStyle name="Neutral 4 3" xfId="1653"/>
    <cellStyle name="Neutral 4 3 2" xfId="20493"/>
    <cellStyle name="Neutral 4 3 3" xfId="20492"/>
    <cellStyle name="Neutral 4 4" xfId="1772"/>
    <cellStyle name="Neutral 4 4 2" xfId="20495"/>
    <cellStyle name="Neutral 4 4 3" xfId="20494"/>
    <cellStyle name="Neutral 4 5" xfId="2107"/>
    <cellStyle name="Neutral 4 5 2" xfId="20497"/>
    <cellStyle name="Neutral 4 5 3" xfId="20496"/>
    <cellStyle name="Neutral 4 6" xfId="2481"/>
    <cellStyle name="Neutral 4 6 2" xfId="20499"/>
    <cellStyle name="Neutral 4 6 3" xfId="20498"/>
    <cellStyle name="Neutral 4 7" xfId="2853"/>
    <cellStyle name="Neutral 4 7 2" xfId="20501"/>
    <cellStyle name="Neutral 4 7 3" xfId="20500"/>
    <cellStyle name="Neutral 4 8" xfId="3224"/>
    <cellStyle name="Neutral 4 8 2" xfId="20503"/>
    <cellStyle name="Neutral 4 8 3" xfId="20502"/>
    <cellStyle name="Neutral 4 9" xfId="3617"/>
    <cellStyle name="Neutral 4 9 2" xfId="20505"/>
    <cellStyle name="Neutral 4 9 3" xfId="20504"/>
    <cellStyle name="Neutral 5" xfId="499"/>
    <cellStyle name="Neutral 5 2" xfId="1761"/>
    <cellStyle name="Neutral 5 2 2" xfId="20508"/>
    <cellStyle name="Neutral 5 2 3" xfId="20507"/>
    <cellStyle name="Neutral 5 3" xfId="2096"/>
    <cellStyle name="Neutral 5 3 2" xfId="20510"/>
    <cellStyle name="Neutral 5 3 3" xfId="20509"/>
    <cellStyle name="Neutral 5 4" xfId="2470"/>
    <cellStyle name="Neutral 5 4 2" xfId="20512"/>
    <cellStyle name="Neutral 5 4 3" xfId="20511"/>
    <cellStyle name="Neutral 5 5" xfId="2842"/>
    <cellStyle name="Neutral 5 5 2" xfId="20514"/>
    <cellStyle name="Neutral 5 5 3" xfId="20513"/>
    <cellStyle name="Neutral 5 6" xfId="3213"/>
    <cellStyle name="Neutral 5 6 2" xfId="20516"/>
    <cellStyle name="Neutral 5 6 3" xfId="20515"/>
    <cellStyle name="Neutral 5 7" xfId="20517"/>
    <cellStyle name="Neutral 5 7 2" xfId="20518"/>
    <cellStyle name="Neutral 5 8" xfId="20519"/>
    <cellStyle name="Neutral 5 9" xfId="20506"/>
    <cellStyle name="Neutral 6" xfId="500"/>
    <cellStyle name="Neutral 6 10" xfId="20520"/>
    <cellStyle name="Neutral 6 2" xfId="2004"/>
    <cellStyle name="Neutral 6 2 2" xfId="20522"/>
    <cellStyle name="Neutral 6 2 3" xfId="20521"/>
    <cellStyle name="Neutral 6 3" xfId="2379"/>
    <cellStyle name="Neutral 6 3 2" xfId="20524"/>
    <cellStyle name="Neutral 6 3 3" xfId="20523"/>
    <cellStyle name="Neutral 6 4" xfId="2752"/>
    <cellStyle name="Neutral 6 4 2" xfId="20526"/>
    <cellStyle name="Neutral 6 4 3" xfId="20525"/>
    <cellStyle name="Neutral 6 5" xfId="3125"/>
    <cellStyle name="Neutral 6 5 2" xfId="20528"/>
    <cellStyle name="Neutral 6 5 3" xfId="20527"/>
    <cellStyle name="Neutral 6 6" xfId="3496"/>
    <cellStyle name="Neutral 6 6 2" xfId="20530"/>
    <cellStyle name="Neutral 6 6 3" xfId="20529"/>
    <cellStyle name="Neutral 6 7" xfId="3802"/>
    <cellStyle name="Neutral 6 7 2" xfId="20532"/>
    <cellStyle name="Neutral 6 7 3" xfId="20531"/>
    <cellStyle name="Neutral 6 8" xfId="20533"/>
    <cellStyle name="Neutral 6 8 2" xfId="20534"/>
    <cellStyle name="Neutral 6 9" xfId="20535"/>
    <cellStyle name="Neutral 7" xfId="501"/>
    <cellStyle name="Neutral 7 2" xfId="20537"/>
    <cellStyle name="Neutral 7 3" xfId="20536"/>
    <cellStyle name="Neutral 8" xfId="625"/>
    <cellStyle name="Neutral 8 2" xfId="20539"/>
    <cellStyle name="Neutral 8 3" xfId="20538"/>
    <cellStyle name="Neutral 9" xfId="626"/>
    <cellStyle name="Neutral 9 2" xfId="20541"/>
    <cellStyle name="Neutral 9 3" xfId="20540"/>
    <cellStyle name="Normal" xfId="0" builtinId="0"/>
    <cellStyle name="Normal 10" xfId="56"/>
    <cellStyle name="Normal 10 10" xfId="1127"/>
    <cellStyle name="Normal 10 10 2" xfId="3997"/>
    <cellStyle name="Normal 10 11" xfId="1137"/>
    <cellStyle name="Normal 10 11 2" xfId="4007"/>
    <cellStyle name="Normal 10 12" xfId="1147"/>
    <cellStyle name="Normal 10 12 2" xfId="4017"/>
    <cellStyle name="Normal 10 13" xfId="1156"/>
    <cellStyle name="Normal 10 13 2" xfId="4026"/>
    <cellStyle name="Normal 10 14" xfId="1167"/>
    <cellStyle name="Normal 10 14 2" xfId="4037"/>
    <cellStyle name="Normal 10 15" xfId="1177"/>
    <cellStyle name="Normal 10 15 2" xfId="4047"/>
    <cellStyle name="Normal 10 16" xfId="1187"/>
    <cellStyle name="Normal 10 16 2" xfId="4057"/>
    <cellStyle name="Normal 10 17" xfId="1197"/>
    <cellStyle name="Normal 10 17 2" xfId="4067"/>
    <cellStyle name="Normal 10 18" xfId="1207"/>
    <cellStyle name="Normal 10 18 2" xfId="4077"/>
    <cellStyle name="Normal 10 19" xfId="1217"/>
    <cellStyle name="Normal 10 19 2" xfId="4087"/>
    <cellStyle name="Normal 10 2" xfId="1044"/>
    <cellStyle name="Normal 10 2 2" xfId="3912"/>
    <cellStyle name="Normal 10 2 2 2" xfId="20544"/>
    <cellStyle name="Normal 10 2 2 2 2" xfId="20545"/>
    <cellStyle name="Normal 10 2 2 3" xfId="20546"/>
    <cellStyle name="Normal 10 2 2 4" xfId="20543"/>
    <cellStyle name="Normal 10 2 3" xfId="4868"/>
    <cellStyle name="Normal 10 2 4" xfId="24787"/>
    <cellStyle name="Normal 10 20" xfId="1227"/>
    <cellStyle name="Normal 10 20 2" xfId="4097"/>
    <cellStyle name="Normal 10 21" xfId="1237"/>
    <cellStyle name="Normal 10 21 2" xfId="4107"/>
    <cellStyle name="Normal 10 22" xfId="1247"/>
    <cellStyle name="Normal 10 22 2" xfId="4117"/>
    <cellStyle name="Normal 10 23" xfId="1257"/>
    <cellStyle name="Normal 10 23 2" xfId="4127"/>
    <cellStyle name="Normal 10 24" xfId="1266"/>
    <cellStyle name="Normal 10 24 2" xfId="4136"/>
    <cellStyle name="Normal 10 25" xfId="1271"/>
    <cellStyle name="Normal 10 25 2" xfId="4141"/>
    <cellStyle name="Normal 10 26" xfId="993"/>
    <cellStyle name="Normal 10 27" xfId="24537"/>
    <cellStyle name="Normal 10 3" xfId="1057"/>
    <cellStyle name="Normal 10 3 2" xfId="3927"/>
    <cellStyle name="Normal 10 3 2 2" xfId="20548"/>
    <cellStyle name="Normal 10 3 2 2 2" xfId="20549"/>
    <cellStyle name="Normal 10 3 2 3" xfId="20550"/>
    <cellStyle name="Normal 10 3 2 4" xfId="20547"/>
    <cellStyle name="Normal 10 3 3" xfId="4869"/>
    <cellStyle name="Normal 10 3 3 2" xfId="20551"/>
    <cellStyle name="Normal 10 3 3 2 2" xfId="20552"/>
    <cellStyle name="Normal 10 3 3 3" xfId="20553"/>
    <cellStyle name="Normal 10 3 4" xfId="20554"/>
    <cellStyle name="Normal 10 3 4 2" xfId="20555"/>
    <cellStyle name="Normal 10 3 5" xfId="20556"/>
    <cellStyle name="Normal 10 3 5 2" xfId="20557"/>
    <cellStyle name="Normal 10 3 6" xfId="20558"/>
    <cellStyle name="Normal 10 3 6 2" xfId="20559"/>
    <cellStyle name="Normal 10 4" xfId="1067"/>
    <cellStyle name="Normal 10 4 2" xfId="3937"/>
    <cellStyle name="Normal 10 4 2 2" xfId="20561"/>
    <cellStyle name="Normal 10 4 3" xfId="20560"/>
    <cellStyle name="Normal 10 4 4" xfId="24788"/>
    <cellStyle name="Normal 10 4 4 2" xfId="26911"/>
    <cellStyle name="Normal 10 5" xfId="1077"/>
    <cellStyle name="Normal 10 5 2" xfId="3947"/>
    <cellStyle name="Normal 10 6" xfId="1087"/>
    <cellStyle name="Normal 10 6 2" xfId="3957"/>
    <cellStyle name="Normal 10 7" xfId="1097"/>
    <cellStyle name="Normal 10 7 2" xfId="3967"/>
    <cellStyle name="Normal 10 8" xfId="1107"/>
    <cellStyle name="Normal 10 8 2" xfId="3977"/>
    <cellStyle name="Normal 10 9" xfId="1117"/>
    <cellStyle name="Normal 10 9 2" xfId="3987"/>
    <cellStyle name="Normal 11" xfId="57"/>
    <cellStyle name="Normal 11 2" xfId="3811"/>
    <cellStyle name="Normal 11 2 2" xfId="20562"/>
    <cellStyle name="Normal 11 2 2 2" xfId="20563"/>
    <cellStyle name="Normal 11 2 2 2 2" xfId="20564"/>
    <cellStyle name="Normal 11 2 2 3" xfId="20565"/>
    <cellStyle name="Normal 11 2 3" xfId="20566"/>
    <cellStyle name="Normal 11 2 3 2" xfId="20567"/>
    <cellStyle name="Normal 11 2 3 2 2" xfId="20568"/>
    <cellStyle name="Normal 11 2 3 3" xfId="20569"/>
    <cellStyle name="Normal 11 2 4" xfId="20570"/>
    <cellStyle name="Normal 11 2 4 2" xfId="20571"/>
    <cellStyle name="Normal 11 2 5" xfId="20572"/>
    <cellStyle name="Normal 11 2 5 2" xfId="20573"/>
    <cellStyle name="Normal 11 2 6" xfId="20574"/>
    <cellStyle name="Normal 11 2 6 2" xfId="20575"/>
    <cellStyle name="Normal 11 2 7" xfId="24539"/>
    <cellStyle name="Normal 11 3" xfId="3860"/>
    <cellStyle name="Normal 11 3 2" xfId="20577"/>
    <cellStyle name="Normal 11 3 3" xfId="20576"/>
    <cellStyle name="Normal 11 3 4" xfId="24789"/>
    <cellStyle name="Normal 11 4" xfId="20578"/>
    <cellStyle name="Normal 11 4 2" xfId="20579"/>
    <cellStyle name="Normal 11 4 3" xfId="24790"/>
    <cellStyle name="Normal 11 4 3 2" xfId="26912"/>
    <cellStyle name="Normal 11 5" xfId="24538"/>
    <cellStyle name="Normal 12" xfId="1003"/>
    <cellStyle name="Normal 12 2" xfId="3861"/>
    <cellStyle name="Normal 12 2 2" xfId="20582"/>
    <cellStyle name="Normal 12 2 2 2" xfId="20583"/>
    <cellStyle name="Normal 12 2 3" xfId="20584"/>
    <cellStyle name="Normal 12 2 3 2" xfId="20585"/>
    <cellStyle name="Normal 12 2 4" xfId="20586"/>
    <cellStyle name="Normal 12 2 5" xfId="20581"/>
    <cellStyle name="Normal 12 3" xfId="20587"/>
    <cellStyle name="Normal 12 3 2" xfId="20588"/>
    <cellStyle name="Normal 12 4" xfId="20589"/>
    <cellStyle name="Normal 12 4 2" xfId="20590"/>
    <cellStyle name="Normal 12 5" xfId="20591"/>
    <cellStyle name="Normal 12 6" xfId="20580"/>
    <cellStyle name="Normal 13" xfId="58"/>
    <cellStyle name="Normal 13 2" xfId="3862"/>
    <cellStyle name="Normal 13 2 2" xfId="4870"/>
    <cellStyle name="Normal 13 2 3" xfId="24792"/>
    <cellStyle name="Normal 13 3" xfId="24791"/>
    <cellStyle name="Normal 14" xfId="1004"/>
    <cellStyle name="Normal 14 2" xfId="3863"/>
    <cellStyle name="Normal 14 2 2" xfId="20593"/>
    <cellStyle name="Normal 14 3" xfId="4871"/>
    <cellStyle name="Normal 14 4" xfId="20592"/>
    <cellStyle name="Normal 15" xfId="1006"/>
    <cellStyle name="Normal 15 2" xfId="3865"/>
    <cellStyle name="Normal 15 2 2" xfId="20595"/>
    <cellStyle name="Normal 15 3" xfId="20594"/>
    <cellStyle name="Normal 16" xfId="59"/>
    <cellStyle name="Normal 16 2" xfId="3867"/>
    <cellStyle name="Normal 16 2 2" xfId="20597"/>
    <cellStyle name="Normal 16 3" xfId="20596"/>
    <cellStyle name="Normal 17" xfId="1009"/>
    <cellStyle name="Normal 17 10" xfId="20599"/>
    <cellStyle name="Normal 17 10 2" xfId="20600"/>
    <cellStyle name="Normal 17 10 2 2" xfId="20601"/>
    <cellStyle name="Normal 17 10 3" xfId="20602"/>
    <cellStyle name="Normal 17 11" xfId="20603"/>
    <cellStyle name="Normal 17 11 2" xfId="20604"/>
    <cellStyle name="Normal 17 12" xfId="20605"/>
    <cellStyle name="Normal 17 13" xfId="20598"/>
    <cellStyle name="Normal 17 2" xfId="3869"/>
    <cellStyle name="Normal 17 2 2" xfId="20607"/>
    <cellStyle name="Normal 17 2 3" xfId="20606"/>
    <cellStyle name="Normal 17 3" xfId="20608"/>
    <cellStyle name="Normal 17 3 2" xfId="20609"/>
    <cellStyle name="Normal 17 4" xfId="20610"/>
    <cellStyle name="Normal 17 4 2" xfId="20611"/>
    <cellStyle name="Normal 17 5" xfId="20612"/>
    <cellStyle name="Normal 17 5 2" xfId="20613"/>
    <cellStyle name="Normal 17 6" xfId="20614"/>
    <cellStyle name="Normal 17 6 2" xfId="20615"/>
    <cellStyle name="Normal 17 7" xfId="20616"/>
    <cellStyle name="Normal 17 7 2" xfId="20617"/>
    <cellStyle name="Normal 17 8" xfId="20618"/>
    <cellStyle name="Normal 17 8 2" xfId="20619"/>
    <cellStyle name="Normal 17 9" xfId="20620"/>
    <cellStyle name="Normal 17 9 2" xfId="20621"/>
    <cellStyle name="Normal 18" xfId="1011"/>
    <cellStyle name="Normal 18 2" xfId="3871"/>
    <cellStyle name="Normal 18 2 2" xfId="20623"/>
    <cellStyle name="Normal 18 3" xfId="20622"/>
    <cellStyle name="Normal 19" xfId="1013"/>
    <cellStyle name="Normal 19 2" xfId="3873"/>
    <cellStyle name="Normal 19 2 2" xfId="20625"/>
    <cellStyle name="Normal 19 3" xfId="20624"/>
    <cellStyle name="Normal 2" xfId="7"/>
    <cellStyle name="Normal 2 10" xfId="1968"/>
    <cellStyle name="Normal 2 10 2" xfId="20626"/>
    <cellStyle name="Normal 2 10 2 2" xfId="20627"/>
    <cellStyle name="Normal 2 10 3" xfId="20628"/>
    <cellStyle name="Normal 2 10 3 2" xfId="20629"/>
    <cellStyle name="Normal 2 10 4" xfId="20630"/>
    <cellStyle name="Normal 2 10 4 2" xfId="20631"/>
    <cellStyle name="Normal 2 11" xfId="2343"/>
    <cellStyle name="Normal 2 11 2" xfId="20632"/>
    <cellStyle name="Normal 2 11 2 2" xfId="20633"/>
    <cellStyle name="Normal 2 11 3" xfId="20634"/>
    <cellStyle name="Normal 2 11 3 2" xfId="20635"/>
    <cellStyle name="Normal 2 11 4" xfId="20636"/>
    <cellStyle name="Normal 2 11 4 2" xfId="20637"/>
    <cellStyle name="Normal 2 12" xfId="2716"/>
    <cellStyle name="Normal 2 12 2" xfId="20638"/>
    <cellStyle name="Normal 2 12 2 2" xfId="20639"/>
    <cellStyle name="Normal 2 12 3" xfId="20640"/>
    <cellStyle name="Normal 2 12 3 2" xfId="20641"/>
    <cellStyle name="Normal 2 12 4" xfId="20642"/>
    <cellStyle name="Normal 2 12 4 2" xfId="20643"/>
    <cellStyle name="Normal 2 13" xfId="3089"/>
    <cellStyle name="Normal 2 13 2" xfId="20644"/>
    <cellStyle name="Normal 2 13 2 2" xfId="20645"/>
    <cellStyle name="Normal 2 13 3" xfId="20646"/>
    <cellStyle name="Normal 2 13 3 2" xfId="20647"/>
    <cellStyle name="Normal 2 13 4" xfId="20648"/>
    <cellStyle name="Normal 2 13 4 2" xfId="20649"/>
    <cellStyle name="Normal 2 14" xfId="3460"/>
    <cellStyle name="Normal 2 14 2" xfId="20650"/>
    <cellStyle name="Normal 2 14 2 2" xfId="20651"/>
    <cellStyle name="Normal 2 14 3" xfId="20652"/>
    <cellStyle name="Normal 2 14 3 2" xfId="20653"/>
    <cellStyle name="Normal 2 14 4" xfId="20654"/>
    <cellStyle name="Normal 2 14 4 2" xfId="20655"/>
    <cellStyle name="Normal 2 15" xfId="3271"/>
    <cellStyle name="Normal 2 15 2" xfId="20656"/>
    <cellStyle name="Normal 2 15 2 2" xfId="20657"/>
    <cellStyle name="Normal 2 15 3" xfId="20658"/>
    <cellStyle name="Normal 2 15 3 2" xfId="20659"/>
    <cellStyle name="Normal 2 15 4" xfId="20660"/>
    <cellStyle name="Normal 2 15 4 2" xfId="20661"/>
    <cellStyle name="Normal 2 16" xfId="3626"/>
    <cellStyle name="Normal 2 16 2" xfId="20662"/>
    <cellStyle name="Normal 2 16 2 2" xfId="20663"/>
    <cellStyle name="Normal 2 17" xfId="3629"/>
    <cellStyle name="Normal 2 17 2" xfId="20664"/>
    <cellStyle name="Normal 2 17 2 2" xfId="20665"/>
    <cellStyle name="Normal 2 18" xfId="3631"/>
    <cellStyle name="Normal 2 19" xfId="3858"/>
    <cellStyle name="Normal 2 19 2" xfId="20667"/>
    <cellStyle name="Normal 2 19 2 2" xfId="20668"/>
    <cellStyle name="Normal 2 19 3" xfId="20669"/>
    <cellStyle name="Normal 2 19 4" xfId="20666"/>
    <cellStyle name="Normal 2 2" xfId="8"/>
    <cellStyle name="Normal 2 2 10" xfId="20670"/>
    <cellStyle name="Normal 2 2 10 2" xfId="20671"/>
    <cellStyle name="Normal 2 2 10 2 2" xfId="20672"/>
    <cellStyle name="Normal 2 2 10 3" xfId="20673"/>
    <cellStyle name="Normal 2 2 10 3 2" xfId="20674"/>
    <cellStyle name="Normal 2 2 10 4" xfId="20675"/>
    <cellStyle name="Normal 2 2 11" xfId="20676"/>
    <cellStyle name="Normal 2 2 11 2" xfId="20677"/>
    <cellStyle name="Normal 2 2 11 2 2" xfId="20678"/>
    <cellStyle name="Normal 2 2 11 3" xfId="20679"/>
    <cellStyle name="Normal 2 2 11 3 2" xfId="20680"/>
    <cellStyle name="Normal 2 2 11 4" xfId="20681"/>
    <cellStyle name="Normal 2 2 12" xfId="20682"/>
    <cellStyle name="Normal 2 2 12 2" xfId="20683"/>
    <cellStyle name="Normal 2 2 12 2 2" xfId="20684"/>
    <cellStyle name="Normal 2 2 12 3" xfId="20685"/>
    <cellStyle name="Normal 2 2 12 3 2" xfId="20686"/>
    <cellStyle name="Normal 2 2 12 4" xfId="20687"/>
    <cellStyle name="Normal 2 2 13" xfId="20688"/>
    <cellStyle name="Normal 2 2 13 2" xfId="20689"/>
    <cellStyle name="Normal 2 2 14" xfId="20690"/>
    <cellStyle name="Normal 2 2 14 2" xfId="20691"/>
    <cellStyle name="Normal 2 2 15" xfId="20692"/>
    <cellStyle name="Normal 2 2 15 2" xfId="20693"/>
    <cellStyle name="Normal 2 2 2" xfId="7103"/>
    <cellStyle name="Normal 2 2 2 2" xfId="20695"/>
    <cellStyle name="Normal 2 2 2 2 2" xfId="20696"/>
    <cellStyle name="Normal 2 2 2 3" xfId="20697"/>
    <cellStyle name="Normal 2 2 2 3 2" xfId="20698"/>
    <cellStyle name="Normal 2 2 2 4" xfId="20699"/>
    <cellStyle name="Normal 2 2 2 5" xfId="20694"/>
    <cellStyle name="Normal 2 2 3" xfId="20700"/>
    <cellStyle name="Normal 2 2 3 2" xfId="20701"/>
    <cellStyle name="Normal 2 2 3 2 2" xfId="20702"/>
    <cellStyle name="Normal 2 2 3 3" xfId="20703"/>
    <cellStyle name="Normal 2 2 3 3 2" xfId="20704"/>
    <cellStyle name="Normal 2 2 3 4" xfId="20705"/>
    <cellStyle name="Normal 2 2 3 5" xfId="24540"/>
    <cellStyle name="Normal 2 2 4" xfId="20706"/>
    <cellStyle name="Normal 2 2 4 2" xfId="20707"/>
    <cellStyle name="Normal 2 2 4 2 2" xfId="20708"/>
    <cellStyle name="Normal 2 2 4 3" xfId="20709"/>
    <cellStyle name="Normal 2 2 4 3 2" xfId="20710"/>
    <cellStyle name="Normal 2 2 4 4" xfId="20711"/>
    <cellStyle name="Normal 2 2 5" xfId="20712"/>
    <cellStyle name="Normal 2 2 5 2" xfId="20713"/>
    <cellStyle name="Normal 2 2 5 2 2" xfId="20714"/>
    <cellStyle name="Normal 2 2 5 3" xfId="20715"/>
    <cellStyle name="Normal 2 2 5 3 2" xfId="20716"/>
    <cellStyle name="Normal 2 2 5 4" xfId="20717"/>
    <cellStyle name="Normal 2 2 6" xfId="20718"/>
    <cellStyle name="Normal 2 2 6 2" xfId="20719"/>
    <cellStyle name="Normal 2 2 6 2 2" xfId="20720"/>
    <cellStyle name="Normal 2 2 6 3" xfId="20721"/>
    <cellStyle name="Normal 2 2 6 3 2" xfId="20722"/>
    <cellStyle name="Normal 2 2 6 4" xfId="20723"/>
    <cellStyle name="Normal 2 2 7" xfId="20724"/>
    <cellStyle name="Normal 2 2 7 2" xfId="20725"/>
    <cellStyle name="Normal 2 2 7 2 2" xfId="20726"/>
    <cellStyle name="Normal 2 2 7 3" xfId="20727"/>
    <cellStyle name="Normal 2 2 7 3 2" xfId="20728"/>
    <cellStyle name="Normal 2 2 7 4" xfId="20729"/>
    <cellStyle name="Normal 2 2 8" xfId="20730"/>
    <cellStyle name="Normal 2 2 8 2" xfId="20731"/>
    <cellStyle name="Normal 2 2 8 2 2" xfId="20732"/>
    <cellStyle name="Normal 2 2 8 3" xfId="20733"/>
    <cellStyle name="Normal 2 2 8 3 2" xfId="20734"/>
    <cellStyle name="Normal 2 2 8 4" xfId="20735"/>
    <cellStyle name="Normal 2 2 9" xfId="20736"/>
    <cellStyle name="Normal 2 2 9 2" xfId="20737"/>
    <cellStyle name="Normal 2 2 9 2 2" xfId="20738"/>
    <cellStyle name="Normal 2 2 9 3" xfId="20739"/>
    <cellStyle name="Normal 2 2 9 3 2" xfId="20740"/>
    <cellStyle name="Normal 2 2 9 4" xfId="20741"/>
    <cellStyle name="Normal 2 20" xfId="1001"/>
    <cellStyle name="Normal 2 20 2" xfId="20743"/>
    <cellStyle name="Normal 2 20 3" xfId="20742"/>
    <cellStyle name="Normal 2 21" xfId="20744"/>
    <cellStyle name="Normal 2 21 2" xfId="20745"/>
    <cellStyle name="Normal 2 22" xfId="24457"/>
    <cellStyle name="Normal 2 23" xfId="28685"/>
    <cellStyle name="Normal 2 24" xfId="28690"/>
    <cellStyle name="Normal 2 3" xfId="1274"/>
    <cellStyle name="Normal 2 3 10" xfId="20746"/>
    <cellStyle name="Normal 2 3 10 2" xfId="20747"/>
    <cellStyle name="Normal 2 3 10 2 2" xfId="20748"/>
    <cellStyle name="Normal 2 3 10 3" xfId="20749"/>
    <cellStyle name="Normal 2 3 10 3 2" xfId="20750"/>
    <cellStyle name="Normal 2 3 10 4" xfId="20751"/>
    <cellStyle name="Normal 2 3 11" xfId="20752"/>
    <cellStyle name="Normal 2 3 11 2" xfId="20753"/>
    <cellStyle name="Normal 2 3 11 2 2" xfId="20754"/>
    <cellStyle name="Normal 2 3 11 3" xfId="20755"/>
    <cellStyle name="Normal 2 3 11 3 2" xfId="20756"/>
    <cellStyle name="Normal 2 3 11 4" xfId="20757"/>
    <cellStyle name="Normal 2 3 12" xfId="20758"/>
    <cellStyle name="Normal 2 3 12 2" xfId="20759"/>
    <cellStyle name="Normal 2 3 12 2 2" xfId="20760"/>
    <cellStyle name="Normal 2 3 12 3" xfId="20761"/>
    <cellStyle name="Normal 2 3 12 3 2" xfId="20762"/>
    <cellStyle name="Normal 2 3 12 4" xfId="20763"/>
    <cellStyle name="Normal 2 3 13" xfId="20764"/>
    <cellStyle name="Normal 2 3 13 2" xfId="20765"/>
    <cellStyle name="Normal 2 3 14" xfId="20766"/>
    <cellStyle name="Normal 2 3 14 2" xfId="20767"/>
    <cellStyle name="Normal 2 3 15" xfId="20768"/>
    <cellStyle name="Normal 2 3 15 2" xfId="20769"/>
    <cellStyle name="Normal 2 3 2" xfId="20770"/>
    <cellStyle name="Normal 2 3 2 2" xfId="20771"/>
    <cellStyle name="Normal 2 3 2 2 2" xfId="20772"/>
    <cellStyle name="Normal 2 3 2 3" xfId="20773"/>
    <cellStyle name="Normal 2 3 2 3 2" xfId="20774"/>
    <cellStyle name="Normal 2 3 2 4" xfId="20775"/>
    <cellStyle name="Normal 2 3 3" xfId="20776"/>
    <cellStyle name="Normal 2 3 3 2" xfId="20777"/>
    <cellStyle name="Normal 2 3 3 2 2" xfId="20778"/>
    <cellStyle name="Normal 2 3 3 3" xfId="20779"/>
    <cellStyle name="Normal 2 3 3 3 2" xfId="20780"/>
    <cellStyle name="Normal 2 3 3 4" xfId="20781"/>
    <cellStyle name="Normal 2 3 4" xfId="20782"/>
    <cellStyle name="Normal 2 3 4 2" xfId="20783"/>
    <cellStyle name="Normal 2 3 4 2 2" xfId="20784"/>
    <cellStyle name="Normal 2 3 4 3" xfId="20785"/>
    <cellStyle name="Normal 2 3 4 3 2" xfId="20786"/>
    <cellStyle name="Normal 2 3 4 4" xfId="20787"/>
    <cellStyle name="Normal 2 3 5" xfId="20788"/>
    <cellStyle name="Normal 2 3 5 2" xfId="20789"/>
    <cellStyle name="Normal 2 3 5 2 2" xfId="20790"/>
    <cellStyle name="Normal 2 3 5 3" xfId="20791"/>
    <cellStyle name="Normal 2 3 5 3 2" xfId="20792"/>
    <cellStyle name="Normal 2 3 5 4" xfId="20793"/>
    <cellStyle name="Normal 2 3 6" xfId="20794"/>
    <cellStyle name="Normal 2 3 6 2" xfId="20795"/>
    <cellStyle name="Normal 2 3 6 2 2" xfId="20796"/>
    <cellStyle name="Normal 2 3 6 3" xfId="20797"/>
    <cellStyle name="Normal 2 3 6 3 2" xfId="20798"/>
    <cellStyle name="Normal 2 3 6 4" xfId="20799"/>
    <cellStyle name="Normal 2 3 7" xfId="20800"/>
    <cellStyle name="Normal 2 3 7 2" xfId="20801"/>
    <cellStyle name="Normal 2 3 7 2 2" xfId="20802"/>
    <cellStyle name="Normal 2 3 7 3" xfId="20803"/>
    <cellStyle name="Normal 2 3 7 3 2" xfId="20804"/>
    <cellStyle name="Normal 2 3 7 4" xfId="20805"/>
    <cellStyle name="Normal 2 3 8" xfId="20806"/>
    <cellStyle name="Normal 2 3 8 2" xfId="20807"/>
    <cellStyle name="Normal 2 3 8 2 2" xfId="20808"/>
    <cellStyle name="Normal 2 3 8 3" xfId="20809"/>
    <cellStyle name="Normal 2 3 8 3 2" xfId="20810"/>
    <cellStyle name="Normal 2 3 8 4" xfId="20811"/>
    <cellStyle name="Normal 2 3 9" xfId="20812"/>
    <cellStyle name="Normal 2 3 9 2" xfId="20813"/>
    <cellStyle name="Normal 2 3 9 2 2" xfId="20814"/>
    <cellStyle name="Normal 2 3 9 3" xfId="20815"/>
    <cellStyle name="Normal 2 3 9 3 2" xfId="20816"/>
    <cellStyle name="Normal 2 3 9 4" xfId="20817"/>
    <cellStyle name="Normal 2 4" xfId="1384"/>
    <cellStyle name="Normal 2 4 10" xfId="20818"/>
    <cellStyle name="Normal 2 4 10 2" xfId="20819"/>
    <cellStyle name="Normal 2 4 10 2 2" xfId="20820"/>
    <cellStyle name="Normal 2 4 10 3" xfId="20821"/>
    <cellStyle name="Normal 2 4 10 3 2" xfId="20822"/>
    <cellStyle name="Normal 2 4 10 4" xfId="20823"/>
    <cellStyle name="Normal 2 4 11" xfId="20824"/>
    <cellStyle name="Normal 2 4 11 2" xfId="20825"/>
    <cellStyle name="Normal 2 4 11 2 2" xfId="20826"/>
    <cellStyle name="Normal 2 4 11 3" xfId="20827"/>
    <cellStyle name="Normal 2 4 11 3 2" xfId="20828"/>
    <cellStyle name="Normal 2 4 11 4" xfId="20829"/>
    <cellStyle name="Normal 2 4 12" xfId="20830"/>
    <cellStyle name="Normal 2 4 12 2" xfId="20831"/>
    <cellStyle name="Normal 2 4 12 2 2" xfId="20832"/>
    <cellStyle name="Normal 2 4 12 3" xfId="20833"/>
    <cellStyle name="Normal 2 4 12 3 2" xfId="20834"/>
    <cellStyle name="Normal 2 4 12 4" xfId="20835"/>
    <cellStyle name="Normal 2 4 13" xfId="20836"/>
    <cellStyle name="Normal 2 4 13 2" xfId="20837"/>
    <cellStyle name="Normal 2 4 14" xfId="20838"/>
    <cellStyle name="Normal 2 4 14 2" xfId="20839"/>
    <cellStyle name="Normal 2 4 15" xfId="20840"/>
    <cellStyle name="Normal 2 4 15 2" xfId="20841"/>
    <cellStyle name="Normal 2 4 2" xfId="20842"/>
    <cellStyle name="Normal 2 4 2 2" xfId="20843"/>
    <cellStyle name="Normal 2 4 2 2 2" xfId="20844"/>
    <cellStyle name="Normal 2 4 2 3" xfId="20845"/>
    <cellStyle name="Normal 2 4 2 3 2" xfId="20846"/>
    <cellStyle name="Normal 2 4 2 4" xfId="20847"/>
    <cellStyle name="Normal 2 4 3" xfId="20848"/>
    <cellStyle name="Normal 2 4 3 2" xfId="20849"/>
    <cellStyle name="Normal 2 4 3 2 2" xfId="20850"/>
    <cellStyle name="Normal 2 4 3 3" xfId="20851"/>
    <cellStyle name="Normal 2 4 3 3 2" xfId="20852"/>
    <cellStyle name="Normal 2 4 3 4" xfId="20853"/>
    <cellStyle name="Normal 2 4 3 5" xfId="24793"/>
    <cellStyle name="Normal 2 4 3 5 2" xfId="26913"/>
    <cellStyle name="Normal 2 4 4" xfId="20854"/>
    <cellStyle name="Normal 2 4 4 2" xfId="20855"/>
    <cellStyle name="Normal 2 4 4 2 2" xfId="20856"/>
    <cellStyle name="Normal 2 4 4 3" xfId="20857"/>
    <cellStyle name="Normal 2 4 4 3 2" xfId="20858"/>
    <cellStyle name="Normal 2 4 4 4" xfId="20859"/>
    <cellStyle name="Normal 2 4 5" xfId="20860"/>
    <cellStyle name="Normal 2 4 5 2" xfId="20861"/>
    <cellStyle name="Normal 2 4 5 2 2" xfId="20862"/>
    <cellStyle name="Normal 2 4 5 3" xfId="20863"/>
    <cellStyle name="Normal 2 4 5 3 2" xfId="20864"/>
    <cellStyle name="Normal 2 4 5 4" xfId="20865"/>
    <cellStyle name="Normal 2 4 6" xfId="20866"/>
    <cellStyle name="Normal 2 4 6 2" xfId="20867"/>
    <cellStyle name="Normal 2 4 6 2 2" xfId="20868"/>
    <cellStyle name="Normal 2 4 6 3" xfId="20869"/>
    <cellStyle name="Normal 2 4 6 3 2" xfId="20870"/>
    <cellStyle name="Normal 2 4 6 4" xfId="20871"/>
    <cellStyle name="Normal 2 4 7" xfId="20872"/>
    <cellStyle name="Normal 2 4 7 2" xfId="20873"/>
    <cellStyle name="Normal 2 4 7 2 2" xfId="20874"/>
    <cellStyle name="Normal 2 4 7 3" xfId="20875"/>
    <cellStyle name="Normal 2 4 7 3 2" xfId="20876"/>
    <cellStyle name="Normal 2 4 7 4" xfId="20877"/>
    <cellStyle name="Normal 2 4 8" xfId="20878"/>
    <cellStyle name="Normal 2 4 8 2" xfId="20879"/>
    <cellStyle name="Normal 2 4 8 2 2" xfId="20880"/>
    <cellStyle name="Normal 2 4 8 3" xfId="20881"/>
    <cellStyle name="Normal 2 4 8 3 2" xfId="20882"/>
    <cellStyle name="Normal 2 4 8 4" xfId="20883"/>
    <cellStyle name="Normal 2 4 9" xfId="20884"/>
    <cellStyle name="Normal 2 4 9 2" xfId="20885"/>
    <cellStyle name="Normal 2 4 9 2 2" xfId="20886"/>
    <cellStyle name="Normal 2 4 9 3" xfId="20887"/>
    <cellStyle name="Normal 2 4 9 3 2" xfId="20888"/>
    <cellStyle name="Normal 2 4 9 4" xfId="20889"/>
    <cellStyle name="Normal 2 5" xfId="1388"/>
    <cellStyle name="Normal 2 5 2" xfId="20890"/>
    <cellStyle name="Normal 2 5 2 2" xfId="20891"/>
    <cellStyle name="Normal 2 5 2 2 2" xfId="20892"/>
    <cellStyle name="Normal 2 5 2 3" xfId="20893"/>
    <cellStyle name="Normal 2 5 2 3 2" xfId="20894"/>
    <cellStyle name="Normal 2 5 2 4" xfId="20895"/>
    <cellStyle name="Normal 2 5 2 5" xfId="24795"/>
    <cellStyle name="Normal 2 5 3" xfId="20896"/>
    <cellStyle name="Normal 2 5 3 2" xfId="20897"/>
    <cellStyle name="Normal 2 5 4" xfId="20898"/>
    <cellStyle name="Normal 2 5 4 2" xfId="20899"/>
    <cellStyle name="Normal 2 5 5" xfId="20900"/>
    <cellStyle name="Normal 2 5 5 2" xfId="20901"/>
    <cellStyle name="Normal 2 5 6" xfId="24794"/>
    <cellStyle name="Normal 2 6" xfId="1391"/>
    <cellStyle name="Normal 2 6 2" xfId="20902"/>
    <cellStyle name="Normal 2 6 2 2" xfId="20903"/>
    <cellStyle name="Normal 2 6 2 3" xfId="24797"/>
    <cellStyle name="Normal 2 6 3" xfId="20904"/>
    <cellStyle name="Normal 2 6 3 2" xfId="20905"/>
    <cellStyle name="Normal 2 6 4" xfId="20906"/>
    <cellStyle name="Normal 2 6 4 2" xfId="20907"/>
    <cellStyle name="Normal 2 6 5" xfId="24796"/>
    <cellStyle name="Normal 2 7" xfId="1394"/>
    <cellStyle name="Normal 2 7 2" xfId="20909"/>
    <cellStyle name="Normal 2 7 2 2" xfId="20910"/>
    <cellStyle name="Normal 2 7 3" xfId="20911"/>
    <cellStyle name="Normal 2 7 3 2" xfId="20912"/>
    <cellStyle name="Normal 2 7 4" xfId="20913"/>
    <cellStyle name="Normal 2 7 4 2" xfId="20914"/>
    <cellStyle name="Normal 2 7 5" xfId="24798"/>
    <cellStyle name="Normal 2 8" xfId="1568"/>
    <cellStyle name="Normal 2 8 2" xfId="20915"/>
    <cellStyle name="Normal 2 8 2 2" xfId="20916"/>
    <cellStyle name="Normal 2 8 3" xfId="20917"/>
    <cellStyle name="Normal 2 8 3 2" xfId="20918"/>
    <cellStyle name="Normal 2 8 4" xfId="20919"/>
    <cellStyle name="Normal 2 8 4 2" xfId="20920"/>
    <cellStyle name="Normal 2 9" xfId="1542"/>
    <cellStyle name="Normal 2 9 2" xfId="20921"/>
    <cellStyle name="Normal 2 9 2 2" xfId="20922"/>
    <cellStyle name="Normal 2 9 3" xfId="20923"/>
    <cellStyle name="Normal 2 9 3 2" xfId="20924"/>
    <cellStyle name="Normal 2 9 4" xfId="20925"/>
    <cellStyle name="Normal 2 9 4 2" xfId="20926"/>
    <cellStyle name="Normal 20" xfId="1015"/>
    <cellStyle name="Normal 20 10" xfId="20928"/>
    <cellStyle name="Normal 20 11" xfId="20927"/>
    <cellStyle name="Normal 20 2" xfId="3875"/>
    <cellStyle name="Normal 20 2 2" xfId="20930"/>
    <cellStyle name="Normal 20 2 3" xfId="20929"/>
    <cellStyle name="Normal 20 3" xfId="20931"/>
    <cellStyle name="Normal 20 3 2" xfId="20932"/>
    <cellStyle name="Normal 20 4" xfId="20933"/>
    <cellStyle name="Normal 20 4 2" xfId="20934"/>
    <cellStyle name="Normal 20 5" xfId="20935"/>
    <cellStyle name="Normal 20 5 2" xfId="20936"/>
    <cellStyle name="Normal 20 6" xfId="20937"/>
    <cellStyle name="Normal 20 6 2" xfId="20938"/>
    <cellStyle name="Normal 20 7" xfId="20939"/>
    <cellStyle name="Normal 20 7 2" xfId="20940"/>
    <cellStyle name="Normal 20 8" xfId="20941"/>
    <cellStyle name="Normal 20 8 2" xfId="20942"/>
    <cellStyle name="Normal 20 9" xfId="20943"/>
    <cellStyle name="Normal 20 9 2" xfId="20944"/>
    <cellStyle name="Normal 21" xfId="3816"/>
    <cellStyle name="Normal 21 10" xfId="20946"/>
    <cellStyle name="Normal 21 11" xfId="20945"/>
    <cellStyle name="Normal 21 2" xfId="20947"/>
    <cellStyle name="Normal 21 2 2" xfId="20948"/>
    <cellStyle name="Normal 21 3" xfId="20949"/>
    <cellStyle name="Normal 21 3 2" xfId="20950"/>
    <cellStyle name="Normal 21 4" xfId="20951"/>
    <cellStyle name="Normal 21 4 2" xfId="20952"/>
    <cellStyle name="Normal 21 5" xfId="20953"/>
    <cellStyle name="Normal 21 5 2" xfId="20954"/>
    <cellStyle name="Normal 21 6" xfId="20955"/>
    <cellStyle name="Normal 21 6 2" xfId="20956"/>
    <cellStyle name="Normal 21 7" xfId="20957"/>
    <cellStyle name="Normal 21 7 2" xfId="20958"/>
    <cellStyle name="Normal 21 8" xfId="20959"/>
    <cellStyle name="Normal 21 8 2" xfId="20960"/>
    <cellStyle name="Normal 21 9" xfId="20961"/>
    <cellStyle name="Normal 21 9 2" xfId="20962"/>
    <cellStyle name="Normal 22" xfId="1017"/>
    <cellStyle name="Normal 22 2" xfId="3877"/>
    <cellStyle name="Normal 22 2 2" xfId="20964"/>
    <cellStyle name="Normal 22 3" xfId="20963"/>
    <cellStyle name="Normal 23" xfId="4872"/>
    <cellStyle name="Normal 23 2" xfId="20966"/>
    <cellStyle name="Normal 23 3" xfId="20965"/>
    <cellStyle name="Normal 24" xfId="1018"/>
    <cellStyle name="Normal 24 2" xfId="3878"/>
    <cellStyle name="Normal 24 2 2" xfId="20969"/>
    <cellStyle name="Normal 24 2 3" xfId="20968"/>
    <cellStyle name="Normal 24 3" xfId="20970"/>
    <cellStyle name="Normal 24 3 2" xfId="20971"/>
    <cellStyle name="Normal 24 4" xfId="20972"/>
    <cellStyle name="Normal 24 4 2" xfId="20973"/>
    <cellStyle name="Normal 24 5" xfId="20974"/>
    <cellStyle name="Normal 24 6" xfId="20967"/>
    <cellStyle name="Normal 25" xfId="4873"/>
    <cellStyle name="Normal 25 2" xfId="20976"/>
    <cellStyle name="Normal 25 3" xfId="20975"/>
    <cellStyle name="Normal 26" xfId="1019"/>
    <cellStyle name="Normal 26 2" xfId="3880"/>
    <cellStyle name="Normal 26 2 2" xfId="20979"/>
    <cellStyle name="Normal 26 2 3" xfId="20978"/>
    <cellStyle name="Normal 26 3" xfId="20980"/>
    <cellStyle name="Normal 26 4" xfId="20977"/>
    <cellStyle name="Normal 27" xfId="7098"/>
    <cellStyle name="Normal 27 2" xfId="20982"/>
    <cellStyle name="Normal 27 3" xfId="20981"/>
    <cellStyle name="Normal 27 4" xfId="7116"/>
    <cellStyle name="Normal 28" xfId="1020"/>
    <cellStyle name="Normal 28 2" xfId="3882"/>
    <cellStyle name="Normal 29" xfId="7100"/>
    <cellStyle name="Normal 29 2" xfId="26914"/>
    <cellStyle name="Normal 3" xfId="9"/>
    <cellStyle name="Normal 3 2" xfId="10"/>
    <cellStyle name="Normal 3 2 2" xfId="4142"/>
    <cellStyle name="Normal 3 2 2 10" xfId="26916"/>
    <cellStyle name="Normal 3 2 2 2" xfId="4875"/>
    <cellStyle name="Normal 3 2 2 2 2" xfId="5450"/>
    <cellStyle name="Normal 3 2 2 2 2 2" xfId="6504"/>
    <cellStyle name="Normal 3 2 2 2 2 2 2" xfId="20986"/>
    <cellStyle name="Normal 3 2 2 2 2 2 3" xfId="26919"/>
    <cellStyle name="Normal 3 2 2 2 2 3" xfId="20985"/>
    <cellStyle name="Normal 3 2 2 2 2 4" xfId="26918"/>
    <cellStyle name="Normal 3 2 2 2 3" xfId="5760"/>
    <cellStyle name="Normal 3 2 2 2 3 2" xfId="6505"/>
    <cellStyle name="Normal 3 2 2 2 3 2 2" xfId="20988"/>
    <cellStyle name="Normal 3 2 2 2 3 2 3" xfId="26921"/>
    <cellStyle name="Normal 3 2 2 2 3 3" xfId="20987"/>
    <cellStyle name="Normal 3 2 2 2 3 4" xfId="26920"/>
    <cellStyle name="Normal 3 2 2 2 4" xfId="6503"/>
    <cellStyle name="Normal 3 2 2 2 4 2" xfId="20989"/>
    <cellStyle name="Normal 3 2 2 2 4 3" xfId="26922"/>
    <cellStyle name="Normal 3 2 2 2 5" xfId="20984"/>
    <cellStyle name="Normal 3 2 2 2 6" xfId="26917"/>
    <cellStyle name="Normal 3 2 2 3" xfId="5449"/>
    <cellStyle name="Normal 3 2 2 3 2" xfId="6506"/>
    <cellStyle name="Normal 3 2 2 3 2 2" xfId="20991"/>
    <cellStyle name="Normal 3 2 2 3 2 3" xfId="26924"/>
    <cellStyle name="Normal 3 2 2 3 3" xfId="20990"/>
    <cellStyle name="Normal 3 2 2 3 4" xfId="26923"/>
    <cellStyle name="Normal 3 2 2 4" xfId="5759"/>
    <cellStyle name="Normal 3 2 2 4 2" xfId="6507"/>
    <cellStyle name="Normal 3 2 2 4 2 2" xfId="20993"/>
    <cellStyle name="Normal 3 2 2 4 2 3" xfId="26926"/>
    <cellStyle name="Normal 3 2 2 4 3" xfId="20992"/>
    <cellStyle name="Normal 3 2 2 4 4" xfId="26925"/>
    <cellStyle name="Normal 3 2 2 5" xfId="4874"/>
    <cellStyle name="Normal 3 2 2 5 2" xfId="6508"/>
    <cellStyle name="Normal 3 2 2 5 2 2" xfId="26928"/>
    <cellStyle name="Normal 3 2 2 5 3" xfId="20994"/>
    <cellStyle name="Normal 3 2 2 5 4" xfId="26927"/>
    <cellStyle name="Normal 3 2 2 6" xfId="6502"/>
    <cellStyle name="Normal 3 2 2 6 2" xfId="26929"/>
    <cellStyle name="Normal 3 2 2 7" xfId="20983"/>
    <cellStyle name="Normal 3 2 2 8" xfId="24799"/>
    <cellStyle name="Normal 3 2 2 8 2" xfId="26930"/>
    <cellStyle name="Normal 3 2 2 9" xfId="24994"/>
    <cellStyle name="Normal 3 2 3" xfId="1275"/>
    <cellStyle name="Normal 3 2 3 2" xfId="5451"/>
    <cellStyle name="Normal 3 2 3 2 2" xfId="6510"/>
    <cellStyle name="Normal 3 2 3 2 2 2" xfId="26933"/>
    <cellStyle name="Normal 3 2 3 2 3" xfId="20996"/>
    <cellStyle name="Normal 3 2 3 2 4" xfId="26932"/>
    <cellStyle name="Normal 3 2 3 3" xfId="5761"/>
    <cellStyle name="Normal 3 2 3 3 2" xfId="6511"/>
    <cellStyle name="Normal 3 2 3 3 2 2" xfId="26935"/>
    <cellStyle name="Normal 3 2 3 3 3" xfId="26934"/>
    <cellStyle name="Normal 3 2 3 4" xfId="4876"/>
    <cellStyle name="Normal 3 2 3 4 2" xfId="6512"/>
    <cellStyle name="Normal 3 2 3 4 2 2" xfId="26937"/>
    <cellStyle name="Normal 3 2 3 4 3" xfId="26936"/>
    <cellStyle name="Normal 3 2 3 5" xfId="6509"/>
    <cellStyle name="Normal 3 2 3 5 2" xfId="26938"/>
    <cellStyle name="Normal 3 2 3 6" xfId="20995"/>
    <cellStyle name="Normal 3 2 3 7" xfId="24800"/>
    <cellStyle name="Normal 3 2 3 7 2" xfId="26939"/>
    <cellStyle name="Normal 3 2 3 8" xfId="26931"/>
    <cellStyle name="Normal 3 2 4" xfId="4877"/>
    <cellStyle name="Normal 3 2 4 2" xfId="6513"/>
    <cellStyle name="Normal 3 2 4 2 2" xfId="20999"/>
    <cellStyle name="Normal 3 2 4 2 3" xfId="20998"/>
    <cellStyle name="Normal 3 2 4 2 4" xfId="26941"/>
    <cellStyle name="Normal 3 2 4 3" xfId="21000"/>
    <cellStyle name="Normal 3 2 4 4" xfId="20997"/>
    <cellStyle name="Normal 3 2 4 5" xfId="24801"/>
    <cellStyle name="Normal 3 2 4 5 2" xfId="26942"/>
    <cellStyle name="Normal 3 2 4 6" xfId="26940"/>
    <cellStyle name="Normal 3 2 5" xfId="5448"/>
    <cellStyle name="Normal 3 2 5 2" xfId="6514"/>
    <cellStyle name="Normal 3 2 5 2 2" xfId="21003"/>
    <cellStyle name="Normal 3 2 5 2 3" xfId="21002"/>
    <cellStyle name="Normal 3 2 5 2 4" xfId="26944"/>
    <cellStyle name="Normal 3 2 5 3" xfId="21004"/>
    <cellStyle name="Normal 3 2 5 4" xfId="21001"/>
    <cellStyle name="Normal 3 2 5 5" xfId="26943"/>
    <cellStyle name="Normal 3 2 6" xfId="5758"/>
    <cellStyle name="Normal 3 2 6 2" xfId="6515"/>
    <cellStyle name="Normal 3 2 6 2 2" xfId="21006"/>
    <cellStyle name="Normal 3 2 6 2 3" xfId="26946"/>
    <cellStyle name="Normal 3 2 6 3" xfId="21005"/>
    <cellStyle name="Normal 3 2 6 4" xfId="26945"/>
    <cellStyle name="Normal 3 2 7" xfId="21007"/>
    <cellStyle name="Normal 3 2 7 2" xfId="21008"/>
    <cellStyle name="Normal 3 2 8" xfId="24505"/>
    <cellStyle name="Normal 3 2 8 2" xfId="26947"/>
    <cellStyle name="Normal 3 2 9" xfId="24874"/>
    <cellStyle name="Normal 3 3" xfId="60"/>
    <cellStyle name="Normal 3 3 2" xfId="21009"/>
    <cellStyle name="Normal 3 3 2 2" xfId="21010"/>
    <cellStyle name="Normal 3 3 2 3" xfId="24802"/>
    <cellStyle name="Normal 3 3 3" xfId="24803"/>
    <cellStyle name="Normal 3 3 3 2" xfId="26948"/>
    <cellStyle name="Normal 3 3 4" xfId="24541"/>
    <cellStyle name="Normal 3 4" xfId="66"/>
    <cellStyle name="Normal 3 4 2" xfId="3859"/>
    <cellStyle name="Normal 3 4 2 2" xfId="21013"/>
    <cellStyle name="Normal 3 4 2 2 2" xfId="21014"/>
    <cellStyle name="Normal 3 4 2 3" xfId="21015"/>
    <cellStyle name="Normal 3 4 2 3 2" xfId="21016"/>
    <cellStyle name="Normal 3 4 2 4" xfId="21017"/>
    <cellStyle name="Normal 3 4 2 5" xfId="21012"/>
    <cellStyle name="Normal 3 4 3" xfId="6516"/>
    <cellStyle name="Normal 3 4 3 2" xfId="21019"/>
    <cellStyle name="Normal 3 4 3 3" xfId="21018"/>
    <cellStyle name="Normal 3 4 3 4" xfId="26950"/>
    <cellStyle name="Normal 3 4 4" xfId="21020"/>
    <cellStyle name="Normal 3 4 4 2" xfId="21021"/>
    <cellStyle name="Normal 3 4 5" xfId="21022"/>
    <cellStyle name="Normal 3 4 6" xfId="21011"/>
    <cellStyle name="Normal 3 4 7" xfId="24570"/>
    <cellStyle name="Normal 3 4 7 2" xfId="26951"/>
    <cellStyle name="Normal 3 4 8" xfId="26949"/>
    <cellStyle name="Normal 3 5" xfId="1002"/>
    <cellStyle name="Normal 3 5 2" xfId="21023"/>
    <cellStyle name="Normal 3 5 3" xfId="24804"/>
    <cellStyle name="Normal 3 5 3 2" xfId="26952"/>
    <cellStyle name="Normal 3 6" xfId="6501"/>
    <cellStyle name="Normal 3 6 2" xfId="21025"/>
    <cellStyle name="Normal 3 6 2 2" xfId="21026"/>
    <cellStyle name="Normal 3 6 2 2 2" xfId="21027"/>
    <cellStyle name="Normal 3 6 2 3" xfId="21028"/>
    <cellStyle name="Normal 3 6 2 3 2" xfId="21029"/>
    <cellStyle name="Normal 3 6 2 4" xfId="21030"/>
    <cellStyle name="Normal 3 6 3" xfId="21031"/>
    <cellStyle name="Normal 3 6 3 2" xfId="21032"/>
    <cellStyle name="Normal 3 6 4" xfId="21033"/>
    <cellStyle name="Normal 3 6 4 2" xfId="21034"/>
    <cellStyle name="Normal 3 6 5" xfId="21035"/>
    <cellStyle name="Normal 3 6 6" xfId="21024"/>
    <cellStyle name="Normal 3 6 7" xfId="26953"/>
    <cellStyle name="Normal 3 7" xfId="24464"/>
    <cellStyle name="Normal 3 7 2" xfId="28689"/>
    <cellStyle name="Normal 3 8" xfId="26915"/>
    <cellStyle name="Normal 30" xfId="1021"/>
    <cellStyle name="Normal 30 2" xfId="3884"/>
    <cellStyle name="Normal 30 2 2" xfId="21037"/>
    <cellStyle name="Normal 30 3" xfId="21036"/>
    <cellStyle name="Normal 31" xfId="7113"/>
    <cellStyle name="Normal 31 2" xfId="26954"/>
    <cellStyle name="Normal 32" xfId="1023"/>
    <cellStyle name="Normal 32 2" xfId="3886"/>
    <cellStyle name="Normal 33" xfId="24465"/>
    <cellStyle name="Normal 34" xfId="1025"/>
    <cellStyle name="Normal 34 2" xfId="3888"/>
    <cellStyle name="Normal 35" xfId="24829"/>
    <cellStyle name="Normal 36" xfId="1027"/>
    <cellStyle name="Normal 36 2" xfId="3890"/>
    <cellStyle name="Normal 37" xfId="28137"/>
    <cellStyle name="Normal 38" xfId="1029"/>
    <cellStyle name="Normal 38 2" xfId="3892"/>
    <cellStyle name="Normal 39" xfId="28138"/>
    <cellStyle name="Normal 4" xfId="11"/>
    <cellStyle name="Normal 4 10" xfId="1108"/>
    <cellStyle name="Normal 4 10 10" xfId="21038"/>
    <cellStyle name="Normal 4 10 2" xfId="3672"/>
    <cellStyle name="Normal 4 10 2 2" xfId="4203"/>
    <cellStyle name="Normal 4 10 2 2 2" xfId="5454"/>
    <cellStyle name="Normal 4 10 2 2 2 2" xfId="6519"/>
    <cellStyle name="Normal 4 10 2 2 2 2 2" xfId="21042"/>
    <cellStyle name="Normal 4 10 2 2 2 2 3" xfId="26958"/>
    <cellStyle name="Normal 4 10 2 2 2 3" xfId="21041"/>
    <cellStyle name="Normal 4 10 2 2 2 4" xfId="26957"/>
    <cellStyle name="Normal 4 10 2 2 3" xfId="5764"/>
    <cellStyle name="Normal 4 10 2 2 3 2" xfId="6520"/>
    <cellStyle name="Normal 4 10 2 2 3 2 2" xfId="26960"/>
    <cellStyle name="Normal 4 10 2 2 3 3" xfId="21043"/>
    <cellStyle name="Normal 4 10 2 2 3 4" xfId="26959"/>
    <cellStyle name="Normal 4 10 2 2 4" xfId="4880"/>
    <cellStyle name="Normal 4 10 2 2 4 2" xfId="6521"/>
    <cellStyle name="Normal 4 10 2 2 4 2 2" xfId="26962"/>
    <cellStyle name="Normal 4 10 2 2 4 3" xfId="26961"/>
    <cellStyle name="Normal 4 10 2 2 5" xfId="6518"/>
    <cellStyle name="Normal 4 10 2 2 5 2" xfId="26963"/>
    <cellStyle name="Normal 4 10 2 2 6" xfId="21040"/>
    <cellStyle name="Normal 4 10 2 2 7" xfId="25055"/>
    <cellStyle name="Normal 4 10 2 2 8" xfId="26956"/>
    <cellStyle name="Normal 4 10 2 3" xfId="5453"/>
    <cellStyle name="Normal 4 10 2 3 2" xfId="6522"/>
    <cellStyle name="Normal 4 10 2 3 2 2" xfId="21046"/>
    <cellStyle name="Normal 4 10 2 3 2 3" xfId="21045"/>
    <cellStyle name="Normal 4 10 2 3 2 4" xfId="26965"/>
    <cellStyle name="Normal 4 10 2 3 3" xfId="21047"/>
    <cellStyle name="Normal 4 10 2 3 3 2" xfId="21048"/>
    <cellStyle name="Normal 4 10 2 3 4" xfId="21049"/>
    <cellStyle name="Normal 4 10 2 3 5" xfId="21044"/>
    <cellStyle name="Normal 4 10 2 3 6" xfId="26964"/>
    <cellStyle name="Normal 4 10 2 4" xfId="5763"/>
    <cellStyle name="Normal 4 10 2 4 2" xfId="6523"/>
    <cellStyle name="Normal 4 10 2 4 2 2" xfId="21051"/>
    <cellStyle name="Normal 4 10 2 4 2 3" xfId="26967"/>
    <cellStyle name="Normal 4 10 2 4 3" xfId="21050"/>
    <cellStyle name="Normal 4 10 2 4 4" xfId="26966"/>
    <cellStyle name="Normal 4 10 2 5" xfId="4879"/>
    <cellStyle name="Normal 4 10 2 5 2" xfId="6524"/>
    <cellStyle name="Normal 4 10 2 5 2 2" xfId="21053"/>
    <cellStyle name="Normal 4 10 2 5 2 3" xfId="26969"/>
    <cellStyle name="Normal 4 10 2 5 3" xfId="21052"/>
    <cellStyle name="Normal 4 10 2 5 4" xfId="26968"/>
    <cellStyle name="Normal 4 10 2 6" xfId="6517"/>
    <cellStyle name="Normal 4 10 2 6 2" xfId="21054"/>
    <cellStyle name="Normal 4 10 2 6 3" xfId="26970"/>
    <cellStyle name="Normal 4 10 2 7" xfId="21039"/>
    <cellStyle name="Normal 4 10 2 8" xfId="24935"/>
    <cellStyle name="Normal 4 10 2 9" xfId="26955"/>
    <cellStyle name="Normal 4 10 3" xfId="3978"/>
    <cellStyle name="Normal 4 10 3 2" xfId="5455"/>
    <cellStyle name="Normal 4 10 3 2 2" xfId="6525"/>
    <cellStyle name="Normal 4 10 3 2 2 2" xfId="21057"/>
    <cellStyle name="Normal 4 10 3 2 2 3" xfId="26972"/>
    <cellStyle name="Normal 4 10 3 2 3" xfId="21056"/>
    <cellStyle name="Normal 4 10 3 2 4" xfId="26971"/>
    <cellStyle name="Normal 4 10 3 3" xfId="5765"/>
    <cellStyle name="Normal 4 10 3 3 2" xfId="6526"/>
    <cellStyle name="Normal 4 10 3 3 2 2" xfId="26974"/>
    <cellStyle name="Normal 4 10 3 3 3" xfId="21058"/>
    <cellStyle name="Normal 4 10 3 3 4" xfId="26973"/>
    <cellStyle name="Normal 4 10 3 4" xfId="4881"/>
    <cellStyle name="Normal 4 10 3 4 2" xfId="6527"/>
    <cellStyle name="Normal 4 10 3 4 2 2" xfId="26976"/>
    <cellStyle name="Normal 4 10 3 4 3" xfId="26975"/>
    <cellStyle name="Normal 4 10 3 5" xfId="21055"/>
    <cellStyle name="Normal 4 10 4" xfId="5452"/>
    <cellStyle name="Normal 4 10 4 2" xfId="6528"/>
    <cellStyle name="Normal 4 10 4 2 2" xfId="21060"/>
    <cellStyle name="Normal 4 10 4 2 3" xfId="26978"/>
    <cellStyle name="Normal 4 10 4 3" xfId="21059"/>
    <cellStyle name="Normal 4 10 4 4" xfId="26977"/>
    <cellStyle name="Normal 4 10 5" xfId="5762"/>
    <cellStyle name="Normal 4 10 5 2" xfId="6529"/>
    <cellStyle name="Normal 4 10 5 2 2" xfId="21063"/>
    <cellStyle name="Normal 4 10 5 2 3" xfId="21062"/>
    <cellStyle name="Normal 4 10 5 2 4" xfId="26980"/>
    <cellStyle name="Normal 4 10 5 3" xfId="21064"/>
    <cellStyle name="Normal 4 10 5 4" xfId="21061"/>
    <cellStyle name="Normal 4 10 5 5" xfId="26979"/>
    <cellStyle name="Normal 4 10 6" xfId="4878"/>
    <cellStyle name="Normal 4 10 6 2" xfId="6530"/>
    <cellStyle name="Normal 4 10 6 2 2" xfId="21067"/>
    <cellStyle name="Normal 4 10 6 2 3" xfId="21066"/>
    <cellStyle name="Normal 4 10 6 2 4" xfId="26982"/>
    <cellStyle name="Normal 4 10 6 3" xfId="21068"/>
    <cellStyle name="Normal 4 10 6 4" xfId="21065"/>
    <cellStyle name="Normal 4 10 6 5" xfId="26981"/>
    <cellStyle name="Normal 4 10 7" xfId="21069"/>
    <cellStyle name="Normal 4 10 7 2" xfId="21070"/>
    <cellStyle name="Normal 4 10 8" xfId="21071"/>
    <cellStyle name="Normal 4 10 8 2" xfId="21072"/>
    <cellStyle name="Normal 4 10 9" xfId="21073"/>
    <cellStyle name="Normal 4 11" xfId="1118"/>
    <cellStyle name="Normal 4 11 2" xfId="3988"/>
    <cellStyle name="Normal 4 11 2 2" xfId="21075"/>
    <cellStyle name="Normal 4 11 2 3" xfId="21074"/>
    <cellStyle name="Normal 4 11 3" xfId="4882"/>
    <cellStyle name="Normal 4 11 3 2" xfId="21076"/>
    <cellStyle name="Normal 4 11 4" xfId="21077"/>
    <cellStyle name="Normal 4 11 4 2" xfId="21078"/>
    <cellStyle name="Normal 4 11 5" xfId="21079"/>
    <cellStyle name="Normal 4 11 5 2" xfId="21080"/>
    <cellStyle name="Normal 4 12" xfId="1128"/>
    <cellStyle name="Normal 4 12 2" xfId="3998"/>
    <cellStyle name="Normal 4 12 2 2" xfId="21083"/>
    <cellStyle name="Normal 4 12 2 3" xfId="21082"/>
    <cellStyle name="Normal 4 12 3" xfId="21084"/>
    <cellStyle name="Normal 4 12 3 2" xfId="21085"/>
    <cellStyle name="Normal 4 12 4" xfId="21086"/>
    <cellStyle name="Normal 4 12 4 2" xfId="21087"/>
    <cellStyle name="Normal 4 12 5" xfId="21088"/>
    <cellStyle name="Normal 4 12 6" xfId="21081"/>
    <cellStyle name="Normal 4 13" xfId="1138"/>
    <cellStyle name="Normal 4 13 2" xfId="4008"/>
    <cellStyle name="Normal 4 13 2 2" xfId="21091"/>
    <cellStyle name="Normal 4 13 2 3" xfId="21090"/>
    <cellStyle name="Normal 4 13 3" xfId="21092"/>
    <cellStyle name="Normal 4 13 3 2" xfId="21093"/>
    <cellStyle name="Normal 4 13 4" xfId="21094"/>
    <cellStyle name="Normal 4 13 4 2" xfId="21095"/>
    <cellStyle name="Normal 4 13 5" xfId="21096"/>
    <cellStyle name="Normal 4 13 6" xfId="21089"/>
    <cellStyle name="Normal 4 14" xfId="1151"/>
    <cellStyle name="Normal 4 14 2" xfId="4021"/>
    <cellStyle name="Normal 4 14 2 2" xfId="21099"/>
    <cellStyle name="Normal 4 14 2 3" xfId="21098"/>
    <cellStyle name="Normal 4 14 3" xfId="21100"/>
    <cellStyle name="Normal 4 14 3 2" xfId="21101"/>
    <cellStyle name="Normal 4 14 4" xfId="21102"/>
    <cellStyle name="Normal 4 14 4 2" xfId="21103"/>
    <cellStyle name="Normal 4 14 5" xfId="21104"/>
    <cellStyle name="Normal 4 14 6" xfId="21097"/>
    <cellStyle name="Normal 4 15" xfId="1155"/>
    <cellStyle name="Normal 4 15 2" xfId="4025"/>
    <cellStyle name="Normal 4 15 2 2" xfId="21107"/>
    <cellStyle name="Normal 4 15 2 3" xfId="21106"/>
    <cellStyle name="Normal 4 15 3" xfId="21108"/>
    <cellStyle name="Normal 4 15 4" xfId="21105"/>
    <cellStyle name="Normal 4 16" xfId="1168"/>
    <cellStyle name="Normal 4 16 2" xfId="4038"/>
    <cellStyle name="Normal 4 16 2 2" xfId="21111"/>
    <cellStyle name="Normal 4 16 2 3" xfId="21110"/>
    <cellStyle name="Normal 4 16 3" xfId="21112"/>
    <cellStyle name="Normal 4 16 4" xfId="21109"/>
    <cellStyle name="Normal 4 17" xfId="1178"/>
    <cellStyle name="Normal 4 17 2" xfId="4048"/>
    <cellStyle name="Normal 4 17 2 2" xfId="21115"/>
    <cellStyle name="Normal 4 17 2 3" xfId="21114"/>
    <cellStyle name="Normal 4 17 3" xfId="21116"/>
    <cellStyle name="Normal 4 17 4" xfId="21113"/>
    <cellStyle name="Normal 4 18" xfId="1188"/>
    <cellStyle name="Normal 4 18 2" xfId="4058"/>
    <cellStyle name="Normal 4 18 2 2" xfId="21118"/>
    <cellStyle name="Normal 4 18 3" xfId="21117"/>
    <cellStyle name="Normal 4 19" xfId="1198"/>
    <cellStyle name="Normal 4 19 2" xfId="4068"/>
    <cellStyle name="Normal 4 19 2 2" xfId="21120"/>
    <cellStyle name="Normal 4 19 3" xfId="21119"/>
    <cellStyle name="Normal 4 2" xfId="1037"/>
    <cellStyle name="Normal 4 2 10" xfId="21122"/>
    <cellStyle name="Normal 4 2 10 2" xfId="21123"/>
    <cellStyle name="Normal 4 2 10 2 2" xfId="21124"/>
    <cellStyle name="Normal 4 2 10 3" xfId="21125"/>
    <cellStyle name="Normal 4 2 10 3 2" xfId="21126"/>
    <cellStyle name="Normal 4 2 10 4" xfId="21127"/>
    <cellStyle name="Normal 4 2 11" xfId="21128"/>
    <cellStyle name="Normal 4 2 11 2" xfId="21129"/>
    <cellStyle name="Normal 4 2 11 2 2" xfId="21130"/>
    <cellStyle name="Normal 4 2 11 3" xfId="21131"/>
    <cellStyle name="Normal 4 2 11 3 2" xfId="21132"/>
    <cellStyle name="Normal 4 2 11 4" xfId="21133"/>
    <cellStyle name="Normal 4 2 12" xfId="21134"/>
    <cellStyle name="Normal 4 2 12 2" xfId="21135"/>
    <cellStyle name="Normal 4 2 12 2 2" xfId="21136"/>
    <cellStyle name="Normal 4 2 12 3" xfId="21137"/>
    <cellStyle name="Normal 4 2 12 3 2" xfId="21138"/>
    <cellStyle name="Normal 4 2 12 4" xfId="21139"/>
    <cellStyle name="Normal 4 2 13" xfId="21140"/>
    <cellStyle name="Normal 4 2 13 2" xfId="21141"/>
    <cellStyle name="Normal 4 2 14" xfId="21142"/>
    <cellStyle name="Normal 4 2 14 2" xfId="21143"/>
    <cellStyle name="Normal 4 2 15" xfId="21144"/>
    <cellStyle name="Normal 4 2 15 2" xfId="21145"/>
    <cellStyle name="Normal 4 2 16" xfId="21146"/>
    <cellStyle name="Normal 4 2 16 2" xfId="21147"/>
    <cellStyle name="Normal 4 2 16 2 2" xfId="21148"/>
    <cellStyle name="Normal 4 2 16 3" xfId="21149"/>
    <cellStyle name="Normal 4 2 17" xfId="21150"/>
    <cellStyle name="Normal 4 2 17 2" xfId="21151"/>
    <cellStyle name="Normal 4 2 17 2 2" xfId="21152"/>
    <cellStyle name="Normal 4 2 17 3" xfId="21153"/>
    <cellStyle name="Normal 4 2 18" xfId="21154"/>
    <cellStyle name="Normal 4 2 18 2" xfId="21155"/>
    <cellStyle name="Normal 4 2 19" xfId="21156"/>
    <cellStyle name="Normal 4 2 19 2" xfId="21157"/>
    <cellStyle name="Normal 4 2 2" xfId="3716"/>
    <cellStyle name="Normal 4 2 2 10" xfId="24938"/>
    <cellStyle name="Normal 4 2 2 11" xfId="26983"/>
    <cellStyle name="Normal 4 2 2 2" xfId="4206"/>
    <cellStyle name="Normal 4 2 2 2 2" xfId="4886"/>
    <cellStyle name="Normal 4 2 2 2 2 2" xfId="5459"/>
    <cellStyle name="Normal 4 2 2 2 2 2 2" xfId="6534"/>
    <cellStyle name="Normal 4 2 2 2 2 2 2 2" xfId="21162"/>
    <cellStyle name="Normal 4 2 2 2 2 2 2 3" xfId="26987"/>
    <cellStyle name="Normal 4 2 2 2 2 2 3" xfId="21161"/>
    <cellStyle name="Normal 4 2 2 2 2 2 4" xfId="26986"/>
    <cellStyle name="Normal 4 2 2 2 2 3" xfId="5769"/>
    <cellStyle name="Normal 4 2 2 2 2 3 2" xfId="6535"/>
    <cellStyle name="Normal 4 2 2 2 2 3 2 2" xfId="26989"/>
    <cellStyle name="Normal 4 2 2 2 2 3 3" xfId="21163"/>
    <cellStyle name="Normal 4 2 2 2 2 3 4" xfId="26988"/>
    <cellStyle name="Normal 4 2 2 2 2 4" xfId="6533"/>
    <cellStyle name="Normal 4 2 2 2 2 4 2" xfId="26990"/>
    <cellStyle name="Normal 4 2 2 2 2 5" xfId="21160"/>
    <cellStyle name="Normal 4 2 2 2 2 6" xfId="26985"/>
    <cellStyle name="Normal 4 2 2 2 3" xfId="5458"/>
    <cellStyle name="Normal 4 2 2 2 3 2" xfId="6536"/>
    <cellStyle name="Normal 4 2 2 2 3 2 2" xfId="21166"/>
    <cellStyle name="Normal 4 2 2 2 3 2 3" xfId="21165"/>
    <cellStyle name="Normal 4 2 2 2 3 2 4" xfId="26992"/>
    <cellStyle name="Normal 4 2 2 2 3 3" xfId="21167"/>
    <cellStyle name="Normal 4 2 2 2 3 3 2" xfId="21168"/>
    <cellStyle name="Normal 4 2 2 2 3 4" xfId="21169"/>
    <cellStyle name="Normal 4 2 2 2 3 5" xfId="21164"/>
    <cellStyle name="Normal 4 2 2 2 3 6" xfId="26991"/>
    <cellStyle name="Normal 4 2 2 2 4" xfId="5768"/>
    <cellStyle name="Normal 4 2 2 2 4 2" xfId="6537"/>
    <cellStyle name="Normal 4 2 2 2 4 2 2" xfId="21171"/>
    <cellStyle name="Normal 4 2 2 2 4 2 3" xfId="26994"/>
    <cellStyle name="Normal 4 2 2 2 4 3" xfId="21170"/>
    <cellStyle name="Normal 4 2 2 2 4 4" xfId="26993"/>
    <cellStyle name="Normal 4 2 2 2 5" xfId="4885"/>
    <cellStyle name="Normal 4 2 2 2 5 2" xfId="6538"/>
    <cellStyle name="Normal 4 2 2 2 5 2 2" xfId="21173"/>
    <cellStyle name="Normal 4 2 2 2 5 2 3" xfId="26996"/>
    <cellStyle name="Normal 4 2 2 2 5 3" xfId="21172"/>
    <cellStyle name="Normal 4 2 2 2 5 4" xfId="26995"/>
    <cellStyle name="Normal 4 2 2 2 6" xfId="6532"/>
    <cellStyle name="Normal 4 2 2 2 6 2" xfId="21174"/>
    <cellStyle name="Normal 4 2 2 2 6 3" xfId="26997"/>
    <cellStyle name="Normal 4 2 2 2 7" xfId="21159"/>
    <cellStyle name="Normal 4 2 2 2 8" xfId="25058"/>
    <cellStyle name="Normal 4 2 2 2 9" xfId="26984"/>
    <cellStyle name="Normal 4 2 2 3" xfId="4887"/>
    <cellStyle name="Normal 4 2 2 3 2" xfId="5460"/>
    <cellStyle name="Normal 4 2 2 3 2 2" xfId="6540"/>
    <cellStyle name="Normal 4 2 2 3 2 2 2" xfId="21177"/>
    <cellStyle name="Normal 4 2 2 3 2 2 3" xfId="27000"/>
    <cellStyle name="Normal 4 2 2 3 2 3" xfId="21176"/>
    <cellStyle name="Normal 4 2 2 3 2 4" xfId="26999"/>
    <cellStyle name="Normal 4 2 2 3 3" xfId="5770"/>
    <cellStyle name="Normal 4 2 2 3 3 2" xfId="6541"/>
    <cellStyle name="Normal 4 2 2 3 3 2 2" xfId="27002"/>
    <cellStyle name="Normal 4 2 2 3 3 3" xfId="21178"/>
    <cellStyle name="Normal 4 2 2 3 3 4" xfId="27001"/>
    <cellStyle name="Normal 4 2 2 3 4" xfId="6539"/>
    <cellStyle name="Normal 4 2 2 3 4 2" xfId="27003"/>
    <cellStyle name="Normal 4 2 2 3 5" xfId="21175"/>
    <cellStyle name="Normal 4 2 2 3 6" xfId="26998"/>
    <cellStyle name="Normal 4 2 2 4" xfId="5457"/>
    <cellStyle name="Normal 4 2 2 4 2" xfId="6542"/>
    <cellStyle name="Normal 4 2 2 4 2 2" xfId="21180"/>
    <cellStyle name="Normal 4 2 2 4 2 3" xfId="27005"/>
    <cellStyle name="Normal 4 2 2 4 3" xfId="21179"/>
    <cellStyle name="Normal 4 2 2 4 4" xfId="27004"/>
    <cellStyle name="Normal 4 2 2 5" xfId="5767"/>
    <cellStyle name="Normal 4 2 2 5 2" xfId="6543"/>
    <cellStyle name="Normal 4 2 2 5 2 2" xfId="21183"/>
    <cellStyle name="Normal 4 2 2 5 2 3" xfId="21182"/>
    <cellStyle name="Normal 4 2 2 5 2 4" xfId="27007"/>
    <cellStyle name="Normal 4 2 2 5 3" xfId="21184"/>
    <cellStyle name="Normal 4 2 2 5 3 2" xfId="21185"/>
    <cellStyle name="Normal 4 2 2 5 4" xfId="21186"/>
    <cellStyle name="Normal 4 2 2 5 5" xfId="21181"/>
    <cellStyle name="Normal 4 2 2 5 6" xfId="27006"/>
    <cellStyle name="Normal 4 2 2 6" xfId="4884"/>
    <cellStyle name="Normal 4 2 2 6 2" xfId="6544"/>
    <cellStyle name="Normal 4 2 2 6 2 2" xfId="21188"/>
    <cellStyle name="Normal 4 2 2 6 2 3" xfId="27009"/>
    <cellStyle name="Normal 4 2 2 6 3" xfId="21187"/>
    <cellStyle name="Normal 4 2 2 6 4" xfId="27008"/>
    <cellStyle name="Normal 4 2 2 7" xfId="6531"/>
    <cellStyle name="Normal 4 2 2 7 2" xfId="21190"/>
    <cellStyle name="Normal 4 2 2 7 3" xfId="21189"/>
    <cellStyle name="Normal 4 2 2 7 4" xfId="27010"/>
    <cellStyle name="Normal 4 2 2 8" xfId="21191"/>
    <cellStyle name="Normal 4 2 2 9" xfId="21158"/>
    <cellStyle name="Normal 4 2 20" xfId="21192"/>
    <cellStyle name="Normal 4 2 21" xfId="21121"/>
    <cellStyle name="Normal 4 2 3" xfId="1362"/>
    <cellStyle name="Normal 4 2 3 10" xfId="24894"/>
    <cellStyle name="Normal 4 2 3 11" xfId="27011"/>
    <cellStyle name="Normal 4 2 3 2" xfId="4162"/>
    <cellStyle name="Normal 4 2 3 2 2" xfId="5462"/>
    <cellStyle name="Normal 4 2 3 2 2 2" xfId="6547"/>
    <cellStyle name="Normal 4 2 3 2 2 2 2" xfId="21196"/>
    <cellStyle name="Normal 4 2 3 2 2 2 3" xfId="27014"/>
    <cellStyle name="Normal 4 2 3 2 2 3" xfId="21195"/>
    <cellStyle name="Normal 4 2 3 2 2 4" xfId="27013"/>
    <cellStyle name="Normal 4 2 3 2 3" xfId="5772"/>
    <cellStyle name="Normal 4 2 3 2 3 2" xfId="6548"/>
    <cellStyle name="Normal 4 2 3 2 3 2 2" xfId="27016"/>
    <cellStyle name="Normal 4 2 3 2 3 3" xfId="21197"/>
    <cellStyle name="Normal 4 2 3 2 3 4" xfId="27015"/>
    <cellStyle name="Normal 4 2 3 2 4" xfId="4889"/>
    <cellStyle name="Normal 4 2 3 2 4 2" xfId="6549"/>
    <cellStyle name="Normal 4 2 3 2 4 2 2" xfId="27018"/>
    <cellStyle name="Normal 4 2 3 2 4 3" xfId="27017"/>
    <cellStyle name="Normal 4 2 3 2 5" xfId="6546"/>
    <cellStyle name="Normal 4 2 3 2 5 2" xfId="27019"/>
    <cellStyle name="Normal 4 2 3 2 6" xfId="21194"/>
    <cellStyle name="Normal 4 2 3 2 7" xfId="25014"/>
    <cellStyle name="Normal 4 2 3 2 8" xfId="27012"/>
    <cellStyle name="Normal 4 2 3 3" xfId="5461"/>
    <cellStyle name="Normal 4 2 3 3 2" xfId="6550"/>
    <cellStyle name="Normal 4 2 3 3 2 2" xfId="21199"/>
    <cellStyle name="Normal 4 2 3 3 2 3" xfId="27021"/>
    <cellStyle name="Normal 4 2 3 3 3" xfId="21198"/>
    <cellStyle name="Normal 4 2 3 3 4" xfId="27020"/>
    <cellStyle name="Normal 4 2 3 4" xfId="5771"/>
    <cellStyle name="Normal 4 2 3 4 2" xfId="6551"/>
    <cellStyle name="Normal 4 2 3 4 2 2" xfId="21201"/>
    <cellStyle name="Normal 4 2 3 4 2 3" xfId="27023"/>
    <cellStyle name="Normal 4 2 3 4 3" xfId="21200"/>
    <cellStyle name="Normal 4 2 3 4 4" xfId="27022"/>
    <cellStyle name="Normal 4 2 3 5" xfId="4888"/>
    <cellStyle name="Normal 4 2 3 5 2" xfId="6552"/>
    <cellStyle name="Normal 4 2 3 5 2 2" xfId="21204"/>
    <cellStyle name="Normal 4 2 3 5 2 3" xfId="21203"/>
    <cellStyle name="Normal 4 2 3 5 2 4" xfId="27025"/>
    <cellStyle name="Normal 4 2 3 5 3" xfId="21205"/>
    <cellStyle name="Normal 4 2 3 5 3 2" xfId="21206"/>
    <cellStyle name="Normal 4 2 3 5 4" xfId="21207"/>
    <cellStyle name="Normal 4 2 3 5 5" xfId="21202"/>
    <cellStyle name="Normal 4 2 3 5 6" xfId="27024"/>
    <cellStyle name="Normal 4 2 3 6" xfId="6545"/>
    <cellStyle name="Normal 4 2 3 6 2" xfId="21209"/>
    <cellStyle name="Normal 4 2 3 6 3" xfId="21208"/>
    <cellStyle name="Normal 4 2 3 6 4" xfId="27026"/>
    <cellStyle name="Normal 4 2 3 7" xfId="21210"/>
    <cellStyle name="Normal 4 2 3 7 2" xfId="21211"/>
    <cellStyle name="Normal 4 2 3 8" xfId="21212"/>
    <cellStyle name="Normal 4 2 3 9" xfId="21193"/>
    <cellStyle name="Normal 4 2 4" xfId="3902"/>
    <cellStyle name="Normal 4 2 4 2" xfId="5463"/>
    <cellStyle name="Normal 4 2 4 2 2" xfId="6553"/>
    <cellStyle name="Normal 4 2 4 2 2 2" xfId="21215"/>
    <cellStyle name="Normal 4 2 4 2 2 3" xfId="27028"/>
    <cellStyle name="Normal 4 2 4 2 3" xfId="21214"/>
    <cellStyle name="Normal 4 2 4 2 4" xfId="27027"/>
    <cellStyle name="Normal 4 2 4 3" xfId="5773"/>
    <cellStyle name="Normal 4 2 4 3 2" xfId="6554"/>
    <cellStyle name="Normal 4 2 4 3 2 2" xfId="21217"/>
    <cellStyle name="Normal 4 2 4 3 2 3" xfId="27030"/>
    <cellStyle name="Normal 4 2 4 3 3" xfId="21216"/>
    <cellStyle name="Normal 4 2 4 3 4" xfId="27029"/>
    <cellStyle name="Normal 4 2 4 4" xfId="4890"/>
    <cellStyle name="Normal 4 2 4 4 2" xfId="6555"/>
    <cellStyle name="Normal 4 2 4 4 2 2" xfId="21219"/>
    <cellStyle name="Normal 4 2 4 4 2 3" xfId="27032"/>
    <cellStyle name="Normal 4 2 4 4 3" xfId="21218"/>
    <cellStyle name="Normal 4 2 4 4 4" xfId="27031"/>
    <cellStyle name="Normal 4 2 4 5" xfId="21220"/>
    <cellStyle name="Normal 4 2 4 6" xfId="21213"/>
    <cellStyle name="Normal 4 2 5" xfId="5456"/>
    <cellStyle name="Normal 4 2 5 2" xfId="6556"/>
    <cellStyle name="Normal 4 2 5 2 2" xfId="21223"/>
    <cellStyle name="Normal 4 2 5 2 3" xfId="21222"/>
    <cellStyle name="Normal 4 2 5 2 4" xfId="27034"/>
    <cellStyle name="Normal 4 2 5 3" xfId="21224"/>
    <cellStyle name="Normal 4 2 5 3 2" xfId="21225"/>
    <cellStyle name="Normal 4 2 5 4" xfId="21226"/>
    <cellStyle name="Normal 4 2 5 5" xfId="21221"/>
    <cellStyle name="Normal 4 2 5 6" xfId="27033"/>
    <cellStyle name="Normal 4 2 6" xfId="5766"/>
    <cellStyle name="Normal 4 2 6 2" xfId="6557"/>
    <cellStyle name="Normal 4 2 6 2 2" xfId="21229"/>
    <cellStyle name="Normal 4 2 6 2 3" xfId="21228"/>
    <cellStyle name="Normal 4 2 6 2 4" xfId="27036"/>
    <cellStyle name="Normal 4 2 6 3" xfId="21230"/>
    <cellStyle name="Normal 4 2 6 3 2" xfId="21231"/>
    <cellStyle name="Normal 4 2 6 4" xfId="21232"/>
    <cellStyle name="Normal 4 2 6 5" xfId="21227"/>
    <cellStyle name="Normal 4 2 6 6" xfId="27035"/>
    <cellStyle name="Normal 4 2 7" xfId="4883"/>
    <cellStyle name="Normal 4 2 7 2" xfId="6558"/>
    <cellStyle name="Normal 4 2 7 2 2" xfId="21235"/>
    <cellStyle name="Normal 4 2 7 2 3" xfId="21234"/>
    <cellStyle name="Normal 4 2 7 2 4" xfId="27038"/>
    <cellStyle name="Normal 4 2 7 3" xfId="21236"/>
    <cellStyle name="Normal 4 2 7 3 2" xfId="21237"/>
    <cellStyle name="Normal 4 2 7 4" xfId="21238"/>
    <cellStyle name="Normal 4 2 7 5" xfId="21233"/>
    <cellStyle name="Normal 4 2 7 6" xfId="27037"/>
    <cellStyle name="Normal 4 2 8" xfId="21239"/>
    <cellStyle name="Normal 4 2 8 2" xfId="21240"/>
    <cellStyle name="Normal 4 2 8 2 2" xfId="21241"/>
    <cellStyle name="Normal 4 2 8 3" xfId="21242"/>
    <cellStyle name="Normal 4 2 8 3 2" xfId="21243"/>
    <cellStyle name="Normal 4 2 8 4" xfId="21244"/>
    <cellStyle name="Normal 4 2 9" xfId="21245"/>
    <cellStyle name="Normal 4 2 9 2" xfId="21246"/>
    <cellStyle name="Normal 4 2 9 2 2" xfId="21247"/>
    <cellStyle name="Normal 4 2 9 3" xfId="21248"/>
    <cellStyle name="Normal 4 2 9 3 2" xfId="21249"/>
    <cellStyle name="Normal 4 2 9 4" xfId="21250"/>
    <cellStyle name="Normal 4 20" xfId="1208"/>
    <cellStyle name="Normal 4 20 2" xfId="4078"/>
    <cellStyle name="Normal 4 20 2 2" xfId="21252"/>
    <cellStyle name="Normal 4 20 3" xfId="21251"/>
    <cellStyle name="Normal 4 21" xfId="1218"/>
    <cellStyle name="Normal 4 21 2" xfId="4088"/>
    <cellStyle name="Normal 4 21 2 2" xfId="21254"/>
    <cellStyle name="Normal 4 21 3" xfId="21253"/>
    <cellStyle name="Normal 4 22" xfId="1228"/>
    <cellStyle name="Normal 4 22 2" xfId="4098"/>
    <cellStyle name="Normal 4 22 3" xfId="28687"/>
    <cellStyle name="Normal 4 23" xfId="1238"/>
    <cellStyle name="Normal 4 23 2" xfId="4108"/>
    <cellStyle name="Normal 4 24" xfId="1248"/>
    <cellStyle name="Normal 4 24 2" xfId="4118"/>
    <cellStyle name="Normal 4 25" xfId="1258"/>
    <cellStyle name="Normal 4 25 2" xfId="4128"/>
    <cellStyle name="Normal 4 26" xfId="3627"/>
    <cellStyle name="Normal 4 27" xfId="3829"/>
    <cellStyle name="Normal 4 27 2" xfId="6559"/>
    <cellStyle name="Normal 4 27 2 2" xfId="27040"/>
    <cellStyle name="Normal 4 27 3" xfId="24965"/>
    <cellStyle name="Normal 4 27 4" xfId="27039"/>
    <cellStyle name="Normal 4 28" xfId="502"/>
    <cellStyle name="Normal 4 28 2" xfId="6560"/>
    <cellStyle name="Normal 4 28 2 2" xfId="27042"/>
    <cellStyle name="Normal 4 28 3" xfId="27041"/>
    <cellStyle name="Normal 4 29" xfId="24843"/>
    <cellStyle name="Normal 4 3" xfId="1043"/>
    <cellStyle name="Normal 4 3 2" xfId="1534"/>
    <cellStyle name="Normal 4 3 2 10" xfId="24919"/>
    <cellStyle name="Normal 4 3 2 11" xfId="27043"/>
    <cellStyle name="Normal 4 3 2 2" xfId="4187"/>
    <cellStyle name="Normal 4 3 2 2 2" xfId="4893"/>
    <cellStyle name="Normal 4 3 2 2 2 2" xfId="5466"/>
    <cellStyle name="Normal 4 3 2 2 2 2 2" xfId="6564"/>
    <cellStyle name="Normal 4 3 2 2 2 2 2 2" xfId="21259"/>
    <cellStyle name="Normal 4 3 2 2 2 2 2 3" xfId="27047"/>
    <cellStyle name="Normal 4 3 2 2 2 2 3" xfId="21258"/>
    <cellStyle name="Normal 4 3 2 2 2 2 4" xfId="27046"/>
    <cellStyle name="Normal 4 3 2 2 2 3" xfId="5776"/>
    <cellStyle name="Normal 4 3 2 2 2 3 2" xfId="6565"/>
    <cellStyle name="Normal 4 3 2 2 2 3 2 2" xfId="27049"/>
    <cellStyle name="Normal 4 3 2 2 2 3 3" xfId="21260"/>
    <cellStyle name="Normal 4 3 2 2 2 3 4" xfId="27048"/>
    <cellStyle name="Normal 4 3 2 2 2 4" xfId="6563"/>
    <cellStyle name="Normal 4 3 2 2 2 4 2" xfId="27050"/>
    <cellStyle name="Normal 4 3 2 2 2 5" xfId="21257"/>
    <cellStyle name="Normal 4 3 2 2 2 6" xfId="27045"/>
    <cellStyle name="Normal 4 3 2 2 3" xfId="5465"/>
    <cellStyle name="Normal 4 3 2 2 3 2" xfId="6566"/>
    <cellStyle name="Normal 4 3 2 2 3 2 2" xfId="21263"/>
    <cellStyle name="Normal 4 3 2 2 3 2 3" xfId="21262"/>
    <cellStyle name="Normal 4 3 2 2 3 2 4" xfId="27052"/>
    <cellStyle name="Normal 4 3 2 2 3 3" xfId="21264"/>
    <cellStyle name="Normal 4 3 2 2 3 3 2" xfId="21265"/>
    <cellStyle name="Normal 4 3 2 2 3 4" xfId="21266"/>
    <cellStyle name="Normal 4 3 2 2 3 5" xfId="21261"/>
    <cellStyle name="Normal 4 3 2 2 3 6" xfId="27051"/>
    <cellStyle name="Normal 4 3 2 2 4" xfId="5775"/>
    <cellStyle name="Normal 4 3 2 2 4 2" xfId="6567"/>
    <cellStyle name="Normal 4 3 2 2 4 2 2" xfId="21268"/>
    <cellStyle name="Normal 4 3 2 2 4 2 3" xfId="27054"/>
    <cellStyle name="Normal 4 3 2 2 4 3" xfId="21267"/>
    <cellStyle name="Normal 4 3 2 2 4 4" xfId="27053"/>
    <cellStyle name="Normal 4 3 2 2 5" xfId="4892"/>
    <cellStyle name="Normal 4 3 2 2 5 2" xfId="6568"/>
    <cellStyle name="Normal 4 3 2 2 5 2 2" xfId="21270"/>
    <cellStyle name="Normal 4 3 2 2 5 2 3" xfId="27056"/>
    <cellStyle name="Normal 4 3 2 2 5 3" xfId="21269"/>
    <cellStyle name="Normal 4 3 2 2 5 4" xfId="27055"/>
    <cellStyle name="Normal 4 3 2 2 6" xfId="6562"/>
    <cellStyle name="Normal 4 3 2 2 6 2" xfId="21271"/>
    <cellStyle name="Normal 4 3 2 2 6 3" xfId="27057"/>
    <cellStyle name="Normal 4 3 2 2 7" xfId="21256"/>
    <cellStyle name="Normal 4 3 2 2 8" xfId="25039"/>
    <cellStyle name="Normal 4 3 2 2 9" xfId="27044"/>
    <cellStyle name="Normal 4 3 2 3" xfId="4894"/>
    <cellStyle name="Normal 4 3 2 3 2" xfId="5467"/>
    <cellStyle name="Normal 4 3 2 3 2 2" xfId="6570"/>
    <cellStyle name="Normal 4 3 2 3 2 2 2" xfId="21274"/>
    <cellStyle name="Normal 4 3 2 3 2 2 3" xfId="27060"/>
    <cellStyle name="Normal 4 3 2 3 2 3" xfId="21273"/>
    <cellStyle name="Normal 4 3 2 3 2 4" xfId="27059"/>
    <cellStyle name="Normal 4 3 2 3 3" xfId="5777"/>
    <cellStyle name="Normal 4 3 2 3 3 2" xfId="6571"/>
    <cellStyle name="Normal 4 3 2 3 3 2 2" xfId="27062"/>
    <cellStyle name="Normal 4 3 2 3 3 3" xfId="21275"/>
    <cellStyle name="Normal 4 3 2 3 3 4" xfId="27061"/>
    <cellStyle name="Normal 4 3 2 3 4" xfId="6569"/>
    <cellStyle name="Normal 4 3 2 3 4 2" xfId="27063"/>
    <cellStyle name="Normal 4 3 2 3 5" xfId="21272"/>
    <cellStyle name="Normal 4 3 2 3 6" xfId="27058"/>
    <cellStyle name="Normal 4 3 2 4" xfId="5464"/>
    <cellStyle name="Normal 4 3 2 4 2" xfId="6572"/>
    <cellStyle name="Normal 4 3 2 4 2 2" xfId="21277"/>
    <cellStyle name="Normal 4 3 2 4 2 3" xfId="27065"/>
    <cellStyle name="Normal 4 3 2 4 3" xfId="21276"/>
    <cellStyle name="Normal 4 3 2 4 4" xfId="27064"/>
    <cellStyle name="Normal 4 3 2 5" xfId="5774"/>
    <cellStyle name="Normal 4 3 2 5 2" xfId="6573"/>
    <cellStyle name="Normal 4 3 2 5 2 2" xfId="21280"/>
    <cellStyle name="Normal 4 3 2 5 2 3" xfId="21279"/>
    <cellStyle name="Normal 4 3 2 5 2 4" xfId="27067"/>
    <cellStyle name="Normal 4 3 2 5 3" xfId="21281"/>
    <cellStyle name="Normal 4 3 2 5 3 2" xfId="21282"/>
    <cellStyle name="Normal 4 3 2 5 4" xfId="21283"/>
    <cellStyle name="Normal 4 3 2 5 5" xfId="21278"/>
    <cellStyle name="Normal 4 3 2 5 6" xfId="27066"/>
    <cellStyle name="Normal 4 3 2 6" xfId="4891"/>
    <cellStyle name="Normal 4 3 2 6 2" xfId="6574"/>
    <cellStyle name="Normal 4 3 2 6 2 2" xfId="21285"/>
    <cellStyle name="Normal 4 3 2 6 2 3" xfId="27069"/>
    <cellStyle name="Normal 4 3 2 6 3" xfId="21284"/>
    <cellStyle name="Normal 4 3 2 6 4" xfId="27068"/>
    <cellStyle name="Normal 4 3 2 7" xfId="6561"/>
    <cellStyle name="Normal 4 3 2 7 2" xfId="21287"/>
    <cellStyle name="Normal 4 3 2 7 3" xfId="21286"/>
    <cellStyle name="Normal 4 3 2 7 4" xfId="27070"/>
    <cellStyle name="Normal 4 3 2 8" xfId="21288"/>
    <cellStyle name="Normal 4 3 2 9" xfId="21255"/>
    <cellStyle name="Normal 4 3 3" xfId="1659"/>
    <cellStyle name="Normal 4 3 3 10" xfId="27071"/>
    <cellStyle name="Normal 4 3 3 2" xfId="4196"/>
    <cellStyle name="Normal 4 3 3 2 2" xfId="4897"/>
    <cellStyle name="Normal 4 3 3 2 2 2" xfId="5470"/>
    <cellStyle name="Normal 4 3 3 2 2 2 2" xfId="6578"/>
    <cellStyle name="Normal 4 3 3 2 2 2 2 2" xfId="21293"/>
    <cellStyle name="Normal 4 3 3 2 2 2 2 3" xfId="27075"/>
    <cellStyle name="Normal 4 3 3 2 2 2 3" xfId="21292"/>
    <cellStyle name="Normal 4 3 3 2 2 2 4" xfId="27074"/>
    <cellStyle name="Normal 4 3 3 2 2 3" xfId="5780"/>
    <cellStyle name="Normal 4 3 3 2 2 3 2" xfId="6579"/>
    <cellStyle name="Normal 4 3 3 2 2 3 2 2" xfId="21295"/>
    <cellStyle name="Normal 4 3 3 2 2 3 2 3" xfId="27077"/>
    <cellStyle name="Normal 4 3 3 2 2 3 3" xfId="21294"/>
    <cellStyle name="Normal 4 3 3 2 2 3 4" xfId="27076"/>
    <cellStyle name="Normal 4 3 3 2 2 4" xfId="6577"/>
    <cellStyle name="Normal 4 3 3 2 2 4 2" xfId="21296"/>
    <cellStyle name="Normal 4 3 3 2 2 4 3" xfId="27078"/>
    <cellStyle name="Normal 4 3 3 2 2 5" xfId="21291"/>
    <cellStyle name="Normal 4 3 3 2 2 6" xfId="27073"/>
    <cellStyle name="Normal 4 3 3 2 3" xfId="5469"/>
    <cellStyle name="Normal 4 3 3 2 3 2" xfId="6580"/>
    <cellStyle name="Normal 4 3 3 2 3 2 2" xfId="21298"/>
    <cellStyle name="Normal 4 3 3 2 3 2 3" xfId="27080"/>
    <cellStyle name="Normal 4 3 3 2 3 3" xfId="21297"/>
    <cellStyle name="Normal 4 3 3 2 3 4" xfId="27079"/>
    <cellStyle name="Normal 4 3 3 2 4" xfId="5779"/>
    <cellStyle name="Normal 4 3 3 2 4 2" xfId="6581"/>
    <cellStyle name="Normal 4 3 3 2 4 2 2" xfId="21300"/>
    <cellStyle name="Normal 4 3 3 2 4 2 3" xfId="27082"/>
    <cellStyle name="Normal 4 3 3 2 4 3" xfId="21299"/>
    <cellStyle name="Normal 4 3 3 2 4 4" xfId="27081"/>
    <cellStyle name="Normal 4 3 3 2 5" xfId="4896"/>
    <cellStyle name="Normal 4 3 3 2 5 2" xfId="6582"/>
    <cellStyle name="Normal 4 3 3 2 5 2 2" xfId="27084"/>
    <cellStyle name="Normal 4 3 3 2 5 3" xfId="21301"/>
    <cellStyle name="Normal 4 3 3 2 5 4" xfId="27083"/>
    <cellStyle name="Normal 4 3 3 2 6" xfId="6576"/>
    <cellStyle name="Normal 4 3 3 2 6 2" xfId="27085"/>
    <cellStyle name="Normal 4 3 3 2 7" xfId="21290"/>
    <cellStyle name="Normal 4 3 3 2 8" xfId="25048"/>
    <cellStyle name="Normal 4 3 3 2 9" xfId="27072"/>
    <cellStyle name="Normal 4 3 3 3" xfId="4898"/>
    <cellStyle name="Normal 4 3 3 3 2" xfId="5471"/>
    <cellStyle name="Normal 4 3 3 3 2 2" xfId="6584"/>
    <cellStyle name="Normal 4 3 3 3 2 2 2" xfId="21304"/>
    <cellStyle name="Normal 4 3 3 3 2 2 3" xfId="27088"/>
    <cellStyle name="Normal 4 3 3 3 2 3" xfId="21303"/>
    <cellStyle name="Normal 4 3 3 3 2 4" xfId="27087"/>
    <cellStyle name="Normal 4 3 3 3 3" xfId="5781"/>
    <cellStyle name="Normal 4 3 3 3 3 2" xfId="6585"/>
    <cellStyle name="Normal 4 3 3 3 3 2 2" xfId="27090"/>
    <cellStyle name="Normal 4 3 3 3 3 3" xfId="21305"/>
    <cellStyle name="Normal 4 3 3 3 3 4" xfId="27089"/>
    <cellStyle name="Normal 4 3 3 3 4" xfId="6583"/>
    <cellStyle name="Normal 4 3 3 3 4 2" xfId="27091"/>
    <cellStyle name="Normal 4 3 3 3 5" xfId="21302"/>
    <cellStyle name="Normal 4 3 3 3 6" xfId="27086"/>
    <cellStyle name="Normal 4 3 3 4" xfId="5468"/>
    <cellStyle name="Normal 4 3 3 4 2" xfId="6586"/>
    <cellStyle name="Normal 4 3 3 4 2 2" xfId="21308"/>
    <cellStyle name="Normal 4 3 3 4 2 3" xfId="21307"/>
    <cellStyle name="Normal 4 3 3 4 2 4" xfId="27093"/>
    <cellStyle name="Normal 4 3 3 4 3" xfId="21309"/>
    <cellStyle name="Normal 4 3 3 4 3 2" xfId="21310"/>
    <cellStyle name="Normal 4 3 3 4 4" xfId="21311"/>
    <cellStyle name="Normal 4 3 3 4 5" xfId="21306"/>
    <cellStyle name="Normal 4 3 3 4 6" xfId="27092"/>
    <cellStyle name="Normal 4 3 3 5" xfId="5778"/>
    <cellStyle name="Normal 4 3 3 5 2" xfId="6587"/>
    <cellStyle name="Normal 4 3 3 5 2 2" xfId="21313"/>
    <cellStyle name="Normal 4 3 3 5 2 3" xfId="27095"/>
    <cellStyle name="Normal 4 3 3 5 3" xfId="21312"/>
    <cellStyle name="Normal 4 3 3 5 4" xfId="27094"/>
    <cellStyle name="Normal 4 3 3 6" xfId="4895"/>
    <cellStyle name="Normal 4 3 3 6 2" xfId="6588"/>
    <cellStyle name="Normal 4 3 3 6 2 2" xfId="21315"/>
    <cellStyle name="Normal 4 3 3 6 2 3" xfId="27097"/>
    <cellStyle name="Normal 4 3 3 6 3" xfId="21314"/>
    <cellStyle name="Normal 4 3 3 6 4" xfId="27096"/>
    <cellStyle name="Normal 4 3 3 7" xfId="6575"/>
    <cellStyle name="Normal 4 3 3 7 2" xfId="21316"/>
    <cellStyle name="Normal 4 3 3 7 3" xfId="27098"/>
    <cellStyle name="Normal 4 3 3 8" xfId="21289"/>
    <cellStyle name="Normal 4 3 3 9" xfId="24928"/>
    <cellStyle name="Normal 4 3 4" xfId="3623"/>
    <cellStyle name="Normal 4 3 4 10" xfId="27099"/>
    <cellStyle name="Normal 4 3 4 2" xfId="4201"/>
    <cellStyle name="Normal 4 3 4 2 2" xfId="4901"/>
    <cellStyle name="Normal 4 3 4 2 2 2" xfId="5474"/>
    <cellStyle name="Normal 4 3 4 2 2 2 2" xfId="6592"/>
    <cellStyle name="Normal 4 3 4 2 2 2 2 2" xfId="21321"/>
    <cellStyle name="Normal 4 3 4 2 2 2 2 3" xfId="27103"/>
    <cellStyle name="Normal 4 3 4 2 2 2 3" xfId="21320"/>
    <cellStyle name="Normal 4 3 4 2 2 2 4" xfId="27102"/>
    <cellStyle name="Normal 4 3 4 2 2 3" xfId="5784"/>
    <cellStyle name="Normal 4 3 4 2 2 3 2" xfId="6593"/>
    <cellStyle name="Normal 4 3 4 2 2 3 2 2" xfId="21323"/>
    <cellStyle name="Normal 4 3 4 2 2 3 2 3" xfId="27105"/>
    <cellStyle name="Normal 4 3 4 2 2 3 3" xfId="21322"/>
    <cellStyle name="Normal 4 3 4 2 2 3 4" xfId="27104"/>
    <cellStyle name="Normal 4 3 4 2 2 4" xfId="6591"/>
    <cellStyle name="Normal 4 3 4 2 2 4 2" xfId="21324"/>
    <cellStyle name="Normal 4 3 4 2 2 4 3" xfId="27106"/>
    <cellStyle name="Normal 4 3 4 2 2 5" xfId="21319"/>
    <cellStyle name="Normal 4 3 4 2 2 6" xfId="27101"/>
    <cellStyle name="Normal 4 3 4 2 3" xfId="5473"/>
    <cellStyle name="Normal 4 3 4 2 3 2" xfId="6594"/>
    <cellStyle name="Normal 4 3 4 2 3 2 2" xfId="21326"/>
    <cellStyle name="Normal 4 3 4 2 3 2 3" xfId="27108"/>
    <cellStyle name="Normal 4 3 4 2 3 3" xfId="21325"/>
    <cellStyle name="Normal 4 3 4 2 3 4" xfId="27107"/>
    <cellStyle name="Normal 4 3 4 2 4" xfId="5783"/>
    <cellStyle name="Normal 4 3 4 2 4 2" xfId="6595"/>
    <cellStyle name="Normal 4 3 4 2 4 2 2" xfId="21328"/>
    <cellStyle name="Normal 4 3 4 2 4 2 3" xfId="27110"/>
    <cellStyle name="Normal 4 3 4 2 4 3" xfId="21327"/>
    <cellStyle name="Normal 4 3 4 2 4 4" xfId="27109"/>
    <cellStyle name="Normal 4 3 4 2 5" xfId="4900"/>
    <cellStyle name="Normal 4 3 4 2 5 2" xfId="6596"/>
    <cellStyle name="Normal 4 3 4 2 5 2 2" xfId="27112"/>
    <cellStyle name="Normal 4 3 4 2 5 3" xfId="21329"/>
    <cellStyle name="Normal 4 3 4 2 5 4" xfId="27111"/>
    <cellStyle name="Normal 4 3 4 2 6" xfId="6590"/>
    <cellStyle name="Normal 4 3 4 2 6 2" xfId="27113"/>
    <cellStyle name="Normal 4 3 4 2 7" xfId="21318"/>
    <cellStyle name="Normal 4 3 4 2 8" xfId="25053"/>
    <cellStyle name="Normal 4 3 4 2 9" xfId="27100"/>
    <cellStyle name="Normal 4 3 4 3" xfId="4902"/>
    <cellStyle name="Normal 4 3 4 3 2" xfId="5475"/>
    <cellStyle name="Normal 4 3 4 3 2 2" xfId="6598"/>
    <cellStyle name="Normal 4 3 4 3 2 2 2" xfId="21332"/>
    <cellStyle name="Normal 4 3 4 3 2 2 3" xfId="27116"/>
    <cellStyle name="Normal 4 3 4 3 2 3" xfId="21331"/>
    <cellStyle name="Normal 4 3 4 3 2 4" xfId="27115"/>
    <cellStyle name="Normal 4 3 4 3 3" xfId="5785"/>
    <cellStyle name="Normal 4 3 4 3 3 2" xfId="6599"/>
    <cellStyle name="Normal 4 3 4 3 3 2 2" xfId="27118"/>
    <cellStyle name="Normal 4 3 4 3 3 3" xfId="21333"/>
    <cellStyle name="Normal 4 3 4 3 3 4" xfId="27117"/>
    <cellStyle name="Normal 4 3 4 3 4" xfId="6597"/>
    <cellStyle name="Normal 4 3 4 3 4 2" xfId="27119"/>
    <cellStyle name="Normal 4 3 4 3 5" xfId="21330"/>
    <cellStyle name="Normal 4 3 4 3 6" xfId="27114"/>
    <cellStyle name="Normal 4 3 4 4" xfId="5472"/>
    <cellStyle name="Normal 4 3 4 4 2" xfId="6600"/>
    <cellStyle name="Normal 4 3 4 4 2 2" xfId="21336"/>
    <cellStyle name="Normal 4 3 4 4 2 3" xfId="21335"/>
    <cellStyle name="Normal 4 3 4 4 2 4" xfId="27121"/>
    <cellStyle name="Normal 4 3 4 4 3" xfId="21337"/>
    <cellStyle name="Normal 4 3 4 4 3 2" xfId="21338"/>
    <cellStyle name="Normal 4 3 4 4 4" xfId="21339"/>
    <cellStyle name="Normal 4 3 4 4 5" xfId="21334"/>
    <cellStyle name="Normal 4 3 4 4 6" xfId="27120"/>
    <cellStyle name="Normal 4 3 4 5" xfId="5782"/>
    <cellStyle name="Normal 4 3 4 5 2" xfId="6601"/>
    <cellStyle name="Normal 4 3 4 5 2 2" xfId="21341"/>
    <cellStyle name="Normal 4 3 4 5 2 3" xfId="27123"/>
    <cellStyle name="Normal 4 3 4 5 3" xfId="21340"/>
    <cellStyle name="Normal 4 3 4 5 4" xfId="27122"/>
    <cellStyle name="Normal 4 3 4 6" xfId="4899"/>
    <cellStyle name="Normal 4 3 4 6 2" xfId="6602"/>
    <cellStyle name="Normal 4 3 4 6 2 2" xfId="21343"/>
    <cellStyle name="Normal 4 3 4 6 2 3" xfId="27125"/>
    <cellStyle name="Normal 4 3 4 6 3" xfId="21342"/>
    <cellStyle name="Normal 4 3 4 6 4" xfId="27124"/>
    <cellStyle name="Normal 4 3 4 7" xfId="6589"/>
    <cellStyle name="Normal 4 3 4 7 2" xfId="21344"/>
    <cellStyle name="Normal 4 3 4 7 3" xfId="27126"/>
    <cellStyle name="Normal 4 3 4 8" xfId="21317"/>
    <cellStyle name="Normal 4 3 4 9" xfId="24933"/>
    <cellStyle name="Normal 4 3 5" xfId="3760"/>
    <cellStyle name="Normal 4 3 5 10" xfId="27127"/>
    <cellStyle name="Normal 4 3 5 2" xfId="4209"/>
    <cellStyle name="Normal 4 3 5 2 2" xfId="4905"/>
    <cellStyle name="Normal 4 3 5 2 2 2" xfId="5478"/>
    <cellStyle name="Normal 4 3 5 2 2 2 2" xfId="6606"/>
    <cellStyle name="Normal 4 3 5 2 2 2 2 2" xfId="21349"/>
    <cellStyle name="Normal 4 3 5 2 2 2 2 3" xfId="27131"/>
    <cellStyle name="Normal 4 3 5 2 2 2 3" xfId="21348"/>
    <cellStyle name="Normal 4 3 5 2 2 2 4" xfId="27130"/>
    <cellStyle name="Normal 4 3 5 2 2 3" xfId="5788"/>
    <cellStyle name="Normal 4 3 5 2 2 3 2" xfId="6607"/>
    <cellStyle name="Normal 4 3 5 2 2 3 2 2" xfId="21351"/>
    <cellStyle name="Normal 4 3 5 2 2 3 2 3" xfId="27133"/>
    <cellStyle name="Normal 4 3 5 2 2 3 3" xfId="21350"/>
    <cellStyle name="Normal 4 3 5 2 2 3 4" xfId="27132"/>
    <cellStyle name="Normal 4 3 5 2 2 4" xfId="6605"/>
    <cellStyle name="Normal 4 3 5 2 2 4 2" xfId="21352"/>
    <cellStyle name="Normal 4 3 5 2 2 4 3" xfId="27134"/>
    <cellStyle name="Normal 4 3 5 2 2 5" xfId="21347"/>
    <cellStyle name="Normal 4 3 5 2 2 6" xfId="27129"/>
    <cellStyle name="Normal 4 3 5 2 3" xfId="5477"/>
    <cellStyle name="Normal 4 3 5 2 3 2" xfId="6608"/>
    <cellStyle name="Normal 4 3 5 2 3 2 2" xfId="21354"/>
    <cellStyle name="Normal 4 3 5 2 3 2 3" xfId="27136"/>
    <cellStyle name="Normal 4 3 5 2 3 3" xfId="21353"/>
    <cellStyle name="Normal 4 3 5 2 3 4" xfId="27135"/>
    <cellStyle name="Normal 4 3 5 2 4" xfId="5787"/>
    <cellStyle name="Normal 4 3 5 2 4 2" xfId="6609"/>
    <cellStyle name="Normal 4 3 5 2 4 2 2" xfId="21356"/>
    <cellStyle name="Normal 4 3 5 2 4 2 3" xfId="27138"/>
    <cellStyle name="Normal 4 3 5 2 4 3" xfId="21355"/>
    <cellStyle name="Normal 4 3 5 2 4 4" xfId="27137"/>
    <cellStyle name="Normal 4 3 5 2 5" xfId="4904"/>
    <cellStyle name="Normal 4 3 5 2 5 2" xfId="6610"/>
    <cellStyle name="Normal 4 3 5 2 5 2 2" xfId="27140"/>
    <cellStyle name="Normal 4 3 5 2 5 3" xfId="21357"/>
    <cellStyle name="Normal 4 3 5 2 5 4" xfId="27139"/>
    <cellStyle name="Normal 4 3 5 2 6" xfId="6604"/>
    <cellStyle name="Normal 4 3 5 2 6 2" xfId="27141"/>
    <cellStyle name="Normal 4 3 5 2 7" xfId="21346"/>
    <cellStyle name="Normal 4 3 5 2 8" xfId="25061"/>
    <cellStyle name="Normal 4 3 5 2 9" xfId="27128"/>
    <cellStyle name="Normal 4 3 5 3" xfId="4906"/>
    <cellStyle name="Normal 4 3 5 3 2" xfId="5479"/>
    <cellStyle name="Normal 4 3 5 3 2 2" xfId="6612"/>
    <cellStyle name="Normal 4 3 5 3 2 2 2" xfId="21360"/>
    <cellStyle name="Normal 4 3 5 3 2 2 3" xfId="27144"/>
    <cellStyle name="Normal 4 3 5 3 2 3" xfId="21359"/>
    <cellStyle name="Normal 4 3 5 3 2 4" xfId="27143"/>
    <cellStyle name="Normal 4 3 5 3 3" xfId="5789"/>
    <cellStyle name="Normal 4 3 5 3 3 2" xfId="6613"/>
    <cellStyle name="Normal 4 3 5 3 3 2 2" xfId="21362"/>
    <cellStyle name="Normal 4 3 5 3 3 2 3" xfId="27146"/>
    <cellStyle name="Normal 4 3 5 3 3 3" xfId="21361"/>
    <cellStyle name="Normal 4 3 5 3 3 4" xfId="27145"/>
    <cellStyle name="Normal 4 3 5 3 4" xfId="6611"/>
    <cellStyle name="Normal 4 3 5 3 4 2" xfId="21363"/>
    <cellStyle name="Normal 4 3 5 3 4 3" xfId="27147"/>
    <cellStyle name="Normal 4 3 5 3 5" xfId="21358"/>
    <cellStyle name="Normal 4 3 5 3 6" xfId="27142"/>
    <cellStyle name="Normal 4 3 5 4" xfId="5476"/>
    <cellStyle name="Normal 4 3 5 4 2" xfId="6614"/>
    <cellStyle name="Normal 4 3 5 4 2 2" xfId="21365"/>
    <cellStyle name="Normal 4 3 5 4 2 3" xfId="27149"/>
    <cellStyle name="Normal 4 3 5 4 3" xfId="21364"/>
    <cellStyle name="Normal 4 3 5 4 4" xfId="27148"/>
    <cellStyle name="Normal 4 3 5 5" xfId="5786"/>
    <cellStyle name="Normal 4 3 5 5 2" xfId="6615"/>
    <cellStyle name="Normal 4 3 5 5 2 2" xfId="21367"/>
    <cellStyle name="Normal 4 3 5 5 2 3" xfId="27151"/>
    <cellStyle name="Normal 4 3 5 5 3" xfId="21366"/>
    <cellStyle name="Normal 4 3 5 5 4" xfId="27150"/>
    <cellStyle name="Normal 4 3 5 6" xfId="4903"/>
    <cellStyle name="Normal 4 3 5 6 2" xfId="6616"/>
    <cellStyle name="Normal 4 3 5 6 2 2" xfId="27153"/>
    <cellStyle name="Normal 4 3 5 6 3" xfId="21368"/>
    <cellStyle name="Normal 4 3 5 6 4" xfId="27152"/>
    <cellStyle name="Normal 4 3 5 7" xfId="6603"/>
    <cellStyle name="Normal 4 3 5 7 2" xfId="27154"/>
    <cellStyle name="Normal 4 3 5 8" xfId="21345"/>
    <cellStyle name="Normal 4 3 5 9" xfId="24941"/>
    <cellStyle name="Normal 4 3 6" xfId="1385"/>
    <cellStyle name="Normal 4 3 6 2" xfId="21369"/>
    <cellStyle name="Normal 4 3 7" xfId="3911"/>
    <cellStyle name="Normal 4 3 7 2" xfId="21371"/>
    <cellStyle name="Normal 4 3 7 3" xfId="21370"/>
    <cellStyle name="Normal 4 3 8" xfId="24542"/>
    <cellStyle name="Normal 4 4" xfId="1050"/>
    <cellStyle name="Normal 4 4 2" xfId="1570"/>
    <cellStyle name="Normal 4 4 2 10" xfId="24923"/>
    <cellStyle name="Normal 4 4 2 11" xfId="27155"/>
    <cellStyle name="Normal 4 4 2 2" xfId="4191"/>
    <cellStyle name="Normal 4 4 2 2 2" xfId="4909"/>
    <cellStyle name="Normal 4 4 2 2 2 2" xfId="5482"/>
    <cellStyle name="Normal 4 4 2 2 2 2 2" xfId="6620"/>
    <cellStyle name="Normal 4 4 2 2 2 2 2 2" xfId="21376"/>
    <cellStyle name="Normal 4 4 2 2 2 2 2 3" xfId="27159"/>
    <cellStyle name="Normal 4 4 2 2 2 2 3" xfId="21375"/>
    <cellStyle name="Normal 4 4 2 2 2 2 4" xfId="27158"/>
    <cellStyle name="Normal 4 4 2 2 2 3" xfId="5792"/>
    <cellStyle name="Normal 4 4 2 2 2 3 2" xfId="6621"/>
    <cellStyle name="Normal 4 4 2 2 2 3 2 2" xfId="27161"/>
    <cellStyle name="Normal 4 4 2 2 2 3 3" xfId="21377"/>
    <cellStyle name="Normal 4 4 2 2 2 3 4" xfId="27160"/>
    <cellStyle name="Normal 4 4 2 2 2 4" xfId="6619"/>
    <cellStyle name="Normal 4 4 2 2 2 4 2" xfId="27162"/>
    <cellStyle name="Normal 4 4 2 2 2 5" xfId="21374"/>
    <cellStyle name="Normal 4 4 2 2 2 6" xfId="27157"/>
    <cellStyle name="Normal 4 4 2 2 3" xfId="5481"/>
    <cellStyle name="Normal 4 4 2 2 3 2" xfId="6622"/>
    <cellStyle name="Normal 4 4 2 2 3 2 2" xfId="21380"/>
    <cellStyle name="Normal 4 4 2 2 3 2 3" xfId="21379"/>
    <cellStyle name="Normal 4 4 2 2 3 2 4" xfId="27164"/>
    <cellStyle name="Normal 4 4 2 2 3 3" xfId="21381"/>
    <cellStyle name="Normal 4 4 2 2 3 3 2" xfId="21382"/>
    <cellStyle name="Normal 4 4 2 2 3 4" xfId="21383"/>
    <cellStyle name="Normal 4 4 2 2 3 5" xfId="21378"/>
    <cellStyle name="Normal 4 4 2 2 3 6" xfId="27163"/>
    <cellStyle name="Normal 4 4 2 2 4" xfId="5791"/>
    <cellStyle name="Normal 4 4 2 2 4 2" xfId="6623"/>
    <cellStyle name="Normal 4 4 2 2 4 2 2" xfId="21385"/>
    <cellStyle name="Normal 4 4 2 2 4 2 3" xfId="27166"/>
    <cellStyle name="Normal 4 4 2 2 4 3" xfId="21384"/>
    <cellStyle name="Normal 4 4 2 2 4 4" xfId="27165"/>
    <cellStyle name="Normal 4 4 2 2 5" xfId="4908"/>
    <cellStyle name="Normal 4 4 2 2 5 2" xfId="6624"/>
    <cellStyle name="Normal 4 4 2 2 5 2 2" xfId="21387"/>
    <cellStyle name="Normal 4 4 2 2 5 2 3" xfId="27168"/>
    <cellStyle name="Normal 4 4 2 2 5 3" xfId="21386"/>
    <cellStyle name="Normal 4 4 2 2 5 4" xfId="27167"/>
    <cellStyle name="Normal 4 4 2 2 6" xfId="6618"/>
    <cellStyle name="Normal 4 4 2 2 6 2" xfId="21388"/>
    <cellStyle name="Normal 4 4 2 2 6 3" xfId="27169"/>
    <cellStyle name="Normal 4 4 2 2 7" xfId="21373"/>
    <cellStyle name="Normal 4 4 2 2 8" xfId="25043"/>
    <cellStyle name="Normal 4 4 2 2 9" xfId="27156"/>
    <cellStyle name="Normal 4 4 2 3" xfId="4910"/>
    <cellStyle name="Normal 4 4 2 3 2" xfId="5483"/>
    <cellStyle name="Normal 4 4 2 3 2 2" xfId="6626"/>
    <cellStyle name="Normal 4 4 2 3 2 2 2" xfId="21391"/>
    <cellStyle name="Normal 4 4 2 3 2 2 3" xfId="27172"/>
    <cellStyle name="Normal 4 4 2 3 2 3" xfId="21390"/>
    <cellStyle name="Normal 4 4 2 3 2 4" xfId="27171"/>
    <cellStyle name="Normal 4 4 2 3 3" xfId="5793"/>
    <cellStyle name="Normal 4 4 2 3 3 2" xfId="6627"/>
    <cellStyle name="Normal 4 4 2 3 3 2 2" xfId="27174"/>
    <cellStyle name="Normal 4 4 2 3 3 3" xfId="21392"/>
    <cellStyle name="Normal 4 4 2 3 3 4" xfId="27173"/>
    <cellStyle name="Normal 4 4 2 3 4" xfId="6625"/>
    <cellStyle name="Normal 4 4 2 3 4 2" xfId="27175"/>
    <cellStyle name="Normal 4 4 2 3 5" xfId="21389"/>
    <cellStyle name="Normal 4 4 2 3 6" xfId="27170"/>
    <cellStyle name="Normal 4 4 2 4" xfId="5480"/>
    <cellStyle name="Normal 4 4 2 4 2" xfId="6628"/>
    <cellStyle name="Normal 4 4 2 4 2 2" xfId="21394"/>
    <cellStyle name="Normal 4 4 2 4 2 3" xfId="27177"/>
    <cellStyle name="Normal 4 4 2 4 3" xfId="21393"/>
    <cellStyle name="Normal 4 4 2 4 4" xfId="27176"/>
    <cellStyle name="Normal 4 4 2 5" xfId="5790"/>
    <cellStyle name="Normal 4 4 2 5 2" xfId="6629"/>
    <cellStyle name="Normal 4 4 2 5 2 2" xfId="21397"/>
    <cellStyle name="Normal 4 4 2 5 2 3" xfId="21396"/>
    <cellStyle name="Normal 4 4 2 5 2 4" xfId="27179"/>
    <cellStyle name="Normal 4 4 2 5 3" xfId="21398"/>
    <cellStyle name="Normal 4 4 2 5 3 2" xfId="21399"/>
    <cellStyle name="Normal 4 4 2 5 4" xfId="21400"/>
    <cellStyle name="Normal 4 4 2 5 5" xfId="21395"/>
    <cellStyle name="Normal 4 4 2 5 6" xfId="27178"/>
    <cellStyle name="Normal 4 4 2 6" xfId="4907"/>
    <cellStyle name="Normal 4 4 2 6 2" xfId="6630"/>
    <cellStyle name="Normal 4 4 2 6 2 2" xfId="21402"/>
    <cellStyle name="Normal 4 4 2 6 2 3" xfId="27181"/>
    <cellStyle name="Normal 4 4 2 6 3" xfId="21401"/>
    <cellStyle name="Normal 4 4 2 6 4" xfId="27180"/>
    <cellStyle name="Normal 4 4 2 7" xfId="6617"/>
    <cellStyle name="Normal 4 4 2 7 2" xfId="21404"/>
    <cellStyle name="Normal 4 4 2 7 3" xfId="21403"/>
    <cellStyle name="Normal 4 4 2 7 4" xfId="27182"/>
    <cellStyle name="Normal 4 4 2 8" xfId="21405"/>
    <cellStyle name="Normal 4 4 2 9" xfId="21372"/>
    <cellStyle name="Normal 4 4 3" xfId="1662"/>
    <cellStyle name="Normal 4 4 3 10" xfId="27183"/>
    <cellStyle name="Normal 4 4 3 2" xfId="4197"/>
    <cellStyle name="Normal 4 4 3 2 2" xfId="4913"/>
    <cellStyle name="Normal 4 4 3 2 2 2" xfId="5486"/>
    <cellStyle name="Normal 4 4 3 2 2 2 2" xfId="6634"/>
    <cellStyle name="Normal 4 4 3 2 2 2 2 2" xfId="21410"/>
    <cellStyle name="Normal 4 4 3 2 2 2 2 3" xfId="27187"/>
    <cellStyle name="Normal 4 4 3 2 2 2 3" xfId="21409"/>
    <cellStyle name="Normal 4 4 3 2 2 2 4" xfId="27186"/>
    <cellStyle name="Normal 4 4 3 2 2 3" xfId="5796"/>
    <cellStyle name="Normal 4 4 3 2 2 3 2" xfId="6635"/>
    <cellStyle name="Normal 4 4 3 2 2 3 2 2" xfId="21412"/>
    <cellStyle name="Normal 4 4 3 2 2 3 2 3" xfId="27189"/>
    <cellStyle name="Normal 4 4 3 2 2 3 3" xfId="21411"/>
    <cellStyle name="Normal 4 4 3 2 2 3 4" xfId="27188"/>
    <cellStyle name="Normal 4 4 3 2 2 4" xfId="6633"/>
    <cellStyle name="Normal 4 4 3 2 2 4 2" xfId="21413"/>
    <cellStyle name="Normal 4 4 3 2 2 4 3" xfId="27190"/>
    <cellStyle name="Normal 4 4 3 2 2 5" xfId="21408"/>
    <cellStyle name="Normal 4 4 3 2 2 6" xfId="27185"/>
    <cellStyle name="Normal 4 4 3 2 3" xfId="5485"/>
    <cellStyle name="Normal 4 4 3 2 3 2" xfId="6636"/>
    <cellStyle name="Normal 4 4 3 2 3 2 2" xfId="21415"/>
    <cellStyle name="Normal 4 4 3 2 3 2 3" xfId="27192"/>
    <cellStyle name="Normal 4 4 3 2 3 3" xfId="21414"/>
    <cellStyle name="Normal 4 4 3 2 3 4" xfId="27191"/>
    <cellStyle name="Normal 4 4 3 2 4" xfId="5795"/>
    <cellStyle name="Normal 4 4 3 2 4 2" xfId="6637"/>
    <cellStyle name="Normal 4 4 3 2 4 2 2" xfId="21417"/>
    <cellStyle name="Normal 4 4 3 2 4 2 3" xfId="27194"/>
    <cellStyle name="Normal 4 4 3 2 4 3" xfId="21416"/>
    <cellStyle name="Normal 4 4 3 2 4 4" xfId="27193"/>
    <cellStyle name="Normal 4 4 3 2 5" xfId="4912"/>
    <cellStyle name="Normal 4 4 3 2 5 2" xfId="6638"/>
    <cellStyle name="Normal 4 4 3 2 5 2 2" xfId="27196"/>
    <cellStyle name="Normal 4 4 3 2 5 3" xfId="21418"/>
    <cellStyle name="Normal 4 4 3 2 5 4" xfId="27195"/>
    <cellStyle name="Normal 4 4 3 2 6" xfId="6632"/>
    <cellStyle name="Normal 4 4 3 2 6 2" xfId="27197"/>
    <cellStyle name="Normal 4 4 3 2 7" xfId="21407"/>
    <cellStyle name="Normal 4 4 3 2 8" xfId="25049"/>
    <cellStyle name="Normal 4 4 3 2 9" xfId="27184"/>
    <cellStyle name="Normal 4 4 3 3" xfId="4914"/>
    <cellStyle name="Normal 4 4 3 3 2" xfId="5487"/>
    <cellStyle name="Normal 4 4 3 3 2 2" xfId="6640"/>
    <cellStyle name="Normal 4 4 3 3 2 2 2" xfId="21421"/>
    <cellStyle name="Normal 4 4 3 3 2 2 3" xfId="27200"/>
    <cellStyle name="Normal 4 4 3 3 2 3" xfId="21420"/>
    <cellStyle name="Normal 4 4 3 3 2 4" xfId="27199"/>
    <cellStyle name="Normal 4 4 3 3 3" xfId="5797"/>
    <cellStyle name="Normal 4 4 3 3 3 2" xfId="6641"/>
    <cellStyle name="Normal 4 4 3 3 3 2 2" xfId="27202"/>
    <cellStyle name="Normal 4 4 3 3 3 3" xfId="21422"/>
    <cellStyle name="Normal 4 4 3 3 3 4" xfId="27201"/>
    <cellStyle name="Normal 4 4 3 3 4" xfId="6639"/>
    <cellStyle name="Normal 4 4 3 3 4 2" xfId="27203"/>
    <cellStyle name="Normal 4 4 3 3 5" xfId="21419"/>
    <cellStyle name="Normal 4 4 3 3 6" xfId="27198"/>
    <cellStyle name="Normal 4 4 3 4" xfId="5484"/>
    <cellStyle name="Normal 4 4 3 4 2" xfId="6642"/>
    <cellStyle name="Normal 4 4 3 4 2 2" xfId="21425"/>
    <cellStyle name="Normal 4 4 3 4 2 3" xfId="21424"/>
    <cellStyle name="Normal 4 4 3 4 2 4" xfId="27205"/>
    <cellStyle name="Normal 4 4 3 4 3" xfId="21426"/>
    <cellStyle name="Normal 4 4 3 4 3 2" xfId="21427"/>
    <cellStyle name="Normal 4 4 3 4 4" xfId="21428"/>
    <cellStyle name="Normal 4 4 3 4 5" xfId="21423"/>
    <cellStyle name="Normal 4 4 3 4 6" xfId="27204"/>
    <cellStyle name="Normal 4 4 3 5" xfId="5794"/>
    <cellStyle name="Normal 4 4 3 5 2" xfId="6643"/>
    <cellStyle name="Normal 4 4 3 5 2 2" xfId="21430"/>
    <cellStyle name="Normal 4 4 3 5 2 3" xfId="27207"/>
    <cellStyle name="Normal 4 4 3 5 3" xfId="21429"/>
    <cellStyle name="Normal 4 4 3 5 4" xfId="27206"/>
    <cellStyle name="Normal 4 4 3 6" xfId="4911"/>
    <cellStyle name="Normal 4 4 3 6 2" xfId="6644"/>
    <cellStyle name="Normal 4 4 3 6 2 2" xfId="21432"/>
    <cellStyle name="Normal 4 4 3 6 2 3" xfId="27209"/>
    <cellStyle name="Normal 4 4 3 6 3" xfId="21431"/>
    <cellStyle name="Normal 4 4 3 6 4" xfId="27208"/>
    <cellStyle name="Normal 4 4 3 7" xfId="6631"/>
    <cellStyle name="Normal 4 4 3 7 2" xfId="21433"/>
    <cellStyle name="Normal 4 4 3 7 3" xfId="27210"/>
    <cellStyle name="Normal 4 4 3 8" xfId="21406"/>
    <cellStyle name="Normal 4 4 3 9" xfId="24929"/>
    <cellStyle name="Normal 4 4 4" xfId="3625"/>
    <cellStyle name="Normal 4 4 4 10" xfId="27211"/>
    <cellStyle name="Normal 4 4 4 2" xfId="4202"/>
    <cellStyle name="Normal 4 4 4 2 2" xfId="4917"/>
    <cellStyle name="Normal 4 4 4 2 2 2" xfId="5490"/>
    <cellStyle name="Normal 4 4 4 2 2 2 2" xfId="6648"/>
    <cellStyle name="Normal 4 4 4 2 2 2 2 2" xfId="21438"/>
    <cellStyle name="Normal 4 4 4 2 2 2 2 3" xfId="27215"/>
    <cellStyle name="Normal 4 4 4 2 2 2 3" xfId="21437"/>
    <cellStyle name="Normal 4 4 4 2 2 2 4" xfId="27214"/>
    <cellStyle name="Normal 4 4 4 2 2 3" xfId="5800"/>
    <cellStyle name="Normal 4 4 4 2 2 3 2" xfId="6649"/>
    <cellStyle name="Normal 4 4 4 2 2 3 2 2" xfId="21440"/>
    <cellStyle name="Normal 4 4 4 2 2 3 2 3" xfId="27217"/>
    <cellStyle name="Normal 4 4 4 2 2 3 3" xfId="21439"/>
    <cellStyle name="Normal 4 4 4 2 2 3 4" xfId="27216"/>
    <cellStyle name="Normal 4 4 4 2 2 4" xfId="6647"/>
    <cellStyle name="Normal 4 4 4 2 2 4 2" xfId="21441"/>
    <cellStyle name="Normal 4 4 4 2 2 4 3" xfId="27218"/>
    <cellStyle name="Normal 4 4 4 2 2 5" xfId="21436"/>
    <cellStyle name="Normal 4 4 4 2 2 6" xfId="27213"/>
    <cellStyle name="Normal 4 4 4 2 3" xfId="5489"/>
    <cellStyle name="Normal 4 4 4 2 3 2" xfId="6650"/>
    <cellStyle name="Normal 4 4 4 2 3 2 2" xfId="21443"/>
    <cellStyle name="Normal 4 4 4 2 3 2 3" xfId="27220"/>
    <cellStyle name="Normal 4 4 4 2 3 3" xfId="21442"/>
    <cellStyle name="Normal 4 4 4 2 3 4" xfId="27219"/>
    <cellStyle name="Normal 4 4 4 2 4" xfId="5799"/>
    <cellStyle name="Normal 4 4 4 2 4 2" xfId="6651"/>
    <cellStyle name="Normal 4 4 4 2 4 2 2" xfId="21445"/>
    <cellStyle name="Normal 4 4 4 2 4 2 3" xfId="27222"/>
    <cellStyle name="Normal 4 4 4 2 4 3" xfId="21444"/>
    <cellStyle name="Normal 4 4 4 2 4 4" xfId="27221"/>
    <cellStyle name="Normal 4 4 4 2 5" xfId="4916"/>
    <cellStyle name="Normal 4 4 4 2 5 2" xfId="6652"/>
    <cellStyle name="Normal 4 4 4 2 5 2 2" xfId="27224"/>
    <cellStyle name="Normal 4 4 4 2 5 3" xfId="21446"/>
    <cellStyle name="Normal 4 4 4 2 5 4" xfId="27223"/>
    <cellStyle name="Normal 4 4 4 2 6" xfId="6646"/>
    <cellStyle name="Normal 4 4 4 2 6 2" xfId="27225"/>
    <cellStyle name="Normal 4 4 4 2 7" xfId="21435"/>
    <cellStyle name="Normal 4 4 4 2 8" xfId="25054"/>
    <cellStyle name="Normal 4 4 4 2 9" xfId="27212"/>
    <cellStyle name="Normal 4 4 4 3" xfId="4918"/>
    <cellStyle name="Normal 4 4 4 3 2" xfId="5491"/>
    <cellStyle name="Normal 4 4 4 3 2 2" xfId="6654"/>
    <cellStyle name="Normal 4 4 4 3 2 2 2" xfId="21449"/>
    <cellStyle name="Normal 4 4 4 3 2 2 3" xfId="27228"/>
    <cellStyle name="Normal 4 4 4 3 2 3" xfId="21448"/>
    <cellStyle name="Normal 4 4 4 3 2 4" xfId="27227"/>
    <cellStyle name="Normal 4 4 4 3 3" xfId="5801"/>
    <cellStyle name="Normal 4 4 4 3 3 2" xfId="6655"/>
    <cellStyle name="Normal 4 4 4 3 3 2 2" xfId="27230"/>
    <cellStyle name="Normal 4 4 4 3 3 3" xfId="21450"/>
    <cellStyle name="Normal 4 4 4 3 3 4" xfId="27229"/>
    <cellStyle name="Normal 4 4 4 3 4" xfId="6653"/>
    <cellStyle name="Normal 4 4 4 3 4 2" xfId="27231"/>
    <cellStyle name="Normal 4 4 4 3 5" xfId="21447"/>
    <cellStyle name="Normal 4 4 4 3 6" xfId="27226"/>
    <cellStyle name="Normal 4 4 4 4" xfId="5488"/>
    <cellStyle name="Normal 4 4 4 4 2" xfId="6656"/>
    <cellStyle name="Normal 4 4 4 4 2 2" xfId="21453"/>
    <cellStyle name="Normal 4 4 4 4 2 3" xfId="21452"/>
    <cellStyle name="Normal 4 4 4 4 2 4" xfId="27233"/>
    <cellStyle name="Normal 4 4 4 4 3" xfId="21454"/>
    <cellStyle name="Normal 4 4 4 4 3 2" xfId="21455"/>
    <cellStyle name="Normal 4 4 4 4 4" xfId="21456"/>
    <cellStyle name="Normal 4 4 4 4 5" xfId="21451"/>
    <cellStyle name="Normal 4 4 4 4 6" xfId="27232"/>
    <cellStyle name="Normal 4 4 4 5" xfId="5798"/>
    <cellStyle name="Normal 4 4 4 5 2" xfId="6657"/>
    <cellStyle name="Normal 4 4 4 5 2 2" xfId="21458"/>
    <cellStyle name="Normal 4 4 4 5 2 3" xfId="27235"/>
    <cellStyle name="Normal 4 4 4 5 3" xfId="21457"/>
    <cellStyle name="Normal 4 4 4 5 4" xfId="27234"/>
    <cellStyle name="Normal 4 4 4 6" xfId="4915"/>
    <cellStyle name="Normal 4 4 4 6 2" xfId="6658"/>
    <cellStyle name="Normal 4 4 4 6 2 2" xfId="21460"/>
    <cellStyle name="Normal 4 4 4 6 2 3" xfId="27237"/>
    <cellStyle name="Normal 4 4 4 6 3" xfId="21459"/>
    <cellStyle name="Normal 4 4 4 6 4" xfId="27236"/>
    <cellStyle name="Normal 4 4 4 7" xfId="6645"/>
    <cellStyle name="Normal 4 4 4 7 2" xfId="21461"/>
    <cellStyle name="Normal 4 4 4 7 3" xfId="27238"/>
    <cellStyle name="Normal 4 4 4 8" xfId="21434"/>
    <cellStyle name="Normal 4 4 4 9" xfId="24934"/>
    <cellStyle name="Normal 4 4 5" xfId="3764"/>
    <cellStyle name="Normal 4 4 5 10" xfId="27239"/>
    <cellStyle name="Normal 4 4 5 2" xfId="4212"/>
    <cellStyle name="Normal 4 4 5 2 2" xfId="4921"/>
    <cellStyle name="Normal 4 4 5 2 2 2" xfId="5494"/>
    <cellStyle name="Normal 4 4 5 2 2 2 2" xfId="6662"/>
    <cellStyle name="Normal 4 4 5 2 2 2 2 2" xfId="21466"/>
    <cellStyle name="Normal 4 4 5 2 2 2 2 3" xfId="27243"/>
    <cellStyle name="Normal 4 4 5 2 2 2 3" xfId="21465"/>
    <cellStyle name="Normal 4 4 5 2 2 2 4" xfId="27242"/>
    <cellStyle name="Normal 4 4 5 2 2 3" xfId="5804"/>
    <cellStyle name="Normal 4 4 5 2 2 3 2" xfId="6663"/>
    <cellStyle name="Normal 4 4 5 2 2 3 2 2" xfId="21468"/>
    <cellStyle name="Normal 4 4 5 2 2 3 2 3" xfId="27245"/>
    <cellStyle name="Normal 4 4 5 2 2 3 3" xfId="21467"/>
    <cellStyle name="Normal 4 4 5 2 2 3 4" xfId="27244"/>
    <cellStyle name="Normal 4 4 5 2 2 4" xfId="6661"/>
    <cellStyle name="Normal 4 4 5 2 2 4 2" xfId="21469"/>
    <cellStyle name="Normal 4 4 5 2 2 4 3" xfId="27246"/>
    <cellStyle name="Normal 4 4 5 2 2 5" xfId="21464"/>
    <cellStyle name="Normal 4 4 5 2 2 6" xfId="27241"/>
    <cellStyle name="Normal 4 4 5 2 3" xfId="5493"/>
    <cellStyle name="Normal 4 4 5 2 3 2" xfId="6664"/>
    <cellStyle name="Normal 4 4 5 2 3 2 2" xfId="21471"/>
    <cellStyle name="Normal 4 4 5 2 3 2 3" xfId="27248"/>
    <cellStyle name="Normal 4 4 5 2 3 3" xfId="21470"/>
    <cellStyle name="Normal 4 4 5 2 3 4" xfId="27247"/>
    <cellStyle name="Normal 4 4 5 2 4" xfId="5803"/>
    <cellStyle name="Normal 4 4 5 2 4 2" xfId="6665"/>
    <cellStyle name="Normal 4 4 5 2 4 2 2" xfId="21473"/>
    <cellStyle name="Normal 4 4 5 2 4 2 3" xfId="27250"/>
    <cellStyle name="Normal 4 4 5 2 4 3" xfId="21472"/>
    <cellStyle name="Normal 4 4 5 2 4 4" xfId="27249"/>
    <cellStyle name="Normal 4 4 5 2 5" xfId="4920"/>
    <cellStyle name="Normal 4 4 5 2 5 2" xfId="6666"/>
    <cellStyle name="Normal 4 4 5 2 5 2 2" xfId="27252"/>
    <cellStyle name="Normal 4 4 5 2 5 3" xfId="21474"/>
    <cellStyle name="Normal 4 4 5 2 5 4" xfId="27251"/>
    <cellStyle name="Normal 4 4 5 2 6" xfId="6660"/>
    <cellStyle name="Normal 4 4 5 2 6 2" xfId="27253"/>
    <cellStyle name="Normal 4 4 5 2 7" xfId="21463"/>
    <cellStyle name="Normal 4 4 5 2 8" xfId="25064"/>
    <cellStyle name="Normal 4 4 5 2 9" xfId="27240"/>
    <cellStyle name="Normal 4 4 5 3" xfId="4922"/>
    <cellStyle name="Normal 4 4 5 3 2" xfId="5495"/>
    <cellStyle name="Normal 4 4 5 3 2 2" xfId="6668"/>
    <cellStyle name="Normal 4 4 5 3 2 2 2" xfId="21477"/>
    <cellStyle name="Normal 4 4 5 3 2 2 3" xfId="27256"/>
    <cellStyle name="Normal 4 4 5 3 2 3" xfId="21476"/>
    <cellStyle name="Normal 4 4 5 3 2 4" xfId="27255"/>
    <cellStyle name="Normal 4 4 5 3 3" xfId="5805"/>
    <cellStyle name="Normal 4 4 5 3 3 2" xfId="6669"/>
    <cellStyle name="Normal 4 4 5 3 3 2 2" xfId="21479"/>
    <cellStyle name="Normal 4 4 5 3 3 2 3" xfId="27258"/>
    <cellStyle name="Normal 4 4 5 3 3 3" xfId="21478"/>
    <cellStyle name="Normal 4 4 5 3 3 4" xfId="27257"/>
    <cellStyle name="Normal 4 4 5 3 4" xfId="6667"/>
    <cellStyle name="Normal 4 4 5 3 4 2" xfId="21480"/>
    <cellStyle name="Normal 4 4 5 3 4 3" xfId="27259"/>
    <cellStyle name="Normal 4 4 5 3 5" xfId="21475"/>
    <cellStyle name="Normal 4 4 5 3 6" xfId="27254"/>
    <cellStyle name="Normal 4 4 5 4" xfId="5492"/>
    <cellStyle name="Normal 4 4 5 4 2" xfId="6670"/>
    <cellStyle name="Normal 4 4 5 4 2 2" xfId="21482"/>
    <cellStyle name="Normal 4 4 5 4 2 3" xfId="27261"/>
    <cellStyle name="Normal 4 4 5 4 3" xfId="21481"/>
    <cellStyle name="Normal 4 4 5 4 4" xfId="27260"/>
    <cellStyle name="Normal 4 4 5 5" xfId="5802"/>
    <cellStyle name="Normal 4 4 5 5 2" xfId="6671"/>
    <cellStyle name="Normal 4 4 5 5 2 2" xfId="21484"/>
    <cellStyle name="Normal 4 4 5 5 2 3" xfId="27263"/>
    <cellStyle name="Normal 4 4 5 5 3" xfId="21483"/>
    <cellStyle name="Normal 4 4 5 5 4" xfId="27262"/>
    <cellStyle name="Normal 4 4 5 6" xfId="4919"/>
    <cellStyle name="Normal 4 4 5 6 2" xfId="6672"/>
    <cellStyle name="Normal 4 4 5 6 2 2" xfId="27265"/>
    <cellStyle name="Normal 4 4 5 6 3" xfId="21485"/>
    <cellStyle name="Normal 4 4 5 6 4" xfId="27264"/>
    <cellStyle name="Normal 4 4 5 7" xfId="6659"/>
    <cellStyle name="Normal 4 4 5 7 2" xfId="27266"/>
    <cellStyle name="Normal 4 4 5 8" xfId="21462"/>
    <cellStyle name="Normal 4 4 5 9" xfId="24944"/>
    <cellStyle name="Normal 4 4 6" xfId="1389"/>
    <cellStyle name="Normal 4 4 6 2" xfId="21486"/>
    <cellStyle name="Normal 4 4 7" xfId="3920"/>
    <cellStyle name="Normal 4 4 7 2" xfId="21488"/>
    <cellStyle name="Normal 4 4 7 3" xfId="21487"/>
    <cellStyle name="Normal 4 5" xfId="1058"/>
    <cellStyle name="Normal 4 5 2" xfId="3808"/>
    <cellStyle name="Normal 4 5 2 10" xfId="27267"/>
    <cellStyle name="Normal 4 5 2 2" xfId="4215"/>
    <cellStyle name="Normal 4 5 2 2 2" xfId="4925"/>
    <cellStyle name="Normal 4 5 2 2 2 2" xfId="5498"/>
    <cellStyle name="Normal 4 5 2 2 2 2 2" xfId="6676"/>
    <cellStyle name="Normal 4 5 2 2 2 2 2 2" xfId="21493"/>
    <cellStyle name="Normal 4 5 2 2 2 2 2 3" xfId="27271"/>
    <cellStyle name="Normal 4 5 2 2 2 2 3" xfId="21492"/>
    <cellStyle name="Normal 4 5 2 2 2 2 4" xfId="27270"/>
    <cellStyle name="Normal 4 5 2 2 2 3" xfId="5808"/>
    <cellStyle name="Normal 4 5 2 2 2 3 2" xfId="6677"/>
    <cellStyle name="Normal 4 5 2 2 2 3 2 2" xfId="21495"/>
    <cellStyle name="Normal 4 5 2 2 2 3 2 3" xfId="27273"/>
    <cellStyle name="Normal 4 5 2 2 2 3 3" xfId="21494"/>
    <cellStyle name="Normal 4 5 2 2 2 3 4" xfId="27272"/>
    <cellStyle name="Normal 4 5 2 2 2 4" xfId="6675"/>
    <cellStyle name="Normal 4 5 2 2 2 4 2" xfId="21496"/>
    <cellStyle name="Normal 4 5 2 2 2 4 3" xfId="27274"/>
    <cellStyle name="Normal 4 5 2 2 2 5" xfId="21491"/>
    <cellStyle name="Normal 4 5 2 2 2 6" xfId="27269"/>
    <cellStyle name="Normal 4 5 2 2 3" xfId="5497"/>
    <cellStyle name="Normal 4 5 2 2 3 2" xfId="6678"/>
    <cellStyle name="Normal 4 5 2 2 3 2 2" xfId="21498"/>
    <cellStyle name="Normal 4 5 2 2 3 2 3" xfId="27276"/>
    <cellStyle name="Normal 4 5 2 2 3 3" xfId="21497"/>
    <cellStyle name="Normal 4 5 2 2 3 4" xfId="27275"/>
    <cellStyle name="Normal 4 5 2 2 4" xfId="5807"/>
    <cellStyle name="Normal 4 5 2 2 4 2" xfId="6679"/>
    <cellStyle name="Normal 4 5 2 2 4 2 2" xfId="21500"/>
    <cellStyle name="Normal 4 5 2 2 4 2 3" xfId="27278"/>
    <cellStyle name="Normal 4 5 2 2 4 3" xfId="21499"/>
    <cellStyle name="Normal 4 5 2 2 4 4" xfId="27277"/>
    <cellStyle name="Normal 4 5 2 2 5" xfId="4924"/>
    <cellStyle name="Normal 4 5 2 2 5 2" xfId="6680"/>
    <cellStyle name="Normal 4 5 2 2 5 2 2" xfId="27280"/>
    <cellStyle name="Normal 4 5 2 2 5 3" xfId="21501"/>
    <cellStyle name="Normal 4 5 2 2 5 4" xfId="27279"/>
    <cellStyle name="Normal 4 5 2 2 6" xfId="6674"/>
    <cellStyle name="Normal 4 5 2 2 6 2" xfId="27281"/>
    <cellStyle name="Normal 4 5 2 2 7" xfId="21490"/>
    <cellStyle name="Normal 4 5 2 2 8" xfId="25067"/>
    <cellStyle name="Normal 4 5 2 2 9" xfId="27268"/>
    <cellStyle name="Normal 4 5 2 3" xfId="4926"/>
    <cellStyle name="Normal 4 5 2 3 2" xfId="5499"/>
    <cellStyle name="Normal 4 5 2 3 2 2" xfId="6682"/>
    <cellStyle name="Normal 4 5 2 3 2 2 2" xfId="21504"/>
    <cellStyle name="Normal 4 5 2 3 2 2 3" xfId="27284"/>
    <cellStyle name="Normal 4 5 2 3 2 3" xfId="21503"/>
    <cellStyle name="Normal 4 5 2 3 2 4" xfId="27283"/>
    <cellStyle name="Normal 4 5 2 3 3" xfId="5809"/>
    <cellStyle name="Normal 4 5 2 3 3 2" xfId="6683"/>
    <cellStyle name="Normal 4 5 2 3 3 2 2" xfId="27286"/>
    <cellStyle name="Normal 4 5 2 3 3 3" xfId="21505"/>
    <cellStyle name="Normal 4 5 2 3 3 4" xfId="27285"/>
    <cellStyle name="Normal 4 5 2 3 4" xfId="6681"/>
    <cellStyle name="Normal 4 5 2 3 4 2" xfId="27287"/>
    <cellStyle name="Normal 4 5 2 3 5" xfId="21502"/>
    <cellStyle name="Normal 4 5 2 3 6" xfId="27282"/>
    <cellStyle name="Normal 4 5 2 4" xfId="5496"/>
    <cellStyle name="Normal 4 5 2 4 2" xfId="6684"/>
    <cellStyle name="Normal 4 5 2 4 2 2" xfId="21508"/>
    <cellStyle name="Normal 4 5 2 4 2 3" xfId="21507"/>
    <cellStyle name="Normal 4 5 2 4 2 4" xfId="27289"/>
    <cellStyle name="Normal 4 5 2 4 3" xfId="21509"/>
    <cellStyle name="Normal 4 5 2 4 3 2" xfId="21510"/>
    <cellStyle name="Normal 4 5 2 4 4" xfId="21511"/>
    <cellStyle name="Normal 4 5 2 4 5" xfId="21506"/>
    <cellStyle name="Normal 4 5 2 4 6" xfId="27288"/>
    <cellStyle name="Normal 4 5 2 5" xfId="5806"/>
    <cellStyle name="Normal 4 5 2 5 2" xfId="6685"/>
    <cellStyle name="Normal 4 5 2 5 2 2" xfId="21513"/>
    <cellStyle name="Normal 4 5 2 5 2 3" xfId="27291"/>
    <cellStyle name="Normal 4 5 2 5 3" xfId="21512"/>
    <cellStyle name="Normal 4 5 2 5 4" xfId="27290"/>
    <cellStyle name="Normal 4 5 2 6" xfId="4923"/>
    <cellStyle name="Normal 4 5 2 6 2" xfId="6686"/>
    <cellStyle name="Normal 4 5 2 6 2 2" xfId="21515"/>
    <cellStyle name="Normal 4 5 2 6 2 3" xfId="27293"/>
    <cellStyle name="Normal 4 5 2 6 3" xfId="21514"/>
    <cellStyle name="Normal 4 5 2 6 4" xfId="27292"/>
    <cellStyle name="Normal 4 5 2 7" xfId="6673"/>
    <cellStyle name="Normal 4 5 2 7 2" xfId="21516"/>
    <cellStyle name="Normal 4 5 2 7 3" xfId="27294"/>
    <cellStyle name="Normal 4 5 2 8" xfId="21489"/>
    <cellStyle name="Normal 4 5 2 9" xfId="24947"/>
    <cellStyle name="Normal 4 5 3" xfId="1393"/>
    <cellStyle name="Normal 4 5 3 2" xfId="21517"/>
    <cellStyle name="Normal 4 5 4" xfId="3928"/>
    <cellStyle name="Normal 4 5 4 2" xfId="21519"/>
    <cellStyle name="Normal 4 5 4 3" xfId="21518"/>
    <cellStyle name="Normal 4 5 5" xfId="21520"/>
    <cellStyle name="Normal 4 5 5 2" xfId="21521"/>
    <cellStyle name="Normal 4 6" xfId="1068"/>
    <cellStyle name="Normal 4 6 10" xfId="21522"/>
    <cellStyle name="Normal 4 6 2" xfId="3813"/>
    <cellStyle name="Normal 4 6 2 10" xfId="27295"/>
    <cellStyle name="Normal 4 6 2 2" xfId="4218"/>
    <cellStyle name="Normal 4 6 2 2 2" xfId="4930"/>
    <cellStyle name="Normal 4 6 2 2 2 2" xfId="5503"/>
    <cellStyle name="Normal 4 6 2 2 2 2 2" xfId="6690"/>
    <cellStyle name="Normal 4 6 2 2 2 2 2 2" xfId="21527"/>
    <cellStyle name="Normal 4 6 2 2 2 2 2 3" xfId="27299"/>
    <cellStyle name="Normal 4 6 2 2 2 2 3" xfId="21526"/>
    <cellStyle name="Normal 4 6 2 2 2 2 4" xfId="27298"/>
    <cellStyle name="Normal 4 6 2 2 2 3" xfId="5813"/>
    <cellStyle name="Normal 4 6 2 2 2 3 2" xfId="6691"/>
    <cellStyle name="Normal 4 6 2 2 2 3 2 2" xfId="21529"/>
    <cellStyle name="Normal 4 6 2 2 2 3 2 3" xfId="27301"/>
    <cellStyle name="Normal 4 6 2 2 2 3 3" xfId="21528"/>
    <cellStyle name="Normal 4 6 2 2 2 3 4" xfId="27300"/>
    <cellStyle name="Normal 4 6 2 2 2 4" xfId="6689"/>
    <cellStyle name="Normal 4 6 2 2 2 4 2" xfId="21530"/>
    <cellStyle name="Normal 4 6 2 2 2 4 3" xfId="27302"/>
    <cellStyle name="Normal 4 6 2 2 2 5" xfId="21525"/>
    <cellStyle name="Normal 4 6 2 2 2 6" xfId="27297"/>
    <cellStyle name="Normal 4 6 2 2 3" xfId="5502"/>
    <cellStyle name="Normal 4 6 2 2 3 2" xfId="6692"/>
    <cellStyle name="Normal 4 6 2 2 3 2 2" xfId="21532"/>
    <cellStyle name="Normal 4 6 2 2 3 2 3" xfId="27304"/>
    <cellStyle name="Normal 4 6 2 2 3 3" xfId="21531"/>
    <cellStyle name="Normal 4 6 2 2 3 4" xfId="27303"/>
    <cellStyle name="Normal 4 6 2 2 4" xfId="5812"/>
    <cellStyle name="Normal 4 6 2 2 4 2" xfId="6693"/>
    <cellStyle name="Normal 4 6 2 2 4 2 2" xfId="21534"/>
    <cellStyle name="Normal 4 6 2 2 4 2 3" xfId="27306"/>
    <cellStyle name="Normal 4 6 2 2 4 3" xfId="21533"/>
    <cellStyle name="Normal 4 6 2 2 4 4" xfId="27305"/>
    <cellStyle name="Normal 4 6 2 2 5" xfId="4929"/>
    <cellStyle name="Normal 4 6 2 2 5 2" xfId="6694"/>
    <cellStyle name="Normal 4 6 2 2 5 2 2" xfId="27308"/>
    <cellStyle name="Normal 4 6 2 2 5 3" xfId="21535"/>
    <cellStyle name="Normal 4 6 2 2 5 4" xfId="27307"/>
    <cellStyle name="Normal 4 6 2 2 6" xfId="6688"/>
    <cellStyle name="Normal 4 6 2 2 6 2" xfId="27309"/>
    <cellStyle name="Normal 4 6 2 2 7" xfId="21524"/>
    <cellStyle name="Normal 4 6 2 2 8" xfId="25070"/>
    <cellStyle name="Normal 4 6 2 2 9" xfId="27296"/>
    <cellStyle name="Normal 4 6 2 3" xfId="4931"/>
    <cellStyle name="Normal 4 6 2 3 2" xfId="5504"/>
    <cellStyle name="Normal 4 6 2 3 2 2" xfId="6696"/>
    <cellStyle name="Normal 4 6 2 3 2 2 2" xfId="21538"/>
    <cellStyle name="Normal 4 6 2 3 2 2 3" xfId="27312"/>
    <cellStyle name="Normal 4 6 2 3 2 3" xfId="21537"/>
    <cellStyle name="Normal 4 6 2 3 2 4" xfId="27311"/>
    <cellStyle name="Normal 4 6 2 3 3" xfId="5814"/>
    <cellStyle name="Normal 4 6 2 3 3 2" xfId="6697"/>
    <cellStyle name="Normal 4 6 2 3 3 2 2" xfId="27314"/>
    <cellStyle name="Normal 4 6 2 3 3 3" xfId="21539"/>
    <cellStyle name="Normal 4 6 2 3 3 4" xfId="27313"/>
    <cellStyle name="Normal 4 6 2 3 4" xfId="6695"/>
    <cellStyle name="Normal 4 6 2 3 4 2" xfId="27315"/>
    <cellStyle name="Normal 4 6 2 3 5" xfId="21536"/>
    <cellStyle name="Normal 4 6 2 3 6" xfId="27310"/>
    <cellStyle name="Normal 4 6 2 4" xfId="5501"/>
    <cellStyle name="Normal 4 6 2 4 2" xfId="6698"/>
    <cellStyle name="Normal 4 6 2 4 2 2" xfId="21542"/>
    <cellStyle name="Normal 4 6 2 4 2 3" xfId="21541"/>
    <cellStyle name="Normal 4 6 2 4 2 4" xfId="27317"/>
    <cellStyle name="Normal 4 6 2 4 3" xfId="21543"/>
    <cellStyle name="Normal 4 6 2 4 3 2" xfId="21544"/>
    <cellStyle name="Normal 4 6 2 4 4" xfId="21545"/>
    <cellStyle name="Normal 4 6 2 4 5" xfId="21540"/>
    <cellStyle name="Normal 4 6 2 4 6" xfId="27316"/>
    <cellStyle name="Normal 4 6 2 5" xfId="5811"/>
    <cellStyle name="Normal 4 6 2 5 2" xfId="6699"/>
    <cellStyle name="Normal 4 6 2 5 2 2" xfId="21547"/>
    <cellStyle name="Normal 4 6 2 5 2 3" xfId="27319"/>
    <cellStyle name="Normal 4 6 2 5 3" xfId="21546"/>
    <cellStyle name="Normal 4 6 2 5 4" xfId="27318"/>
    <cellStyle name="Normal 4 6 2 6" xfId="4928"/>
    <cellStyle name="Normal 4 6 2 6 2" xfId="6700"/>
    <cellStyle name="Normal 4 6 2 6 2 2" xfId="21549"/>
    <cellStyle name="Normal 4 6 2 6 2 3" xfId="27321"/>
    <cellStyle name="Normal 4 6 2 6 3" xfId="21548"/>
    <cellStyle name="Normal 4 6 2 6 4" xfId="27320"/>
    <cellStyle name="Normal 4 6 2 7" xfId="6687"/>
    <cellStyle name="Normal 4 6 2 7 2" xfId="21550"/>
    <cellStyle name="Normal 4 6 2 7 3" xfId="27322"/>
    <cellStyle name="Normal 4 6 2 8" xfId="21523"/>
    <cellStyle name="Normal 4 6 2 9" xfId="24950"/>
    <cellStyle name="Normal 4 6 3" xfId="1438"/>
    <cellStyle name="Normal 4 6 3 2" xfId="4184"/>
    <cellStyle name="Normal 4 6 3 2 2" xfId="5506"/>
    <cellStyle name="Normal 4 6 3 2 2 2" xfId="6703"/>
    <cellStyle name="Normal 4 6 3 2 2 2 2" xfId="21554"/>
    <cellStyle name="Normal 4 6 3 2 2 2 3" xfId="27326"/>
    <cellStyle name="Normal 4 6 3 2 2 3" xfId="21553"/>
    <cellStyle name="Normal 4 6 3 2 2 4" xfId="27325"/>
    <cellStyle name="Normal 4 6 3 2 3" xfId="5816"/>
    <cellStyle name="Normal 4 6 3 2 3 2" xfId="6704"/>
    <cellStyle name="Normal 4 6 3 2 3 2 2" xfId="27328"/>
    <cellStyle name="Normal 4 6 3 2 3 3" xfId="21555"/>
    <cellStyle name="Normal 4 6 3 2 3 4" xfId="27327"/>
    <cellStyle name="Normal 4 6 3 2 4" xfId="4933"/>
    <cellStyle name="Normal 4 6 3 2 4 2" xfId="6705"/>
    <cellStyle name="Normal 4 6 3 2 4 2 2" xfId="27330"/>
    <cellStyle name="Normal 4 6 3 2 4 3" xfId="27329"/>
    <cellStyle name="Normal 4 6 3 2 5" xfId="6702"/>
    <cellStyle name="Normal 4 6 3 2 5 2" xfId="27331"/>
    <cellStyle name="Normal 4 6 3 2 6" xfId="21552"/>
    <cellStyle name="Normal 4 6 3 2 7" xfId="25036"/>
    <cellStyle name="Normal 4 6 3 2 8" xfId="27324"/>
    <cellStyle name="Normal 4 6 3 3" xfId="5505"/>
    <cellStyle name="Normal 4 6 3 3 2" xfId="6706"/>
    <cellStyle name="Normal 4 6 3 3 2 2" xfId="21558"/>
    <cellStyle name="Normal 4 6 3 3 2 3" xfId="21557"/>
    <cellStyle name="Normal 4 6 3 3 2 4" xfId="27333"/>
    <cellStyle name="Normal 4 6 3 3 3" xfId="21559"/>
    <cellStyle name="Normal 4 6 3 3 3 2" xfId="21560"/>
    <cellStyle name="Normal 4 6 3 3 4" xfId="21561"/>
    <cellStyle name="Normal 4 6 3 3 5" xfId="21556"/>
    <cellStyle name="Normal 4 6 3 3 6" xfId="27332"/>
    <cellStyle name="Normal 4 6 3 4" xfId="5815"/>
    <cellStyle name="Normal 4 6 3 4 2" xfId="6707"/>
    <cellStyle name="Normal 4 6 3 4 2 2" xfId="21563"/>
    <cellStyle name="Normal 4 6 3 4 2 3" xfId="27335"/>
    <cellStyle name="Normal 4 6 3 4 3" xfId="21562"/>
    <cellStyle name="Normal 4 6 3 4 4" xfId="27334"/>
    <cellStyle name="Normal 4 6 3 5" xfId="4932"/>
    <cellStyle name="Normal 4 6 3 5 2" xfId="6708"/>
    <cellStyle name="Normal 4 6 3 5 2 2" xfId="21565"/>
    <cellStyle name="Normal 4 6 3 5 2 3" xfId="27337"/>
    <cellStyle name="Normal 4 6 3 5 3" xfId="21564"/>
    <cellStyle name="Normal 4 6 3 5 4" xfId="27336"/>
    <cellStyle name="Normal 4 6 3 6" xfId="6701"/>
    <cellStyle name="Normal 4 6 3 6 2" xfId="21566"/>
    <cellStyle name="Normal 4 6 3 6 3" xfId="27338"/>
    <cellStyle name="Normal 4 6 3 7" xfId="21551"/>
    <cellStyle name="Normal 4 6 3 8" xfId="24916"/>
    <cellStyle name="Normal 4 6 3 9" xfId="27323"/>
    <cellStyle name="Normal 4 6 4" xfId="3938"/>
    <cellStyle name="Normal 4 6 4 2" xfId="5507"/>
    <cellStyle name="Normal 4 6 4 2 2" xfId="6709"/>
    <cellStyle name="Normal 4 6 4 2 2 2" xfId="21569"/>
    <cellStyle name="Normal 4 6 4 2 2 3" xfId="27340"/>
    <cellStyle name="Normal 4 6 4 2 3" xfId="21568"/>
    <cellStyle name="Normal 4 6 4 2 4" xfId="27339"/>
    <cellStyle name="Normal 4 6 4 3" xfId="5817"/>
    <cellStyle name="Normal 4 6 4 3 2" xfId="6710"/>
    <cellStyle name="Normal 4 6 4 3 2 2" xfId="27342"/>
    <cellStyle name="Normal 4 6 4 3 3" xfId="21570"/>
    <cellStyle name="Normal 4 6 4 3 4" xfId="27341"/>
    <cellStyle name="Normal 4 6 4 4" xfId="4934"/>
    <cellStyle name="Normal 4 6 4 4 2" xfId="6711"/>
    <cellStyle name="Normal 4 6 4 4 2 2" xfId="27344"/>
    <cellStyle name="Normal 4 6 4 4 3" xfId="27343"/>
    <cellStyle name="Normal 4 6 4 5" xfId="21567"/>
    <cellStyle name="Normal 4 6 5" xfId="5500"/>
    <cellStyle name="Normal 4 6 5 2" xfId="6712"/>
    <cellStyle name="Normal 4 6 5 2 2" xfId="21573"/>
    <cellStyle name="Normal 4 6 5 2 3" xfId="21572"/>
    <cellStyle name="Normal 4 6 5 2 4" xfId="27346"/>
    <cellStyle name="Normal 4 6 5 3" xfId="21574"/>
    <cellStyle name="Normal 4 6 5 4" xfId="21571"/>
    <cellStyle name="Normal 4 6 5 5" xfId="27345"/>
    <cellStyle name="Normal 4 6 6" xfId="5810"/>
    <cellStyle name="Normal 4 6 6 2" xfId="6713"/>
    <cellStyle name="Normal 4 6 6 2 2" xfId="21577"/>
    <cellStyle name="Normal 4 6 6 2 3" xfId="21576"/>
    <cellStyle name="Normal 4 6 6 2 4" xfId="27348"/>
    <cellStyle name="Normal 4 6 6 3" xfId="21578"/>
    <cellStyle name="Normal 4 6 6 4" xfId="21575"/>
    <cellStyle name="Normal 4 6 6 5" xfId="27347"/>
    <cellStyle name="Normal 4 6 7" xfId="4927"/>
    <cellStyle name="Normal 4 6 7 2" xfId="6714"/>
    <cellStyle name="Normal 4 6 7 2 2" xfId="21580"/>
    <cellStyle name="Normal 4 6 7 2 3" xfId="27350"/>
    <cellStyle name="Normal 4 6 7 3" xfId="21579"/>
    <cellStyle name="Normal 4 6 7 4" xfId="27349"/>
    <cellStyle name="Normal 4 6 8" xfId="21581"/>
    <cellStyle name="Normal 4 6 8 2" xfId="21582"/>
    <cellStyle name="Normal 4 6 9" xfId="21583"/>
    <cellStyle name="Normal 4 7" xfId="1078"/>
    <cellStyle name="Normal 4 7 10" xfId="21584"/>
    <cellStyle name="Normal 4 7 2" xfId="1537"/>
    <cellStyle name="Normal 4 7 2 2" xfId="4190"/>
    <cellStyle name="Normal 4 7 2 2 2" xfId="5510"/>
    <cellStyle name="Normal 4 7 2 2 2 2" xfId="6717"/>
    <cellStyle name="Normal 4 7 2 2 2 2 2" xfId="21588"/>
    <cellStyle name="Normal 4 7 2 2 2 2 3" xfId="27354"/>
    <cellStyle name="Normal 4 7 2 2 2 3" xfId="21587"/>
    <cellStyle name="Normal 4 7 2 2 2 4" xfId="27353"/>
    <cellStyle name="Normal 4 7 2 2 3" xfId="5820"/>
    <cellStyle name="Normal 4 7 2 2 3 2" xfId="6718"/>
    <cellStyle name="Normal 4 7 2 2 3 2 2" xfId="27356"/>
    <cellStyle name="Normal 4 7 2 2 3 3" xfId="21589"/>
    <cellStyle name="Normal 4 7 2 2 3 4" xfId="27355"/>
    <cellStyle name="Normal 4 7 2 2 4" xfId="4937"/>
    <cellStyle name="Normal 4 7 2 2 4 2" xfId="6719"/>
    <cellStyle name="Normal 4 7 2 2 4 2 2" xfId="27358"/>
    <cellStyle name="Normal 4 7 2 2 4 3" xfId="27357"/>
    <cellStyle name="Normal 4 7 2 2 5" xfId="6716"/>
    <cellStyle name="Normal 4 7 2 2 5 2" xfId="27359"/>
    <cellStyle name="Normal 4 7 2 2 6" xfId="21586"/>
    <cellStyle name="Normal 4 7 2 2 7" xfId="25042"/>
    <cellStyle name="Normal 4 7 2 2 8" xfId="27352"/>
    <cellStyle name="Normal 4 7 2 3" xfId="5509"/>
    <cellStyle name="Normal 4 7 2 3 2" xfId="6720"/>
    <cellStyle name="Normal 4 7 2 3 2 2" xfId="21592"/>
    <cellStyle name="Normal 4 7 2 3 2 3" xfId="21591"/>
    <cellStyle name="Normal 4 7 2 3 2 4" xfId="27361"/>
    <cellStyle name="Normal 4 7 2 3 3" xfId="21593"/>
    <cellStyle name="Normal 4 7 2 3 3 2" xfId="21594"/>
    <cellStyle name="Normal 4 7 2 3 4" xfId="21595"/>
    <cellStyle name="Normal 4 7 2 3 5" xfId="21590"/>
    <cellStyle name="Normal 4 7 2 3 6" xfId="27360"/>
    <cellStyle name="Normal 4 7 2 4" xfId="5819"/>
    <cellStyle name="Normal 4 7 2 4 2" xfId="6721"/>
    <cellStyle name="Normal 4 7 2 4 2 2" xfId="21597"/>
    <cellStyle name="Normal 4 7 2 4 2 3" xfId="27363"/>
    <cellStyle name="Normal 4 7 2 4 3" xfId="21596"/>
    <cellStyle name="Normal 4 7 2 4 4" xfId="27362"/>
    <cellStyle name="Normal 4 7 2 5" xfId="4936"/>
    <cellStyle name="Normal 4 7 2 5 2" xfId="6722"/>
    <cellStyle name="Normal 4 7 2 5 2 2" xfId="21599"/>
    <cellStyle name="Normal 4 7 2 5 2 3" xfId="27365"/>
    <cellStyle name="Normal 4 7 2 5 3" xfId="21598"/>
    <cellStyle name="Normal 4 7 2 5 4" xfId="27364"/>
    <cellStyle name="Normal 4 7 2 6" xfId="6715"/>
    <cellStyle name="Normal 4 7 2 6 2" xfId="21600"/>
    <cellStyle name="Normal 4 7 2 6 3" xfId="27366"/>
    <cellStyle name="Normal 4 7 2 7" xfId="21585"/>
    <cellStyle name="Normal 4 7 2 8" xfId="24922"/>
    <cellStyle name="Normal 4 7 2 9" xfId="27351"/>
    <cellStyle name="Normal 4 7 3" xfId="3948"/>
    <cellStyle name="Normal 4 7 3 2" xfId="5511"/>
    <cellStyle name="Normal 4 7 3 2 2" xfId="6723"/>
    <cellStyle name="Normal 4 7 3 2 2 2" xfId="21603"/>
    <cellStyle name="Normal 4 7 3 2 2 3" xfId="27368"/>
    <cellStyle name="Normal 4 7 3 2 3" xfId="21602"/>
    <cellStyle name="Normal 4 7 3 2 4" xfId="27367"/>
    <cellStyle name="Normal 4 7 3 3" xfId="5821"/>
    <cellStyle name="Normal 4 7 3 3 2" xfId="6724"/>
    <cellStyle name="Normal 4 7 3 3 2 2" xfId="27370"/>
    <cellStyle name="Normal 4 7 3 3 3" xfId="21604"/>
    <cellStyle name="Normal 4 7 3 3 4" xfId="27369"/>
    <cellStyle name="Normal 4 7 3 4" xfId="4938"/>
    <cellStyle name="Normal 4 7 3 4 2" xfId="6725"/>
    <cellStyle name="Normal 4 7 3 4 2 2" xfId="27372"/>
    <cellStyle name="Normal 4 7 3 4 3" xfId="27371"/>
    <cellStyle name="Normal 4 7 3 5" xfId="21601"/>
    <cellStyle name="Normal 4 7 4" xfId="5508"/>
    <cellStyle name="Normal 4 7 4 2" xfId="6726"/>
    <cellStyle name="Normal 4 7 4 2 2" xfId="21606"/>
    <cellStyle name="Normal 4 7 4 2 3" xfId="27374"/>
    <cellStyle name="Normal 4 7 4 3" xfId="21605"/>
    <cellStyle name="Normal 4 7 4 4" xfId="27373"/>
    <cellStyle name="Normal 4 7 5" xfId="5818"/>
    <cellStyle name="Normal 4 7 5 2" xfId="6727"/>
    <cellStyle name="Normal 4 7 5 2 2" xfId="21609"/>
    <cellStyle name="Normal 4 7 5 2 3" xfId="21608"/>
    <cellStyle name="Normal 4 7 5 2 4" xfId="27376"/>
    <cellStyle name="Normal 4 7 5 3" xfId="21610"/>
    <cellStyle name="Normal 4 7 5 4" xfId="21607"/>
    <cellStyle name="Normal 4 7 5 5" xfId="27375"/>
    <cellStyle name="Normal 4 7 6" xfId="4935"/>
    <cellStyle name="Normal 4 7 6 2" xfId="6728"/>
    <cellStyle name="Normal 4 7 6 2 2" xfId="21613"/>
    <cellStyle name="Normal 4 7 6 2 3" xfId="21612"/>
    <cellStyle name="Normal 4 7 6 2 4" xfId="27378"/>
    <cellStyle name="Normal 4 7 6 3" xfId="21614"/>
    <cellStyle name="Normal 4 7 6 4" xfId="21611"/>
    <cellStyle name="Normal 4 7 6 5" xfId="27377"/>
    <cellStyle name="Normal 4 7 7" xfId="21615"/>
    <cellStyle name="Normal 4 7 7 2" xfId="21616"/>
    <cellStyle name="Normal 4 7 8" xfId="21617"/>
    <cellStyle name="Normal 4 7 8 2" xfId="21618"/>
    <cellStyle name="Normal 4 7 9" xfId="21619"/>
    <cellStyle name="Normal 4 8" xfId="1088"/>
    <cellStyle name="Normal 4 8 2" xfId="1543"/>
    <cellStyle name="Normal 4 8 2 2" xfId="21620"/>
    <cellStyle name="Normal 4 8 3" xfId="3958"/>
    <cellStyle name="Normal 4 8 3 2" xfId="21622"/>
    <cellStyle name="Normal 4 8 3 3" xfId="21621"/>
    <cellStyle name="Normal 4 8 4" xfId="21623"/>
    <cellStyle name="Normal 4 8 4 2" xfId="21624"/>
    <cellStyle name="Normal 4 8 5" xfId="21625"/>
    <cellStyle name="Normal 4 8 5 2" xfId="21626"/>
    <cellStyle name="Normal 4 9" xfId="1098"/>
    <cellStyle name="Normal 4 9 10" xfId="21627"/>
    <cellStyle name="Normal 4 9 2" xfId="3536"/>
    <cellStyle name="Normal 4 9 2 2" xfId="4198"/>
    <cellStyle name="Normal 4 9 2 2 2" xfId="5514"/>
    <cellStyle name="Normal 4 9 2 2 2 2" xfId="6731"/>
    <cellStyle name="Normal 4 9 2 2 2 2 2" xfId="21631"/>
    <cellStyle name="Normal 4 9 2 2 2 2 3" xfId="27382"/>
    <cellStyle name="Normal 4 9 2 2 2 3" xfId="21630"/>
    <cellStyle name="Normal 4 9 2 2 2 4" xfId="27381"/>
    <cellStyle name="Normal 4 9 2 2 3" xfId="5824"/>
    <cellStyle name="Normal 4 9 2 2 3 2" xfId="6732"/>
    <cellStyle name="Normal 4 9 2 2 3 2 2" xfId="27384"/>
    <cellStyle name="Normal 4 9 2 2 3 3" xfId="21632"/>
    <cellStyle name="Normal 4 9 2 2 3 4" xfId="27383"/>
    <cellStyle name="Normal 4 9 2 2 4" xfId="4941"/>
    <cellStyle name="Normal 4 9 2 2 4 2" xfId="6733"/>
    <cellStyle name="Normal 4 9 2 2 4 2 2" xfId="27386"/>
    <cellStyle name="Normal 4 9 2 2 4 3" xfId="27385"/>
    <cellStyle name="Normal 4 9 2 2 5" xfId="6730"/>
    <cellStyle name="Normal 4 9 2 2 5 2" xfId="27387"/>
    <cellStyle name="Normal 4 9 2 2 6" xfId="21629"/>
    <cellStyle name="Normal 4 9 2 2 7" xfId="25050"/>
    <cellStyle name="Normal 4 9 2 2 8" xfId="27380"/>
    <cellStyle name="Normal 4 9 2 3" xfId="5513"/>
    <cellStyle name="Normal 4 9 2 3 2" xfId="6734"/>
    <cellStyle name="Normal 4 9 2 3 2 2" xfId="21635"/>
    <cellStyle name="Normal 4 9 2 3 2 3" xfId="21634"/>
    <cellStyle name="Normal 4 9 2 3 2 4" xfId="27389"/>
    <cellStyle name="Normal 4 9 2 3 3" xfId="21636"/>
    <cellStyle name="Normal 4 9 2 3 3 2" xfId="21637"/>
    <cellStyle name="Normal 4 9 2 3 4" xfId="21638"/>
    <cellStyle name="Normal 4 9 2 3 5" xfId="21633"/>
    <cellStyle name="Normal 4 9 2 3 6" xfId="27388"/>
    <cellStyle name="Normal 4 9 2 4" xfId="5823"/>
    <cellStyle name="Normal 4 9 2 4 2" xfId="6735"/>
    <cellStyle name="Normal 4 9 2 4 2 2" xfId="21640"/>
    <cellStyle name="Normal 4 9 2 4 2 3" xfId="27391"/>
    <cellStyle name="Normal 4 9 2 4 3" xfId="21639"/>
    <cellStyle name="Normal 4 9 2 4 4" xfId="27390"/>
    <cellStyle name="Normal 4 9 2 5" xfId="4940"/>
    <cellStyle name="Normal 4 9 2 5 2" xfId="6736"/>
    <cellStyle name="Normal 4 9 2 5 2 2" xfId="21642"/>
    <cellStyle name="Normal 4 9 2 5 2 3" xfId="27393"/>
    <cellStyle name="Normal 4 9 2 5 3" xfId="21641"/>
    <cellStyle name="Normal 4 9 2 5 4" xfId="27392"/>
    <cellStyle name="Normal 4 9 2 6" xfId="6729"/>
    <cellStyle name="Normal 4 9 2 6 2" xfId="21643"/>
    <cellStyle name="Normal 4 9 2 6 3" xfId="27394"/>
    <cellStyle name="Normal 4 9 2 7" xfId="21628"/>
    <cellStyle name="Normal 4 9 2 8" xfId="24930"/>
    <cellStyle name="Normal 4 9 2 9" xfId="27379"/>
    <cellStyle name="Normal 4 9 3" xfId="3968"/>
    <cellStyle name="Normal 4 9 3 2" xfId="5515"/>
    <cellStyle name="Normal 4 9 3 2 2" xfId="6737"/>
    <cellStyle name="Normal 4 9 3 2 2 2" xfId="21646"/>
    <cellStyle name="Normal 4 9 3 2 2 3" xfId="27396"/>
    <cellStyle name="Normal 4 9 3 2 3" xfId="21645"/>
    <cellStyle name="Normal 4 9 3 2 4" xfId="27395"/>
    <cellStyle name="Normal 4 9 3 3" xfId="5825"/>
    <cellStyle name="Normal 4 9 3 3 2" xfId="6738"/>
    <cellStyle name="Normal 4 9 3 3 2 2" xfId="27398"/>
    <cellStyle name="Normal 4 9 3 3 3" xfId="21647"/>
    <cellStyle name="Normal 4 9 3 3 4" xfId="27397"/>
    <cellStyle name="Normal 4 9 3 4" xfId="4942"/>
    <cellStyle name="Normal 4 9 3 4 2" xfId="6739"/>
    <cellStyle name="Normal 4 9 3 4 2 2" xfId="27400"/>
    <cellStyle name="Normal 4 9 3 4 3" xfId="27399"/>
    <cellStyle name="Normal 4 9 3 5" xfId="21644"/>
    <cellStyle name="Normal 4 9 4" xfId="5512"/>
    <cellStyle name="Normal 4 9 4 2" xfId="6740"/>
    <cellStyle name="Normal 4 9 4 2 2" xfId="21649"/>
    <cellStyle name="Normal 4 9 4 2 3" xfId="27402"/>
    <cellStyle name="Normal 4 9 4 3" xfId="21648"/>
    <cellStyle name="Normal 4 9 4 4" xfId="27401"/>
    <cellStyle name="Normal 4 9 5" xfId="5822"/>
    <cellStyle name="Normal 4 9 5 2" xfId="6741"/>
    <cellStyle name="Normal 4 9 5 2 2" xfId="21652"/>
    <cellStyle name="Normal 4 9 5 2 3" xfId="21651"/>
    <cellStyle name="Normal 4 9 5 2 4" xfId="27404"/>
    <cellStyle name="Normal 4 9 5 3" xfId="21653"/>
    <cellStyle name="Normal 4 9 5 4" xfId="21650"/>
    <cellStyle name="Normal 4 9 5 5" xfId="27403"/>
    <cellStyle name="Normal 4 9 6" xfId="4939"/>
    <cellStyle name="Normal 4 9 6 2" xfId="6742"/>
    <cellStyle name="Normal 4 9 6 2 2" xfId="21656"/>
    <cellStyle name="Normal 4 9 6 2 3" xfId="21655"/>
    <cellStyle name="Normal 4 9 6 2 4" xfId="27406"/>
    <cellStyle name="Normal 4 9 6 3" xfId="21657"/>
    <cellStyle name="Normal 4 9 6 4" xfId="21654"/>
    <cellStyle name="Normal 4 9 6 5" xfId="27405"/>
    <cellStyle name="Normal 4 9 7" xfId="21658"/>
    <cellStyle name="Normal 4 9 7 2" xfId="21659"/>
    <cellStyle name="Normal 4 9 8" xfId="21660"/>
    <cellStyle name="Normal 4 9 8 2" xfId="21661"/>
    <cellStyle name="Normal 4 9 9" xfId="21662"/>
    <cellStyle name="Normal 40" xfId="1031"/>
    <cellStyle name="Normal 40 2" xfId="3894"/>
    <cellStyle name="Normal 41" xfId="28699"/>
    <cellStyle name="Normal 42" xfId="1032"/>
    <cellStyle name="Normal 42 2" xfId="3896"/>
    <cellStyle name="Normal 43" xfId="28701"/>
    <cellStyle name="Normal 44" xfId="1033"/>
    <cellStyle name="Normal 44 2" xfId="3898"/>
    <cellStyle name="Normal 45" xfId="28705"/>
    <cellStyle name="Normal 5" xfId="12"/>
    <cellStyle name="Normal 5 10" xfId="1102"/>
    <cellStyle name="Normal 5 10 2" xfId="3972"/>
    <cellStyle name="Normal 5 10 2 2" xfId="5517"/>
    <cellStyle name="Normal 5 10 2 2 2" xfId="6743"/>
    <cellStyle name="Normal 5 10 2 2 2 2" xfId="21665"/>
    <cellStyle name="Normal 5 10 2 2 2 3" xfId="27408"/>
    <cellStyle name="Normal 5 10 2 2 3" xfId="21664"/>
    <cellStyle name="Normal 5 10 2 2 4" xfId="27407"/>
    <cellStyle name="Normal 5 10 2 3" xfId="5827"/>
    <cellStyle name="Normal 5 10 2 3 2" xfId="6744"/>
    <cellStyle name="Normal 5 10 2 3 2 2" xfId="21667"/>
    <cellStyle name="Normal 5 10 2 3 2 3" xfId="27410"/>
    <cellStyle name="Normal 5 10 2 3 3" xfId="21666"/>
    <cellStyle name="Normal 5 10 2 3 4" xfId="27409"/>
    <cellStyle name="Normal 5 10 2 4" xfId="4944"/>
    <cellStyle name="Normal 5 10 2 4 2" xfId="6745"/>
    <cellStyle name="Normal 5 10 2 4 2 2" xfId="27412"/>
    <cellStyle name="Normal 5 10 2 4 3" xfId="21668"/>
    <cellStyle name="Normal 5 10 2 4 4" xfId="27411"/>
    <cellStyle name="Normal 5 10 2 5" xfId="21663"/>
    <cellStyle name="Normal 5 10 3" xfId="5516"/>
    <cellStyle name="Normal 5 10 3 2" xfId="6746"/>
    <cellStyle name="Normal 5 10 3 2 2" xfId="21670"/>
    <cellStyle name="Normal 5 10 3 2 3" xfId="27414"/>
    <cellStyle name="Normal 5 10 3 3" xfId="21669"/>
    <cellStyle name="Normal 5 10 3 4" xfId="27413"/>
    <cellStyle name="Normal 5 10 4" xfId="5826"/>
    <cellStyle name="Normal 5 10 4 2" xfId="6747"/>
    <cellStyle name="Normal 5 10 4 2 2" xfId="21672"/>
    <cellStyle name="Normal 5 10 4 2 3" xfId="27416"/>
    <cellStyle name="Normal 5 10 4 3" xfId="21671"/>
    <cellStyle name="Normal 5 10 4 4" xfId="27415"/>
    <cellStyle name="Normal 5 10 5" xfId="4943"/>
    <cellStyle name="Normal 5 10 5 2" xfId="6748"/>
    <cellStyle name="Normal 5 10 5 2 2" xfId="27418"/>
    <cellStyle name="Normal 5 10 5 3" xfId="21673"/>
    <cellStyle name="Normal 5 10 5 4" xfId="27417"/>
    <cellStyle name="Normal 5 10 6" xfId="7115"/>
    <cellStyle name="Normal 5 11" xfId="1112"/>
    <cellStyle name="Normal 5 11 2" xfId="3982"/>
    <cellStyle name="Normal 5 11 2 2" xfId="5518"/>
    <cellStyle name="Normal 5 11 2 2 2" xfId="6749"/>
    <cellStyle name="Normal 5 11 2 2 2 2" xfId="27420"/>
    <cellStyle name="Normal 5 11 2 2 3" xfId="21676"/>
    <cellStyle name="Normal 5 11 2 2 4" xfId="27419"/>
    <cellStyle name="Normal 5 11 2 3" xfId="21675"/>
    <cellStyle name="Normal 5 11 3" xfId="5828"/>
    <cellStyle name="Normal 5 11 3 2" xfId="6750"/>
    <cellStyle name="Normal 5 11 3 2 2" xfId="21678"/>
    <cellStyle name="Normal 5 11 3 2 3" xfId="27422"/>
    <cellStyle name="Normal 5 11 3 3" xfId="21677"/>
    <cellStyle name="Normal 5 11 3 4" xfId="27421"/>
    <cellStyle name="Normal 5 11 4" xfId="4945"/>
    <cellStyle name="Normal 5 11 4 2" xfId="6751"/>
    <cellStyle name="Normal 5 11 4 2 2" xfId="27424"/>
    <cellStyle name="Normal 5 11 4 3" xfId="21679"/>
    <cellStyle name="Normal 5 11 4 4" xfId="27423"/>
    <cellStyle name="Normal 5 11 5" xfId="21674"/>
    <cellStyle name="Normal 5 12" xfId="1122"/>
    <cellStyle name="Normal 5 12 2" xfId="3992"/>
    <cellStyle name="Normal 5 12 2 2" xfId="21681"/>
    <cellStyle name="Normal 5 12 3" xfId="21680"/>
    <cellStyle name="Normal 5 13" xfId="1132"/>
    <cellStyle name="Normal 5 13 2" xfId="4002"/>
    <cellStyle name="Normal 5 13 2 2" xfId="21683"/>
    <cellStyle name="Normal 5 13 3" xfId="21682"/>
    <cellStyle name="Normal 5 14" xfId="1160"/>
    <cellStyle name="Normal 5 14 2" xfId="4030"/>
    <cellStyle name="Normal 5 15" xfId="1148"/>
    <cellStyle name="Normal 5 15 2" xfId="4018"/>
    <cellStyle name="Normal 5 16" xfId="1162"/>
    <cellStyle name="Normal 5 16 2" xfId="4032"/>
    <cellStyle name="Normal 5 17" xfId="1172"/>
    <cellStyle name="Normal 5 17 2" xfId="4042"/>
    <cellStyle name="Normal 5 18" xfId="1182"/>
    <cellStyle name="Normal 5 18 2" xfId="4052"/>
    <cellStyle name="Normal 5 19" xfId="1192"/>
    <cellStyle name="Normal 5 19 2" xfId="4062"/>
    <cellStyle name="Normal 5 2" xfId="61"/>
    <cellStyle name="Normal 5 2 2" xfId="1490"/>
    <cellStyle name="Normal 5 2 2 10" xfId="27425"/>
    <cellStyle name="Normal 5 2 2 2" xfId="4186"/>
    <cellStyle name="Normal 5 2 2 2 2" xfId="4948"/>
    <cellStyle name="Normal 5 2 2 2 2 2" xfId="5521"/>
    <cellStyle name="Normal 5 2 2 2 2 2 2" xfId="6755"/>
    <cellStyle name="Normal 5 2 2 2 2 2 2 2" xfId="21688"/>
    <cellStyle name="Normal 5 2 2 2 2 2 2 3" xfId="27429"/>
    <cellStyle name="Normal 5 2 2 2 2 2 3" xfId="21687"/>
    <cellStyle name="Normal 5 2 2 2 2 2 4" xfId="27428"/>
    <cellStyle name="Normal 5 2 2 2 2 3" xfId="5831"/>
    <cellStyle name="Normal 5 2 2 2 2 3 2" xfId="6756"/>
    <cellStyle name="Normal 5 2 2 2 2 3 2 2" xfId="21690"/>
    <cellStyle name="Normal 5 2 2 2 2 3 2 3" xfId="27431"/>
    <cellStyle name="Normal 5 2 2 2 2 3 3" xfId="21689"/>
    <cellStyle name="Normal 5 2 2 2 2 3 4" xfId="27430"/>
    <cellStyle name="Normal 5 2 2 2 2 4" xfId="6754"/>
    <cellStyle name="Normal 5 2 2 2 2 4 2" xfId="21691"/>
    <cellStyle name="Normal 5 2 2 2 2 4 3" xfId="27432"/>
    <cellStyle name="Normal 5 2 2 2 2 5" xfId="21686"/>
    <cellStyle name="Normal 5 2 2 2 2 6" xfId="27427"/>
    <cellStyle name="Normal 5 2 2 2 3" xfId="5520"/>
    <cellStyle name="Normal 5 2 2 2 3 2" xfId="6757"/>
    <cellStyle name="Normal 5 2 2 2 3 2 2" xfId="21693"/>
    <cellStyle name="Normal 5 2 2 2 3 2 3" xfId="27434"/>
    <cellStyle name="Normal 5 2 2 2 3 3" xfId="21692"/>
    <cellStyle name="Normal 5 2 2 2 3 4" xfId="27433"/>
    <cellStyle name="Normal 5 2 2 2 4" xfId="5830"/>
    <cellStyle name="Normal 5 2 2 2 4 2" xfId="6758"/>
    <cellStyle name="Normal 5 2 2 2 4 2 2" xfId="21695"/>
    <cellStyle name="Normal 5 2 2 2 4 2 3" xfId="27436"/>
    <cellStyle name="Normal 5 2 2 2 4 3" xfId="21694"/>
    <cellStyle name="Normal 5 2 2 2 4 4" xfId="27435"/>
    <cellStyle name="Normal 5 2 2 2 5" xfId="4947"/>
    <cellStyle name="Normal 5 2 2 2 5 2" xfId="6759"/>
    <cellStyle name="Normal 5 2 2 2 5 2 2" xfId="27438"/>
    <cellStyle name="Normal 5 2 2 2 5 3" xfId="21696"/>
    <cellStyle name="Normal 5 2 2 2 5 4" xfId="27437"/>
    <cellStyle name="Normal 5 2 2 2 6" xfId="6753"/>
    <cellStyle name="Normal 5 2 2 2 6 2" xfId="27439"/>
    <cellStyle name="Normal 5 2 2 2 7" xfId="21685"/>
    <cellStyle name="Normal 5 2 2 2 8" xfId="25038"/>
    <cellStyle name="Normal 5 2 2 2 9" xfId="27426"/>
    <cellStyle name="Normal 5 2 2 3" xfId="4949"/>
    <cellStyle name="Normal 5 2 2 3 2" xfId="5522"/>
    <cellStyle name="Normal 5 2 2 3 2 2" xfId="6761"/>
    <cellStyle name="Normal 5 2 2 3 2 2 2" xfId="21699"/>
    <cellStyle name="Normal 5 2 2 3 2 2 3" xfId="27442"/>
    <cellStyle name="Normal 5 2 2 3 2 3" xfId="21698"/>
    <cellStyle name="Normal 5 2 2 3 2 4" xfId="27441"/>
    <cellStyle name="Normal 5 2 2 3 3" xfId="5832"/>
    <cellStyle name="Normal 5 2 2 3 3 2" xfId="6762"/>
    <cellStyle name="Normal 5 2 2 3 3 2 2" xfId="21701"/>
    <cellStyle name="Normal 5 2 2 3 3 2 3" xfId="27444"/>
    <cellStyle name="Normal 5 2 2 3 3 3" xfId="21700"/>
    <cellStyle name="Normal 5 2 2 3 3 4" xfId="27443"/>
    <cellStyle name="Normal 5 2 2 3 4" xfId="6760"/>
    <cellStyle name="Normal 5 2 2 3 4 2" xfId="21702"/>
    <cellStyle name="Normal 5 2 2 3 4 3" xfId="27445"/>
    <cellStyle name="Normal 5 2 2 3 5" xfId="21697"/>
    <cellStyle name="Normal 5 2 2 3 6" xfId="27440"/>
    <cellStyle name="Normal 5 2 2 4" xfId="5519"/>
    <cellStyle name="Normal 5 2 2 4 2" xfId="6763"/>
    <cellStyle name="Normal 5 2 2 4 2 2" xfId="21704"/>
    <cellStyle name="Normal 5 2 2 4 2 3" xfId="27447"/>
    <cellStyle name="Normal 5 2 2 4 3" xfId="21703"/>
    <cellStyle name="Normal 5 2 2 4 4" xfId="27446"/>
    <cellStyle name="Normal 5 2 2 5" xfId="5829"/>
    <cellStyle name="Normal 5 2 2 5 2" xfId="6764"/>
    <cellStyle name="Normal 5 2 2 5 2 2" xfId="21706"/>
    <cellStyle name="Normal 5 2 2 5 2 3" xfId="27449"/>
    <cellStyle name="Normal 5 2 2 5 3" xfId="21705"/>
    <cellStyle name="Normal 5 2 2 5 4" xfId="27448"/>
    <cellStyle name="Normal 5 2 2 6" xfId="4946"/>
    <cellStyle name="Normal 5 2 2 6 2" xfId="6765"/>
    <cellStyle name="Normal 5 2 2 6 2 2" xfId="27451"/>
    <cellStyle name="Normal 5 2 2 6 3" xfId="21707"/>
    <cellStyle name="Normal 5 2 2 6 4" xfId="27450"/>
    <cellStyle name="Normal 5 2 2 7" xfId="6752"/>
    <cellStyle name="Normal 5 2 2 7 2" xfId="27452"/>
    <cellStyle name="Normal 5 2 2 8" xfId="21684"/>
    <cellStyle name="Normal 5 2 2 9" xfId="24918"/>
    <cellStyle name="Normal 5 2 3" xfId="1616"/>
    <cellStyle name="Normal 5 2 3 10" xfId="27453"/>
    <cellStyle name="Normal 5 2 3 2" xfId="4195"/>
    <cellStyle name="Normal 5 2 3 2 2" xfId="4952"/>
    <cellStyle name="Normal 5 2 3 2 2 2" xfId="5525"/>
    <cellStyle name="Normal 5 2 3 2 2 2 2" xfId="6769"/>
    <cellStyle name="Normal 5 2 3 2 2 2 2 2" xfId="21712"/>
    <cellStyle name="Normal 5 2 3 2 2 2 2 3" xfId="27457"/>
    <cellStyle name="Normal 5 2 3 2 2 2 3" xfId="21711"/>
    <cellStyle name="Normal 5 2 3 2 2 2 4" xfId="27456"/>
    <cellStyle name="Normal 5 2 3 2 2 3" xfId="5835"/>
    <cellStyle name="Normal 5 2 3 2 2 3 2" xfId="6770"/>
    <cellStyle name="Normal 5 2 3 2 2 3 2 2" xfId="21714"/>
    <cellStyle name="Normal 5 2 3 2 2 3 2 3" xfId="27459"/>
    <cellStyle name="Normal 5 2 3 2 2 3 3" xfId="21713"/>
    <cellStyle name="Normal 5 2 3 2 2 3 4" xfId="27458"/>
    <cellStyle name="Normal 5 2 3 2 2 4" xfId="6768"/>
    <cellStyle name="Normal 5 2 3 2 2 4 2" xfId="21715"/>
    <cellStyle name="Normal 5 2 3 2 2 4 3" xfId="27460"/>
    <cellStyle name="Normal 5 2 3 2 2 5" xfId="21710"/>
    <cellStyle name="Normal 5 2 3 2 2 6" xfId="27455"/>
    <cellStyle name="Normal 5 2 3 2 3" xfId="5524"/>
    <cellStyle name="Normal 5 2 3 2 3 2" xfId="6771"/>
    <cellStyle name="Normal 5 2 3 2 3 2 2" xfId="21717"/>
    <cellStyle name="Normal 5 2 3 2 3 2 3" xfId="27462"/>
    <cellStyle name="Normal 5 2 3 2 3 3" xfId="21716"/>
    <cellStyle name="Normal 5 2 3 2 3 4" xfId="27461"/>
    <cellStyle name="Normal 5 2 3 2 4" xfId="5834"/>
    <cellStyle name="Normal 5 2 3 2 4 2" xfId="6772"/>
    <cellStyle name="Normal 5 2 3 2 4 2 2" xfId="21719"/>
    <cellStyle name="Normal 5 2 3 2 4 2 3" xfId="27464"/>
    <cellStyle name="Normal 5 2 3 2 4 3" xfId="21718"/>
    <cellStyle name="Normal 5 2 3 2 4 4" xfId="27463"/>
    <cellStyle name="Normal 5 2 3 2 5" xfId="4951"/>
    <cellStyle name="Normal 5 2 3 2 5 2" xfId="6773"/>
    <cellStyle name="Normal 5 2 3 2 5 2 2" xfId="27466"/>
    <cellStyle name="Normal 5 2 3 2 5 3" xfId="21720"/>
    <cellStyle name="Normal 5 2 3 2 5 4" xfId="27465"/>
    <cellStyle name="Normal 5 2 3 2 6" xfId="6767"/>
    <cellStyle name="Normal 5 2 3 2 6 2" xfId="27467"/>
    <cellStyle name="Normal 5 2 3 2 7" xfId="21709"/>
    <cellStyle name="Normal 5 2 3 2 8" xfId="25047"/>
    <cellStyle name="Normal 5 2 3 2 9" xfId="27454"/>
    <cellStyle name="Normal 5 2 3 3" xfId="4953"/>
    <cellStyle name="Normal 5 2 3 3 2" xfId="5526"/>
    <cellStyle name="Normal 5 2 3 3 2 2" xfId="6775"/>
    <cellStyle name="Normal 5 2 3 3 2 2 2" xfId="21723"/>
    <cellStyle name="Normal 5 2 3 3 2 2 3" xfId="27470"/>
    <cellStyle name="Normal 5 2 3 3 2 3" xfId="21722"/>
    <cellStyle name="Normal 5 2 3 3 2 4" xfId="27469"/>
    <cellStyle name="Normal 5 2 3 3 3" xfId="5836"/>
    <cellStyle name="Normal 5 2 3 3 3 2" xfId="6776"/>
    <cellStyle name="Normal 5 2 3 3 3 2 2" xfId="21725"/>
    <cellStyle name="Normal 5 2 3 3 3 2 3" xfId="27472"/>
    <cellStyle name="Normal 5 2 3 3 3 3" xfId="21724"/>
    <cellStyle name="Normal 5 2 3 3 3 4" xfId="27471"/>
    <cellStyle name="Normal 5 2 3 3 4" xfId="6774"/>
    <cellStyle name="Normal 5 2 3 3 4 2" xfId="21726"/>
    <cellStyle name="Normal 5 2 3 3 4 3" xfId="27473"/>
    <cellStyle name="Normal 5 2 3 3 5" xfId="21721"/>
    <cellStyle name="Normal 5 2 3 3 6" xfId="27468"/>
    <cellStyle name="Normal 5 2 3 4" xfId="5523"/>
    <cellStyle name="Normal 5 2 3 4 2" xfId="6777"/>
    <cellStyle name="Normal 5 2 3 4 2 2" xfId="21728"/>
    <cellStyle name="Normal 5 2 3 4 2 3" xfId="27475"/>
    <cellStyle name="Normal 5 2 3 4 3" xfId="21727"/>
    <cellStyle name="Normal 5 2 3 4 4" xfId="27474"/>
    <cellStyle name="Normal 5 2 3 5" xfId="5833"/>
    <cellStyle name="Normal 5 2 3 5 2" xfId="6778"/>
    <cellStyle name="Normal 5 2 3 5 2 2" xfId="21730"/>
    <cellStyle name="Normal 5 2 3 5 2 3" xfId="27477"/>
    <cellStyle name="Normal 5 2 3 5 3" xfId="21729"/>
    <cellStyle name="Normal 5 2 3 5 4" xfId="27476"/>
    <cellStyle name="Normal 5 2 3 6" xfId="4950"/>
    <cellStyle name="Normal 5 2 3 6 2" xfId="6779"/>
    <cellStyle name="Normal 5 2 3 6 2 2" xfId="27479"/>
    <cellStyle name="Normal 5 2 3 6 3" xfId="21731"/>
    <cellStyle name="Normal 5 2 3 6 4" xfId="27478"/>
    <cellStyle name="Normal 5 2 3 7" xfId="6766"/>
    <cellStyle name="Normal 5 2 3 7 2" xfId="27480"/>
    <cellStyle name="Normal 5 2 3 8" xfId="21708"/>
    <cellStyle name="Normal 5 2 3 9" xfId="24927"/>
    <cellStyle name="Normal 5 2 4" xfId="3580"/>
    <cellStyle name="Normal 5 2 4 10" xfId="27481"/>
    <cellStyle name="Normal 5 2 4 2" xfId="4200"/>
    <cellStyle name="Normal 5 2 4 2 2" xfId="4956"/>
    <cellStyle name="Normal 5 2 4 2 2 2" xfId="5529"/>
    <cellStyle name="Normal 5 2 4 2 2 2 2" xfId="6783"/>
    <cellStyle name="Normal 5 2 4 2 2 2 2 2" xfId="21736"/>
    <cellStyle name="Normal 5 2 4 2 2 2 2 3" xfId="27485"/>
    <cellStyle name="Normal 5 2 4 2 2 2 3" xfId="21735"/>
    <cellStyle name="Normal 5 2 4 2 2 2 4" xfId="27484"/>
    <cellStyle name="Normal 5 2 4 2 2 3" xfId="5839"/>
    <cellStyle name="Normal 5 2 4 2 2 3 2" xfId="6784"/>
    <cellStyle name="Normal 5 2 4 2 2 3 2 2" xfId="21738"/>
    <cellStyle name="Normal 5 2 4 2 2 3 2 3" xfId="27487"/>
    <cellStyle name="Normal 5 2 4 2 2 3 3" xfId="21737"/>
    <cellStyle name="Normal 5 2 4 2 2 3 4" xfId="27486"/>
    <cellStyle name="Normal 5 2 4 2 2 4" xfId="6782"/>
    <cellStyle name="Normal 5 2 4 2 2 4 2" xfId="21739"/>
    <cellStyle name="Normal 5 2 4 2 2 4 3" xfId="27488"/>
    <cellStyle name="Normal 5 2 4 2 2 5" xfId="21734"/>
    <cellStyle name="Normal 5 2 4 2 2 6" xfId="27483"/>
    <cellStyle name="Normal 5 2 4 2 3" xfId="5528"/>
    <cellStyle name="Normal 5 2 4 2 3 2" xfId="6785"/>
    <cellStyle name="Normal 5 2 4 2 3 2 2" xfId="21741"/>
    <cellStyle name="Normal 5 2 4 2 3 2 3" xfId="27490"/>
    <cellStyle name="Normal 5 2 4 2 3 3" xfId="21740"/>
    <cellStyle name="Normal 5 2 4 2 3 4" xfId="27489"/>
    <cellStyle name="Normal 5 2 4 2 4" xfId="5838"/>
    <cellStyle name="Normal 5 2 4 2 4 2" xfId="6786"/>
    <cellStyle name="Normal 5 2 4 2 4 2 2" xfId="21743"/>
    <cellStyle name="Normal 5 2 4 2 4 2 3" xfId="27492"/>
    <cellStyle name="Normal 5 2 4 2 4 3" xfId="21742"/>
    <cellStyle name="Normal 5 2 4 2 4 4" xfId="27491"/>
    <cellStyle name="Normal 5 2 4 2 5" xfId="4955"/>
    <cellStyle name="Normal 5 2 4 2 5 2" xfId="6787"/>
    <cellStyle name="Normal 5 2 4 2 5 2 2" xfId="27494"/>
    <cellStyle name="Normal 5 2 4 2 5 3" xfId="21744"/>
    <cellStyle name="Normal 5 2 4 2 5 4" xfId="27493"/>
    <cellStyle name="Normal 5 2 4 2 6" xfId="6781"/>
    <cellStyle name="Normal 5 2 4 2 6 2" xfId="27495"/>
    <cellStyle name="Normal 5 2 4 2 7" xfId="21733"/>
    <cellStyle name="Normal 5 2 4 2 8" xfId="25052"/>
    <cellStyle name="Normal 5 2 4 2 9" xfId="27482"/>
    <cellStyle name="Normal 5 2 4 3" xfId="4957"/>
    <cellStyle name="Normal 5 2 4 3 2" xfId="5530"/>
    <cellStyle name="Normal 5 2 4 3 2 2" xfId="6789"/>
    <cellStyle name="Normal 5 2 4 3 2 2 2" xfId="21747"/>
    <cellStyle name="Normal 5 2 4 3 2 2 3" xfId="27498"/>
    <cellStyle name="Normal 5 2 4 3 2 3" xfId="21746"/>
    <cellStyle name="Normal 5 2 4 3 2 4" xfId="27497"/>
    <cellStyle name="Normal 5 2 4 3 3" xfId="5840"/>
    <cellStyle name="Normal 5 2 4 3 3 2" xfId="6790"/>
    <cellStyle name="Normal 5 2 4 3 3 2 2" xfId="21749"/>
    <cellStyle name="Normal 5 2 4 3 3 2 3" xfId="27500"/>
    <cellStyle name="Normal 5 2 4 3 3 3" xfId="21748"/>
    <cellStyle name="Normal 5 2 4 3 3 4" xfId="27499"/>
    <cellStyle name="Normal 5 2 4 3 4" xfId="6788"/>
    <cellStyle name="Normal 5 2 4 3 4 2" xfId="21750"/>
    <cellStyle name="Normal 5 2 4 3 4 3" xfId="27501"/>
    <cellStyle name="Normal 5 2 4 3 5" xfId="21745"/>
    <cellStyle name="Normal 5 2 4 3 6" xfId="27496"/>
    <cellStyle name="Normal 5 2 4 4" xfId="5527"/>
    <cellStyle name="Normal 5 2 4 4 2" xfId="6791"/>
    <cellStyle name="Normal 5 2 4 4 2 2" xfId="21752"/>
    <cellStyle name="Normal 5 2 4 4 2 3" xfId="27503"/>
    <cellStyle name="Normal 5 2 4 4 3" xfId="21751"/>
    <cellStyle name="Normal 5 2 4 4 4" xfId="27502"/>
    <cellStyle name="Normal 5 2 4 5" xfId="5837"/>
    <cellStyle name="Normal 5 2 4 5 2" xfId="6792"/>
    <cellStyle name="Normal 5 2 4 5 2 2" xfId="21754"/>
    <cellStyle name="Normal 5 2 4 5 2 3" xfId="27505"/>
    <cellStyle name="Normal 5 2 4 5 3" xfId="21753"/>
    <cellStyle name="Normal 5 2 4 5 4" xfId="27504"/>
    <cellStyle name="Normal 5 2 4 6" xfId="4954"/>
    <cellStyle name="Normal 5 2 4 6 2" xfId="6793"/>
    <cellStyle name="Normal 5 2 4 6 2 2" xfId="27507"/>
    <cellStyle name="Normal 5 2 4 6 3" xfId="21755"/>
    <cellStyle name="Normal 5 2 4 6 4" xfId="27506"/>
    <cellStyle name="Normal 5 2 4 7" xfId="6780"/>
    <cellStyle name="Normal 5 2 4 7 2" xfId="27508"/>
    <cellStyle name="Normal 5 2 4 8" xfId="21732"/>
    <cellStyle name="Normal 5 2 4 9" xfId="24932"/>
    <cellStyle name="Normal 5 2 5" xfId="3717"/>
    <cellStyle name="Normal 5 2 5 10" xfId="27509"/>
    <cellStyle name="Normal 5 2 5 2" xfId="4207"/>
    <cellStyle name="Normal 5 2 5 2 2" xfId="4960"/>
    <cellStyle name="Normal 5 2 5 2 2 2" xfId="5533"/>
    <cellStyle name="Normal 5 2 5 2 2 2 2" xfId="6797"/>
    <cellStyle name="Normal 5 2 5 2 2 2 2 2" xfId="21760"/>
    <cellStyle name="Normal 5 2 5 2 2 2 2 3" xfId="27513"/>
    <cellStyle name="Normal 5 2 5 2 2 2 3" xfId="21759"/>
    <cellStyle name="Normal 5 2 5 2 2 2 4" xfId="27512"/>
    <cellStyle name="Normal 5 2 5 2 2 3" xfId="5843"/>
    <cellStyle name="Normal 5 2 5 2 2 3 2" xfId="6798"/>
    <cellStyle name="Normal 5 2 5 2 2 3 2 2" xfId="21762"/>
    <cellStyle name="Normal 5 2 5 2 2 3 2 3" xfId="27515"/>
    <cellStyle name="Normal 5 2 5 2 2 3 3" xfId="21761"/>
    <cellStyle name="Normal 5 2 5 2 2 3 4" xfId="27514"/>
    <cellStyle name="Normal 5 2 5 2 2 4" xfId="6796"/>
    <cellStyle name="Normal 5 2 5 2 2 4 2" xfId="21763"/>
    <cellStyle name="Normal 5 2 5 2 2 4 3" xfId="27516"/>
    <cellStyle name="Normal 5 2 5 2 2 5" xfId="21758"/>
    <cellStyle name="Normal 5 2 5 2 2 6" xfId="27511"/>
    <cellStyle name="Normal 5 2 5 2 3" xfId="5532"/>
    <cellStyle name="Normal 5 2 5 2 3 2" xfId="6799"/>
    <cellStyle name="Normal 5 2 5 2 3 2 2" xfId="21765"/>
    <cellStyle name="Normal 5 2 5 2 3 2 3" xfId="27518"/>
    <cellStyle name="Normal 5 2 5 2 3 3" xfId="21764"/>
    <cellStyle name="Normal 5 2 5 2 3 4" xfId="27517"/>
    <cellStyle name="Normal 5 2 5 2 4" xfId="5842"/>
    <cellStyle name="Normal 5 2 5 2 4 2" xfId="6800"/>
    <cellStyle name="Normal 5 2 5 2 4 2 2" xfId="21767"/>
    <cellStyle name="Normal 5 2 5 2 4 2 3" xfId="27520"/>
    <cellStyle name="Normal 5 2 5 2 4 3" xfId="21766"/>
    <cellStyle name="Normal 5 2 5 2 4 4" xfId="27519"/>
    <cellStyle name="Normal 5 2 5 2 5" xfId="4959"/>
    <cellStyle name="Normal 5 2 5 2 5 2" xfId="6801"/>
    <cellStyle name="Normal 5 2 5 2 5 2 2" xfId="27522"/>
    <cellStyle name="Normal 5 2 5 2 5 3" xfId="21768"/>
    <cellStyle name="Normal 5 2 5 2 5 4" xfId="27521"/>
    <cellStyle name="Normal 5 2 5 2 6" xfId="6795"/>
    <cellStyle name="Normal 5 2 5 2 6 2" xfId="27523"/>
    <cellStyle name="Normal 5 2 5 2 7" xfId="21757"/>
    <cellStyle name="Normal 5 2 5 2 8" xfId="25059"/>
    <cellStyle name="Normal 5 2 5 2 9" xfId="27510"/>
    <cellStyle name="Normal 5 2 5 3" xfId="4961"/>
    <cellStyle name="Normal 5 2 5 3 2" xfId="5534"/>
    <cellStyle name="Normal 5 2 5 3 2 2" xfId="6803"/>
    <cellStyle name="Normal 5 2 5 3 2 2 2" xfId="21771"/>
    <cellStyle name="Normal 5 2 5 3 2 2 3" xfId="27526"/>
    <cellStyle name="Normal 5 2 5 3 2 3" xfId="21770"/>
    <cellStyle name="Normal 5 2 5 3 2 4" xfId="27525"/>
    <cellStyle name="Normal 5 2 5 3 3" xfId="5844"/>
    <cellStyle name="Normal 5 2 5 3 3 2" xfId="6804"/>
    <cellStyle name="Normal 5 2 5 3 3 2 2" xfId="21773"/>
    <cellStyle name="Normal 5 2 5 3 3 2 3" xfId="27528"/>
    <cellStyle name="Normal 5 2 5 3 3 3" xfId="21772"/>
    <cellStyle name="Normal 5 2 5 3 3 4" xfId="27527"/>
    <cellStyle name="Normal 5 2 5 3 4" xfId="6802"/>
    <cellStyle name="Normal 5 2 5 3 4 2" xfId="21774"/>
    <cellStyle name="Normal 5 2 5 3 4 3" xfId="27529"/>
    <cellStyle name="Normal 5 2 5 3 5" xfId="21769"/>
    <cellStyle name="Normal 5 2 5 3 6" xfId="27524"/>
    <cellStyle name="Normal 5 2 5 4" xfId="5531"/>
    <cellStyle name="Normal 5 2 5 4 2" xfId="6805"/>
    <cellStyle name="Normal 5 2 5 4 2 2" xfId="21776"/>
    <cellStyle name="Normal 5 2 5 4 2 3" xfId="27531"/>
    <cellStyle name="Normal 5 2 5 4 3" xfId="21775"/>
    <cellStyle name="Normal 5 2 5 4 4" xfId="27530"/>
    <cellStyle name="Normal 5 2 5 5" xfId="5841"/>
    <cellStyle name="Normal 5 2 5 5 2" xfId="6806"/>
    <cellStyle name="Normal 5 2 5 5 2 2" xfId="21778"/>
    <cellStyle name="Normal 5 2 5 5 2 3" xfId="27533"/>
    <cellStyle name="Normal 5 2 5 5 3" xfId="21777"/>
    <cellStyle name="Normal 5 2 5 5 4" xfId="27532"/>
    <cellStyle name="Normal 5 2 5 6" xfId="4958"/>
    <cellStyle name="Normal 5 2 5 6 2" xfId="6807"/>
    <cellStyle name="Normal 5 2 5 6 2 2" xfId="27535"/>
    <cellStyle name="Normal 5 2 5 6 3" xfId="21779"/>
    <cellStyle name="Normal 5 2 5 6 4" xfId="27534"/>
    <cellStyle name="Normal 5 2 5 7" xfId="6794"/>
    <cellStyle name="Normal 5 2 5 7 2" xfId="27536"/>
    <cellStyle name="Normal 5 2 5 8" xfId="21756"/>
    <cellStyle name="Normal 5 2 5 9" xfId="24939"/>
    <cellStyle name="Normal 5 2 6" xfId="1386"/>
    <cellStyle name="Normal 5 2 6 2" xfId="21780"/>
    <cellStyle name="Normal 5 2 7" xfId="3903"/>
    <cellStyle name="Normal 5 2 8" xfId="1038"/>
    <cellStyle name="Normal 5 2 9" xfId="24544"/>
    <cellStyle name="Normal 5 20" xfId="1202"/>
    <cellStyle name="Normal 5 20 2" xfId="4072"/>
    <cellStyle name="Normal 5 21" xfId="1212"/>
    <cellStyle name="Normal 5 21 2" xfId="4082"/>
    <cellStyle name="Normal 5 22" xfId="1222"/>
    <cellStyle name="Normal 5 22 2" xfId="4092"/>
    <cellStyle name="Normal 5 23" xfId="1232"/>
    <cellStyle name="Normal 5 23 2" xfId="4102"/>
    <cellStyle name="Normal 5 24" xfId="1242"/>
    <cellStyle name="Normal 5 24 2" xfId="4112"/>
    <cellStyle name="Normal 5 25" xfId="1252"/>
    <cellStyle name="Normal 5 25 2" xfId="4122"/>
    <cellStyle name="Normal 5 26" xfId="1370"/>
    <cellStyle name="Normal 5 26 2" xfId="4170"/>
    <cellStyle name="Normal 5 26 2 2" xfId="6809"/>
    <cellStyle name="Normal 5 26 2 2 2" xfId="27539"/>
    <cellStyle name="Normal 5 26 2 3" xfId="25022"/>
    <cellStyle name="Normal 5 26 2 4" xfId="27538"/>
    <cellStyle name="Normal 5 26 3" xfId="6808"/>
    <cellStyle name="Normal 5 26 3 2" xfId="27540"/>
    <cellStyle name="Normal 5 26 4" xfId="24902"/>
    <cellStyle name="Normal 5 26 5" xfId="27537"/>
    <cellStyle name="Normal 5 27" xfId="3843"/>
    <cellStyle name="Normal 5 27 2" xfId="6810"/>
    <cellStyle name="Normal 5 27 2 2" xfId="27542"/>
    <cellStyle name="Normal 5 27 3" xfId="24979"/>
    <cellStyle name="Normal 5 27 4" xfId="27541"/>
    <cellStyle name="Normal 5 28" xfId="627"/>
    <cellStyle name="Normal 5 28 2" xfId="6811"/>
    <cellStyle name="Normal 5 28 2 2" xfId="27544"/>
    <cellStyle name="Normal 5 28 3" xfId="27543"/>
    <cellStyle name="Normal 5 29" xfId="24543"/>
    <cellStyle name="Normal 5 3" xfId="62"/>
    <cellStyle name="Normal 5 3 2" xfId="3761"/>
    <cellStyle name="Normal 5 3 2 10" xfId="27545"/>
    <cellStyle name="Normal 5 3 2 2" xfId="4210"/>
    <cellStyle name="Normal 5 3 2 2 2" xfId="4964"/>
    <cellStyle name="Normal 5 3 2 2 2 2" xfId="5538"/>
    <cellStyle name="Normal 5 3 2 2 2 2 2" xfId="6815"/>
    <cellStyle name="Normal 5 3 2 2 2 2 2 2" xfId="21785"/>
    <cellStyle name="Normal 5 3 2 2 2 2 2 3" xfId="27549"/>
    <cellStyle name="Normal 5 3 2 2 2 2 3" xfId="21784"/>
    <cellStyle name="Normal 5 3 2 2 2 2 4" xfId="27548"/>
    <cellStyle name="Normal 5 3 2 2 2 3" xfId="5848"/>
    <cellStyle name="Normal 5 3 2 2 2 3 2" xfId="6816"/>
    <cellStyle name="Normal 5 3 2 2 2 3 2 2" xfId="21787"/>
    <cellStyle name="Normal 5 3 2 2 2 3 2 3" xfId="27551"/>
    <cellStyle name="Normal 5 3 2 2 2 3 3" xfId="21786"/>
    <cellStyle name="Normal 5 3 2 2 2 3 4" xfId="27550"/>
    <cellStyle name="Normal 5 3 2 2 2 4" xfId="6814"/>
    <cellStyle name="Normal 5 3 2 2 2 4 2" xfId="21788"/>
    <cellStyle name="Normal 5 3 2 2 2 4 3" xfId="27552"/>
    <cellStyle name="Normal 5 3 2 2 2 5" xfId="21783"/>
    <cellStyle name="Normal 5 3 2 2 2 6" xfId="27547"/>
    <cellStyle name="Normal 5 3 2 2 3" xfId="5537"/>
    <cellStyle name="Normal 5 3 2 2 3 2" xfId="6817"/>
    <cellStyle name="Normal 5 3 2 2 3 2 2" xfId="21790"/>
    <cellStyle name="Normal 5 3 2 2 3 2 3" xfId="27554"/>
    <cellStyle name="Normal 5 3 2 2 3 3" xfId="21789"/>
    <cellStyle name="Normal 5 3 2 2 3 4" xfId="27553"/>
    <cellStyle name="Normal 5 3 2 2 4" xfId="5847"/>
    <cellStyle name="Normal 5 3 2 2 4 2" xfId="6818"/>
    <cellStyle name="Normal 5 3 2 2 4 2 2" xfId="21792"/>
    <cellStyle name="Normal 5 3 2 2 4 2 3" xfId="27556"/>
    <cellStyle name="Normal 5 3 2 2 4 3" xfId="21791"/>
    <cellStyle name="Normal 5 3 2 2 4 4" xfId="27555"/>
    <cellStyle name="Normal 5 3 2 2 5" xfId="4963"/>
    <cellStyle name="Normal 5 3 2 2 5 2" xfId="6819"/>
    <cellStyle name="Normal 5 3 2 2 5 2 2" xfId="27558"/>
    <cellStyle name="Normal 5 3 2 2 5 3" xfId="21793"/>
    <cellStyle name="Normal 5 3 2 2 5 4" xfId="27557"/>
    <cellStyle name="Normal 5 3 2 2 6" xfId="6813"/>
    <cellStyle name="Normal 5 3 2 2 6 2" xfId="27559"/>
    <cellStyle name="Normal 5 3 2 2 7" xfId="21782"/>
    <cellStyle name="Normal 5 3 2 2 8" xfId="25062"/>
    <cellStyle name="Normal 5 3 2 2 9" xfId="27546"/>
    <cellStyle name="Normal 5 3 2 3" xfId="4965"/>
    <cellStyle name="Normal 5 3 2 3 2" xfId="5539"/>
    <cellStyle name="Normal 5 3 2 3 2 2" xfId="6821"/>
    <cellStyle name="Normal 5 3 2 3 2 2 2" xfId="21796"/>
    <cellStyle name="Normal 5 3 2 3 2 2 3" xfId="27562"/>
    <cellStyle name="Normal 5 3 2 3 2 3" xfId="21795"/>
    <cellStyle name="Normal 5 3 2 3 2 4" xfId="27561"/>
    <cellStyle name="Normal 5 3 2 3 3" xfId="5849"/>
    <cellStyle name="Normal 5 3 2 3 3 2" xfId="6822"/>
    <cellStyle name="Normal 5 3 2 3 3 2 2" xfId="21798"/>
    <cellStyle name="Normal 5 3 2 3 3 2 3" xfId="27564"/>
    <cellStyle name="Normal 5 3 2 3 3 3" xfId="21797"/>
    <cellStyle name="Normal 5 3 2 3 3 4" xfId="27563"/>
    <cellStyle name="Normal 5 3 2 3 4" xfId="6820"/>
    <cellStyle name="Normal 5 3 2 3 4 2" xfId="21799"/>
    <cellStyle name="Normal 5 3 2 3 4 3" xfId="27565"/>
    <cellStyle name="Normal 5 3 2 3 5" xfId="21794"/>
    <cellStyle name="Normal 5 3 2 3 6" xfId="27560"/>
    <cellStyle name="Normal 5 3 2 4" xfId="5536"/>
    <cellStyle name="Normal 5 3 2 4 2" xfId="6823"/>
    <cellStyle name="Normal 5 3 2 4 2 2" xfId="21801"/>
    <cellStyle name="Normal 5 3 2 4 2 3" xfId="27567"/>
    <cellStyle name="Normal 5 3 2 4 3" xfId="21800"/>
    <cellStyle name="Normal 5 3 2 4 4" xfId="27566"/>
    <cellStyle name="Normal 5 3 2 5" xfId="5846"/>
    <cellStyle name="Normal 5 3 2 5 2" xfId="6824"/>
    <cellStyle name="Normal 5 3 2 5 2 2" xfId="21803"/>
    <cellStyle name="Normal 5 3 2 5 2 3" xfId="27569"/>
    <cellStyle name="Normal 5 3 2 5 3" xfId="21802"/>
    <cellStyle name="Normal 5 3 2 5 4" xfId="27568"/>
    <cellStyle name="Normal 5 3 2 6" xfId="4962"/>
    <cellStyle name="Normal 5 3 2 6 2" xfId="6825"/>
    <cellStyle name="Normal 5 3 2 6 2 2" xfId="27571"/>
    <cellStyle name="Normal 5 3 2 6 3" xfId="21804"/>
    <cellStyle name="Normal 5 3 2 6 4" xfId="27570"/>
    <cellStyle name="Normal 5 3 2 7" xfId="6812"/>
    <cellStyle name="Normal 5 3 2 7 2" xfId="27572"/>
    <cellStyle name="Normal 5 3 2 8" xfId="21781"/>
    <cellStyle name="Normal 5 3 2 9" xfId="24942"/>
    <cellStyle name="Normal 5 3 3" xfId="1535"/>
    <cellStyle name="Normal 5 3 3 2" xfId="4188"/>
    <cellStyle name="Normal 5 3 3 2 2" xfId="5541"/>
    <cellStyle name="Normal 5 3 3 2 2 2" xfId="6828"/>
    <cellStyle name="Normal 5 3 3 2 2 2 2" xfId="21808"/>
    <cellStyle name="Normal 5 3 3 2 2 2 3" xfId="27576"/>
    <cellStyle name="Normal 5 3 3 2 2 3" xfId="21807"/>
    <cellStyle name="Normal 5 3 3 2 2 4" xfId="27575"/>
    <cellStyle name="Normal 5 3 3 2 3" xfId="5851"/>
    <cellStyle name="Normal 5 3 3 2 3 2" xfId="6829"/>
    <cellStyle name="Normal 5 3 3 2 3 2 2" xfId="21810"/>
    <cellStyle name="Normal 5 3 3 2 3 2 3" xfId="27578"/>
    <cellStyle name="Normal 5 3 3 2 3 3" xfId="21809"/>
    <cellStyle name="Normal 5 3 3 2 3 4" xfId="27577"/>
    <cellStyle name="Normal 5 3 3 2 4" xfId="4967"/>
    <cellStyle name="Normal 5 3 3 2 4 2" xfId="6830"/>
    <cellStyle name="Normal 5 3 3 2 4 2 2" xfId="27580"/>
    <cellStyle name="Normal 5 3 3 2 4 3" xfId="21811"/>
    <cellStyle name="Normal 5 3 3 2 4 4" xfId="27579"/>
    <cellStyle name="Normal 5 3 3 2 5" xfId="6827"/>
    <cellStyle name="Normal 5 3 3 2 5 2" xfId="27581"/>
    <cellStyle name="Normal 5 3 3 2 6" xfId="21806"/>
    <cellStyle name="Normal 5 3 3 2 7" xfId="25040"/>
    <cellStyle name="Normal 5 3 3 2 8" xfId="27574"/>
    <cellStyle name="Normal 5 3 3 3" xfId="5540"/>
    <cellStyle name="Normal 5 3 3 3 2" xfId="6831"/>
    <cellStyle name="Normal 5 3 3 3 2 2" xfId="21813"/>
    <cellStyle name="Normal 5 3 3 3 2 3" xfId="27583"/>
    <cellStyle name="Normal 5 3 3 3 3" xfId="21812"/>
    <cellStyle name="Normal 5 3 3 3 4" xfId="27582"/>
    <cellStyle name="Normal 5 3 3 4" xfId="5850"/>
    <cellStyle name="Normal 5 3 3 4 2" xfId="6832"/>
    <cellStyle name="Normal 5 3 3 4 2 2" xfId="21815"/>
    <cellStyle name="Normal 5 3 3 4 2 3" xfId="27585"/>
    <cellStyle name="Normal 5 3 3 4 3" xfId="21814"/>
    <cellStyle name="Normal 5 3 3 4 4" xfId="27584"/>
    <cellStyle name="Normal 5 3 3 5" xfId="4966"/>
    <cellStyle name="Normal 5 3 3 5 2" xfId="6833"/>
    <cellStyle name="Normal 5 3 3 5 2 2" xfId="27587"/>
    <cellStyle name="Normal 5 3 3 5 3" xfId="21816"/>
    <cellStyle name="Normal 5 3 3 5 4" xfId="27586"/>
    <cellStyle name="Normal 5 3 3 6" xfId="6826"/>
    <cellStyle name="Normal 5 3 3 6 2" xfId="27588"/>
    <cellStyle name="Normal 5 3 3 7" xfId="21805"/>
    <cellStyle name="Normal 5 3 3 8" xfId="24920"/>
    <cellStyle name="Normal 5 3 3 9" xfId="27573"/>
    <cellStyle name="Normal 5 3 4" xfId="3917"/>
    <cellStyle name="Normal 5 3 4 2" xfId="5542"/>
    <cellStyle name="Normal 5 3 4 2 2" xfId="6834"/>
    <cellStyle name="Normal 5 3 4 2 2 2" xfId="21819"/>
    <cellStyle name="Normal 5 3 4 2 2 3" xfId="27590"/>
    <cellStyle name="Normal 5 3 4 2 3" xfId="21818"/>
    <cellStyle name="Normal 5 3 4 2 4" xfId="27589"/>
    <cellStyle name="Normal 5 3 4 3" xfId="5852"/>
    <cellStyle name="Normal 5 3 4 3 2" xfId="6835"/>
    <cellStyle name="Normal 5 3 4 3 2 2" xfId="21821"/>
    <cellStyle name="Normal 5 3 4 3 2 3" xfId="27592"/>
    <cellStyle name="Normal 5 3 4 3 3" xfId="21820"/>
    <cellStyle name="Normal 5 3 4 3 4" xfId="27591"/>
    <cellStyle name="Normal 5 3 4 4" xfId="4968"/>
    <cellStyle name="Normal 5 3 4 4 2" xfId="6836"/>
    <cellStyle name="Normal 5 3 4 4 2 2" xfId="27594"/>
    <cellStyle name="Normal 5 3 4 4 3" xfId="21822"/>
    <cellStyle name="Normal 5 3 4 4 4" xfId="27593"/>
    <cellStyle name="Normal 5 3 4 5" xfId="21817"/>
    <cellStyle name="Normal 5 3 5" xfId="1047"/>
    <cellStyle name="Normal 5 3 5 2" xfId="4969"/>
    <cellStyle name="Normal 5 3 5 2 2" xfId="6837"/>
    <cellStyle name="Normal 5 3 5 2 2 2" xfId="21825"/>
    <cellStyle name="Normal 5 3 5 2 2 3" xfId="27596"/>
    <cellStyle name="Normal 5 3 5 2 3" xfId="21824"/>
    <cellStyle name="Normal 5 3 5 2 4" xfId="27595"/>
    <cellStyle name="Normal 5 3 5 3" xfId="21826"/>
    <cellStyle name="Normal 5 3 5 4" xfId="21823"/>
    <cellStyle name="Normal 5 3 6" xfId="5535"/>
    <cellStyle name="Normal 5 3 6 2" xfId="6838"/>
    <cellStyle name="Normal 5 3 6 2 2" xfId="21828"/>
    <cellStyle name="Normal 5 3 6 2 3" xfId="27598"/>
    <cellStyle name="Normal 5 3 6 3" xfId="21827"/>
    <cellStyle name="Normal 5 3 6 4" xfId="27597"/>
    <cellStyle name="Normal 5 3 7" xfId="5845"/>
    <cellStyle name="Normal 5 3 7 2" xfId="6839"/>
    <cellStyle name="Normal 5 3 7 2 2" xfId="21830"/>
    <cellStyle name="Normal 5 3 7 2 3" xfId="27600"/>
    <cellStyle name="Normal 5 3 7 3" xfId="21829"/>
    <cellStyle name="Normal 5 3 7 4" xfId="27599"/>
    <cellStyle name="Normal 5 3 8" xfId="21831"/>
    <cellStyle name="Normal 5 30" xfId="24857"/>
    <cellStyle name="Normal 5 4" xfId="67"/>
    <cellStyle name="Normal 5 4 2" xfId="3765"/>
    <cellStyle name="Normal 5 4 2 10" xfId="27601"/>
    <cellStyle name="Normal 5 4 2 2" xfId="4213"/>
    <cellStyle name="Normal 5 4 2 2 2" xfId="4973"/>
    <cellStyle name="Normal 5 4 2 2 2 2" xfId="5546"/>
    <cellStyle name="Normal 5 4 2 2 2 2 2" xfId="6843"/>
    <cellStyle name="Normal 5 4 2 2 2 2 2 2" xfId="21837"/>
    <cellStyle name="Normal 5 4 2 2 2 2 2 3" xfId="27605"/>
    <cellStyle name="Normal 5 4 2 2 2 2 3" xfId="21836"/>
    <cellStyle name="Normal 5 4 2 2 2 2 4" xfId="27604"/>
    <cellStyle name="Normal 5 4 2 2 2 3" xfId="5856"/>
    <cellStyle name="Normal 5 4 2 2 2 3 2" xfId="6844"/>
    <cellStyle name="Normal 5 4 2 2 2 3 2 2" xfId="21839"/>
    <cellStyle name="Normal 5 4 2 2 2 3 2 3" xfId="27607"/>
    <cellStyle name="Normal 5 4 2 2 2 3 3" xfId="21838"/>
    <cellStyle name="Normal 5 4 2 2 2 3 4" xfId="27606"/>
    <cellStyle name="Normal 5 4 2 2 2 4" xfId="6842"/>
    <cellStyle name="Normal 5 4 2 2 2 4 2" xfId="21840"/>
    <cellStyle name="Normal 5 4 2 2 2 4 3" xfId="27608"/>
    <cellStyle name="Normal 5 4 2 2 2 5" xfId="21835"/>
    <cellStyle name="Normal 5 4 2 2 2 6" xfId="27603"/>
    <cellStyle name="Normal 5 4 2 2 3" xfId="5545"/>
    <cellStyle name="Normal 5 4 2 2 3 2" xfId="6845"/>
    <cellStyle name="Normal 5 4 2 2 3 2 2" xfId="21842"/>
    <cellStyle name="Normal 5 4 2 2 3 2 3" xfId="27610"/>
    <cellStyle name="Normal 5 4 2 2 3 3" xfId="21841"/>
    <cellStyle name="Normal 5 4 2 2 3 4" xfId="27609"/>
    <cellStyle name="Normal 5 4 2 2 4" xfId="5855"/>
    <cellStyle name="Normal 5 4 2 2 4 2" xfId="6846"/>
    <cellStyle name="Normal 5 4 2 2 4 2 2" xfId="21844"/>
    <cellStyle name="Normal 5 4 2 2 4 2 3" xfId="27612"/>
    <cellStyle name="Normal 5 4 2 2 4 3" xfId="21843"/>
    <cellStyle name="Normal 5 4 2 2 4 4" xfId="27611"/>
    <cellStyle name="Normal 5 4 2 2 5" xfId="4972"/>
    <cellStyle name="Normal 5 4 2 2 5 2" xfId="6847"/>
    <cellStyle name="Normal 5 4 2 2 5 2 2" xfId="27614"/>
    <cellStyle name="Normal 5 4 2 2 5 3" xfId="21845"/>
    <cellStyle name="Normal 5 4 2 2 5 4" xfId="27613"/>
    <cellStyle name="Normal 5 4 2 2 6" xfId="6841"/>
    <cellStyle name="Normal 5 4 2 2 6 2" xfId="27615"/>
    <cellStyle name="Normal 5 4 2 2 7" xfId="21834"/>
    <cellStyle name="Normal 5 4 2 2 8" xfId="25065"/>
    <cellStyle name="Normal 5 4 2 2 9" xfId="27602"/>
    <cellStyle name="Normal 5 4 2 3" xfId="4974"/>
    <cellStyle name="Normal 5 4 2 3 2" xfId="5547"/>
    <cellStyle name="Normal 5 4 2 3 2 2" xfId="6849"/>
    <cellStyle name="Normal 5 4 2 3 2 2 2" xfId="21848"/>
    <cellStyle name="Normal 5 4 2 3 2 2 3" xfId="27618"/>
    <cellStyle name="Normal 5 4 2 3 2 3" xfId="21847"/>
    <cellStyle name="Normal 5 4 2 3 2 4" xfId="27617"/>
    <cellStyle name="Normal 5 4 2 3 3" xfId="5857"/>
    <cellStyle name="Normal 5 4 2 3 3 2" xfId="6850"/>
    <cellStyle name="Normal 5 4 2 3 3 2 2" xfId="21850"/>
    <cellStyle name="Normal 5 4 2 3 3 2 3" xfId="27620"/>
    <cellStyle name="Normal 5 4 2 3 3 3" xfId="21849"/>
    <cellStyle name="Normal 5 4 2 3 3 4" xfId="27619"/>
    <cellStyle name="Normal 5 4 2 3 4" xfId="6848"/>
    <cellStyle name="Normal 5 4 2 3 4 2" xfId="21851"/>
    <cellStyle name="Normal 5 4 2 3 4 3" xfId="27621"/>
    <cellStyle name="Normal 5 4 2 3 5" xfId="21846"/>
    <cellStyle name="Normal 5 4 2 3 6" xfId="27616"/>
    <cellStyle name="Normal 5 4 2 4" xfId="5544"/>
    <cellStyle name="Normal 5 4 2 4 2" xfId="6851"/>
    <cellStyle name="Normal 5 4 2 4 2 2" xfId="21853"/>
    <cellStyle name="Normal 5 4 2 4 2 3" xfId="27623"/>
    <cellStyle name="Normal 5 4 2 4 3" xfId="21852"/>
    <cellStyle name="Normal 5 4 2 4 4" xfId="27622"/>
    <cellStyle name="Normal 5 4 2 5" xfId="5854"/>
    <cellStyle name="Normal 5 4 2 5 2" xfId="6852"/>
    <cellStyle name="Normal 5 4 2 5 2 2" xfId="21855"/>
    <cellStyle name="Normal 5 4 2 5 2 3" xfId="27625"/>
    <cellStyle name="Normal 5 4 2 5 3" xfId="21854"/>
    <cellStyle name="Normal 5 4 2 5 4" xfId="27624"/>
    <cellStyle name="Normal 5 4 2 6" xfId="4971"/>
    <cellStyle name="Normal 5 4 2 6 2" xfId="6853"/>
    <cellStyle name="Normal 5 4 2 6 2 2" xfId="27627"/>
    <cellStyle name="Normal 5 4 2 6 3" xfId="21856"/>
    <cellStyle name="Normal 5 4 2 6 4" xfId="27626"/>
    <cellStyle name="Normal 5 4 2 7" xfId="6840"/>
    <cellStyle name="Normal 5 4 2 7 2" xfId="27628"/>
    <cellStyle name="Normal 5 4 2 8" xfId="21833"/>
    <cellStyle name="Normal 5 4 2 9" xfId="24945"/>
    <cellStyle name="Normal 5 4 3" xfId="1571"/>
    <cellStyle name="Normal 5 4 3 2" xfId="4192"/>
    <cellStyle name="Normal 5 4 3 2 2" xfId="5549"/>
    <cellStyle name="Normal 5 4 3 2 2 2" xfId="6856"/>
    <cellStyle name="Normal 5 4 3 2 2 2 2" xfId="21860"/>
    <cellStyle name="Normal 5 4 3 2 2 2 3" xfId="27632"/>
    <cellStyle name="Normal 5 4 3 2 2 3" xfId="21859"/>
    <cellStyle name="Normal 5 4 3 2 2 4" xfId="27631"/>
    <cellStyle name="Normal 5 4 3 2 3" xfId="5859"/>
    <cellStyle name="Normal 5 4 3 2 3 2" xfId="6857"/>
    <cellStyle name="Normal 5 4 3 2 3 2 2" xfId="21862"/>
    <cellStyle name="Normal 5 4 3 2 3 2 3" xfId="27634"/>
    <cellStyle name="Normal 5 4 3 2 3 3" xfId="21861"/>
    <cellStyle name="Normal 5 4 3 2 3 4" xfId="27633"/>
    <cellStyle name="Normal 5 4 3 2 4" xfId="4976"/>
    <cellStyle name="Normal 5 4 3 2 4 2" xfId="6858"/>
    <cellStyle name="Normal 5 4 3 2 4 2 2" xfId="27636"/>
    <cellStyle name="Normal 5 4 3 2 4 3" xfId="21863"/>
    <cellStyle name="Normal 5 4 3 2 4 4" xfId="27635"/>
    <cellStyle name="Normal 5 4 3 2 5" xfId="6855"/>
    <cellStyle name="Normal 5 4 3 2 5 2" xfId="27637"/>
    <cellStyle name="Normal 5 4 3 2 6" xfId="21858"/>
    <cellStyle name="Normal 5 4 3 2 7" xfId="25044"/>
    <cellStyle name="Normal 5 4 3 2 8" xfId="27630"/>
    <cellStyle name="Normal 5 4 3 3" xfId="5548"/>
    <cellStyle name="Normal 5 4 3 3 2" xfId="6859"/>
    <cellStyle name="Normal 5 4 3 3 2 2" xfId="21865"/>
    <cellStyle name="Normal 5 4 3 3 2 3" xfId="27639"/>
    <cellStyle name="Normal 5 4 3 3 3" xfId="21864"/>
    <cellStyle name="Normal 5 4 3 3 4" xfId="27638"/>
    <cellStyle name="Normal 5 4 3 4" xfId="5858"/>
    <cellStyle name="Normal 5 4 3 4 2" xfId="6860"/>
    <cellStyle name="Normal 5 4 3 4 2 2" xfId="21867"/>
    <cellStyle name="Normal 5 4 3 4 2 3" xfId="27641"/>
    <cellStyle name="Normal 5 4 3 4 3" xfId="21866"/>
    <cellStyle name="Normal 5 4 3 4 4" xfId="27640"/>
    <cellStyle name="Normal 5 4 3 5" xfId="4975"/>
    <cellStyle name="Normal 5 4 3 5 2" xfId="6861"/>
    <cellStyle name="Normal 5 4 3 5 2 2" xfId="27643"/>
    <cellStyle name="Normal 5 4 3 5 3" xfId="21868"/>
    <cellStyle name="Normal 5 4 3 5 4" xfId="27642"/>
    <cellStyle name="Normal 5 4 3 6" xfId="6854"/>
    <cellStyle name="Normal 5 4 3 6 2" xfId="27644"/>
    <cellStyle name="Normal 5 4 3 7" xfId="21857"/>
    <cellStyle name="Normal 5 4 3 8" xfId="24924"/>
    <cellStyle name="Normal 5 4 3 9" xfId="27629"/>
    <cellStyle name="Normal 5 4 4" xfId="3914"/>
    <cellStyle name="Normal 5 4 4 2" xfId="5550"/>
    <cellStyle name="Normal 5 4 4 2 2" xfId="6862"/>
    <cellStyle name="Normal 5 4 4 2 2 2" xfId="21871"/>
    <cellStyle name="Normal 5 4 4 2 2 3" xfId="27646"/>
    <cellStyle name="Normal 5 4 4 2 3" xfId="21870"/>
    <cellStyle name="Normal 5 4 4 2 4" xfId="27645"/>
    <cellStyle name="Normal 5 4 4 3" xfId="5860"/>
    <cellStyle name="Normal 5 4 4 3 2" xfId="6863"/>
    <cellStyle name="Normal 5 4 4 3 2 2" xfId="21873"/>
    <cellStyle name="Normal 5 4 4 3 2 3" xfId="27648"/>
    <cellStyle name="Normal 5 4 4 3 3" xfId="21872"/>
    <cellStyle name="Normal 5 4 4 3 4" xfId="27647"/>
    <cellStyle name="Normal 5 4 4 4" xfId="4977"/>
    <cellStyle name="Normal 5 4 4 4 2" xfId="6864"/>
    <cellStyle name="Normal 5 4 4 4 2 2" xfId="27650"/>
    <cellStyle name="Normal 5 4 4 4 3" xfId="21874"/>
    <cellStyle name="Normal 5 4 4 4 4" xfId="27649"/>
    <cellStyle name="Normal 5 4 4 5" xfId="21869"/>
    <cellStyle name="Normal 5 4 5" xfId="1045"/>
    <cellStyle name="Normal 5 4 5 2" xfId="5543"/>
    <cellStyle name="Normal 5 4 5 2 2" xfId="6865"/>
    <cellStyle name="Normal 5 4 5 2 2 2" xfId="27652"/>
    <cellStyle name="Normal 5 4 5 2 3" xfId="21876"/>
    <cellStyle name="Normal 5 4 5 2 4" xfId="27651"/>
    <cellStyle name="Normal 5 4 5 3" xfId="21875"/>
    <cellStyle name="Normal 5 4 6" xfId="5853"/>
    <cellStyle name="Normal 5 4 6 2" xfId="6866"/>
    <cellStyle name="Normal 5 4 6 2 2" xfId="21878"/>
    <cellStyle name="Normal 5 4 6 2 3" xfId="27654"/>
    <cellStyle name="Normal 5 4 6 3" xfId="21877"/>
    <cellStyle name="Normal 5 4 6 4" xfId="27653"/>
    <cellStyle name="Normal 5 4 7" xfId="4970"/>
    <cellStyle name="Normal 5 4 7 2" xfId="6867"/>
    <cellStyle name="Normal 5 4 7 2 2" xfId="27656"/>
    <cellStyle name="Normal 5 4 7 3" xfId="21879"/>
    <cellStyle name="Normal 5 4 7 4" xfId="27655"/>
    <cellStyle name="Normal 5 4 8" xfId="21832"/>
    <cellStyle name="Normal 5 5" xfId="1052"/>
    <cellStyle name="Normal 5 5 2" xfId="3809"/>
    <cellStyle name="Normal 5 5 2 10" xfId="27657"/>
    <cellStyle name="Normal 5 5 2 2" xfId="4216"/>
    <cellStyle name="Normal 5 5 2 2 2" xfId="4980"/>
    <cellStyle name="Normal 5 5 2 2 2 2" xfId="5553"/>
    <cellStyle name="Normal 5 5 2 2 2 2 2" xfId="6871"/>
    <cellStyle name="Normal 5 5 2 2 2 2 2 2" xfId="21884"/>
    <cellStyle name="Normal 5 5 2 2 2 2 2 3" xfId="27661"/>
    <cellStyle name="Normal 5 5 2 2 2 2 3" xfId="21883"/>
    <cellStyle name="Normal 5 5 2 2 2 2 4" xfId="27660"/>
    <cellStyle name="Normal 5 5 2 2 2 3" xfId="5863"/>
    <cellStyle name="Normal 5 5 2 2 2 3 2" xfId="6872"/>
    <cellStyle name="Normal 5 5 2 2 2 3 2 2" xfId="21886"/>
    <cellStyle name="Normal 5 5 2 2 2 3 2 3" xfId="27663"/>
    <cellStyle name="Normal 5 5 2 2 2 3 3" xfId="21885"/>
    <cellStyle name="Normal 5 5 2 2 2 3 4" xfId="27662"/>
    <cellStyle name="Normal 5 5 2 2 2 4" xfId="6870"/>
    <cellStyle name="Normal 5 5 2 2 2 4 2" xfId="21887"/>
    <cellStyle name="Normal 5 5 2 2 2 4 3" xfId="27664"/>
    <cellStyle name="Normal 5 5 2 2 2 5" xfId="21882"/>
    <cellStyle name="Normal 5 5 2 2 2 6" xfId="27659"/>
    <cellStyle name="Normal 5 5 2 2 3" xfId="5552"/>
    <cellStyle name="Normal 5 5 2 2 3 2" xfId="6873"/>
    <cellStyle name="Normal 5 5 2 2 3 2 2" xfId="21889"/>
    <cellStyle name="Normal 5 5 2 2 3 2 3" xfId="27666"/>
    <cellStyle name="Normal 5 5 2 2 3 3" xfId="21888"/>
    <cellStyle name="Normal 5 5 2 2 3 4" xfId="27665"/>
    <cellStyle name="Normal 5 5 2 2 4" xfId="5862"/>
    <cellStyle name="Normal 5 5 2 2 4 2" xfId="6874"/>
    <cellStyle name="Normal 5 5 2 2 4 2 2" xfId="21891"/>
    <cellStyle name="Normal 5 5 2 2 4 2 3" xfId="27668"/>
    <cellStyle name="Normal 5 5 2 2 4 3" xfId="21890"/>
    <cellStyle name="Normal 5 5 2 2 4 4" xfId="27667"/>
    <cellStyle name="Normal 5 5 2 2 5" xfId="4979"/>
    <cellStyle name="Normal 5 5 2 2 5 2" xfId="6875"/>
    <cellStyle name="Normal 5 5 2 2 5 2 2" xfId="27670"/>
    <cellStyle name="Normal 5 5 2 2 5 3" xfId="21892"/>
    <cellStyle name="Normal 5 5 2 2 5 4" xfId="27669"/>
    <cellStyle name="Normal 5 5 2 2 6" xfId="6869"/>
    <cellStyle name="Normal 5 5 2 2 6 2" xfId="27671"/>
    <cellStyle name="Normal 5 5 2 2 7" xfId="21881"/>
    <cellStyle name="Normal 5 5 2 2 8" xfId="25068"/>
    <cellStyle name="Normal 5 5 2 2 9" xfId="27658"/>
    <cellStyle name="Normal 5 5 2 3" xfId="4981"/>
    <cellStyle name="Normal 5 5 2 3 2" xfId="5554"/>
    <cellStyle name="Normal 5 5 2 3 2 2" xfId="6877"/>
    <cellStyle name="Normal 5 5 2 3 2 2 2" xfId="21895"/>
    <cellStyle name="Normal 5 5 2 3 2 2 3" xfId="27674"/>
    <cellStyle name="Normal 5 5 2 3 2 3" xfId="21894"/>
    <cellStyle name="Normal 5 5 2 3 2 4" xfId="27673"/>
    <cellStyle name="Normal 5 5 2 3 3" xfId="5864"/>
    <cellStyle name="Normal 5 5 2 3 3 2" xfId="6878"/>
    <cellStyle name="Normal 5 5 2 3 3 2 2" xfId="21897"/>
    <cellStyle name="Normal 5 5 2 3 3 2 3" xfId="27676"/>
    <cellStyle name="Normal 5 5 2 3 3 3" xfId="21896"/>
    <cellStyle name="Normal 5 5 2 3 3 4" xfId="27675"/>
    <cellStyle name="Normal 5 5 2 3 4" xfId="6876"/>
    <cellStyle name="Normal 5 5 2 3 4 2" xfId="21898"/>
    <cellStyle name="Normal 5 5 2 3 4 3" xfId="27677"/>
    <cellStyle name="Normal 5 5 2 3 5" xfId="21893"/>
    <cellStyle name="Normal 5 5 2 3 6" xfId="27672"/>
    <cellStyle name="Normal 5 5 2 4" xfId="5551"/>
    <cellStyle name="Normal 5 5 2 4 2" xfId="6879"/>
    <cellStyle name="Normal 5 5 2 4 2 2" xfId="21900"/>
    <cellStyle name="Normal 5 5 2 4 2 3" xfId="27679"/>
    <cellStyle name="Normal 5 5 2 4 3" xfId="21899"/>
    <cellStyle name="Normal 5 5 2 4 4" xfId="27678"/>
    <cellStyle name="Normal 5 5 2 5" xfId="5861"/>
    <cellStyle name="Normal 5 5 2 5 2" xfId="6880"/>
    <cellStyle name="Normal 5 5 2 5 2 2" xfId="21902"/>
    <cellStyle name="Normal 5 5 2 5 2 3" xfId="27681"/>
    <cellStyle name="Normal 5 5 2 5 3" xfId="21901"/>
    <cellStyle name="Normal 5 5 2 5 4" xfId="27680"/>
    <cellStyle name="Normal 5 5 2 6" xfId="4978"/>
    <cellStyle name="Normal 5 5 2 6 2" xfId="6881"/>
    <cellStyle name="Normal 5 5 2 6 2 2" xfId="27683"/>
    <cellStyle name="Normal 5 5 2 6 3" xfId="21903"/>
    <cellStyle name="Normal 5 5 2 6 4" xfId="27682"/>
    <cellStyle name="Normal 5 5 2 7" xfId="6868"/>
    <cellStyle name="Normal 5 5 2 7 2" xfId="27684"/>
    <cellStyle name="Normal 5 5 2 8" xfId="21880"/>
    <cellStyle name="Normal 5 5 2 9" xfId="24948"/>
    <cellStyle name="Normal 5 5 3" xfId="1660"/>
    <cellStyle name="Normal 5 5 4" xfId="3922"/>
    <cellStyle name="Normal 5 6" xfId="1062"/>
    <cellStyle name="Normal 5 6 2" xfId="3814"/>
    <cellStyle name="Normal 5 6 2 10" xfId="27685"/>
    <cellStyle name="Normal 5 6 2 2" xfId="4219"/>
    <cellStyle name="Normal 5 6 2 2 2" xfId="4984"/>
    <cellStyle name="Normal 5 6 2 2 2 2" xfId="5557"/>
    <cellStyle name="Normal 5 6 2 2 2 2 2" xfId="6885"/>
    <cellStyle name="Normal 5 6 2 2 2 2 2 2" xfId="21908"/>
    <cellStyle name="Normal 5 6 2 2 2 2 2 3" xfId="27689"/>
    <cellStyle name="Normal 5 6 2 2 2 2 3" xfId="21907"/>
    <cellStyle name="Normal 5 6 2 2 2 2 4" xfId="27688"/>
    <cellStyle name="Normal 5 6 2 2 2 3" xfId="5867"/>
    <cellStyle name="Normal 5 6 2 2 2 3 2" xfId="6886"/>
    <cellStyle name="Normal 5 6 2 2 2 3 2 2" xfId="21910"/>
    <cellStyle name="Normal 5 6 2 2 2 3 2 3" xfId="27691"/>
    <cellStyle name="Normal 5 6 2 2 2 3 3" xfId="21909"/>
    <cellStyle name="Normal 5 6 2 2 2 3 4" xfId="27690"/>
    <cellStyle name="Normal 5 6 2 2 2 4" xfId="6884"/>
    <cellStyle name="Normal 5 6 2 2 2 4 2" xfId="21911"/>
    <cellStyle name="Normal 5 6 2 2 2 4 3" xfId="27692"/>
    <cellStyle name="Normal 5 6 2 2 2 5" xfId="21906"/>
    <cellStyle name="Normal 5 6 2 2 2 6" xfId="27687"/>
    <cellStyle name="Normal 5 6 2 2 3" xfId="5556"/>
    <cellStyle name="Normal 5 6 2 2 3 2" xfId="6887"/>
    <cellStyle name="Normal 5 6 2 2 3 2 2" xfId="21913"/>
    <cellStyle name="Normal 5 6 2 2 3 2 3" xfId="27694"/>
    <cellStyle name="Normal 5 6 2 2 3 3" xfId="21912"/>
    <cellStyle name="Normal 5 6 2 2 3 4" xfId="27693"/>
    <cellStyle name="Normal 5 6 2 2 4" xfId="5866"/>
    <cellStyle name="Normal 5 6 2 2 4 2" xfId="6888"/>
    <cellStyle name="Normal 5 6 2 2 4 2 2" xfId="21915"/>
    <cellStyle name="Normal 5 6 2 2 4 2 3" xfId="27696"/>
    <cellStyle name="Normal 5 6 2 2 4 3" xfId="21914"/>
    <cellStyle name="Normal 5 6 2 2 4 4" xfId="27695"/>
    <cellStyle name="Normal 5 6 2 2 5" xfId="4983"/>
    <cellStyle name="Normal 5 6 2 2 5 2" xfId="6889"/>
    <cellStyle name="Normal 5 6 2 2 5 2 2" xfId="27698"/>
    <cellStyle name="Normal 5 6 2 2 5 3" xfId="21916"/>
    <cellStyle name="Normal 5 6 2 2 5 4" xfId="27697"/>
    <cellStyle name="Normal 5 6 2 2 6" xfId="6883"/>
    <cellStyle name="Normal 5 6 2 2 6 2" xfId="27699"/>
    <cellStyle name="Normal 5 6 2 2 7" xfId="21905"/>
    <cellStyle name="Normal 5 6 2 2 8" xfId="25071"/>
    <cellStyle name="Normal 5 6 2 2 9" xfId="27686"/>
    <cellStyle name="Normal 5 6 2 3" xfId="4985"/>
    <cellStyle name="Normal 5 6 2 3 2" xfId="5558"/>
    <cellStyle name="Normal 5 6 2 3 2 2" xfId="6891"/>
    <cellStyle name="Normal 5 6 2 3 2 2 2" xfId="21919"/>
    <cellStyle name="Normal 5 6 2 3 2 2 3" xfId="27702"/>
    <cellStyle name="Normal 5 6 2 3 2 3" xfId="21918"/>
    <cellStyle name="Normal 5 6 2 3 2 4" xfId="27701"/>
    <cellStyle name="Normal 5 6 2 3 3" xfId="5868"/>
    <cellStyle name="Normal 5 6 2 3 3 2" xfId="6892"/>
    <cellStyle name="Normal 5 6 2 3 3 2 2" xfId="21921"/>
    <cellStyle name="Normal 5 6 2 3 3 2 3" xfId="27704"/>
    <cellStyle name="Normal 5 6 2 3 3 3" xfId="21920"/>
    <cellStyle name="Normal 5 6 2 3 3 4" xfId="27703"/>
    <cellStyle name="Normal 5 6 2 3 4" xfId="6890"/>
    <cellStyle name="Normal 5 6 2 3 4 2" xfId="21922"/>
    <cellStyle name="Normal 5 6 2 3 4 3" xfId="27705"/>
    <cellStyle name="Normal 5 6 2 3 5" xfId="21917"/>
    <cellStyle name="Normal 5 6 2 3 6" xfId="27700"/>
    <cellStyle name="Normal 5 6 2 4" xfId="5555"/>
    <cellStyle name="Normal 5 6 2 4 2" xfId="6893"/>
    <cellStyle name="Normal 5 6 2 4 2 2" xfId="21924"/>
    <cellStyle name="Normal 5 6 2 4 2 3" xfId="27707"/>
    <cellStyle name="Normal 5 6 2 4 3" xfId="21923"/>
    <cellStyle name="Normal 5 6 2 4 4" xfId="27706"/>
    <cellStyle name="Normal 5 6 2 5" xfId="5865"/>
    <cellStyle name="Normal 5 6 2 5 2" xfId="6894"/>
    <cellStyle name="Normal 5 6 2 5 2 2" xfId="21926"/>
    <cellStyle name="Normal 5 6 2 5 2 3" xfId="27709"/>
    <cellStyle name="Normal 5 6 2 5 3" xfId="21925"/>
    <cellStyle name="Normal 5 6 2 5 4" xfId="27708"/>
    <cellStyle name="Normal 5 6 2 6" xfId="4982"/>
    <cellStyle name="Normal 5 6 2 6 2" xfId="6895"/>
    <cellStyle name="Normal 5 6 2 6 2 2" xfId="27711"/>
    <cellStyle name="Normal 5 6 2 6 3" xfId="21927"/>
    <cellStyle name="Normal 5 6 2 6 4" xfId="27710"/>
    <cellStyle name="Normal 5 6 2 7" xfId="6882"/>
    <cellStyle name="Normal 5 6 2 7 2" xfId="27712"/>
    <cellStyle name="Normal 5 6 2 8" xfId="21904"/>
    <cellStyle name="Normal 5 6 2 9" xfId="24951"/>
    <cellStyle name="Normal 5 6 3" xfId="3628"/>
    <cellStyle name="Normal 5 6 4" xfId="3932"/>
    <cellStyle name="Normal 5 7" xfId="1072"/>
    <cellStyle name="Normal 5 7 2" xfId="3630"/>
    <cellStyle name="Normal 5 7 3" xfId="3942"/>
    <cellStyle name="Normal 5 8" xfId="1082"/>
    <cellStyle name="Normal 5 8 2" xfId="3673"/>
    <cellStyle name="Normal 5 8 2 2" xfId="4204"/>
    <cellStyle name="Normal 5 8 2 2 2" xfId="5561"/>
    <cellStyle name="Normal 5 8 2 2 2 2" xfId="6898"/>
    <cellStyle name="Normal 5 8 2 2 2 2 2" xfId="21932"/>
    <cellStyle name="Normal 5 8 2 2 2 2 3" xfId="27716"/>
    <cellStyle name="Normal 5 8 2 2 2 3" xfId="21931"/>
    <cellStyle name="Normal 5 8 2 2 2 4" xfId="27715"/>
    <cellStyle name="Normal 5 8 2 2 3" xfId="5871"/>
    <cellStyle name="Normal 5 8 2 2 3 2" xfId="6899"/>
    <cellStyle name="Normal 5 8 2 2 3 2 2" xfId="21934"/>
    <cellStyle name="Normal 5 8 2 2 3 2 3" xfId="27718"/>
    <cellStyle name="Normal 5 8 2 2 3 3" xfId="21933"/>
    <cellStyle name="Normal 5 8 2 2 3 4" xfId="27717"/>
    <cellStyle name="Normal 5 8 2 2 4" xfId="4988"/>
    <cellStyle name="Normal 5 8 2 2 4 2" xfId="6900"/>
    <cellStyle name="Normal 5 8 2 2 4 2 2" xfId="27720"/>
    <cellStyle name="Normal 5 8 2 2 4 3" xfId="21935"/>
    <cellStyle name="Normal 5 8 2 2 4 4" xfId="27719"/>
    <cellStyle name="Normal 5 8 2 2 5" xfId="6897"/>
    <cellStyle name="Normal 5 8 2 2 5 2" xfId="27721"/>
    <cellStyle name="Normal 5 8 2 2 6" xfId="21930"/>
    <cellStyle name="Normal 5 8 2 2 7" xfId="25056"/>
    <cellStyle name="Normal 5 8 2 2 8" xfId="27714"/>
    <cellStyle name="Normal 5 8 2 3" xfId="5560"/>
    <cellStyle name="Normal 5 8 2 3 2" xfId="6901"/>
    <cellStyle name="Normal 5 8 2 3 2 2" xfId="21937"/>
    <cellStyle name="Normal 5 8 2 3 2 3" xfId="27723"/>
    <cellStyle name="Normal 5 8 2 3 3" xfId="21936"/>
    <cellStyle name="Normal 5 8 2 3 4" xfId="27722"/>
    <cellStyle name="Normal 5 8 2 4" xfId="5870"/>
    <cellStyle name="Normal 5 8 2 4 2" xfId="6902"/>
    <cellStyle name="Normal 5 8 2 4 2 2" xfId="21939"/>
    <cellStyle name="Normal 5 8 2 4 2 3" xfId="27725"/>
    <cellStyle name="Normal 5 8 2 4 3" xfId="21938"/>
    <cellStyle name="Normal 5 8 2 4 4" xfId="27724"/>
    <cellStyle name="Normal 5 8 2 5" xfId="4987"/>
    <cellStyle name="Normal 5 8 2 5 2" xfId="6903"/>
    <cellStyle name="Normal 5 8 2 5 2 2" xfId="27727"/>
    <cellStyle name="Normal 5 8 2 5 3" xfId="21940"/>
    <cellStyle name="Normal 5 8 2 5 4" xfId="27726"/>
    <cellStyle name="Normal 5 8 2 6" xfId="6896"/>
    <cellStyle name="Normal 5 8 2 6 2" xfId="27728"/>
    <cellStyle name="Normal 5 8 2 7" xfId="21929"/>
    <cellStyle name="Normal 5 8 2 8" xfId="24936"/>
    <cellStyle name="Normal 5 8 2 9" xfId="27713"/>
    <cellStyle name="Normal 5 8 3" xfId="3952"/>
    <cellStyle name="Normal 5 8 3 2" xfId="5562"/>
    <cellStyle name="Normal 5 8 3 2 2" xfId="6904"/>
    <cellStyle name="Normal 5 8 3 2 2 2" xfId="21943"/>
    <cellStyle name="Normal 5 8 3 2 2 3" xfId="27730"/>
    <cellStyle name="Normal 5 8 3 2 3" xfId="21942"/>
    <cellStyle name="Normal 5 8 3 2 4" xfId="27729"/>
    <cellStyle name="Normal 5 8 3 3" xfId="5872"/>
    <cellStyle name="Normal 5 8 3 3 2" xfId="6905"/>
    <cellStyle name="Normal 5 8 3 3 2 2" xfId="21945"/>
    <cellStyle name="Normal 5 8 3 3 2 3" xfId="27732"/>
    <cellStyle name="Normal 5 8 3 3 3" xfId="21944"/>
    <cellStyle name="Normal 5 8 3 3 4" xfId="27731"/>
    <cellStyle name="Normal 5 8 3 4" xfId="4989"/>
    <cellStyle name="Normal 5 8 3 4 2" xfId="6906"/>
    <cellStyle name="Normal 5 8 3 4 2 2" xfId="27734"/>
    <cellStyle name="Normal 5 8 3 4 3" xfId="21946"/>
    <cellStyle name="Normal 5 8 3 4 4" xfId="27733"/>
    <cellStyle name="Normal 5 8 3 5" xfId="21941"/>
    <cellStyle name="Normal 5 8 4" xfId="5559"/>
    <cellStyle name="Normal 5 8 4 2" xfId="6907"/>
    <cellStyle name="Normal 5 8 4 2 2" xfId="21948"/>
    <cellStyle name="Normal 5 8 4 2 3" xfId="27736"/>
    <cellStyle name="Normal 5 8 4 3" xfId="21947"/>
    <cellStyle name="Normal 5 8 4 4" xfId="27735"/>
    <cellStyle name="Normal 5 8 5" xfId="5869"/>
    <cellStyle name="Normal 5 8 5 2" xfId="6908"/>
    <cellStyle name="Normal 5 8 5 2 2" xfId="21950"/>
    <cellStyle name="Normal 5 8 5 2 3" xfId="27738"/>
    <cellStyle name="Normal 5 8 5 3" xfId="21949"/>
    <cellStyle name="Normal 5 8 5 4" xfId="27737"/>
    <cellStyle name="Normal 5 8 6" xfId="4986"/>
    <cellStyle name="Normal 5 8 6 2" xfId="6909"/>
    <cellStyle name="Normal 5 8 6 2 2" xfId="27740"/>
    <cellStyle name="Normal 5 8 6 3" xfId="21951"/>
    <cellStyle name="Normal 5 8 6 4" xfId="27739"/>
    <cellStyle name="Normal 5 8 7" xfId="21928"/>
    <cellStyle name="Normal 5 9" xfId="1092"/>
    <cellStyle name="Normal 5 9 2" xfId="3962"/>
    <cellStyle name="Normal 5 9 2 2" xfId="21954"/>
    <cellStyle name="Normal 5 9 2 3" xfId="21953"/>
    <cellStyle name="Normal 5 9 3" xfId="4990"/>
    <cellStyle name="Normal 5 9 3 2" xfId="5563"/>
    <cellStyle name="Normal 5 9 3 2 2" xfId="6911"/>
    <cellStyle name="Normal 5 9 3 2 2 2" xfId="27743"/>
    <cellStyle name="Normal 5 9 3 2 3" xfId="21956"/>
    <cellStyle name="Normal 5 9 3 2 4" xfId="27742"/>
    <cellStyle name="Normal 5 9 3 3" xfId="5873"/>
    <cellStyle name="Normal 5 9 3 3 2" xfId="6912"/>
    <cellStyle name="Normal 5 9 3 3 2 2" xfId="27745"/>
    <cellStyle name="Normal 5 9 3 3 3" xfId="27744"/>
    <cellStyle name="Normal 5 9 3 4" xfId="6910"/>
    <cellStyle name="Normal 5 9 3 4 2" xfId="27746"/>
    <cellStyle name="Normal 5 9 3 5" xfId="21955"/>
    <cellStyle name="Normal 5 9 3 6" xfId="27741"/>
    <cellStyle name="Normal 5 9 4" xfId="21957"/>
    <cellStyle name="Normal 5 9 5" xfId="21952"/>
    <cellStyle name="Normal 6" xfId="30"/>
    <cellStyle name="Normal 6 10" xfId="1119"/>
    <cellStyle name="Normal 6 10 2" xfId="3989"/>
    <cellStyle name="Normal 6 10 2 2" xfId="21960"/>
    <cellStyle name="Normal 6 10 2 3" xfId="21959"/>
    <cellStyle name="Normal 6 10 3" xfId="21961"/>
    <cellStyle name="Normal 6 10 3 2" xfId="21962"/>
    <cellStyle name="Normal 6 10 4" xfId="21963"/>
    <cellStyle name="Normal 6 10 5" xfId="21958"/>
    <cellStyle name="Normal 6 11" xfId="1129"/>
    <cellStyle name="Normal 6 11 2" xfId="3999"/>
    <cellStyle name="Normal 6 11 2 2" xfId="21966"/>
    <cellStyle name="Normal 6 11 2 3" xfId="21965"/>
    <cellStyle name="Normal 6 11 3" xfId="21967"/>
    <cellStyle name="Normal 6 11 3 2" xfId="21968"/>
    <cellStyle name="Normal 6 11 4" xfId="21969"/>
    <cellStyle name="Normal 6 11 5" xfId="21964"/>
    <cellStyle name="Normal 6 12" xfId="1139"/>
    <cellStyle name="Normal 6 12 2" xfId="4009"/>
    <cellStyle name="Normal 6 12 2 2" xfId="21972"/>
    <cellStyle name="Normal 6 12 2 3" xfId="21971"/>
    <cellStyle name="Normal 6 12 3" xfId="21973"/>
    <cellStyle name="Normal 6 12 3 2" xfId="21974"/>
    <cellStyle name="Normal 6 12 4" xfId="21975"/>
    <cellStyle name="Normal 6 12 5" xfId="21970"/>
    <cellStyle name="Normal 6 13" xfId="1149"/>
    <cellStyle name="Normal 6 13 2" xfId="4019"/>
    <cellStyle name="Normal 6 13 2 2" xfId="21978"/>
    <cellStyle name="Normal 6 13 2 3" xfId="21977"/>
    <cellStyle name="Normal 6 13 3" xfId="21979"/>
    <cellStyle name="Normal 6 13 3 2" xfId="21980"/>
    <cellStyle name="Normal 6 13 4" xfId="21981"/>
    <cellStyle name="Normal 6 13 5" xfId="21976"/>
    <cellStyle name="Normal 6 14" xfId="1157"/>
    <cellStyle name="Normal 6 14 2" xfId="4027"/>
    <cellStyle name="Normal 6 14 2 2" xfId="21983"/>
    <cellStyle name="Normal 6 14 3" xfId="21982"/>
    <cellStyle name="Normal 6 15" xfId="1169"/>
    <cellStyle name="Normal 6 15 2" xfId="4039"/>
    <cellStyle name="Normal 6 15 2 2" xfId="21985"/>
    <cellStyle name="Normal 6 15 3" xfId="21984"/>
    <cellStyle name="Normal 6 16" xfId="1179"/>
    <cellStyle name="Normal 6 16 2" xfId="4049"/>
    <cellStyle name="Normal 6 16 2 2" xfId="21987"/>
    <cellStyle name="Normal 6 16 3" xfId="21986"/>
    <cellStyle name="Normal 6 17" xfId="1189"/>
    <cellStyle name="Normal 6 17 2" xfId="4059"/>
    <cellStyle name="Normal 6 17 3" xfId="28686"/>
    <cellStyle name="Normal 6 18" xfId="1199"/>
    <cellStyle name="Normal 6 18 2" xfId="4069"/>
    <cellStyle name="Normal 6 19" xfId="1209"/>
    <cellStyle name="Normal 6 19 2" xfId="4079"/>
    <cellStyle name="Normal 6 2" xfId="63"/>
    <cellStyle name="Normal 6 2 10" xfId="21988"/>
    <cellStyle name="Normal 6 2 10 2" xfId="21989"/>
    <cellStyle name="Normal 6 2 10 2 2" xfId="21990"/>
    <cellStyle name="Normal 6 2 10 3" xfId="21991"/>
    <cellStyle name="Normal 6 2 10 3 2" xfId="21992"/>
    <cellStyle name="Normal 6 2 10 4" xfId="21993"/>
    <cellStyle name="Normal 6 2 11" xfId="21994"/>
    <cellStyle name="Normal 6 2 11 2" xfId="21995"/>
    <cellStyle name="Normal 6 2 11 2 2" xfId="21996"/>
    <cellStyle name="Normal 6 2 11 3" xfId="21997"/>
    <cellStyle name="Normal 6 2 11 3 2" xfId="21998"/>
    <cellStyle name="Normal 6 2 11 4" xfId="21999"/>
    <cellStyle name="Normal 6 2 12" xfId="22000"/>
    <cellStyle name="Normal 6 2 12 2" xfId="22001"/>
    <cellStyle name="Normal 6 2 12 2 2" xfId="22002"/>
    <cellStyle name="Normal 6 2 12 3" xfId="22003"/>
    <cellStyle name="Normal 6 2 12 3 2" xfId="22004"/>
    <cellStyle name="Normal 6 2 12 4" xfId="22005"/>
    <cellStyle name="Normal 6 2 13" xfId="22006"/>
    <cellStyle name="Normal 6 2 13 2" xfId="22007"/>
    <cellStyle name="Normal 6 2 14" xfId="22008"/>
    <cellStyle name="Normal 6 2 14 2" xfId="22009"/>
    <cellStyle name="Normal 6 2 15" xfId="22010"/>
    <cellStyle name="Normal 6 2 15 2" xfId="22011"/>
    <cellStyle name="Normal 6 2 16" xfId="22012"/>
    <cellStyle name="Normal 6 2 16 2" xfId="22013"/>
    <cellStyle name="Normal 6 2 2" xfId="3904"/>
    <cellStyle name="Normal 6 2 2 2" xfId="22015"/>
    <cellStyle name="Normal 6 2 2 2 2" xfId="22016"/>
    <cellStyle name="Normal 6 2 2 3" xfId="22017"/>
    <cellStyle name="Normal 6 2 2 3 2" xfId="22018"/>
    <cellStyle name="Normal 6 2 2 4" xfId="22019"/>
    <cellStyle name="Normal 6 2 2 4 2" xfId="22020"/>
    <cellStyle name="Normal 6 2 2 5" xfId="22021"/>
    <cellStyle name="Normal 6 2 2 6" xfId="22014"/>
    <cellStyle name="Normal 6 2 3" xfId="4991"/>
    <cellStyle name="Normal 6 2 3 2" xfId="22022"/>
    <cellStyle name="Normal 6 2 3 2 2" xfId="22023"/>
    <cellStyle name="Normal 6 2 3 3" xfId="22024"/>
    <cellStyle name="Normal 6 2 3 3 2" xfId="22025"/>
    <cellStyle name="Normal 6 2 3 4" xfId="22026"/>
    <cellStyle name="Normal 6 2 3 4 2" xfId="22027"/>
    <cellStyle name="Normal 6 2 4" xfId="22028"/>
    <cellStyle name="Normal 6 2 4 2" xfId="22029"/>
    <cellStyle name="Normal 6 2 4 2 2" xfId="22030"/>
    <cellStyle name="Normal 6 2 4 3" xfId="22031"/>
    <cellStyle name="Normal 6 2 4 3 2" xfId="22032"/>
    <cellStyle name="Normal 6 2 4 4" xfId="22033"/>
    <cellStyle name="Normal 6 2 5" xfId="22034"/>
    <cellStyle name="Normal 6 2 5 2" xfId="22035"/>
    <cellStyle name="Normal 6 2 5 2 2" xfId="22036"/>
    <cellStyle name="Normal 6 2 5 3" xfId="22037"/>
    <cellStyle name="Normal 6 2 5 3 2" xfId="22038"/>
    <cellStyle name="Normal 6 2 5 4" xfId="22039"/>
    <cellStyle name="Normal 6 2 6" xfId="22040"/>
    <cellStyle name="Normal 6 2 6 2" xfId="22041"/>
    <cellStyle name="Normal 6 2 6 2 2" xfId="22042"/>
    <cellStyle name="Normal 6 2 6 3" xfId="22043"/>
    <cellStyle name="Normal 6 2 6 3 2" xfId="22044"/>
    <cellStyle name="Normal 6 2 6 4" xfId="22045"/>
    <cellStyle name="Normal 6 2 7" xfId="22046"/>
    <cellStyle name="Normal 6 2 7 2" xfId="22047"/>
    <cellStyle name="Normal 6 2 7 2 2" xfId="22048"/>
    <cellStyle name="Normal 6 2 7 3" xfId="22049"/>
    <cellStyle name="Normal 6 2 7 3 2" xfId="22050"/>
    <cellStyle name="Normal 6 2 7 4" xfId="22051"/>
    <cellStyle name="Normal 6 2 8" xfId="22052"/>
    <cellStyle name="Normal 6 2 8 2" xfId="22053"/>
    <cellStyle name="Normal 6 2 8 2 2" xfId="22054"/>
    <cellStyle name="Normal 6 2 8 3" xfId="22055"/>
    <cellStyle name="Normal 6 2 8 3 2" xfId="22056"/>
    <cellStyle name="Normal 6 2 8 4" xfId="22057"/>
    <cellStyle name="Normal 6 2 9" xfId="22058"/>
    <cellStyle name="Normal 6 2 9 2" xfId="22059"/>
    <cellStyle name="Normal 6 2 9 2 2" xfId="22060"/>
    <cellStyle name="Normal 6 2 9 3" xfId="22061"/>
    <cellStyle name="Normal 6 2 9 3 2" xfId="22062"/>
    <cellStyle name="Normal 6 2 9 4" xfId="22063"/>
    <cellStyle name="Normal 6 20" xfId="1219"/>
    <cellStyle name="Normal 6 20 2" xfId="4089"/>
    <cellStyle name="Normal 6 21" xfId="1229"/>
    <cellStyle name="Normal 6 21 2" xfId="4099"/>
    <cellStyle name="Normal 6 22" xfId="1239"/>
    <cellStyle name="Normal 6 22 2" xfId="4109"/>
    <cellStyle name="Normal 6 23" xfId="1249"/>
    <cellStyle name="Normal 6 23 2" xfId="4119"/>
    <cellStyle name="Normal 6 24" xfId="1259"/>
    <cellStyle name="Normal 6 24 2" xfId="4129"/>
    <cellStyle name="Normal 6 25" xfId="1267"/>
    <cellStyle name="Normal 6 25 2" xfId="4137"/>
    <cellStyle name="Normal 6 3" xfId="1049"/>
    <cellStyle name="Normal 6 3 2" xfId="3919"/>
    <cellStyle name="Normal 6 3 2 2" xfId="22065"/>
    <cellStyle name="Normal 6 3 2 3" xfId="22064"/>
    <cellStyle name="Normal 6 3 3" xfId="4992"/>
    <cellStyle name="Normal 6 3 3 2" xfId="22066"/>
    <cellStyle name="Normal 6 3 4" xfId="22067"/>
    <cellStyle name="Normal 6 3 4 2" xfId="22068"/>
    <cellStyle name="Normal 6 3 5" xfId="22069"/>
    <cellStyle name="Normal 6 3 5 2" xfId="22070"/>
    <cellStyle name="Normal 6 4" xfId="1059"/>
    <cellStyle name="Normal 6 4 2" xfId="3929"/>
    <cellStyle name="Normal 6 4 2 2" xfId="22073"/>
    <cellStyle name="Normal 6 4 2 3" xfId="22072"/>
    <cellStyle name="Normal 6 4 3" xfId="22074"/>
    <cellStyle name="Normal 6 4 3 2" xfId="22075"/>
    <cellStyle name="Normal 6 4 4" xfId="22076"/>
    <cellStyle name="Normal 6 4 5" xfId="22071"/>
    <cellStyle name="Normal 6 4 6" xfId="24545"/>
    <cellStyle name="Normal 6 5" xfId="1069"/>
    <cellStyle name="Normal 6 5 2" xfId="3939"/>
    <cellStyle name="Normal 6 5 2 2" xfId="22079"/>
    <cellStyle name="Normal 6 5 2 3" xfId="22078"/>
    <cellStyle name="Normal 6 5 3" xfId="22080"/>
    <cellStyle name="Normal 6 5 3 2" xfId="22081"/>
    <cellStyle name="Normal 6 5 4" xfId="22082"/>
    <cellStyle name="Normal 6 5 5" xfId="22077"/>
    <cellStyle name="Normal 6 6" xfId="1079"/>
    <cellStyle name="Normal 6 6 2" xfId="3949"/>
    <cellStyle name="Normal 6 6 2 2" xfId="22085"/>
    <cellStyle name="Normal 6 6 2 3" xfId="22084"/>
    <cellStyle name="Normal 6 6 3" xfId="22086"/>
    <cellStyle name="Normal 6 6 3 2" xfId="22087"/>
    <cellStyle name="Normal 6 6 4" xfId="22088"/>
    <cellStyle name="Normal 6 6 5" xfId="22083"/>
    <cellStyle name="Normal 6 7" xfId="1089"/>
    <cellStyle name="Normal 6 7 2" xfId="3959"/>
    <cellStyle name="Normal 6 7 2 2" xfId="22091"/>
    <cellStyle name="Normal 6 7 2 3" xfId="22090"/>
    <cellStyle name="Normal 6 7 3" xfId="22092"/>
    <cellStyle name="Normal 6 7 3 2" xfId="22093"/>
    <cellStyle name="Normal 6 7 4" xfId="22094"/>
    <cellStyle name="Normal 6 7 5" xfId="22089"/>
    <cellStyle name="Normal 6 8" xfId="1099"/>
    <cellStyle name="Normal 6 8 2" xfId="3969"/>
    <cellStyle name="Normal 6 8 2 2" xfId="22097"/>
    <cellStyle name="Normal 6 8 2 3" xfId="22096"/>
    <cellStyle name="Normal 6 8 3" xfId="22098"/>
    <cellStyle name="Normal 6 8 3 2" xfId="22099"/>
    <cellStyle name="Normal 6 8 4" xfId="22100"/>
    <cellStyle name="Normal 6 8 5" xfId="22095"/>
    <cellStyle name="Normal 6 9" xfId="1109"/>
    <cellStyle name="Normal 6 9 2" xfId="3979"/>
    <cellStyle name="Normal 6 9 2 2" xfId="22103"/>
    <cellStyle name="Normal 6 9 2 3" xfId="22102"/>
    <cellStyle name="Normal 6 9 3" xfId="22104"/>
    <cellStyle name="Normal 6 9 3 2" xfId="22105"/>
    <cellStyle name="Normal 6 9 4" xfId="22106"/>
    <cellStyle name="Normal 6 9 5" xfId="22101"/>
    <cellStyle name="Normal 7" xfId="64"/>
    <cellStyle name="Normal 7 10" xfId="1116"/>
    <cellStyle name="Normal 7 10 2" xfId="3986"/>
    <cellStyle name="Normal 7 10 2 2" xfId="5565"/>
    <cellStyle name="Normal 7 10 2 2 2" xfId="6914"/>
    <cellStyle name="Normal 7 10 2 2 2 2" xfId="27749"/>
    <cellStyle name="Normal 7 10 2 2 3" xfId="22109"/>
    <cellStyle name="Normal 7 10 2 2 4" xfId="27748"/>
    <cellStyle name="Normal 7 10 2 3" xfId="22108"/>
    <cellStyle name="Normal 7 10 3" xfId="5875"/>
    <cellStyle name="Normal 7 10 3 2" xfId="6915"/>
    <cellStyle name="Normal 7 10 3 2 2" xfId="22111"/>
    <cellStyle name="Normal 7 10 3 2 3" xfId="27751"/>
    <cellStyle name="Normal 7 10 3 3" xfId="22110"/>
    <cellStyle name="Normal 7 10 3 4" xfId="27750"/>
    <cellStyle name="Normal 7 10 4" xfId="4994"/>
    <cellStyle name="Normal 7 10 4 2" xfId="6916"/>
    <cellStyle name="Normal 7 10 4 2 2" xfId="27753"/>
    <cellStyle name="Normal 7 10 4 3" xfId="22112"/>
    <cellStyle name="Normal 7 10 4 4" xfId="27752"/>
    <cellStyle name="Normal 7 10 5" xfId="22107"/>
    <cellStyle name="Normal 7 11" xfId="1126"/>
    <cellStyle name="Normal 7 11 2" xfId="3996"/>
    <cellStyle name="Normal 7 11 2 2" xfId="22114"/>
    <cellStyle name="Normal 7 11 3" xfId="5564"/>
    <cellStyle name="Normal 7 11 3 2" xfId="6917"/>
    <cellStyle name="Normal 7 11 3 2 2" xfId="27755"/>
    <cellStyle name="Normal 7 11 3 3" xfId="27754"/>
    <cellStyle name="Normal 7 11 4" xfId="22113"/>
    <cellStyle name="Normal 7 12" xfId="1136"/>
    <cellStyle name="Normal 7 12 2" xfId="4006"/>
    <cellStyle name="Normal 7 12 3" xfId="5874"/>
    <cellStyle name="Normal 7 12 3 2" xfId="6918"/>
    <cellStyle name="Normal 7 12 3 2 2" xfId="27757"/>
    <cellStyle name="Normal 7 12 3 3" xfId="27756"/>
    <cellStyle name="Normal 7 12 4" xfId="22115"/>
    <cellStyle name="Normal 7 13" xfId="1146"/>
    <cellStyle name="Normal 7 13 2" xfId="4016"/>
    <cellStyle name="Normal 7 14" xfId="1161"/>
    <cellStyle name="Normal 7 14 2" xfId="4031"/>
    <cellStyle name="Normal 7 15" xfId="1166"/>
    <cellStyle name="Normal 7 15 2" xfId="4036"/>
    <cellStyle name="Normal 7 16" xfId="1176"/>
    <cellStyle name="Normal 7 16 2" xfId="4046"/>
    <cellStyle name="Normal 7 17" xfId="1186"/>
    <cellStyle name="Normal 7 17 2" xfId="4056"/>
    <cellStyle name="Normal 7 18" xfId="1196"/>
    <cellStyle name="Normal 7 18 2" xfId="4066"/>
    <cellStyle name="Normal 7 19" xfId="1206"/>
    <cellStyle name="Normal 7 19 2" xfId="4076"/>
    <cellStyle name="Normal 7 2" xfId="1039"/>
    <cellStyle name="Normal 7 2 10" xfId="24547"/>
    <cellStyle name="Normal 7 2 2" xfId="3718"/>
    <cellStyle name="Normal 7 2 2 10" xfId="24940"/>
    <cellStyle name="Normal 7 2 2 11" xfId="27758"/>
    <cellStyle name="Normal 7 2 2 2" xfId="4208"/>
    <cellStyle name="Normal 7 2 2 2 2" xfId="4998"/>
    <cellStyle name="Normal 7 2 2 2 2 2" xfId="5569"/>
    <cellStyle name="Normal 7 2 2 2 2 2 2" xfId="6922"/>
    <cellStyle name="Normal 7 2 2 2 2 2 2 2" xfId="22121"/>
    <cellStyle name="Normal 7 2 2 2 2 2 2 3" xfId="27762"/>
    <cellStyle name="Normal 7 2 2 2 2 2 3" xfId="22120"/>
    <cellStyle name="Normal 7 2 2 2 2 2 4" xfId="27761"/>
    <cellStyle name="Normal 7 2 2 2 2 3" xfId="5879"/>
    <cellStyle name="Normal 7 2 2 2 2 3 2" xfId="6923"/>
    <cellStyle name="Normal 7 2 2 2 2 3 2 2" xfId="22123"/>
    <cellStyle name="Normal 7 2 2 2 2 3 2 3" xfId="27764"/>
    <cellStyle name="Normal 7 2 2 2 2 3 3" xfId="22122"/>
    <cellStyle name="Normal 7 2 2 2 2 3 4" xfId="27763"/>
    <cellStyle name="Normal 7 2 2 2 2 4" xfId="6921"/>
    <cellStyle name="Normal 7 2 2 2 2 4 2" xfId="22124"/>
    <cellStyle name="Normal 7 2 2 2 2 4 3" xfId="27765"/>
    <cellStyle name="Normal 7 2 2 2 2 5" xfId="22119"/>
    <cellStyle name="Normal 7 2 2 2 2 6" xfId="27760"/>
    <cellStyle name="Normal 7 2 2 2 3" xfId="5568"/>
    <cellStyle name="Normal 7 2 2 2 3 2" xfId="6924"/>
    <cellStyle name="Normal 7 2 2 2 3 2 2" xfId="22126"/>
    <cellStyle name="Normal 7 2 2 2 3 2 3" xfId="27767"/>
    <cellStyle name="Normal 7 2 2 2 3 3" xfId="22125"/>
    <cellStyle name="Normal 7 2 2 2 3 4" xfId="27766"/>
    <cellStyle name="Normal 7 2 2 2 4" xfId="5878"/>
    <cellStyle name="Normal 7 2 2 2 4 2" xfId="6925"/>
    <cellStyle name="Normal 7 2 2 2 4 2 2" xfId="22128"/>
    <cellStyle name="Normal 7 2 2 2 4 2 3" xfId="27769"/>
    <cellStyle name="Normal 7 2 2 2 4 3" xfId="22127"/>
    <cellStyle name="Normal 7 2 2 2 4 4" xfId="27768"/>
    <cellStyle name="Normal 7 2 2 2 5" xfId="4997"/>
    <cellStyle name="Normal 7 2 2 2 5 2" xfId="6926"/>
    <cellStyle name="Normal 7 2 2 2 5 2 2" xfId="27771"/>
    <cellStyle name="Normal 7 2 2 2 5 3" xfId="22129"/>
    <cellStyle name="Normal 7 2 2 2 5 4" xfId="27770"/>
    <cellStyle name="Normal 7 2 2 2 6" xfId="6920"/>
    <cellStyle name="Normal 7 2 2 2 6 2" xfId="27772"/>
    <cellStyle name="Normal 7 2 2 2 7" xfId="22118"/>
    <cellStyle name="Normal 7 2 2 2 8" xfId="25060"/>
    <cellStyle name="Normal 7 2 2 2 9" xfId="27759"/>
    <cellStyle name="Normal 7 2 2 3" xfId="4999"/>
    <cellStyle name="Normal 7 2 2 3 2" xfId="5570"/>
    <cellStyle name="Normal 7 2 2 3 2 2" xfId="6928"/>
    <cellStyle name="Normal 7 2 2 3 2 2 2" xfId="22132"/>
    <cellStyle name="Normal 7 2 2 3 2 2 3" xfId="27775"/>
    <cellStyle name="Normal 7 2 2 3 2 3" xfId="22131"/>
    <cellStyle name="Normal 7 2 2 3 2 4" xfId="27774"/>
    <cellStyle name="Normal 7 2 2 3 3" xfId="5880"/>
    <cellStyle name="Normal 7 2 2 3 3 2" xfId="6929"/>
    <cellStyle name="Normal 7 2 2 3 3 2 2" xfId="22134"/>
    <cellStyle name="Normal 7 2 2 3 3 2 3" xfId="27777"/>
    <cellStyle name="Normal 7 2 2 3 3 3" xfId="22133"/>
    <cellStyle name="Normal 7 2 2 3 3 4" xfId="27776"/>
    <cellStyle name="Normal 7 2 2 3 4" xfId="6927"/>
    <cellStyle name="Normal 7 2 2 3 4 2" xfId="22135"/>
    <cellStyle name="Normal 7 2 2 3 4 3" xfId="27778"/>
    <cellStyle name="Normal 7 2 2 3 5" xfId="22130"/>
    <cellStyle name="Normal 7 2 2 3 6" xfId="27773"/>
    <cellStyle name="Normal 7 2 2 4" xfId="5567"/>
    <cellStyle name="Normal 7 2 2 4 2" xfId="6930"/>
    <cellStyle name="Normal 7 2 2 4 2 2" xfId="22137"/>
    <cellStyle name="Normal 7 2 2 4 2 3" xfId="27780"/>
    <cellStyle name="Normal 7 2 2 4 3" xfId="22136"/>
    <cellStyle name="Normal 7 2 2 4 4" xfId="27779"/>
    <cellStyle name="Normal 7 2 2 5" xfId="5877"/>
    <cellStyle name="Normal 7 2 2 5 2" xfId="6931"/>
    <cellStyle name="Normal 7 2 2 5 2 2" xfId="22139"/>
    <cellStyle name="Normal 7 2 2 5 2 3" xfId="27782"/>
    <cellStyle name="Normal 7 2 2 5 3" xfId="22138"/>
    <cellStyle name="Normal 7 2 2 5 4" xfId="27781"/>
    <cellStyle name="Normal 7 2 2 6" xfId="4996"/>
    <cellStyle name="Normal 7 2 2 6 2" xfId="6932"/>
    <cellStyle name="Normal 7 2 2 6 2 2" xfId="27784"/>
    <cellStyle name="Normal 7 2 2 6 3" xfId="22140"/>
    <cellStyle name="Normal 7 2 2 6 4" xfId="27783"/>
    <cellStyle name="Normal 7 2 2 7" xfId="6919"/>
    <cellStyle name="Normal 7 2 2 7 2" xfId="27785"/>
    <cellStyle name="Normal 7 2 2 8" xfId="22117"/>
    <cellStyle name="Normal 7 2 2 9" xfId="24805"/>
    <cellStyle name="Normal 7 2 2 9 2" xfId="27786"/>
    <cellStyle name="Normal 7 2 3" xfId="1443"/>
    <cellStyle name="Normal 7 2 3 10" xfId="27787"/>
    <cellStyle name="Normal 7 2 3 2" xfId="4185"/>
    <cellStyle name="Normal 7 2 3 2 2" xfId="5572"/>
    <cellStyle name="Normal 7 2 3 2 2 2" xfId="6935"/>
    <cellStyle name="Normal 7 2 3 2 2 2 2" xfId="22144"/>
    <cellStyle name="Normal 7 2 3 2 2 2 3" xfId="27790"/>
    <cellStyle name="Normal 7 2 3 2 2 3" xfId="22143"/>
    <cellStyle name="Normal 7 2 3 2 2 4" xfId="27789"/>
    <cellStyle name="Normal 7 2 3 2 3" xfId="5882"/>
    <cellStyle name="Normal 7 2 3 2 3 2" xfId="6936"/>
    <cellStyle name="Normal 7 2 3 2 3 2 2" xfId="22146"/>
    <cellStyle name="Normal 7 2 3 2 3 2 3" xfId="27792"/>
    <cellStyle name="Normal 7 2 3 2 3 3" xfId="22145"/>
    <cellStyle name="Normal 7 2 3 2 3 4" xfId="27791"/>
    <cellStyle name="Normal 7 2 3 2 4" xfId="5001"/>
    <cellStyle name="Normal 7 2 3 2 4 2" xfId="6937"/>
    <cellStyle name="Normal 7 2 3 2 4 2 2" xfId="27794"/>
    <cellStyle name="Normal 7 2 3 2 4 3" xfId="22147"/>
    <cellStyle name="Normal 7 2 3 2 4 4" xfId="27793"/>
    <cellStyle name="Normal 7 2 3 2 5" xfId="6934"/>
    <cellStyle name="Normal 7 2 3 2 5 2" xfId="27795"/>
    <cellStyle name="Normal 7 2 3 2 6" xfId="22142"/>
    <cellStyle name="Normal 7 2 3 2 7" xfId="25037"/>
    <cellStyle name="Normal 7 2 3 2 8" xfId="27788"/>
    <cellStyle name="Normal 7 2 3 3" xfId="5571"/>
    <cellStyle name="Normal 7 2 3 3 2" xfId="6938"/>
    <cellStyle name="Normal 7 2 3 3 2 2" xfId="22149"/>
    <cellStyle name="Normal 7 2 3 3 2 3" xfId="27797"/>
    <cellStyle name="Normal 7 2 3 3 3" xfId="22148"/>
    <cellStyle name="Normal 7 2 3 3 4" xfId="27796"/>
    <cellStyle name="Normal 7 2 3 4" xfId="5881"/>
    <cellStyle name="Normal 7 2 3 4 2" xfId="6939"/>
    <cellStyle name="Normal 7 2 3 4 2 2" xfId="22151"/>
    <cellStyle name="Normal 7 2 3 4 2 3" xfId="27799"/>
    <cellStyle name="Normal 7 2 3 4 3" xfId="22150"/>
    <cellStyle name="Normal 7 2 3 4 4" xfId="27798"/>
    <cellStyle name="Normal 7 2 3 5" xfId="5000"/>
    <cellStyle name="Normal 7 2 3 5 2" xfId="6940"/>
    <cellStyle name="Normal 7 2 3 5 2 2" xfId="27801"/>
    <cellStyle name="Normal 7 2 3 5 3" xfId="22152"/>
    <cellStyle name="Normal 7 2 3 5 4" xfId="27800"/>
    <cellStyle name="Normal 7 2 3 6" xfId="6933"/>
    <cellStyle name="Normal 7 2 3 6 2" xfId="27802"/>
    <cellStyle name="Normal 7 2 3 7" xfId="22141"/>
    <cellStyle name="Normal 7 2 3 8" xfId="24806"/>
    <cellStyle name="Normal 7 2 3 8 2" xfId="27803"/>
    <cellStyle name="Normal 7 2 3 9" xfId="24917"/>
    <cellStyle name="Normal 7 2 4" xfId="3906"/>
    <cellStyle name="Normal 7 2 4 2" xfId="5573"/>
    <cellStyle name="Normal 7 2 4 2 2" xfId="6941"/>
    <cellStyle name="Normal 7 2 4 2 2 2" xfId="22156"/>
    <cellStyle name="Normal 7 2 4 2 2 3" xfId="22155"/>
    <cellStyle name="Normal 7 2 4 2 2 4" xfId="27805"/>
    <cellStyle name="Normal 7 2 4 2 3" xfId="22157"/>
    <cellStyle name="Normal 7 2 4 2 3 2" xfId="22158"/>
    <cellStyle name="Normal 7 2 4 2 4" xfId="22159"/>
    <cellStyle name="Normal 7 2 4 2 5" xfId="22154"/>
    <cellStyle name="Normal 7 2 4 2 6" xfId="27804"/>
    <cellStyle name="Normal 7 2 4 3" xfId="5883"/>
    <cellStyle name="Normal 7 2 4 3 2" xfId="6942"/>
    <cellStyle name="Normal 7 2 4 3 2 2" xfId="22161"/>
    <cellStyle name="Normal 7 2 4 3 2 3" xfId="27807"/>
    <cellStyle name="Normal 7 2 4 3 3" xfId="22160"/>
    <cellStyle name="Normal 7 2 4 3 4" xfId="27806"/>
    <cellStyle name="Normal 7 2 4 4" xfId="5002"/>
    <cellStyle name="Normal 7 2 4 4 2" xfId="6943"/>
    <cellStyle name="Normal 7 2 4 4 2 2" xfId="22163"/>
    <cellStyle name="Normal 7 2 4 4 2 3" xfId="27809"/>
    <cellStyle name="Normal 7 2 4 4 3" xfId="22162"/>
    <cellStyle name="Normal 7 2 4 4 4" xfId="27808"/>
    <cellStyle name="Normal 7 2 4 5" xfId="22164"/>
    <cellStyle name="Normal 7 2 4 6" xfId="22153"/>
    <cellStyle name="Normal 7 2 4 7" xfId="24807"/>
    <cellStyle name="Normal 7 2 4 7 2" xfId="27810"/>
    <cellStyle name="Normal 7 2 5" xfId="5566"/>
    <cellStyle name="Normal 7 2 5 2" xfId="6944"/>
    <cellStyle name="Normal 7 2 5 2 2" xfId="22167"/>
    <cellStyle name="Normal 7 2 5 2 3" xfId="22166"/>
    <cellStyle name="Normal 7 2 5 2 4" xfId="27812"/>
    <cellStyle name="Normal 7 2 5 3" xfId="22168"/>
    <cellStyle name="Normal 7 2 5 3 2" xfId="22169"/>
    <cellStyle name="Normal 7 2 5 4" xfId="22170"/>
    <cellStyle name="Normal 7 2 5 5" xfId="22165"/>
    <cellStyle name="Normal 7 2 5 6" xfId="24808"/>
    <cellStyle name="Normal 7 2 5 7" xfId="27811"/>
    <cellStyle name="Normal 7 2 6" xfId="5876"/>
    <cellStyle name="Normal 7 2 6 2" xfId="6945"/>
    <cellStyle name="Normal 7 2 6 2 2" xfId="22172"/>
    <cellStyle name="Normal 7 2 6 2 3" xfId="27814"/>
    <cellStyle name="Normal 7 2 6 3" xfId="22171"/>
    <cellStyle name="Normal 7 2 6 4" xfId="24809"/>
    <cellStyle name="Normal 7 2 6 4 2" xfId="27815"/>
    <cellStyle name="Normal 7 2 6 5" xfId="27813"/>
    <cellStyle name="Normal 7 2 7" xfId="4995"/>
    <cellStyle name="Normal 7 2 7 2" xfId="6946"/>
    <cellStyle name="Normal 7 2 7 2 2" xfId="22174"/>
    <cellStyle name="Normal 7 2 7 2 3" xfId="27817"/>
    <cellStyle name="Normal 7 2 7 3" xfId="22173"/>
    <cellStyle name="Normal 7 2 7 4" xfId="27816"/>
    <cellStyle name="Normal 7 2 8" xfId="22175"/>
    <cellStyle name="Normal 7 2 9" xfId="22116"/>
    <cellStyle name="Normal 7 20" xfId="1216"/>
    <cellStyle name="Normal 7 20 2" xfId="4086"/>
    <cellStyle name="Normal 7 21" xfId="1226"/>
    <cellStyle name="Normal 7 21 2" xfId="4096"/>
    <cellStyle name="Normal 7 22" xfId="1236"/>
    <cellStyle name="Normal 7 22 2" xfId="4106"/>
    <cellStyle name="Normal 7 23" xfId="1246"/>
    <cellStyle name="Normal 7 23 2" xfId="4116"/>
    <cellStyle name="Normal 7 24" xfId="1256"/>
    <cellStyle name="Normal 7 24 2" xfId="4126"/>
    <cellStyle name="Normal 7 25" xfId="1265"/>
    <cellStyle name="Normal 7 25 2" xfId="4135"/>
    <cellStyle name="Normal 7 26" xfId="906"/>
    <cellStyle name="Normal 7 27" xfId="4993"/>
    <cellStyle name="Normal 7 27 2" xfId="6947"/>
    <cellStyle name="Normal 7 27 2 2" xfId="27819"/>
    <cellStyle name="Normal 7 27 3" xfId="27818"/>
    <cellStyle name="Normal 7 28" xfId="6913"/>
    <cellStyle name="Normal 7 28 2" xfId="27820"/>
    <cellStyle name="Normal 7 29" xfId="24546"/>
    <cellStyle name="Normal 7 3" xfId="1051"/>
    <cellStyle name="Normal 7 3 2" xfId="3762"/>
    <cellStyle name="Normal 7 3 2 10" xfId="27821"/>
    <cellStyle name="Normal 7 3 2 2" xfId="4211"/>
    <cellStyle name="Normal 7 3 2 2 2" xfId="5006"/>
    <cellStyle name="Normal 7 3 2 2 2 2" xfId="5577"/>
    <cellStyle name="Normal 7 3 2 2 2 2 2" xfId="6951"/>
    <cellStyle name="Normal 7 3 2 2 2 2 2 2" xfId="22181"/>
    <cellStyle name="Normal 7 3 2 2 2 2 2 3" xfId="27825"/>
    <cellStyle name="Normal 7 3 2 2 2 2 3" xfId="22180"/>
    <cellStyle name="Normal 7 3 2 2 2 2 4" xfId="27824"/>
    <cellStyle name="Normal 7 3 2 2 2 3" xfId="5887"/>
    <cellStyle name="Normal 7 3 2 2 2 3 2" xfId="6952"/>
    <cellStyle name="Normal 7 3 2 2 2 3 2 2" xfId="22183"/>
    <cellStyle name="Normal 7 3 2 2 2 3 2 3" xfId="27827"/>
    <cellStyle name="Normal 7 3 2 2 2 3 3" xfId="22182"/>
    <cellStyle name="Normal 7 3 2 2 2 3 4" xfId="27826"/>
    <cellStyle name="Normal 7 3 2 2 2 4" xfId="6950"/>
    <cellStyle name="Normal 7 3 2 2 2 4 2" xfId="22184"/>
    <cellStyle name="Normal 7 3 2 2 2 4 3" xfId="27828"/>
    <cellStyle name="Normal 7 3 2 2 2 5" xfId="22179"/>
    <cellStyle name="Normal 7 3 2 2 2 6" xfId="27823"/>
    <cellStyle name="Normal 7 3 2 2 3" xfId="5576"/>
    <cellStyle name="Normal 7 3 2 2 3 2" xfId="6953"/>
    <cellStyle name="Normal 7 3 2 2 3 2 2" xfId="22186"/>
    <cellStyle name="Normal 7 3 2 2 3 2 3" xfId="27830"/>
    <cellStyle name="Normal 7 3 2 2 3 3" xfId="22185"/>
    <cellStyle name="Normal 7 3 2 2 3 4" xfId="27829"/>
    <cellStyle name="Normal 7 3 2 2 4" xfId="5886"/>
    <cellStyle name="Normal 7 3 2 2 4 2" xfId="6954"/>
    <cellStyle name="Normal 7 3 2 2 4 2 2" xfId="22188"/>
    <cellStyle name="Normal 7 3 2 2 4 2 3" xfId="27832"/>
    <cellStyle name="Normal 7 3 2 2 4 3" xfId="22187"/>
    <cellStyle name="Normal 7 3 2 2 4 4" xfId="27831"/>
    <cellStyle name="Normal 7 3 2 2 5" xfId="5005"/>
    <cellStyle name="Normal 7 3 2 2 5 2" xfId="6955"/>
    <cellStyle name="Normal 7 3 2 2 5 2 2" xfId="27834"/>
    <cellStyle name="Normal 7 3 2 2 5 3" xfId="22189"/>
    <cellStyle name="Normal 7 3 2 2 5 4" xfId="27833"/>
    <cellStyle name="Normal 7 3 2 2 6" xfId="6949"/>
    <cellStyle name="Normal 7 3 2 2 6 2" xfId="27835"/>
    <cellStyle name="Normal 7 3 2 2 7" xfId="22178"/>
    <cellStyle name="Normal 7 3 2 2 8" xfId="25063"/>
    <cellStyle name="Normal 7 3 2 2 9" xfId="27822"/>
    <cellStyle name="Normal 7 3 2 3" xfId="5007"/>
    <cellStyle name="Normal 7 3 2 3 2" xfId="5578"/>
    <cellStyle name="Normal 7 3 2 3 2 2" xfId="6957"/>
    <cellStyle name="Normal 7 3 2 3 2 2 2" xfId="22192"/>
    <cellStyle name="Normal 7 3 2 3 2 2 3" xfId="27838"/>
    <cellStyle name="Normal 7 3 2 3 2 3" xfId="22191"/>
    <cellStyle name="Normal 7 3 2 3 2 4" xfId="27837"/>
    <cellStyle name="Normal 7 3 2 3 3" xfId="5888"/>
    <cellStyle name="Normal 7 3 2 3 3 2" xfId="6958"/>
    <cellStyle name="Normal 7 3 2 3 3 2 2" xfId="22194"/>
    <cellStyle name="Normal 7 3 2 3 3 2 3" xfId="27840"/>
    <cellStyle name="Normal 7 3 2 3 3 3" xfId="22193"/>
    <cellStyle name="Normal 7 3 2 3 3 4" xfId="27839"/>
    <cellStyle name="Normal 7 3 2 3 4" xfId="6956"/>
    <cellStyle name="Normal 7 3 2 3 4 2" xfId="22195"/>
    <cellStyle name="Normal 7 3 2 3 4 3" xfId="27841"/>
    <cellStyle name="Normal 7 3 2 3 5" xfId="22190"/>
    <cellStyle name="Normal 7 3 2 3 6" xfId="27836"/>
    <cellStyle name="Normal 7 3 2 4" xfId="5575"/>
    <cellStyle name="Normal 7 3 2 4 2" xfId="6959"/>
    <cellStyle name="Normal 7 3 2 4 2 2" xfId="22197"/>
    <cellStyle name="Normal 7 3 2 4 2 3" xfId="27843"/>
    <cellStyle name="Normal 7 3 2 4 3" xfId="22196"/>
    <cellStyle name="Normal 7 3 2 4 4" xfId="27842"/>
    <cellStyle name="Normal 7 3 2 5" xfId="5885"/>
    <cellStyle name="Normal 7 3 2 5 2" xfId="6960"/>
    <cellStyle name="Normal 7 3 2 5 2 2" xfId="22199"/>
    <cellStyle name="Normal 7 3 2 5 2 3" xfId="27845"/>
    <cellStyle name="Normal 7 3 2 5 3" xfId="22198"/>
    <cellStyle name="Normal 7 3 2 5 4" xfId="27844"/>
    <cellStyle name="Normal 7 3 2 6" xfId="5004"/>
    <cellStyle name="Normal 7 3 2 6 2" xfId="6961"/>
    <cellStyle name="Normal 7 3 2 6 2 2" xfId="27847"/>
    <cellStyle name="Normal 7 3 2 6 3" xfId="22200"/>
    <cellStyle name="Normal 7 3 2 6 4" xfId="27846"/>
    <cellStyle name="Normal 7 3 2 7" xfId="6948"/>
    <cellStyle name="Normal 7 3 2 7 2" xfId="27848"/>
    <cellStyle name="Normal 7 3 2 8" xfId="22177"/>
    <cellStyle name="Normal 7 3 2 9" xfId="24943"/>
    <cellStyle name="Normal 7 3 3" xfId="1536"/>
    <cellStyle name="Normal 7 3 3 10" xfId="27849"/>
    <cellStyle name="Normal 7 3 3 2" xfId="4189"/>
    <cellStyle name="Normal 7 3 3 2 2" xfId="5580"/>
    <cellStyle name="Normal 7 3 3 2 2 2" xfId="6964"/>
    <cellStyle name="Normal 7 3 3 2 2 2 2" xfId="22204"/>
    <cellStyle name="Normal 7 3 3 2 2 2 3" xfId="27852"/>
    <cellStyle name="Normal 7 3 3 2 2 3" xfId="22203"/>
    <cellStyle name="Normal 7 3 3 2 2 4" xfId="27851"/>
    <cellStyle name="Normal 7 3 3 2 3" xfId="5890"/>
    <cellStyle name="Normal 7 3 3 2 3 2" xfId="6965"/>
    <cellStyle name="Normal 7 3 3 2 3 2 2" xfId="22206"/>
    <cellStyle name="Normal 7 3 3 2 3 2 3" xfId="27854"/>
    <cellStyle name="Normal 7 3 3 2 3 3" xfId="22205"/>
    <cellStyle name="Normal 7 3 3 2 3 4" xfId="27853"/>
    <cellStyle name="Normal 7 3 3 2 4" xfId="5009"/>
    <cellStyle name="Normal 7 3 3 2 4 2" xfId="6966"/>
    <cellStyle name="Normal 7 3 3 2 4 2 2" xfId="27856"/>
    <cellStyle name="Normal 7 3 3 2 4 3" xfId="22207"/>
    <cellStyle name="Normal 7 3 3 2 4 4" xfId="27855"/>
    <cellStyle name="Normal 7 3 3 2 5" xfId="6963"/>
    <cellStyle name="Normal 7 3 3 2 5 2" xfId="27857"/>
    <cellStyle name="Normal 7 3 3 2 6" xfId="22202"/>
    <cellStyle name="Normal 7 3 3 2 7" xfId="25041"/>
    <cellStyle name="Normal 7 3 3 2 8" xfId="27850"/>
    <cellStyle name="Normal 7 3 3 3" xfId="5579"/>
    <cellStyle name="Normal 7 3 3 3 2" xfId="6967"/>
    <cellStyle name="Normal 7 3 3 3 2 2" xfId="22209"/>
    <cellStyle name="Normal 7 3 3 3 2 3" xfId="27859"/>
    <cellStyle name="Normal 7 3 3 3 3" xfId="22208"/>
    <cellStyle name="Normal 7 3 3 3 4" xfId="27858"/>
    <cellStyle name="Normal 7 3 3 4" xfId="5889"/>
    <cellStyle name="Normal 7 3 3 4 2" xfId="6968"/>
    <cellStyle name="Normal 7 3 3 4 2 2" xfId="22211"/>
    <cellStyle name="Normal 7 3 3 4 2 3" xfId="27861"/>
    <cellStyle name="Normal 7 3 3 4 3" xfId="22210"/>
    <cellStyle name="Normal 7 3 3 4 4" xfId="27860"/>
    <cellStyle name="Normal 7 3 3 5" xfId="5008"/>
    <cellStyle name="Normal 7 3 3 5 2" xfId="6969"/>
    <cellStyle name="Normal 7 3 3 5 2 2" xfId="27863"/>
    <cellStyle name="Normal 7 3 3 5 3" xfId="22212"/>
    <cellStyle name="Normal 7 3 3 5 4" xfId="27862"/>
    <cellStyle name="Normal 7 3 3 6" xfId="6962"/>
    <cellStyle name="Normal 7 3 3 6 2" xfId="27864"/>
    <cellStyle name="Normal 7 3 3 7" xfId="22201"/>
    <cellStyle name="Normal 7 3 3 8" xfId="24810"/>
    <cellStyle name="Normal 7 3 3 8 2" xfId="27865"/>
    <cellStyle name="Normal 7 3 3 9" xfId="24921"/>
    <cellStyle name="Normal 7 3 4" xfId="3921"/>
    <cellStyle name="Normal 7 3 4 2" xfId="5581"/>
    <cellStyle name="Normal 7 3 4 2 2" xfId="6970"/>
    <cellStyle name="Normal 7 3 4 2 2 2" xfId="22216"/>
    <cellStyle name="Normal 7 3 4 2 2 3" xfId="22215"/>
    <cellStyle name="Normal 7 3 4 2 2 4" xfId="27867"/>
    <cellStyle name="Normal 7 3 4 2 3" xfId="22217"/>
    <cellStyle name="Normal 7 3 4 2 3 2" xfId="22218"/>
    <cellStyle name="Normal 7 3 4 2 4" xfId="22219"/>
    <cellStyle name="Normal 7 3 4 2 5" xfId="22214"/>
    <cellStyle name="Normal 7 3 4 2 6" xfId="27866"/>
    <cellStyle name="Normal 7 3 4 3" xfId="5891"/>
    <cellStyle name="Normal 7 3 4 3 2" xfId="6971"/>
    <cellStyle name="Normal 7 3 4 3 2 2" xfId="22221"/>
    <cellStyle name="Normal 7 3 4 3 2 3" xfId="27869"/>
    <cellStyle name="Normal 7 3 4 3 3" xfId="22220"/>
    <cellStyle name="Normal 7 3 4 3 4" xfId="27868"/>
    <cellStyle name="Normal 7 3 4 4" xfId="5010"/>
    <cellStyle name="Normal 7 3 4 4 2" xfId="6972"/>
    <cellStyle name="Normal 7 3 4 4 2 2" xfId="22223"/>
    <cellStyle name="Normal 7 3 4 4 2 3" xfId="27871"/>
    <cellStyle name="Normal 7 3 4 4 3" xfId="22222"/>
    <cellStyle name="Normal 7 3 4 4 4" xfId="27870"/>
    <cellStyle name="Normal 7 3 4 5" xfId="22224"/>
    <cellStyle name="Normal 7 3 4 6" xfId="22213"/>
    <cellStyle name="Normal 7 3 5" xfId="5574"/>
    <cellStyle name="Normal 7 3 5 2" xfId="6973"/>
    <cellStyle name="Normal 7 3 5 2 2" xfId="22227"/>
    <cellStyle name="Normal 7 3 5 2 3" xfId="22226"/>
    <cellStyle name="Normal 7 3 5 2 4" xfId="27873"/>
    <cellStyle name="Normal 7 3 5 3" xfId="22228"/>
    <cellStyle name="Normal 7 3 5 3 2" xfId="22229"/>
    <cellStyle name="Normal 7 3 5 4" xfId="22230"/>
    <cellStyle name="Normal 7 3 5 5" xfId="22225"/>
    <cellStyle name="Normal 7 3 5 6" xfId="27872"/>
    <cellStyle name="Normal 7 3 6" xfId="5884"/>
    <cellStyle name="Normal 7 3 6 2" xfId="6974"/>
    <cellStyle name="Normal 7 3 6 2 2" xfId="22232"/>
    <cellStyle name="Normal 7 3 6 2 3" xfId="27875"/>
    <cellStyle name="Normal 7 3 6 3" xfId="22231"/>
    <cellStyle name="Normal 7 3 6 4" xfId="27874"/>
    <cellStyle name="Normal 7 3 7" xfId="5003"/>
    <cellStyle name="Normal 7 3 7 2" xfId="6975"/>
    <cellStyle name="Normal 7 3 7 2 2" xfId="22234"/>
    <cellStyle name="Normal 7 3 7 2 3" xfId="27877"/>
    <cellStyle name="Normal 7 3 7 3" xfId="22233"/>
    <cellStyle name="Normal 7 3 7 4" xfId="27876"/>
    <cellStyle name="Normal 7 3 8" xfId="22235"/>
    <cellStyle name="Normal 7 3 9" xfId="22176"/>
    <cellStyle name="Normal 7 30" xfId="27747"/>
    <cellStyle name="Normal 7 4" xfId="1056"/>
    <cellStyle name="Normal 7 4 2" xfId="3766"/>
    <cellStyle name="Normal 7 4 2 10" xfId="27878"/>
    <cellStyle name="Normal 7 4 2 2" xfId="4214"/>
    <cellStyle name="Normal 7 4 2 2 2" xfId="5014"/>
    <cellStyle name="Normal 7 4 2 2 2 2" xfId="5585"/>
    <cellStyle name="Normal 7 4 2 2 2 2 2" xfId="6979"/>
    <cellStyle name="Normal 7 4 2 2 2 2 2 2" xfId="22241"/>
    <cellStyle name="Normal 7 4 2 2 2 2 2 3" xfId="27882"/>
    <cellStyle name="Normal 7 4 2 2 2 2 3" xfId="22240"/>
    <cellStyle name="Normal 7 4 2 2 2 2 4" xfId="27881"/>
    <cellStyle name="Normal 7 4 2 2 2 3" xfId="5895"/>
    <cellStyle name="Normal 7 4 2 2 2 3 2" xfId="6980"/>
    <cellStyle name="Normal 7 4 2 2 2 3 2 2" xfId="22243"/>
    <cellStyle name="Normal 7 4 2 2 2 3 2 3" xfId="27884"/>
    <cellStyle name="Normal 7 4 2 2 2 3 3" xfId="22242"/>
    <cellStyle name="Normal 7 4 2 2 2 3 4" xfId="27883"/>
    <cellStyle name="Normal 7 4 2 2 2 4" xfId="6978"/>
    <cellStyle name="Normal 7 4 2 2 2 4 2" xfId="22244"/>
    <cellStyle name="Normal 7 4 2 2 2 4 3" xfId="27885"/>
    <cellStyle name="Normal 7 4 2 2 2 5" xfId="22239"/>
    <cellStyle name="Normal 7 4 2 2 2 6" xfId="27880"/>
    <cellStyle name="Normal 7 4 2 2 3" xfId="5584"/>
    <cellStyle name="Normal 7 4 2 2 3 2" xfId="6981"/>
    <cellStyle name="Normal 7 4 2 2 3 2 2" xfId="22246"/>
    <cellStyle name="Normal 7 4 2 2 3 2 3" xfId="27887"/>
    <cellStyle name="Normal 7 4 2 2 3 3" xfId="22245"/>
    <cellStyle name="Normal 7 4 2 2 3 4" xfId="27886"/>
    <cellStyle name="Normal 7 4 2 2 4" xfId="5894"/>
    <cellStyle name="Normal 7 4 2 2 4 2" xfId="6982"/>
    <cellStyle name="Normal 7 4 2 2 4 2 2" xfId="22248"/>
    <cellStyle name="Normal 7 4 2 2 4 2 3" xfId="27889"/>
    <cellStyle name="Normal 7 4 2 2 4 3" xfId="22247"/>
    <cellStyle name="Normal 7 4 2 2 4 4" xfId="27888"/>
    <cellStyle name="Normal 7 4 2 2 5" xfId="5013"/>
    <cellStyle name="Normal 7 4 2 2 5 2" xfId="6983"/>
    <cellStyle name="Normal 7 4 2 2 5 2 2" xfId="27891"/>
    <cellStyle name="Normal 7 4 2 2 5 3" xfId="22249"/>
    <cellStyle name="Normal 7 4 2 2 5 4" xfId="27890"/>
    <cellStyle name="Normal 7 4 2 2 6" xfId="6977"/>
    <cellStyle name="Normal 7 4 2 2 6 2" xfId="27892"/>
    <cellStyle name="Normal 7 4 2 2 7" xfId="22238"/>
    <cellStyle name="Normal 7 4 2 2 8" xfId="25066"/>
    <cellStyle name="Normal 7 4 2 2 9" xfId="27879"/>
    <cellStyle name="Normal 7 4 2 3" xfId="5015"/>
    <cellStyle name="Normal 7 4 2 3 2" xfId="5586"/>
    <cellStyle name="Normal 7 4 2 3 2 2" xfId="6985"/>
    <cellStyle name="Normal 7 4 2 3 2 2 2" xfId="22252"/>
    <cellStyle name="Normal 7 4 2 3 2 2 3" xfId="27895"/>
    <cellStyle name="Normal 7 4 2 3 2 3" xfId="22251"/>
    <cellStyle name="Normal 7 4 2 3 2 4" xfId="27894"/>
    <cellStyle name="Normal 7 4 2 3 3" xfId="5896"/>
    <cellStyle name="Normal 7 4 2 3 3 2" xfId="6986"/>
    <cellStyle name="Normal 7 4 2 3 3 2 2" xfId="22254"/>
    <cellStyle name="Normal 7 4 2 3 3 2 3" xfId="27897"/>
    <cellStyle name="Normal 7 4 2 3 3 3" xfId="22253"/>
    <cellStyle name="Normal 7 4 2 3 3 4" xfId="27896"/>
    <cellStyle name="Normal 7 4 2 3 4" xfId="6984"/>
    <cellStyle name="Normal 7 4 2 3 4 2" xfId="22255"/>
    <cellStyle name="Normal 7 4 2 3 4 3" xfId="27898"/>
    <cellStyle name="Normal 7 4 2 3 5" xfId="22250"/>
    <cellStyle name="Normal 7 4 2 3 6" xfId="27893"/>
    <cellStyle name="Normal 7 4 2 4" xfId="5583"/>
    <cellStyle name="Normal 7 4 2 4 2" xfId="6987"/>
    <cellStyle name="Normal 7 4 2 4 2 2" xfId="22257"/>
    <cellStyle name="Normal 7 4 2 4 2 3" xfId="27900"/>
    <cellStyle name="Normal 7 4 2 4 3" xfId="22256"/>
    <cellStyle name="Normal 7 4 2 4 4" xfId="27899"/>
    <cellStyle name="Normal 7 4 2 5" xfId="5893"/>
    <cellStyle name="Normal 7 4 2 5 2" xfId="6988"/>
    <cellStyle name="Normal 7 4 2 5 2 2" xfId="22259"/>
    <cellStyle name="Normal 7 4 2 5 2 3" xfId="27902"/>
    <cellStyle name="Normal 7 4 2 5 3" xfId="22258"/>
    <cellStyle name="Normal 7 4 2 5 4" xfId="27901"/>
    <cellStyle name="Normal 7 4 2 6" xfId="5012"/>
    <cellStyle name="Normal 7 4 2 6 2" xfId="6989"/>
    <cellStyle name="Normal 7 4 2 6 2 2" xfId="27904"/>
    <cellStyle name="Normal 7 4 2 6 3" xfId="22260"/>
    <cellStyle name="Normal 7 4 2 6 4" xfId="27903"/>
    <cellStyle name="Normal 7 4 2 7" xfId="6976"/>
    <cellStyle name="Normal 7 4 2 7 2" xfId="27905"/>
    <cellStyle name="Normal 7 4 2 8" xfId="22237"/>
    <cellStyle name="Normal 7 4 2 9" xfId="24946"/>
    <cellStyle name="Normal 7 4 3" xfId="1572"/>
    <cellStyle name="Normal 7 4 3 2" xfId="4193"/>
    <cellStyle name="Normal 7 4 3 2 2" xfId="5588"/>
    <cellStyle name="Normal 7 4 3 2 2 2" xfId="6992"/>
    <cellStyle name="Normal 7 4 3 2 2 2 2" xfId="22264"/>
    <cellStyle name="Normal 7 4 3 2 2 2 3" xfId="27909"/>
    <cellStyle name="Normal 7 4 3 2 2 3" xfId="22263"/>
    <cellStyle name="Normal 7 4 3 2 2 4" xfId="27908"/>
    <cellStyle name="Normal 7 4 3 2 3" xfId="5898"/>
    <cellStyle name="Normal 7 4 3 2 3 2" xfId="6993"/>
    <cellStyle name="Normal 7 4 3 2 3 2 2" xfId="22266"/>
    <cellStyle name="Normal 7 4 3 2 3 2 3" xfId="27911"/>
    <cellStyle name="Normal 7 4 3 2 3 3" xfId="22265"/>
    <cellStyle name="Normal 7 4 3 2 3 4" xfId="27910"/>
    <cellStyle name="Normal 7 4 3 2 4" xfId="5017"/>
    <cellStyle name="Normal 7 4 3 2 4 2" xfId="6994"/>
    <cellStyle name="Normal 7 4 3 2 4 2 2" xfId="27913"/>
    <cellStyle name="Normal 7 4 3 2 4 3" xfId="22267"/>
    <cellStyle name="Normal 7 4 3 2 4 4" xfId="27912"/>
    <cellStyle name="Normal 7 4 3 2 5" xfId="6991"/>
    <cellStyle name="Normal 7 4 3 2 5 2" xfId="27914"/>
    <cellStyle name="Normal 7 4 3 2 6" xfId="22262"/>
    <cellStyle name="Normal 7 4 3 2 7" xfId="25045"/>
    <cellStyle name="Normal 7 4 3 2 8" xfId="27907"/>
    <cellStyle name="Normal 7 4 3 3" xfId="5587"/>
    <cellStyle name="Normal 7 4 3 3 2" xfId="6995"/>
    <cellStyle name="Normal 7 4 3 3 2 2" xfId="22269"/>
    <cellStyle name="Normal 7 4 3 3 2 3" xfId="27916"/>
    <cellStyle name="Normal 7 4 3 3 3" xfId="22268"/>
    <cellStyle name="Normal 7 4 3 3 4" xfId="27915"/>
    <cellStyle name="Normal 7 4 3 4" xfId="5897"/>
    <cellStyle name="Normal 7 4 3 4 2" xfId="6996"/>
    <cellStyle name="Normal 7 4 3 4 2 2" xfId="22271"/>
    <cellStyle name="Normal 7 4 3 4 2 3" xfId="27918"/>
    <cellStyle name="Normal 7 4 3 4 3" xfId="22270"/>
    <cellStyle name="Normal 7 4 3 4 4" xfId="27917"/>
    <cellStyle name="Normal 7 4 3 5" xfId="5016"/>
    <cellStyle name="Normal 7 4 3 5 2" xfId="6997"/>
    <cellStyle name="Normal 7 4 3 5 2 2" xfId="27920"/>
    <cellStyle name="Normal 7 4 3 5 3" xfId="22272"/>
    <cellStyle name="Normal 7 4 3 5 4" xfId="27919"/>
    <cellStyle name="Normal 7 4 3 6" xfId="6990"/>
    <cellStyle name="Normal 7 4 3 6 2" xfId="27921"/>
    <cellStyle name="Normal 7 4 3 7" xfId="22261"/>
    <cellStyle name="Normal 7 4 3 8" xfId="24925"/>
    <cellStyle name="Normal 7 4 3 9" xfId="27906"/>
    <cellStyle name="Normal 7 4 4" xfId="3926"/>
    <cellStyle name="Normal 7 4 4 2" xfId="5589"/>
    <cellStyle name="Normal 7 4 4 2 2" xfId="6998"/>
    <cellStyle name="Normal 7 4 4 2 2 2" xfId="22275"/>
    <cellStyle name="Normal 7 4 4 2 2 3" xfId="27923"/>
    <cellStyle name="Normal 7 4 4 2 3" xfId="22274"/>
    <cellStyle name="Normal 7 4 4 2 4" xfId="27922"/>
    <cellStyle name="Normal 7 4 4 3" xfId="5899"/>
    <cellStyle name="Normal 7 4 4 3 2" xfId="6999"/>
    <cellStyle name="Normal 7 4 4 3 2 2" xfId="22277"/>
    <cellStyle name="Normal 7 4 4 3 2 3" xfId="27925"/>
    <cellStyle name="Normal 7 4 4 3 3" xfId="22276"/>
    <cellStyle name="Normal 7 4 4 3 4" xfId="27924"/>
    <cellStyle name="Normal 7 4 4 4" xfId="5018"/>
    <cellStyle name="Normal 7 4 4 4 2" xfId="7000"/>
    <cellStyle name="Normal 7 4 4 4 2 2" xfId="27927"/>
    <cellStyle name="Normal 7 4 4 4 3" xfId="22278"/>
    <cellStyle name="Normal 7 4 4 4 4" xfId="27926"/>
    <cellStyle name="Normal 7 4 4 5" xfId="22273"/>
    <cellStyle name="Normal 7 4 5" xfId="5582"/>
    <cellStyle name="Normal 7 4 5 2" xfId="7001"/>
    <cellStyle name="Normal 7 4 5 2 2" xfId="22280"/>
    <cellStyle name="Normal 7 4 5 2 3" xfId="27929"/>
    <cellStyle name="Normal 7 4 5 3" xfId="22279"/>
    <cellStyle name="Normal 7 4 5 4" xfId="27928"/>
    <cellStyle name="Normal 7 4 6" xfId="5892"/>
    <cellStyle name="Normal 7 4 6 2" xfId="7002"/>
    <cellStyle name="Normal 7 4 6 2 2" xfId="22282"/>
    <cellStyle name="Normal 7 4 6 2 3" xfId="27931"/>
    <cellStyle name="Normal 7 4 6 3" xfId="22281"/>
    <cellStyle name="Normal 7 4 6 4" xfId="27930"/>
    <cellStyle name="Normal 7 4 7" xfId="5011"/>
    <cellStyle name="Normal 7 4 7 2" xfId="7003"/>
    <cellStyle name="Normal 7 4 7 2 2" xfId="27933"/>
    <cellStyle name="Normal 7 4 7 3" xfId="22283"/>
    <cellStyle name="Normal 7 4 7 4" xfId="27932"/>
    <cellStyle name="Normal 7 4 8" xfId="22236"/>
    <cellStyle name="Normal 7 4 9" xfId="24811"/>
    <cellStyle name="Normal 7 4 9 2" xfId="27934"/>
    <cellStyle name="Normal 7 5" xfId="1066"/>
    <cellStyle name="Normal 7 5 2" xfId="3810"/>
    <cellStyle name="Normal 7 5 2 10" xfId="27935"/>
    <cellStyle name="Normal 7 5 2 2" xfId="4217"/>
    <cellStyle name="Normal 7 5 2 2 2" xfId="5022"/>
    <cellStyle name="Normal 7 5 2 2 2 2" xfId="5593"/>
    <cellStyle name="Normal 7 5 2 2 2 2 2" xfId="7007"/>
    <cellStyle name="Normal 7 5 2 2 2 2 2 2" xfId="22289"/>
    <cellStyle name="Normal 7 5 2 2 2 2 2 3" xfId="27939"/>
    <cellStyle name="Normal 7 5 2 2 2 2 3" xfId="22288"/>
    <cellStyle name="Normal 7 5 2 2 2 2 4" xfId="27938"/>
    <cellStyle name="Normal 7 5 2 2 2 3" xfId="5903"/>
    <cellStyle name="Normal 7 5 2 2 2 3 2" xfId="7008"/>
    <cellStyle name="Normal 7 5 2 2 2 3 2 2" xfId="22291"/>
    <cellStyle name="Normal 7 5 2 2 2 3 2 3" xfId="27941"/>
    <cellStyle name="Normal 7 5 2 2 2 3 3" xfId="22290"/>
    <cellStyle name="Normal 7 5 2 2 2 3 4" xfId="27940"/>
    <cellStyle name="Normal 7 5 2 2 2 4" xfId="7006"/>
    <cellStyle name="Normal 7 5 2 2 2 4 2" xfId="22292"/>
    <cellStyle name="Normal 7 5 2 2 2 4 3" xfId="27942"/>
    <cellStyle name="Normal 7 5 2 2 2 5" xfId="22287"/>
    <cellStyle name="Normal 7 5 2 2 2 6" xfId="27937"/>
    <cellStyle name="Normal 7 5 2 2 3" xfId="5592"/>
    <cellStyle name="Normal 7 5 2 2 3 2" xfId="7009"/>
    <cellStyle name="Normal 7 5 2 2 3 2 2" xfId="22294"/>
    <cellStyle name="Normal 7 5 2 2 3 2 3" xfId="27944"/>
    <cellStyle name="Normal 7 5 2 2 3 3" xfId="22293"/>
    <cellStyle name="Normal 7 5 2 2 3 4" xfId="27943"/>
    <cellStyle name="Normal 7 5 2 2 4" xfId="5902"/>
    <cellStyle name="Normal 7 5 2 2 4 2" xfId="7010"/>
    <cellStyle name="Normal 7 5 2 2 4 2 2" xfId="22296"/>
    <cellStyle name="Normal 7 5 2 2 4 2 3" xfId="27946"/>
    <cellStyle name="Normal 7 5 2 2 4 3" xfId="22295"/>
    <cellStyle name="Normal 7 5 2 2 4 4" xfId="27945"/>
    <cellStyle name="Normal 7 5 2 2 5" xfId="5021"/>
    <cellStyle name="Normal 7 5 2 2 5 2" xfId="7011"/>
    <cellStyle name="Normal 7 5 2 2 5 2 2" xfId="27948"/>
    <cellStyle name="Normal 7 5 2 2 5 3" xfId="22297"/>
    <cellStyle name="Normal 7 5 2 2 5 4" xfId="27947"/>
    <cellStyle name="Normal 7 5 2 2 6" xfId="7005"/>
    <cellStyle name="Normal 7 5 2 2 6 2" xfId="27949"/>
    <cellStyle name="Normal 7 5 2 2 7" xfId="22286"/>
    <cellStyle name="Normal 7 5 2 2 8" xfId="25069"/>
    <cellStyle name="Normal 7 5 2 2 9" xfId="27936"/>
    <cellStyle name="Normal 7 5 2 3" xfId="5023"/>
    <cellStyle name="Normal 7 5 2 3 2" xfId="5594"/>
    <cellStyle name="Normal 7 5 2 3 2 2" xfId="7013"/>
    <cellStyle name="Normal 7 5 2 3 2 2 2" xfId="22300"/>
    <cellStyle name="Normal 7 5 2 3 2 2 3" xfId="27952"/>
    <cellStyle name="Normal 7 5 2 3 2 3" xfId="22299"/>
    <cellStyle name="Normal 7 5 2 3 2 4" xfId="27951"/>
    <cellStyle name="Normal 7 5 2 3 3" xfId="5904"/>
    <cellStyle name="Normal 7 5 2 3 3 2" xfId="7014"/>
    <cellStyle name="Normal 7 5 2 3 3 2 2" xfId="22302"/>
    <cellStyle name="Normal 7 5 2 3 3 2 3" xfId="27954"/>
    <cellStyle name="Normal 7 5 2 3 3 3" xfId="22301"/>
    <cellStyle name="Normal 7 5 2 3 3 4" xfId="27953"/>
    <cellStyle name="Normal 7 5 2 3 4" xfId="7012"/>
    <cellStyle name="Normal 7 5 2 3 4 2" xfId="22303"/>
    <cellStyle name="Normal 7 5 2 3 4 3" xfId="27955"/>
    <cellStyle name="Normal 7 5 2 3 5" xfId="22298"/>
    <cellStyle name="Normal 7 5 2 3 6" xfId="27950"/>
    <cellStyle name="Normal 7 5 2 4" xfId="5591"/>
    <cellStyle name="Normal 7 5 2 4 2" xfId="7015"/>
    <cellStyle name="Normal 7 5 2 4 2 2" xfId="22305"/>
    <cellStyle name="Normal 7 5 2 4 2 3" xfId="27957"/>
    <cellStyle name="Normal 7 5 2 4 3" xfId="22304"/>
    <cellStyle name="Normal 7 5 2 4 4" xfId="27956"/>
    <cellStyle name="Normal 7 5 2 5" xfId="5901"/>
    <cellStyle name="Normal 7 5 2 5 2" xfId="7016"/>
    <cellStyle name="Normal 7 5 2 5 2 2" xfId="22307"/>
    <cellStyle name="Normal 7 5 2 5 2 3" xfId="27959"/>
    <cellStyle name="Normal 7 5 2 5 3" xfId="22306"/>
    <cellStyle name="Normal 7 5 2 5 4" xfId="27958"/>
    <cellStyle name="Normal 7 5 2 6" xfId="5020"/>
    <cellStyle name="Normal 7 5 2 6 2" xfId="7017"/>
    <cellStyle name="Normal 7 5 2 6 2 2" xfId="27961"/>
    <cellStyle name="Normal 7 5 2 6 3" xfId="22308"/>
    <cellStyle name="Normal 7 5 2 6 4" xfId="27960"/>
    <cellStyle name="Normal 7 5 2 7" xfId="7004"/>
    <cellStyle name="Normal 7 5 2 7 2" xfId="27962"/>
    <cellStyle name="Normal 7 5 2 8" xfId="22285"/>
    <cellStyle name="Normal 7 5 2 9" xfId="24949"/>
    <cellStyle name="Normal 7 5 3" xfId="1573"/>
    <cellStyle name="Normal 7 5 3 2" xfId="4194"/>
    <cellStyle name="Normal 7 5 3 2 2" xfId="5596"/>
    <cellStyle name="Normal 7 5 3 2 2 2" xfId="7020"/>
    <cellStyle name="Normal 7 5 3 2 2 2 2" xfId="22312"/>
    <cellStyle name="Normal 7 5 3 2 2 2 3" xfId="27966"/>
    <cellStyle name="Normal 7 5 3 2 2 3" xfId="22311"/>
    <cellStyle name="Normal 7 5 3 2 2 4" xfId="27965"/>
    <cellStyle name="Normal 7 5 3 2 3" xfId="5906"/>
    <cellStyle name="Normal 7 5 3 2 3 2" xfId="7021"/>
    <cellStyle name="Normal 7 5 3 2 3 2 2" xfId="22314"/>
    <cellStyle name="Normal 7 5 3 2 3 2 3" xfId="27968"/>
    <cellStyle name="Normal 7 5 3 2 3 3" xfId="22313"/>
    <cellStyle name="Normal 7 5 3 2 3 4" xfId="27967"/>
    <cellStyle name="Normal 7 5 3 2 4" xfId="5025"/>
    <cellStyle name="Normal 7 5 3 2 4 2" xfId="7022"/>
    <cellStyle name="Normal 7 5 3 2 4 2 2" xfId="27970"/>
    <cellStyle name="Normal 7 5 3 2 4 3" xfId="22315"/>
    <cellStyle name="Normal 7 5 3 2 4 4" xfId="27969"/>
    <cellStyle name="Normal 7 5 3 2 5" xfId="7019"/>
    <cellStyle name="Normal 7 5 3 2 5 2" xfId="27971"/>
    <cellStyle name="Normal 7 5 3 2 6" xfId="22310"/>
    <cellStyle name="Normal 7 5 3 2 7" xfId="25046"/>
    <cellStyle name="Normal 7 5 3 2 8" xfId="27964"/>
    <cellStyle name="Normal 7 5 3 3" xfId="5595"/>
    <cellStyle name="Normal 7 5 3 3 2" xfId="7023"/>
    <cellStyle name="Normal 7 5 3 3 2 2" xfId="22317"/>
    <cellStyle name="Normal 7 5 3 3 2 3" xfId="27973"/>
    <cellStyle name="Normal 7 5 3 3 3" xfId="22316"/>
    <cellStyle name="Normal 7 5 3 3 4" xfId="27972"/>
    <cellStyle name="Normal 7 5 3 4" xfId="5905"/>
    <cellStyle name="Normal 7 5 3 4 2" xfId="7024"/>
    <cellStyle name="Normal 7 5 3 4 2 2" xfId="22319"/>
    <cellStyle name="Normal 7 5 3 4 2 3" xfId="27975"/>
    <cellStyle name="Normal 7 5 3 4 3" xfId="22318"/>
    <cellStyle name="Normal 7 5 3 4 4" xfId="27974"/>
    <cellStyle name="Normal 7 5 3 5" xfId="5024"/>
    <cellStyle name="Normal 7 5 3 5 2" xfId="7025"/>
    <cellStyle name="Normal 7 5 3 5 2 2" xfId="27977"/>
    <cellStyle name="Normal 7 5 3 5 3" xfId="22320"/>
    <cellStyle name="Normal 7 5 3 5 4" xfId="27976"/>
    <cellStyle name="Normal 7 5 3 6" xfId="7018"/>
    <cellStyle name="Normal 7 5 3 6 2" xfId="27978"/>
    <cellStyle name="Normal 7 5 3 7" xfId="22309"/>
    <cellStyle name="Normal 7 5 3 8" xfId="24926"/>
    <cellStyle name="Normal 7 5 3 9" xfId="27963"/>
    <cellStyle name="Normal 7 5 4" xfId="3936"/>
    <cellStyle name="Normal 7 5 4 2" xfId="5597"/>
    <cellStyle name="Normal 7 5 4 2 2" xfId="7026"/>
    <cellStyle name="Normal 7 5 4 2 2 2" xfId="22323"/>
    <cellStyle name="Normal 7 5 4 2 2 3" xfId="27980"/>
    <cellStyle name="Normal 7 5 4 2 3" xfId="22322"/>
    <cellStyle name="Normal 7 5 4 2 4" xfId="27979"/>
    <cellStyle name="Normal 7 5 4 3" xfId="5907"/>
    <cellStyle name="Normal 7 5 4 3 2" xfId="7027"/>
    <cellStyle name="Normal 7 5 4 3 2 2" xfId="22325"/>
    <cellStyle name="Normal 7 5 4 3 2 3" xfId="27982"/>
    <cellStyle name="Normal 7 5 4 3 3" xfId="22324"/>
    <cellStyle name="Normal 7 5 4 3 4" xfId="27981"/>
    <cellStyle name="Normal 7 5 4 4" xfId="5026"/>
    <cellStyle name="Normal 7 5 4 4 2" xfId="7028"/>
    <cellStyle name="Normal 7 5 4 4 2 2" xfId="27984"/>
    <cellStyle name="Normal 7 5 4 4 3" xfId="22326"/>
    <cellStyle name="Normal 7 5 4 4 4" xfId="27983"/>
    <cellStyle name="Normal 7 5 4 5" xfId="22321"/>
    <cellStyle name="Normal 7 5 5" xfId="5590"/>
    <cellStyle name="Normal 7 5 5 2" xfId="7029"/>
    <cellStyle name="Normal 7 5 5 2 2" xfId="22328"/>
    <cellStyle name="Normal 7 5 5 2 3" xfId="27986"/>
    <cellStyle name="Normal 7 5 5 3" xfId="22327"/>
    <cellStyle name="Normal 7 5 5 4" xfId="27985"/>
    <cellStyle name="Normal 7 5 6" xfId="5900"/>
    <cellStyle name="Normal 7 5 6 2" xfId="7030"/>
    <cellStyle name="Normal 7 5 6 2 2" xfId="22330"/>
    <cellStyle name="Normal 7 5 6 2 3" xfId="27988"/>
    <cellStyle name="Normal 7 5 6 3" xfId="22329"/>
    <cellStyle name="Normal 7 5 6 4" xfId="27987"/>
    <cellStyle name="Normal 7 5 7" xfId="5019"/>
    <cellStyle name="Normal 7 5 7 2" xfId="7031"/>
    <cellStyle name="Normal 7 5 7 2 2" xfId="27990"/>
    <cellStyle name="Normal 7 5 7 3" xfId="22331"/>
    <cellStyle name="Normal 7 5 7 4" xfId="27989"/>
    <cellStyle name="Normal 7 5 8" xfId="22284"/>
    <cellStyle name="Normal 7 5 9" xfId="24812"/>
    <cellStyle name="Normal 7 5 9 2" xfId="27991"/>
    <cellStyle name="Normal 7 6" xfId="1076"/>
    <cellStyle name="Normal 7 6 2" xfId="3815"/>
    <cellStyle name="Normal 7 6 2 10" xfId="27992"/>
    <cellStyle name="Normal 7 6 2 2" xfId="4220"/>
    <cellStyle name="Normal 7 6 2 2 2" xfId="5030"/>
    <cellStyle name="Normal 7 6 2 2 2 2" xfId="5601"/>
    <cellStyle name="Normal 7 6 2 2 2 2 2" xfId="7035"/>
    <cellStyle name="Normal 7 6 2 2 2 2 2 2" xfId="22337"/>
    <cellStyle name="Normal 7 6 2 2 2 2 2 3" xfId="27996"/>
    <cellStyle name="Normal 7 6 2 2 2 2 3" xfId="22336"/>
    <cellStyle name="Normal 7 6 2 2 2 2 4" xfId="27995"/>
    <cellStyle name="Normal 7 6 2 2 2 3" xfId="5911"/>
    <cellStyle name="Normal 7 6 2 2 2 3 2" xfId="7036"/>
    <cellStyle name="Normal 7 6 2 2 2 3 2 2" xfId="22339"/>
    <cellStyle name="Normal 7 6 2 2 2 3 2 3" xfId="27998"/>
    <cellStyle name="Normal 7 6 2 2 2 3 3" xfId="22338"/>
    <cellStyle name="Normal 7 6 2 2 2 3 4" xfId="27997"/>
    <cellStyle name="Normal 7 6 2 2 2 4" xfId="7034"/>
    <cellStyle name="Normal 7 6 2 2 2 4 2" xfId="22340"/>
    <cellStyle name="Normal 7 6 2 2 2 4 3" xfId="27999"/>
    <cellStyle name="Normal 7 6 2 2 2 5" xfId="22335"/>
    <cellStyle name="Normal 7 6 2 2 2 6" xfId="27994"/>
    <cellStyle name="Normal 7 6 2 2 3" xfId="5600"/>
    <cellStyle name="Normal 7 6 2 2 3 2" xfId="7037"/>
    <cellStyle name="Normal 7 6 2 2 3 2 2" xfId="22342"/>
    <cellStyle name="Normal 7 6 2 2 3 2 3" xfId="28001"/>
    <cellStyle name="Normal 7 6 2 2 3 3" xfId="22341"/>
    <cellStyle name="Normal 7 6 2 2 3 4" xfId="28000"/>
    <cellStyle name="Normal 7 6 2 2 4" xfId="5910"/>
    <cellStyle name="Normal 7 6 2 2 4 2" xfId="7038"/>
    <cellStyle name="Normal 7 6 2 2 4 2 2" xfId="22344"/>
    <cellStyle name="Normal 7 6 2 2 4 2 3" xfId="28003"/>
    <cellStyle name="Normal 7 6 2 2 4 3" xfId="22343"/>
    <cellStyle name="Normal 7 6 2 2 4 4" xfId="28002"/>
    <cellStyle name="Normal 7 6 2 2 5" xfId="5029"/>
    <cellStyle name="Normal 7 6 2 2 5 2" xfId="7039"/>
    <cellStyle name="Normal 7 6 2 2 5 2 2" xfId="28005"/>
    <cellStyle name="Normal 7 6 2 2 5 3" xfId="22345"/>
    <cellStyle name="Normal 7 6 2 2 5 4" xfId="28004"/>
    <cellStyle name="Normal 7 6 2 2 6" xfId="7033"/>
    <cellStyle name="Normal 7 6 2 2 6 2" xfId="28006"/>
    <cellStyle name="Normal 7 6 2 2 7" xfId="22334"/>
    <cellStyle name="Normal 7 6 2 2 8" xfId="25072"/>
    <cellStyle name="Normal 7 6 2 2 9" xfId="27993"/>
    <cellStyle name="Normal 7 6 2 3" xfId="5031"/>
    <cellStyle name="Normal 7 6 2 3 2" xfId="5602"/>
    <cellStyle name="Normal 7 6 2 3 2 2" xfId="7041"/>
    <cellStyle name="Normal 7 6 2 3 2 2 2" xfId="22348"/>
    <cellStyle name="Normal 7 6 2 3 2 2 3" xfId="28009"/>
    <cellStyle name="Normal 7 6 2 3 2 3" xfId="22347"/>
    <cellStyle name="Normal 7 6 2 3 2 4" xfId="28008"/>
    <cellStyle name="Normal 7 6 2 3 3" xfId="5912"/>
    <cellStyle name="Normal 7 6 2 3 3 2" xfId="7042"/>
    <cellStyle name="Normal 7 6 2 3 3 2 2" xfId="22350"/>
    <cellStyle name="Normal 7 6 2 3 3 2 3" xfId="28011"/>
    <cellStyle name="Normal 7 6 2 3 3 3" xfId="22349"/>
    <cellStyle name="Normal 7 6 2 3 3 4" xfId="28010"/>
    <cellStyle name="Normal 7 6 2 3 4" xfId="7040"/>
    <cellStyle name="Normal 7 6 2 3 4 2" xfId="22351"/>
    <cellStyle name="Normal 7 6 2 3 4 3" xfId="28012"/>
    <cellStyle name="Normal 7 6 2 3 5" xfId="22346"/>
    <cellStyle name="Normal 7 6 2 3 6" xfId="28007"/>
    <cellStyle name="Normal 7 6 2 4" xfId="5599"/>
    <cellStyle name="Normal 7 6 2 4 2" xfId="7043"/>
    <cellStyle name="Normal 7 6 2 4 2 2" xfId="22353"/>
    <cellStyle name="Normal 7 6 2 4 2 3" xfId="28014"/>
    <cellStyle name="Normal 7 6 2 4 3" xfId="22352"/>
    <cellStyle name="Normal 7 6 2 4 4" xfId="28013"/>
    <cellStyle name="Normal 7 6 2 5" xfId="5909"/>
    <cellStyle name="Normal 7 6 2 5 2" xfId="7044"/>
    <cellStyle name="Normal 7 6 2 5 2 2" xfId="22355"/>
    <cellStyle name="Normal 7 6 2 5 2 3" xfId="28016"/>
    <cellStyle name="Normal 7 6 2 5 3" xfId="22354"/>
    <cellStyle name="Normal 7 6 2 5 4" xfId="28015"/>
    <cellStyle name="Normal 7 6 2 6" xfId="5028"/>
    <cellStyle name="Normal 7 6 2 6 2" xfId="7045"/>
    <cellStyle name="Normal 7 6 2 6 2 2" xfId="28018"/>
    <cellStyle name="Normal 7 6 2 6 3" xfId="22356"/>
    <cellStyle name="Normal 7 6 2 6 4" xfId="28017"/>
    <cellStyle name="Normal 7 6 2 7" xfId="7032"/>
    <cellStyle name="Normal 7 6 2 7 2" xfId="28019"/>
    <cellStyle name="Normal 7 6 2 8" xfId="22333"/>
    <cellStyle name="Normal 7 6 2 9" xfId="24952"/>
    <cellStyle name="Normal 7 6 3" xfId="3537"/>
    <cellStyle name="Normal 7 6 3 2" xfId="4199"/>
    <cellStyle name="Normal 7 6 3 2 2" xfId="5604"/>
    <cellStyle name="Normal 7 6 3 2 2 2" xfId="7048"/>
    <cellStyle name="Normal 7 6 3 2 2 2 2" xfId="22360"/>
    <cellStyle name="Normal 7 6 3 2 2 2 3" xfId="28023"/>
    <cellStyle name="Normal 7 6 3 2 2 3" xfId="22359"/>
    <cellStyle name="Normal 7 6 3 2 2 4" xfId="28022"/>
    <cellStyle name="Normal 7 6 3 2 3" xfId="5914"/>
    <cellStyle name="Normal 7 6 3 2 3 2" xfId="7049"/>
    <cellStyle name="Normal 7 6 3 2 3 2 2" xfId="22362"/>
    <cellStyle name="Normal 7 6 3 2 3 2 3" xfId="28025"/>
    <cellStyle name="Normal 7 6 3 2 3 3" xfId="22361"/>
    <cellStyle name="Normal 7 6 3 2 3 4" xfId="28024"/>
    <cellStyle name="Normal 7 6 3 2 4" xfId="5033"/>
    <cellStyle name="Normal 7 6 3 2 4 2" xfId="7050"/>
    <cellStyle name="Normal 7 6 3 2 4 2 2" xfId="28027"/>
    <cellStyle name="Normal 7 6 3 2 4 3" xfId="22363"/>
    <cellStyle name="Normal 7 6 3 2 4 4" xfId="28026"/>
    <cellStyle name="Normal 7 6 3 2 5" xfId="7047"/>
    <cellStyle name="Normal 7 6 3 2 5 2" xfId="28028"/>
    <cellStyle name="Normal 7 6 3 2 6" xfId="22358"/>
    <cellStyle name="Normal 7 6 3 2 7" xfId="25051"/>
    <cellStyle name="Normal 7 6 3 2 8" xfId="28021"/>
    <cellStyle name="Normal 7 6 3 3" xfId="5603"/>
    <cellStyle name="Normal 7 6 3 3 2" xfId="7051"/>
    <cellStyle name="Normal 7 6 3 3 2 2" xfId="22365"/>
    <cellStyle name="Normal 7 6 3 3 2 3" xfId="28030"/>
    <cellStyle name="Normal 7 6 3 3 3" xfId="22364"/>
    <cellStyle name="Normal 7 6 3 3 4" xfId="28029"/>
    <cellStyle name="Normal 7 6 3 4" xfId="5913"/>
    <cellStyle name="Normal 7 6 3 4 2" xfId="7052"/>
    <cellStyle name="Normal 7 6 3 4 2 2" xfId="22367"/>
    <cellStyle name="Normal 7 6 3 4 2 3" xfId="28032"/>
    <cellStyle name="Normal 7 6 3 4 3" xfId="22366"/>
    <cellStyle name="Normal 7 6 3 4 4" xfId="28031"/>
    <cellStyle name="Normal 7 6 3 5" xfId="5032"/>
    <cellStyle name="Normal 7 6 3 5 2" xfId="7053"/>
    <cellStyle name="Normal 7 6 3 5 2 2" xfId="28034"/>
    <cellStyle name="Normal 7 6 3 5 3" xfId="22368"/>
    <cellStyle name="Normal 7 6 3 5 4" xfId="28033"/>
    <cellStyle name="Normal 7 6 3 6" xfId="7046"/>
    <cellStyle name="Normal 7 6 3 6 2" xfId="28035"/>
    <cellStyle name="Normal 7 6 3 7" xfId="22357"/>
    <cellStyle name="Normal 7 6 3 8" xfId="24931"/>
    <cellStyle name="Normal 7 6 3 9" xfId="28020"/>
    <cellStyle name="Normal 7 6 4" xfId="3946"/>
    <cellStyle name="Normal 7 6 4 2" xfId="5605"/>
    <cellStyle name="Normal 7 6 4 2 2" xfId="7054"/>
    <cellStyle name="Normal 7 6 4 2 2 2" xfId="22371"/>
    <cellStyle name="Normal 7 6 4 2 2 3" xfId="28037"/>
    <cellStyle name="Normal 7 6 4 2 3" xfId="22370"/>
    <cellStyle name="Normal 7 6 4 2 4" xfId="28036"/>
    <cellStyle name="Normal 7 6 4 3" xfId="5915"/>
    <cellStyle name="Normal 7 6 4 3 2" xfId="7055"/>
    <cellStyle name="Normal 7 6 4 3 2 2" xfId="22373"/>
    <cellStyle name="Normal 7 6 4 3 2 3" xfId="28039"/>
    <cellStyle name="Normal 7 6 4 3 3" xfId="22372"/>
    <cellStyle name="Normal 7 6 4 3 4" xfId="28038"/>
    <cellStyle name="Normal 7 6 4 4" xfId="5034"/>
    <cellStyle name="Normal 7 6 4 4 2" xfId="7056"/>
    <cellStyle name="Normal 7 6 4 4 2 2" xfId="28041"/>
    <cellStyle name="Normal 7 6 4 4 3" xfId="22374"/>
    <cellStyle name="Normal 7 6 4 4 4" xfId="28040"/>
    <cellStyle name="Normal 7 6 4 5" xfId="22369"/>
    <cellStyle name="Normal 7 6 5" xfId="5598"/>
    <cellStyle name="Normal 7 6 5 2" xfId="7057"/>
    <cellStyle name="Normal 7 6 5 2 2" xfId="22376"/>
    <cellStyle name="Normal 7 6 5 2 3" xfId="28043"/>
    <cellStyle name="Normal 7 6 5 3" xfId="22375"/>
    <cellStyle name="Normal 7 6 5 4" xfId="28042"/>
    <cellStyle name="Normal 7 6 6" xfId="5908"/>
    <cellStyle name="Normal 7 6 6 2" xfId="7058"/>
    <cellStyle name="Normal 7 6 6 2 2" xfId="22378"/>
    <cellStyle name="Normal 7 6 6 2 3" xfId="28045"/>
    <cellStyle name="Normal 7 6 6 3" xfId="22377"/>
    <cellStyle name="Normal 7 6 6 4" xfId="28044"/>
    <cellStyle name="Normal 7 6 7" xfId="5027"/>
    <cellStyle name="Normal 7 6 7 2" xfId="7059"/>
    <cellStyle name="Normal 7 6 7 2 2" xfId="28047"/>
    <cellStyle name="Normal 7 6 7 3" xfId="22379"/>
    <cellStyle name="Normal 7 6 7 4" xfId="28046"/>
    <cellStyle name="Normal 7 6 8" xfId="22332"/>
    <cellStyle name="Normal 7 6 9" xfId="24813"/>
    <cellStyle name="Normal 7 7" xfId="1086"/>
    <cellStyle name="Normal 7 7 2" xfId="3674"/>
    <cellStyle name="Normal 7 7 2 2" xfId="4205"/>
    <cellStyle name="Normal 7 7 2 2 2" xfId="5608"/>
    <cellStyle name="Normal 7 7 2 2 2 2" xfId="7062"/>
    <cellStyle name="Normal 7 7 2 2 2 2 2" xfId="22384"/>
    <cellStyle name="Normal 7 7 2 2 2 2 3" xfId="28051"/>
    <cellStyle name="Normal 7 7 2 2 2 3" xfId="22383"/>
    <cellStyle name="Normal 7 7 2 2 2 4" xfId="28050"/>
    <cellStyle name="Normal 7 7 2 2 3" xfId="5918"/>
    <cellStyle name="Normal 7 7 2 2 3 2" xfId="7063"/>
    <cellStyle name="Normal 7 7 2 2 3 2 2" xfId="22386"/>
    <cellStyle name="Normal 7 7 2 2 3 2 3" xfId="28053"/>
    <cellStyle name="Normal 7 7 2 2 3 3" xfId="22385"/>
    <cellStyle name="Normal 7 7 2 2 3 4" xfId="28052"/>
    <cellStyle name="Normal 7 7 2 2 4" xfId="5037"/>
    <cellStyle name="Normal 7 7 2 2 4 2" xfId="7064"/>
    <cellStyle name="Normal 7 7 2 2 4 2 2" xfId="28055"/>
    <cellStyle name="Normal 7 7 2 2 4 3" xfId="22387"/>
    <cellStyle name="Normal 7 7 2 2 4 4" xfId="28054"/>
    <cellStyle name="Normal 7 7 2 2 5" xfId="7061"/>
    <cellStyle name="Normal 7 7 2 2 5 2" xfId="28056"/>
    <cellStyle name="Normal 7 7 2 2 6" xfId="22382"/>
    <cellStyle name="Normal 7 7 2 2 7" xfId="25057"/>
    <cellStyle name="Normal 7 7 2 2 8" xfId="28049"/>
    <cellStyle name="Normal 7 7 2 3" xfId="5607"/>
    <cellStyle name="Normal 7 7 2 3 2" xfId="7065"/>
    <cellStyle name="Normal 7 7 2 3 2 2" xfId="22389"/>
    <cellStyle name="Normal 7 7 2 3 2 3" xfId="28058"/>
    <cellStyle name="Normal 7 7 2 3 3" xfId="22388"/>
    <cellStyle name="Normal 7 7 2 3 4" xfId="28057"/>
    <cellStyle name="Normal 7 7 2 4" xfId="5917"/>
    <cellStyle name="Normal 7 7 2 4 2" xfId="7066"/>
    <cellStyle name="Normal 7 7 2 4 2 2" xfId="22391"/>
    <cellStyle name="Normal 7 7 2 4 2 3" xfId="28060"/>
    <cellStyle name="Normal 7 7 2 4 3" xfId="22390"/>
    <cellStyle name="Normal 7 7 2 4 4" xfId="28059"/>
    <cellStyle name="Normal 7 7 2 5" xfId="5036"/>
    <cellStyle name="Normal 7 7 2 5 2" xfId="7067"/>
    <cellStyle name="Normal 7 7 2 5 2 2" xfId="28062"/>
    <cellStyle name="Normal 7 7 2 5 3" xfId="22392"/>
    <cellStyle name="Normal 7 7 2 5 4" xfId="28061"/>
    <cellStyle name="Normal 7 7 2 6" xfId="7060"/>
    <cellStyle name="Normal 7 7 2 6 2" xfId="28063"/>
    <cellStyle name="Normal 7 7 2 7" xfId="22381"/>
    <cellStyle name="Normal 7 7 2 8" xfId="24937"/>
    <cellStyle name="Normal 7 7 2 9" xfId="28048"/>
    <cellStyle name="Normal 7 7 3" xfId="3956"/>
    <cellStyle name="Normal 7 7 3 2" xfId="5609"/>
    <cellStyle name="Normal 7 7 3 2 2" xfId="7068"/>
    <cellStyle name="Normal 7 7 3 2 2 2" xfId="22395"/>
    <cellStyle name="Normal 7 7 3 2 2 3" xfId="28065"/>
    <cellStyle name="Normal 7 7 3 2 3" xfId="22394"/>
    <cellStyle name="Normal 7 7 3 2 4" xfId="28064"/>
    <cellStyle name="Normal 7 7 3 3" xfId="5919"/>
    <cellStyle name="Normal 7 7 3 3 2" xfId="7069"/>
    <cellStyle name="Normal 7 7 3 3 2 2" xfId="22397"/>
    <cellStyle name="Normal 7 7 3 3 2 3" xfId="28067"/>
    <cellStyle name="Normal 7 7 3 3 3" xfId="22396"/>
    <cellStyle name="Normal 7 7 3 3 4" xfId="28066"/>
    <cellStyle name="Normal 7 7 3 4" xfId="5038"/>
    <cellStyle name="Normal 7 7 3 4 2" xfId="7070"/>
    <cellStyle name="Normal 7 7 3 4 2 2" xfId="28069"/>
    <cellStyle name="Normal 7 7 3 4 3" xfId="22398"/>
    <cellStyle name="Normal 7 7 3 4 4" xfId="28068"/>
    <cellStyle name="Normal 7 7 3 5" xfId="22393"/>
    <cellStyle name="Normal 7 7 4" xfId="5606"/>
    <cellStyle name="Normal 7 7 4 2" xfId="7071"/>
    <cellStyle name="Normal 7 7 4 2 2" xfId="22400"/>
    <cellStyle name="Normal 7 7 4 2 3" xfId="28071"/>
    <cellStyle name="Normal 7 7 4 3" xfId="22399"/>
    <cellStyle name="Normal 7 7 4 4" xfId="28070"/>
    <cellStyle name="Normal 7 7 5" xfId="5916"/>
    <cellStyle name="Normal 7 7 5 2" xfId="7072"/>
    <cellStyle name="Normal 7 7 5 2 2" xfId="22402"/>
    <cellStyle name="Normal 7 7 5 2 3" xfId="28073"/>
    <cellStyle name="Normal 7 7 5 3" xfId="22401"/>
    <cellStyle name="Normal 7 7 5 4" xfId="28072"/>
    <cellStyle name="Normal 7 7 6" xfId="5035"/>
    <cellStyle name="Normal 7 7 6 2" xfId="7073"/>
    <cellStyle name="Normal 7 7 6 2 2" xfId="28075"/>
    <cellStyle name="Normal 7 7 6 3" xfId="22403"/>
    <cellStyle name="Normal 7 7 6 4" xfId="28074"/>
    <cellStyle name="Normal 7 7 7" xfId="22380"/>
    <cellStyle name="Normal 7 7 8" xfId="24814"/>
    <cellStyle name="Normal 7 7 8 2" xfId="28076"/>
    <cellStyle name="Normal 7 8" xfId="1096"/>
    <cellStyle name="Normal 7 8 2" xfId="3966"/>
    <cellStyle name="Normal 7 8 2 2" xfId="5611"/>
    <cellStyle name="Normal 7 8 2 2 2" xfId="7074"/>
    <cellStyle name="Normal 7 8 2 2 2 2" xfId="22407"/>
    <cellStyle name="Normal 7 8 2 2 2 3" xfId="28078"/>
    <cellStyle name="Normal 7 8 2 2 3" xfId="22406"/>
    <cellStyle name="Normal 7 8 2 2 4" xfId="28077"/>
    <cellStyle name="Normal 7 8 2 3" xfId="5921"/>
    <cellStyle name="Normal 7 8 2 3 2" xfId="7075"/>
    <cellStyle name="Normal 7 8 2 3 2 2" xfId="22409"/>
    <cellStyle name="Normal 7 8 2 3 2 3" xfId="28080"/>
    <cellStyle name="Normal 7 8 2 3 3" xfId="22408"/>
    <cellStyle name="Normal 7 8 2 3 4" xfId="28079"/>
    <cellStyle name="Normal 7 8 2 4" xfId="5040"/>
    <cellStyle name="Normal 7 8 2 4 2" xfId="7076"/>
    <cellStyle name="Normal 7 8 2 4 2 2" xfId="28082"/>
    <cellStyle name="Normal 7 8 2 4 3" xfId="22410"/>
    <cellStyle name="Normal 7 8 2 4 4" xfId="28081"/>
    <cellStyle name="Normal 7 8 2 5" xfId="22405"/>
    <cellStyle name="Normal 7 8 3" xfId="5041"/>
    <cellStyle name="Normal 7 8 3 2" xfId="5612"/>
    <cellStyle name="Normal 7 8 3 2 2" xfId="7078"/>
    <cellStyle name="Normal 7 8 3 2 2 2" xfId="28085"/>
    <cellStyle name="Normal 7 8 3 2 3" xfId="22412"/>
    <cellStyle name="Normal 7 8 3 2 4" xfId="28084"/>
    <cellStyle name="Normal 7 8 3 3" xfId="5922"/>
    <cellStyle name="Normal 7 8 3 3 2" xfId="7079"/>
    <cellStyle name="Normal 7 8 3 3 2 2" xfId="28087"/>
    <cellStyle name="Normal 7 8 3 3 3" xfId="28086"/>
    <cellStyle name="Normal 7 8 3 4" xfId="7077"/>
    <cellStyle name="Normal 7 8 3 4 2" xfId="28088"/>
    <cellStyle name="Normal 7 8 3 5" xfId="22411"/>
    <cellStyle name="Normal 7 8 3 6" xfId="28083"/>
    <cellStyle name="Normal 7 8 4" xfId="5610"/>
    <cellStyle name="Normal 7 8 4 2" xfId="7080"/>
    <cellStyle name="Normal 7 8 4 2 2" xfId="22414"/>
    <cellStyle name="Normal 7 8 4 2 3" xfId="28090"/>
    <cellStyle name="Normal 7 8 4 3" xfId="22413"/>
    <cellStyle name="Normal 7 8 4 4" xfId="28089"/>
    <cellStyle name="Normal 7 8 5" xfId="5920"/>
    <cellStyle name="Normal 7 8 5 2" xfId="7081"/>
    <cellStyle name="Normal 7 8 5 2 2" xfId="28092"/>
    <cellStyle name="Normal 7 8 5 3" xfId="22415"/>
    <cellStyle name="Normal 7 8 5 4" xfId="28091"/>
    <cellStyle name="Normal 7 8 6" xfId="5039"/>
    <cellStyle name="Normal 7 8 6 2" xfId="7082"/>
    <cellStyle name="Normal 7 8 6 2 2" xfId="28094"/>
    <cellStyle name="Normal 7 8 6 3" xfId="28093"/>
    <cellStyle name="Normal 7 8 7" xfId="22404"/>
    <cellStyle name="Normal 7 9" xfId="1106"/>
    <cellStyle name="Normal 7 9 2" xfId="3976"/>
    <cellStyle name="Normal 7 9 2 2" xfId="5613"/>
    <cellStyle name="Normal 7 9 2 2 2" xfId="7083"/>
    <cellStyle name="Normal 7 9 2 2 2 2" xfId="22419"/>
    <cellStyle name="Normal 7 9 2 2 2 3" xfId="28096"/>
    <cellStyle name="Normal 7 9 2 2 3" xfId="22418"/>
    <cellStyle name="Normal 7 9 2 2 4" xfId="28095"/>
    <cellStyle name="Normal 7 9 2 3" xfId="22420"/>
    <cellStyle name="Normal 7 9 2 3 2" xfId="22421"/>
    <cellStyle name="Normal 7 9 2 4" xfId="22422"/>
    <cellStyle name="Normal 7 9 2 5" xfId="22417"/>
    <cellStyle name="Normal 7 9 3" xfId="5923"/>
    <cellStyle name="Normal 7 9 3 2" xfId="7084"/>
    <cellStyle name="Normal 7 9 3 2 2" xfId="22424"/>
    <cellStyle name="Normal 7 9 3 2 3" xfId="28098"/>
    <cellStyle name="Normal 7 9 3 3" xfId="22423"/>
    <cellStyle name="Normal 7 9 3 4" xfId="28097"/>
    <cellStyle name="Normal 7 9 4" xfId="5042"/>
    <cellStyle name="Normal 7 9 4 2" xfId="7085"/>
    <cellStyle name="Normal 7 9 4 2 2" xfId="22426"/>
    <cellStyle name="Normal 7 9 4 2 3" xfId="28100"/>
    <cellStyle name="Normal 7 9 4 3" xfId="22425"/>
    <cellStyle name="Normal 7 9 4 4" xfId="28099"/>
    <cellStyle name="Normal 7 9 5" xfId="22427"/>
    <cellStyle name="Normal 7 9 6" xfId="22416"/>
    <cellStyle name="Normal 8" xfId="907"/>
    <cellStyle name="Normal 8 10" xfId="1123"/>
    <cellStyle name="Normal 8 10 2" xfId="3993"/>
    <cellStyle name="Normal 8 11" xfId="1133"/>
    <cellStyle name="Normal 8 11 2" xfId="4003"/>
    <cellStyle name="Normal 8 12" xfId="1143"/>
    <cellStyle name="Normal 8 12 2" xfId="4013"/>
    <cellStyle name="Normal 8 13" xfId="1153"/>
    <cellStyle name="Normal 8 13 2" xfId="4023"/>
    <cellStyle name="Normal 8 14" xfId="1163"/>
    <cellStyle name="Normal 8 14 2" xfId="4033"/>
    <cellStyle name="Normal 8 15" xfId="1173"/>
    <cellStyle name="Normal 8 15 2" xfId="4043"/>
    <cellStyle name="Normal 8 16" xfId="1183"/>
    <cellStyle name="Normal 8 16 2" xfId="4053"/>
    <cellStyle name="Normal 8 17" xfId="1193"/>
    <cellStyle name="Normal 8 17 2" xfId="4063"/>
    <cellStyle name="Normal 8 18" xfId="1203"/>
    <cellStyle name="Normal 8 18 2" xfId="4073"/>
    <cellStyle name="Normal 8 19" xfId="1213"/>
    <cellStyle name="Normal 8 19 2" xfId="4083"/>
    <cellStyle name="Normal 8 2" xfId="1041"/>
    <cellStyle name="Normal 8 2 2" xfId="1447"/>
    <cellStyle name="Normal 8 2 2 2" xfId="24815"/>
    <cellStyle name="Normal 8 2 2 2 2" xfId="28101"/>
    <cellStyle name="Normal 8 2 3" xfId="3908"/>
    <cellStyle name="Normal 8 2 3 2" xfId="24816"/>
    <cellStyle name="Normal 8 2 3 2 2" xfId="28102"/>
    <cellStyle name="Normal 8 2 4" xfId="24817"/>
    <cellStyle name="Normal 8 2 4 2" xfId="28103"/>
    <cellStyle name="Normal 8 2 5" xfId="24818"/>
    <cellStyle name="Normal 8 2 6" xfId="24819"/>
    <cellStyle name="Normal 8 2 6 2" xfId="28104"/>
    <cellStyle name="Normal 8 2 7" xfId="24549"/>
    <cellStyle name="Normal 8 20" xfId="1223"/>
    <cellStyle name="Normal 8 20 2" xfId="4093"/>
    <cellStyle name="Normal 8 21" xfId="1233"/>
    <cellStyle name="Normal 8 21 2" xfId="4103"/>
    <cellStyle name="Normal 8 22" xfId="1243"/>
    <cellStyle name="Normal 8 22 2" xfId="4113"/>
    <cellStyle name="Normal 8 23" xfId="1253"/>
    <cellStyle name="Normal 8 23 2" xfId="4123"/>
    <cellStyle name="Normal 8 24" xfId="1262"/>
    <cellStyle name="Normal 8 24 2" xfId="4132"/>
    <cellStyle name="Normal 8 25" xfId="1269"/>
    <cellStyle name="Normal 8 25 2" xfId="4139"/>
    <cellStyle name="Normal 8 26" xfId="24548"/>
    <cellStyle name="Normal 8 3" xfId="1053"/>
    <cellStyle name="Normal 8 3 2" xfId="1574"/>
    <cellStyle name="Normal 8 3 3" xfId="3923"/>
    <cellStyle name="Normal 8 3 4" xfId="24820"/>
    <cellStyle name="Normal 8 3 4 2" xfId="28105"/>
    <cellStyle name="Normal 8 4" xfId="1063"/>
    <cellStyle name="Normal 8 4 2" xfId="3538"/>
    <cellStyle name="Normal 8 4 3" xfId="3933"/>
    <cellStyle name="Normal 8 4 4" xfId="24821"/>
    <cellStyle name="Normal 8 4 4 2" xfId="28106"/>
    <cellStyle name="Normal 8 5" xfId="1073"/>
    <cellStyle name="Normal 8 5 2" xfId="3943"/>
    <cellStyle name="Normal 8 5 2 2" xfId="22429"/>
    <cellStyle name="Normal 8 5 2 3" xfId="22428"/>
    <cellStyle name="Normal 8 5 3" xfId="5043"/>
    <cellStyle name="Normal 8 5 4" xfId="24822"/>
    <cellStyle name="Normal 8 5 4 2" xfId="28107"/>
    <cellStyle name="Normal 8 6" xfId="1083"/>
    <cellStyle name="Normal 8 6 2" xfId="3953"/>
    <cellStyle name="Normal 8 6 2 2" xfId="22432"/>
    <cellStyle name="Normal 8 6 2 2 2" xfId="22433"/>
    <cellStyle name="Normal 8 6 2 3" xfId="22434"/>
    <cellStyle name="Normal 8 6 2 3 2" xfId="22435"/>
    <cellStyle name="Normal 8 6 2 4" xfId="22436"/>
    <cellStyle name="Normal 8 6 2 5" xfId="22431"/>
    <cellStyle name="Normal 8 6 3" xfId="22437"/>
    <cellStyle name="Normal 8 6 3 2" xfId="22438"/>
    <cellStyle name="Normal 8 6 4" xfId="22439"/>
    <cellStyle name="Normal 8 6 4 2" xfId="22440"/>
    <cellStyle name="Normal 8 6 5" xfId="22441"/>
    <cellStyle name="Normal 8 6 6" xfId="22430"/>
    <cellStyle name="Normal 8 6 7" xfId="24823"/>
    <cellStyle name="Normal 8 7" xfId="1093"/>
    <cellStyle name="Normal 8 7 2" xfId="3963"/>
    <cellStyle name="Normal 8 7 3" xfId="24824"/>
    <cellStyle name="Normal 8 7 3 2" xfId="28108"/>
    <cellStyle name="Normal 8 8" xfId="1103"/>
    <cellStyle name="Normal 8 8 2" xfId="3973"/>
    <cellStyle name="Normal 8 9" xfId="1113"/>
    <cellStyle name="Normal 8 9 2" xfId="3983"/>
    <cellStyle name="Normal 9" xfId="908"/>
    <cellStyle name="Normal 9 10" xfId="1125"/>
    <cellStyle name="Normal 9 10 2" xfId="3995"/>
    <cellStyle name="Normal 9 11" xfId="1135"/>
    <cellStyle name="Normal 9 11 2" xfId="4005"/>
    <cellStyle name="Normal 9 12" xfId="1145"/>
    <cellStyle name="Normal 9 12 2" xfId="4015"/>
    <cellStyle name="Normal 9 13" xfId="1154"/>
    <cellStyle name="Normal 9 13 2" xfId="4024"/>
    <cellStyle name="Normal 9 14" xfId="1165"/>
    <cellStyle name="Normal 9 14 2" xfId="4035"/>
    <cellStyle name="Normal 9 15" xfId="1175"/>
    <cellStyle name="Normal 9 15 2" xfId="4045"/>
    <cellStyle name="Normal 9 16" xfId="1185"/>
    <cellStyle name="Normal 9 16 2" xfId="4055"/>
    <cellStyle name="Normal 9 17" xfId="1195"/>
    <cellStyle name="Normal 9 17 2" xfId="4065"/>
    <cellStyle name="Normal 9 18" xfId="1205"/>
    <cellStyle name="Normal 9 18 2" xfId="4075"/>
    <cellStyle name="Normal 9 19" xfId="1215"/>
    <cellStyle name="Normal 9 19 2" xfId="4085"/>
    <cellStyle name="Normal 9 2" xfId="1042"/>
    <cellStyle name="Normal 9 2 2" xfId="1492"/>
    <cellStyle name="Normal 9 2 2 2" xfId="22442"/>
    <cellStyle name="Normal 9 2 3" xfId="3910"/>
    <cellStyle name="Normal 9 2 4" xfId="24825"/>
    <cellStyle name="Normal 9 2 4 2" xfId="28109"/>
    <cellStyle name="Normal 9 20" xfId="1225"/>
    <cellStyle name="Normal 9 20 2" xfId="4095"/>
    <cellStyle name="Normal 9 21" xfId="1235"/>
    <cellStyle name="Normal 9 21 2" xfId="4105"/>
    <cellStyle name="Normal 9 22" xfId="1245"/>
    <cellStyle name="Normal 9 22 2" xfId="4115"/>
    <cellStyle name="Normal 9 23" xfId="1255"/>
    <cellStyle name="Normal 9 23 2" xfId="4125"/>
    <cellStyle name="Normal 9 24" xfId="1264"/>
    <cellStyle name="Normal 9 24 2" xfId="4134"/>
    <cellStyle name="Normal 9 25" xfId="1270"/>
    <cellStyle name="Normal 9 25 2" xfId="4140"/>
    <cellStyle name="Normal 9 26" xfId="24550"/>
    <cellStyle name="Normal 9 26 2" xfId="28110"/>
    <cellStyle name="Normal 9 3" xfId="1055"/>
    <cellStyle name="Normal 9 3 2" xfId="1617"/>
    <cellStyle name="Normal 9 3 2 2" xfId="22443"/>
    <cellStyle name="Normal 9 3 3" xfId="3925"/>
    <cellStyle name="Normal 9 3 4" xfId="24826"/>
    <cellStyle name="Normal 9 3 4 2" xfId="28111"/>
    <cellStyle name="Normal 9 4" xfId="1065"/>
    <cellStyle name="Normal 9 4 2" xfId="3581"/>
    <cellStyle name="Normal 9 4 2 2" xfId="22444"/>
    <cellStyle name="Normal 9 4 3" xfId="3935"/>
    <cellStyle name="Normal 9 4 4" xfId="24827"/>
    <cellStyle name="Normal 9 4 4 2" xfId="28112"/>
    <cellStyle name="Normal 9 5" xfId="1075"/>
    <cellStyle name="Normal 9 5 2" xfId="3945"/>
    <cellStyle name="Normal 9 5 2 2" xfId="22446"/>
    <cellStyle name="Normal 9 5 2 3" xfId="22445"/>
    <cellStyle name="Normal 9 5 3" xfId="5044"/>
    <cellStyle name="Normal 9 6" xfId="1085"/>
    <cellStyle name="Normal 9 6 2" xfId="3955"/>
    <cellStyle name="Normal 9 6 2 2" xfId="22448"/>
    <cellStyle name="Normal 9 6 3" xfId="22447"/>
    <cellStyle name="Normal 9 7" xfId="1095"/>
    <cellStyle name="Normal 9 7 2" xfId="3965"/>
    <cellStyle name="Normal 9 8" xfId="1105"/>
    <cellStyle name="Normal 9 8 2" xfId="3975"/>
    <cellStyle name="Normal 9 9" xfId="1115"/>
    <cellStyle name="Normal 9 9 2" xfId="3985"/>
    <cellStyle name="Normal_ELTD1200" xfId="13"/>
    <cellStyle name="Normal_GSUs" xfId="14"/>
    <cellStyle name="Normal_Schedule 10" xfId="15"/>
    <cellStyle name="Normal_Schedule 7" xfId="16"/>
    <cellStyle name="Note 10" xfId="784"/>
    <cellStyle name="Note 10 2" xfId="22450"/>
    <cellStyle name="Note 10 2 2" xfId="22451"/>
    <cellStyle name="Note 10 2 2 2" xfId="22452"/>
    <cellStyle name="Note 10 2 2 2 2" xfId="22453"/>
    <cellStyle name="Note 10 2 2 3" xfId="22454"/>
    <cellStyle name="Note 10 2 2 3 2" xfId="22455"/>
    <cellStyle name="Note 10 2 2 4" xfId="22456"/>
    <cellStyle name="Note 10 2 3" xfId="22457"/>
    <cellStyle name="Note 10 2 3 2" xfId="22458"/>
    <cellStyle name="Note 10 2 4" xfId="22459"/>
    <cellStyle name="Note 10 2 4 2" xfId="22460"/>
    <cellStyle name="Note 10 2 5" xfId="22461"/>
    <cellStyle name="Note 10 3" xfId="22462"/>
    <cellStyle name="Note 10 4" xfId="22449"/>
    <cellStyle name="Note 11" xfId="785"/>
    <cellStyle name="Note 11 2" xfId="22464"/>
    <cellStyle name="Note 11 2 2" xfId="22465"/>
    <cellStyle name="Note 11 3" xfId="22466"/>
    <cellStyle name="Note 11 4" xfId="22463"/>
    <cellStyle name="Note 12" xfId="909"/>
    <cellStyle name="Note 12 2" xfId="22468"/>
    <cellStyle name="Note 12 2 2" xfId="22469"/>
    <cellStyle name="Note 12 2 2 2" xfId="22470"/>
    <cellStyle name="Note 12 2 3" xfId="22471"/>
    <cellStyle name="Note 12 2 3 2" xfId="22472"/>
    <cellStyle name="Note 12 2 4" xfId="22473"/>
    <cellStyle name="Note 12 3" xfId="22474"/>
    <cellStyle name="Note 12 3 2" xfId="22475"/>
    <cellStyle name="Note 12 4" xfId="22476"/>
    <cellStyle name="Note 12 4 2" xfId="22477"/>
    <cellStyle name="Note 12 5" xfId="22478"/>
    <cellStyle name="Note 12 6" xfId="22467"/>
    <cellStyle name="Note 13" xfId="910"/>
    <cellStyle name="Note 13 2" xfId="3857"/>
    <cellStyle name="Note 13 2 2" xfId="7087"/>
    <cellStyle name="Note 13 2 2 2" xfId="22482"/>
    <cellStyle name="Note 13 2 2 3" xfId="22481"/>
    <cellStyle name="Note 13 2 2 4" xfId="28115"/>
    <cellStyle name="Note 13 2 3" xfId="22483"/>
    <cellStyle name="Note 13 2 3 2" xfId="22484"/>
    <cellStyle name="Note 13 2 4" xfId="22485"/>
    <cellStyle name="Note 13 2 5" xfId="22480"/>
    <cellStyle name="Note 13 2 6" xfId="24993"/>
    <cellStyle name="Note 13 2 7" xfId="28114"/>
    <cellStyle name="Note 13 3" xfId="7086"/>
    <cellStyle name="Note 13 3 2" xfId="22487"/>
    <cellStyle name="Note 13 3 3" xfId="22486"/>
    <cellStyle name="Note 13 3 4" xfId="28116"/>
    <cellStyle name="Note 13 4" xfId="22488"/>
    <cellStyle name="Note 13 4 2" xfId="22489"/>
    <cellStyle name="Note 13 5" xfId="22490"/>
    <cellStyle name="Note 13 6" xfId="22479"/>
    <cellStyle name="Note 13 7" xfId="24872"/>
    <cellStyle name="Note 13 8" xfId="28113"/>
    <cellStyle name="Note 14" xfId="994"/>
    <cellStyle name="Note 2" xfId="105"/>
    <cellStyle name="Note 2 10" xfId="3530"/>
    <cellStyle name="Note 2 10 2" xfId="22493"/>
    <cellStyle name="Note 2 10 2 2" xfId="22494"/>
    <cellStyle name="Note 2 10 3" xfId="22495"/>
    <cellStyle name="Note 2 10 3 2" xfId="22496"/>
    <cellStyle name="Note 2 10 4" xfId="22497"/>
    <cellStyle name="Note 2 10 4 2" xfId="22498"/>
    <cellStyle name="Note 2 10 5" xfId="22499"/>
    <cellStyle name="Note 2 10 6" xfId="22492"/>
    <cellStyle name="Note 2 11" xfId="22500"/>
    <cellStyle name="Note 2 11 2" xfId="22501"/>
    <cellStyle name="Note 2 11 2 2" xfId="22502"/>
    <cellStyle name="Note 2 11 3" xfId="22503"/>
    <cellStyle name="Note 2 11 3 2" xfId="22504"/>
    <cellStyle name="Note 2 11 4" xfId="22505"/>
    <cellStyle name="Note 2 12" xfId="22506"/>
    <cellStyle name="Note 2 12 2" xfId="22507"/>
    <cellStyle name="Note 2 12 2 2" xfId="22508"/>
    <cellStyle name="Note 2 12 3" xfId="22509"/>
    <cellStyle name="Note 2 12 3 2" xfId="22510"/>
    <cellStyle name="Note 2 12 4" xfId="22511"/>
    <cellStyle name="Note 2 13" xfId="22512"/>
    <cellStyle name="Note 2 13 2" xfId="22513"/>
    <cellStyle name="Note 2 13 2 2" xfId="22514"/>
    <cellStyle name="Note 2 13 3" xfId="22515"/>
    <cellStyle name="Note 2 13 3 2" xfId="22516"/>
    <cellStyle name="Note 2 13 4" xfId="22517"/>
    <cellStyle name="Note 2 14" xfId="22518"/>
    <cellStyle name="Note 2 14 2" xfId="22519"/>
    <cellStyle name="Note 2 14 2 2" xfId="22520"/>
    <cellStyle name="Note 2 14 3" xfId="22521"/>
    <cellStyle name="Note 2 14 3 2" xfId="22522"/>
    <cellStyle name="Note 2 14 4" xfId="22523"/>
    <cellStyle name="Note 2 15" xfId="22524"/>
    <cellStyle name="Note 2 15 2" xfId="22525"/>
    <cellStyle name="Note 2 16" xfId="22526"/>
    <cellStyle name="Note 2 16 2" xfId="22527"/>
    <cellStyle name="Note 2 17" xfId="22528"/>
    <cellStyle name="Note 2 17 2" xfId="22529"/>
    <cellStyle name="Note 2 17 2 2" xfId="22530"/>
    <cellStyle name="Note 2 17 2 2 2" xfId="22531"/>
    <cellStyle name="Note 2 17 2 3" xfId="22532"/>
    <cellStyle name="Note 2 17 2 3 2" xfId="22533"/>
    <cellStyle name="Note 2 17 2 4" xfId="22534"/>
    <cellStyle name="Note 2 17 3" xfId="22535"/>
    <cellStyle name="Note 2 17 3 2" xfId="22536"/>
    <cellStyle name="Note 2 17 4" xfId="22537"/>
    <cellStyle name="Note 2 17 4 2" xfId="22538"/>
    <cellStyle name="Note 2 17 5" xfId="22539"/>
    <cellStyle name="Note 2 18" xfId="22540"/>
    <cellStyle name="Note 2 18 2" xfId="22541"/>
    <cellStyle name="Note 2 19" xfId="22542"/>
    <cellStyle name="Note 2 19 2" xfId="22543"/>
    <cellStyle name="Note 2 19 2 2" xfId="22544"/>
    <cellStyle name="Note 2 19 2 2 2" xfId="22545"/>
    <cellStyle name="Note 2 19 2 3" xfId="22546"/>
    <cellStyle name="Note 2 19 2 3 2" xfId="22547"/>
    <cellStyle name="Note 2 19 2 4" xfId="22548"/>
    <cellStyle name="Note 2 19 3" xfId="22549"/>
    <cellStyle name="Note 2 19 3 2" xfId="22550"/>
    <cellStyle name="Note 2 19 4" xfId="22551"/>
    <cellStyle name="Note 2 19 4 2" xfId="22552"/>
    <cellStyle name="Note 2 19 5" xfId="22553"/>
    <cellStyle name="Note 2 2" xfId="167"/>
    <cellStyle name="Note 2 2 10" xfId="22555"/>
    <cellStyle name="Note 2 2 10 2" xfId="22556"/>
    <cellStyle name="Note 2 2 10 2 2" xfId="22557"/>
    <cellStyle name="Note 2 2 10 3" xfId="22558"/>
    <cellStyle name="Note 2 2 10 3 2" xfId="22559"/>
    <cellStyle name="Note 2 2 10 4" xfId="22560"/>
    <cellStyle name="Note 2 2 11" xfId="22561"/>
    <cellStyle name="Note 2 2 11 2" xfId="22562"/>
    <cellStyle name="Note 2 2 11 2 2" xfId="22563"/>
    <cellStyle name="Note 2 2 11 3" xfId="22564"/>
    <cellStyle name="Note 2 2 11 3 2" xfId="22565"/>
    <cellStyle name="Note 2 2 11 4" xfId="22566"/>
    <cellStyle name="Note 2 2 12" xfId="22567"/>
    <cellStyle name="Note 2 2 12 2" xfId="22568"/>
    <cellStyle name="Note 2 2 12 2 2" xfId="22569"/>
    <cellStyle name="Note 2 2 12 3" xfId="22570"/>
    <cellStyle name="Note 2 2 12 3 2" xfId="22571"/>
    <cellStyle name="Note 2 2 12 4" xfId="22572"/>
    <cellStyle name="Note 2 2 13" xfId="22573"/>
    <cellStyle name="Note 2 2 13 2" xfId="22574"/>
    <cellStyle name="Note 2 2 14" xfId="22575"/>
    <cellStyle name="Note 2 2 14 2" xfId="22576"/>
    <cellStyle name="Note 2 2 15" xfId="22577"/>
    <cellStyle name="Note 2 2 15 2" xfId="22578"/>
    <cellStyle name="Note 2 2 16" xfId="22579"/>
    <cellStyle name="Note 2 2 17" xfId="22554"/>
    <cellStyle name="Note 2 2 18" xfId="24551"/>
    <cellStyle name="Note 2 2 2" xfId="5046"/>
    <cellStyle name="Note 2 2 2 2" xfId="22581"/>
    <cellStyle name="Note 2 2 2 2 2" xfId="22582"/>
    <cellStyle name="Note 2 2 2 3" xfId="22583"/>
    <cellStyle name="Note 2 2 2 3 2" xfId="22584"/>
    <cellStyle name="Note 2 2 2 4" xfId="22585"/>
    <cellStyle name="Note 2 2 2 5" xfId="22580"/>
    <cellStyle name="Note 2 2 2 6" xfId="24552"/>
    <cellStyle name="Note 2 2 3" xfId="5045"/>
    <cellStyle name="Note 2 2 3 2" xfId="22587"/>
    <cellStyle name="Note 2 2 3 2 2" xfId="22588"/>
    <cellStyle name="Note 2 2 3 3" xfId="22589"/>
    <cellStyle name="Note 2 2 3 3 2" xfId="22590"/>
    <cellStyle name="Note 2 2 3 4" xfId="22591"/>
    <cellStyle name="Note 2 2 3 5" xfId="22586"/>
    <cellStyle name="Note 2 2 4" xfId="22592"/>
    <cellStyle name="Note 2 2 4 2" xfId="22593"/>
    <cellStyle name="Note 2 2 4 2 2" xfId="22594"/>
    <cellStyle name="Note 2 2 4 3" xfId="22595"/>
    <cellStyle name="Note 2 2 4 3 2" xfId="22596"/>
    <cellStyle name="Note 2 2 4 4" xfId="22597"/>
    <cellStyle name="Note 2 2 5" xfId="22598"/>
    <cellStyle name="Note 2 2 5 2" xfId="22599"/>
    <cellStyle name="Note 2 2 5 2 2" xfId="22600"/>
    <cellStyle name="Note 2 2 5 3" xfId="22601"/>
    <cellStyle name="Note 2 2 5 3 2" xfId="22602"/>
    <cellStyle name="Note 2 2 5 4" xfId="22603"/>
    <cellStyle name="Note 2 2 6" xfId="22604"/>
    <cellStyle name="Note 2 2 6 2" xfId="22605"/>
    <cellStyle name="Note 2 2 6 2 2" xfId="22606"/>
    <cellStyle name="Note 2 2 6 3" xfId="22607"/>
    <cellStyle name="Note 2 2 6 3 2" xfId="22608"/>
    <cellStyle name="Note 2 2 6 4" xfId="22609"/>
    <cellStyle name="Note 2 2 7" xfId="22610"/>
    <cellStyle name="Note 2 2 7 2" xfId="22611"/>
    <cellStyle name="Note 2 2 7 2 2" xfId="22612"/>
    <cellStyle name="Note 2 2 7 3" xfId="22613"/>
    <cellStyle name="Note 2 2 7 3 2" xfId="22614"/>
    <cellStyle name="Note 2 2 7 4" xfId="22615"/>
    <cellStyle name="Note 2 2 8" xfId="22616"/>
    <cellStyle name="Note 2 2 8 2" xfId="22617"/>
    <cellStyle name="Note 2 2 8 2 2" xfId="22618"/>
    <cellStyle name="Note 2 2 8 3" xfId="22619"/>
    <cellStyle name="Note 2 2 8 3 2" xfId="22620"/>
    <cellStyle name="Note 2 2 8 4" xfId="22621"/>
    <cellStyle name="Note 2 2 9" xfId="22622"/>
    <cellStyle name="Note 2 2 9 2" xfId="22623"/>
    <cellStyle name="Note 2 2 9 2 2" xfId="22624"/>
    <cellStyle name="Note 2 2 9 3" xfId="22625"/>
    <cellStyle name="Note 2 2 9 3 2" xfId="22626"/>
    <cellStyle name="Note 2 2 9 4" xfId="22627"/>
    <cellStyle name="Note 2 20" xfId="22628"/>
    <cellStyle name="Note 2 21" xfId="22491"/>
    <cellStyle name="Note 2 3" xfId="331"/>
    <cellStyle name="Note 2 3 2" xfId="1878"/>
    <cellStyle name="Note 2 3 2 2" xfId="5048"/>
    <cellStyle name="Note 2 3 2 2 2" xfId="22632"/>
    <cellStyle name="Note 2 3 2 2 3" xfId="22631"/>
    <cellStyle name="Note 2 3 2 3" xfId="5047"/>
    <cellStyle name="Note 2 3 2 3 2" xfId="22634"/>
    <cellStyle name="Note 2 3 2 3 3" xfId="22633"/>
    <cellStyle name="Note 2 3 2 4" xfId="22635"/>
    <cellStyle name="Note 2 3 2 4 2" xfId="22636"/>
    <cellStyle name="Note 2 3 2 5" xfId="22637"/>
    <cellStyle name="Note 2 3 2 6" xfId="22630"/>
    <cellStyle name="Note 2 3 2 7" xfId="24553"/>
    <cellStyle name="Note 2 3 3" xfId="2253"/>
    <cellStyle name="Note 2 3 3 2" xfId="5050"/>
    <cellStyle name="Note 2 3 3 2 2" xfId="22640"/>
    <cellStyle name="Note 2 3 3 2 3" xfId="22639"/>
    <cellStyle name="Note 2 3 3 3" xfId="5049"/>
    <cellStyle name="Note 2 3 3 3 2" xfId="22641"/>
    <cellStyle name="Note 2 3 3 4" xfId="22638"/>
    <cellStyle name="Note 2 3 4" xfId="2626"/>
    <cellStyle name="Note 2 3 4 2" xfId="5052"/>
    <cellStyle name="Note 2 3 4 2 2" xfId="22644"/>
    <cellStyle name="Note 2 3 4 2 3" xfId="22643"/>
    <cellStyle name="Note 2 3 4 3" xfId="5051"/>
    <cellStyle name="Note 2 3 4 3 2" xfId="22645"/>
    <cellStyle name="Note 2 3 4 4" xfId="22642"/>
    <cellStyle name="Note 2 3 5" xfId="2999"/>
    <cellStyle name="Note 2 3 5 2" xfId="5054"/>
    <cellStyle name="Note 2 3 5 2 2" xfId="22648"/>
    <cellStyle name="Note 2 3 5 2 3" xfId="22647"/>
    <cellStyle name="Note 2 3 5 3" xfId="5053"/>
    <cellStyle name="Note 2 3 5 3 2" xfId="22649"/>
    <cellStyle name="Note 2 3 5 4" xfId="22646"/>
    <cellStyle name="Note 2 3 6" xfId="3370"/>
    <cellStyle name="Note 2 3 6 2" xfId="5056"/>
    <cellStyle name="Note 2 3 6 2 2" xfId="22652"/>
    <cellStyle name="Note 2 3 6 2 3" xfId="22651"/>
    <cellStyle name="Note 2 3 6 3" xfId="5055"/>
    <cellStyle name="Note 2 3 6 3 2" xfId="22653"/>
    <cellStyle name="Note 2 3 6 4" xfId="22650"/>
    <cellStyle name="Note 2 3 7" xfId="1432"/>
    <cellStyle name="Note 2 3 7 2" xfId="22654"/>
    <cellStyle name="Note 2 3 8" xfId="22629"/>
    <cellStyle name="Note 2 4" xfId="1545"/>
    <cellStyle name="Note 2 4 2" xfId="1925"/>
    <cellStyle name="Note 2 4 2 2" xfId="5058"/>
    <cellStyle name="Note 2 4 2 2 2" xfId="22658"/>
    <cellStyle name="Note 2 4 2 2 3" xfId="22657"/>
    <cellStyle name="Note 2 4 2 3" xfId="5057"/>
    <cellStyle name="Note 2 4 2 3 2" xfId="22660"/>
    <cellStyle name="Note 2 4 2 3 3" xfId="22659"/>
    <cellStyle name="Note 2 4 2 4" xfId="22661"/>
    <cellStyle name="Note 2 4 2 4 2" xfId="22662"/>
    <cellStyle name="Note 2 4 2 5" xfId="22663"/>
    <cellStyle name="Note 2 4 2 6" xfId="22656"/>
    <cellStyle name="Note 2 4 3" xfId="2300"/>
    <cellStyle name="Note 2 4 3 2" xfId="5060"/>
    <cellStyle name="Note 2 4 3 2 2" xfId="22666"/>
    <cellStyle name="Note 2 4 3 2 3" xfId="22665"/>
    <cellStyle name="Note 2 4 3 3" xfId="5059"/>
    <cellStyle name="Note 2 4 3 3 2" xfId="22667"/>
    <cellStyle name="Note 2 4 3 4" xfId="22664"/>
    <cellStyle name="Note 2 4 4" xfId="2673"/>
    <cellStyle name="Note 2 4 4 2" xfId="5062"/>
    <cellStyle name="Note 2 4 4 2 2" xfId="22670"/>
    <cellStyle name="Note 2 4 4 2 3" xfId="22669"/>
    <cellStyle name="Note 2 4 4 3" xfId="5061"/>
    <cellStyle name="Note 2 4 4 3 2" xfId="22671"/>
    <cellStyle name="Note 2 4 4 4" xfId="22668"/>
    <cellStyle name="Note 2 4 5" xfId="3046"/>
    <cellStyle name="Note 2 4 5 2" xfId="5064"/>
    <cellStyle name="Note 2 4 5 2 2" xfId="22674"/>
    <cellStyle name="Note 2 4 5 2 3" xfId="22673"/>
    <cellStyle name="Note 2 4 5 3" xfId="5063"/>
    <cellStyle name="Note 2 4 5 3 2" xfId="22675"/>
    <cellStyle name="Note 2 4 5 4" xfId="22672"/>
    <cellStyle name="Note 2 4 6" xfId="3417"/>
    <cellStyle name="Note 2 4 6 2" xfId="5066"/>
    <cellStyle name="Note 2 4 6 2 2" xfId="22678"/>
    <cellStyle name="Note 2 4 6 2 3" xfId="22677"/>
    <cellStyle name="Note 2 4 6 3" xfId="5065"/>
    <cellStyle name="Note 2 4 6 3 2" xfId="22679"/>
    <cellStyle name="Note 2 4 6 4" xfId="22676"/>
    <cellStyle name="Note 2 4 7" xfId="22680"/>
    <cellStyle name="Note 2 4 8" xfId="22655"/>
    <cellStyle name="Note 2 5" xfId="1703"/>
    <cellStyle name="Note 2 5 2" xfId="22682"/>
    <cellStyle name="Note 2 5 2 2" xfId="22683"/>
    <cellStyle name="Note 2 5 3" xfId="22684"/>
    <cellStyle name="Note 2 5 3 2" xfId="22685"/>
    <cellStyle name="Note 2 5 4" xfId="22686"/>
    <cellStyle name="Note 2 5 4 2" xfId="22687"/>
    <cellStyle name="Note 2 5 5" xfId="22688"/>
    <cellStyle name="Note 2 5 6" xfId="22681"/>
    <cellStyle name="Note 2 6" xfId="2038"/>
    <cellStyle name="Note 2 6 2" xfId="22690"/>
    <cellStyle name="Note 2 6 2 2" xfId="22691"/>
    <cellStyle name="Note 2 6 3" xfId="22692"/>
    <cellStyle name="Note 2 6 3 2" xfId="22693"/>
    <cellStyle name="Note 2 6 4" xfId="22694"/>
    <cellStyle name="Note 2 6 4 2" xfId="22695"/>
    <cellStyle name="Note 2 6 5" xfId="22696"/>
    <cellStyle name="Note 2 6 6" xfId="22689"/>
    <cellStyle name="Note 2 7" xfId="2412"/>
    <cellStyle name="Note 2 7 2" xfId="22698"/>
    <cellStyle name="Note 2 7 2 2" xfId="22699"/>
    <cellStyle name="Note 2 7 3" xfId="22700"/>
    <cellStyle name="Note 2 7 3 2" xfId="22701"/>
    <cellStyle name="Note 2 7 4" xfId="22702"/>
    <cellStyle name="Note 2 7 4 2" xfId="22703"/>
    <cellStyle name="Note 2 7 5" xfId="22704"/>
    <cellStyle name="Note 2 7 6" xfId="22697"/>
    <cellStyle name="Note 2 8" xfId="2785"/>
    <cellStyle name="Note 2 8 2" xfId="22706"/>
    <cellStyle name="Note 2 8 2 2" xfId="22707"/>
    <cellStyle name="Note 2 8 3" xfId="22708"/>
    <cellStyle name="Note 2 8 3 2" xfId="22709"/>
    <cellStyle name="Note 2 8 4" xfId="22710"/>
    <cellStyle name="Note 2 8 4 2" xfId="22711"/>
    <cellStyle name="Note 2 8 5" xfId="22712"/>
    <cellStyle name="Note 2 8 6" xfId="22705"/>
    <cellStyle name="Note 2 9" xfId="3159"/>
    <cellStyle name="Note 2 9 2" xfId="22714"/>
    <cellStyle name="Note 2 9 2 2" xfId="22715"/>
    <cellStyle name="Note 2 9 3" xfId="22716"/>
    <cellStyle name="Note 2 9 3 2" xfId="22717"/>
    <cellStyle name="Note 2 9 4" xfId="22718"/>
    <cellStyle name="Note 2 9 4 2" xfId="22719"/>
    <cellStyle name="Note 2 9 5" xfId="22720"/>
    <cellStyle name="Note 2 9 6" xfId="22713"/>
    <cellStyle name="Note 3" xfId="208"/>
    <cellStyle name="Note 3 10" xfId="3711"/>
    <cellStyle name="Note 3 10 2" xfId="22723"/>
    <cellStyle name="Note 3 10 2 2" xfId="22724"/>
    <cellStyle name="Note 3 10 3" xfId="22725"/>
    <cellStyle name="Note 3 10 3 2" xfId="22726"/>
    <cellStyle name="Note 3 10 4" xfId="22727"/>
    <cellStyle name="Note 3 10 4 2" xfId="22728"/>
    <cellStyle name="Note 3 10 5" xfId="22729"/>
    <cellStyle name="Note 3 10 6" xfId="22722"/>
    <cellStyle name="Note 3 11" xfId="5068"/>
    <cellStyle name="Note 3 11 2" xfId="22731"/>
    <cellStyle name="Note 3 11 2 2" xfId="22732"/>
    <cellStyle name="Note 3 11 3" xfId="22733"/>
    <cellStyle name="Note 3 11 3 2" xfId="22734"/>
    <cellStyle name="Note 3 11 4" xfId="22735"/>
    <cellStyle name="Note 3 11 5" xfId="22730"/>
    <cellStyle name="Note 3 12" xfId="5067"/>
    <cellStyle name="Note 3 12 2" xfId="22737"/>
    <cellStyle name="Note 3 12 2 2" xfId="22738"/>
    <cellStyle name="Note 3 12 3" xfId="22739"/>
    <cellStyle name="Note 3 12 3 2" xfId="22740"/>
    <cellStyle name="Note 3 12 4" xfId="22741"/>
    <cellStyle name="Note 3 12 5" xfId="22736"/>
    <cellStyle name="Note 3 13" xfId="22742"/>
    <cellStyle name="Note 3 13 2" xfId="22743"/>
    <cellStyle name="Note 3 13 2 2" xfId="22744"/>
    <cellStyle name="Note 3 13 3" xfId="22745"/>
    <cellStyle name="Note 3 13 3 2" xfId="22746"/>
    <cellStyle name="Note 3 13 4" xfId="22747"/>
    <cellStyle name="Note 3 14" xfId="22748"/>
    <cellStyle name="Note 3 14 2" xfId="22749"/>
    <cellStyle name="Note 3 14 2 2" xfId="22750"/>
    <cellStyle name="Note 3 14 3" xfId="22751"/>
    <cellStyle name="Note 3 14 3 2" xfId="22752"/>
    <cellStyle name="Note 3 14 4" xfId="22753"/>
    <cellStyle name="Note 3 15" xfId="22754"/>
    <cellStyle name="Note 3 15 2" xfId="22755"/>
    <cellStyle name="Note 3 16" xfId="22756"/>
    <cellStyle name="Note 3 16 2" xfId="22757"/>
    <cellStyle name="Note 3 17" xfId="22758"/>
    <cellStyle name="Note 3 17 2" xfId="22759"/>
    <cellStyle name="Note 3 18" xfId="22760"/>
    <cellStyle name="Note 3 19" xfId="22721"/>
    <cellStyle name="Note 3 2" xfId="1484"/>
    <cellStyle name="Note 3 2 10" xfId="22762"/>
    <cellStyle name="Note 3 2 10 2" xfId="22763"/>
    <cellStyle name="Note 3 2 10 2 2" xfId="22764"/>
    <cellStyle name="Note 3 2 10 3" xfId="22765"/>
    <cellStyle name="Note 3 2 10 3 2" xfId="22766"/>
    <cellStyle name="Note 3 2 10 4" xfId="22767"/>
    <cellStyle name="Note 3 2 11" xfId="22768"/>
    <cellStyle name="Note 3 2 11 2" xfId="22769"/>
    <cellStyle name="Note 3 2 11 2 2" xfId="22770"/>
    <cellStyle name="Note 3 2 11 3" xfId="22771"/>
    <cellStyle name="Note 3 2 11 3 2" xfId="22772"/>
    <cellStyle name="Note 3 2 11 4" xfId="22773"/>
    <cellStyle name="Note 3 2 12" xfId="22774"/>
    <cellStyle name="Note 3 2 12 2" xfId="22775"/>
    <cellStyle name="Note 3 2 12 2 2" xfId="22776"/>
    <cellStyle name="Note 3 2 12 3" xfId="22777"/>
    <cellStyle name="Note 3 2 12 3 2" xfId="22778"/>
    <cellStyle name="Note 3 2 12 4" xfId="22779"/>
    <cellStyle name="Note 3 2 13" xfId="22780"/>
    <cellStyle name="Note 3 2 13 2" xfId="22781"/>
    <cellStyle name="Note 3 2 14" xfId="22782"/>
    <cellStyle name="Note 3 2 14 2" xfId="22783"/>
    <cellStyle name="Note 3 2 15" xfId="22784"/>
    <cellStyle name="Note 3 2 16" xfId="22761"/>
    <cellStyle name="Note 3 2 2" xfId="1819"/>
    <cellStyle name="Note 3 2 2 2" xfId="5070"/>
    <cellStyle name="Note 3 2 2 2 2" xfId="22787"/>
    <cellStyle name="Note 3 2 2 2 3" xfId="22786"/>
    <cellStyle name="Note 3 2 2 3" xfId="5069"/>
    <cellStyle name="Note 3 2 2 3 2" xfId="22789"/>
    <cellStyle name="Note 3 2 2 3 3" xfId="22788"/>
    <cellStyle name="Note 3 2 2 4" xfId="22790"/>
    <cellStyle name="Note 3 2 2 4 2" xfId="22791"/>
    <cellStyle name="Note 3 2 2 5" xfId="22792"/>
    <cellStyle name="Note 3 2 2 6" xfId="22785"/>
    <cellStyle name="Note 3 2 2 7" xfId="24554"/>
    <cellStyle name="Note 3 2 3" xfId="2194"/>
    <cellStyle name="Note 3 2 3 2" xfId="5072"/>
    <cellStyle name="Note 3 2 3 2 2" xfId="22795"/>
    <cellStyle name="Note 3 2 3 2 3" xfId="22794"/>
    <cellStyle name="Note 3 2 3 3" xfId="5071"/>
    <cellStyle name="Note 3 2 3 3 2" xfId="22797"/>
    <cellStyle name="Note 3 2 3 3 3" xfId="22796"/>
    <cellStyle name="Note 3 2 3 4" xfId="22798"/>
    <cellStyle name="Note 3 2 3 4 2" xfId="22799"/>
    <cellStyle name="Note 3 2 3 5" xfId="22800"/>
    <cellStyle name="Note 3 2 3 6" xfId="22793"/>
    <cellStyle name="Note 3 2 4" xfId="2568"/>
    <cellStyle name="Note 3 2 4 2" xfId="5074"/>
    <cellStyle name="Note 3 2 4 2 2" xfId="22803"/>
    <cellStyle name="Note 3 2 4 2 3" xfId="22802"/>
    <cellStyle name="Note 3 2 4 3" xfId="5073"/>
    <cellStyle name="Note 3 2 4 3 2" xfId="22805"/>
    <cellStyle name="Note 3 2 4 3 3" xfId="22804"/>
    <cellStyle name="Note 3 2 4 4" xfId="22806"/>
    <cellStyle name="Note 3 2 4 4 2" xfId="22807"/>
    <cellStyle name="Note 3 2 4 5" xfId="22808"/>
    <cellStyle name="Note 3 2 4 6" xfId="22801"/>
    <cellStyle name="Note 3 2 5" xfId="2940"/>
    <cellStyle name="Note 3 2 5 2" xfId="5076"/>
    <cellStyle name="Note 3 2 5 2 2" xfId="22811"/>
    <cellStyle name="Note 3 2 5 2 3" xfId="22810"/>
    <cellStyle name="Note 3 2 5 3" xfId="5075"/>
    <cellStyle name="Note 3 2 5 3 2" xfId="22813"/>
    <cellStyle name="Note 3 2 5 3 3" xfId="22812"/>
    <cellStyle name="Note 3 2 5 4" xfId="22814"/>
    <cellStyle name="Note 3 2 5 4 2" xfId="22815"/>
    <cellStyle name="Note 3 2 5 5" xfId="22816"/>
    <cellStyle name="Note 3 2 5 6" xfId="22809"/>
    <cellStyle name="Note 3 2 6" xfId="3312"/>
    <cellStyle name="Note 3 2 6 2" xfId="5078"/>
    <cellStyle name="Note 3 2 6 2 2" xfId="22819"/>
    <cellStyle name="Note 3 2 6 2 3" xfId="22818"/>
    <cellStyle name="Note 3 2 6 3" xfId="5077"/>
    <cellStyle name="Note 3 2 6 3 2" xfId="22821"/>
    <cellStyle name="Note 3 2 6 3 3" xfId="22820"/>
    <cellStyle name="Note 3 2 6 4" xfId="22822"/>
    <cellStyle name="Note 3 2 6 4 2" xfId="22823"/>
    <cellStyle name="Note 3 2 6 5" xfId="22824"/>
    <cellStyle name="Note 3 2 6 6" xfId="22817"/>
    <cellStyle name="Note 3 2 7" xfId="22825"/>
    <cellStyle name="Note 3 2 7 2" xfId="22826"/>
    <cellStyle name="Note 3 2 7 2 2" xfId="22827"/>
    <cellStyle name="Note 3 2 7 3" xfId="22828"/>
    <cellStyle name="Note 3 2 7 3 2" xfId="22829"/>
    <cellStyle name="Note 3 2 7 4" xfId="22830"/>
    <cellStyle name="Note 3 2 8" xfId="22831"/>
    <cellStyle name="Note 3 2 8 2" xfId="22832"/>
    <cellStyle name="Note 3 2 8 2 2" xfId="22833"/>
    <cellStyle name="Note 3 2 8 3" xfId="22834"/>
    <cellStyle name="Note 3 2 8 3 2" xfId="22835"/>
    <cellStyle name="Note 3 2 8 4" xfId="22836"/>
    <cellStyle name="Note 3 2 9" xfId="22837"/>
    <cellStyle name="Note 3 2 9 2" xfId="22838"/>
    <cellStyle name="Note 3 2 9 2 2" xfId="22839"/>
    <cellStyle name="Note 3 2 9 3" xfId="22840"/>
    <cellStyle name="Note 3 2 9 3 2" xfId="22841"/>
    <cellStyle name="Note 3 2 9 4" xfId="22842"/>
    <cellStyle name="Note 3 3" xfId="1611"/>
    <cellStyle name="Note 3 3 2" xfId="1896"/>
    <cellStyle name="Note 3 3 2 2" xfId="5080"/>
    <cellStyle name="Note 3 3 2 2 2" xfId="22846"/>
    <cellStyle name="Note 3 3 2 2 3" xfId="22845"/>
    <cellStyle name="Note 3 3 2 3" xfId="5079"/>
    <cellStyle name="Note 3 3 2 3 2" xfId="22848"/>
    <cellStyle name="Note 3 3 2 3 3" xfId="22847"/>
    <cellStyle name="Note 3 3 2 4" xfId="22849"/>
    <cellStyle name="Note 3 3 2 4 2" xfId="22850"/>
    <cellStyle name="Note 3 3 2 5" xfId="22851"/>
    <cellStyle name="Note 3 3 2 6" xfId="22844"/>
    <cellStyle name="Note 3 3 3" xfId="2271"/>
    <cellStyle name="Note 3 3 3 2" xfId="5082"/>
    <cellStyle name="Note 3 3 3 2 2" xfId="22854"/>
    <cellStyle name="Note 3 3 3 2 3" xfId="22853"/>
    <cellStyle name="Note 3 3 3 3" xfId="5081"/>
    <cellStyle name="Note 3 3 3 3 2" xfId="22855"/>
    <cellStyle name="Note 3 3 3 4" xfId="22852"/>
    <cellStyle name="Note 3 3 4" xfId="2644"/>
    <cellStyle name="Note 3 3 4 2" xfId="5084"/>
    <cellStyle name="Note 3 3 4 2 2" xfId="22858"/>
    <cellStyle name="Note 3 3 4 2 3" xfId="22857"/>
    <cellStyle name="Note 3 3 4 3" xfId="5083"/>
    <cellStyle name="Note 3 3 4 3 2" xfId="22859"/>
    <cellStyle name="Note 3 3 4 4" xfId="22856"/>
    <cellStyle name="Note 3 3 5" xfId="3017"/>
    <cellStyle name="Note 3 3 5 2" xfId="5086"/>
    <cellStyle name="Note 3 3 5 2 2" xfId="22862"/>
    <cellStyle name="Note 3 3 5 2 3" xfId="22861"/>
    <cellStyle name="Note 3 3 5 3" xfId="5085"/>
    <cellStyle name="Note 3 3 5 3 2" xfId="22863"/>
    <cellStyle name="Note 3 3 5 4" xfId="22860"/>
    <cellStyle name="Note 3 3 6" xfId="3388"/>
    <cellStyle name="Note 3 3 6 2" xfId="5088"/>
    <cellStyle name="Note 3 3 6 2 2" xfId="22866"/>
    <cellStyle name="Note 3 3 6 2 3" xfId="22865"/>
    <cellStyle name="Note 3 3 6 3" xfId="5087"/>
    <cellStyle name="Note 3 3 6 3 2" xfId="22867"/>
    <cellStyle name="Note 3 3 6 4" xfId="22864"/>
    <cellStyle name="Note 3 3 7" xfId="22868"/>
    <cellStyle name="Note 3 3 8" xfId="22843"/>
    <cellStyle name="Note 3 4" xfId="1753"/>
    <cellStyle name="Note 3 4 2" xfId="1940"/>
    <cellStyle name="Note 3 4 2 2" xfId="5090"/>
    <cellStyle name="Note 3 4 2 2 2" xfId="22872"/>
    <cellStyle name="Note 3 4 2 2 3" xfId="22871"/>
    <cellStyle name="Note 3 4 2 3" xfId="5089"/>
    <cellStyle name="Note 3 4 2 3 2" xfId="22874"/>
    <cellStyle name="Note 3 4 2 3 3" xfId="22873"/>
    <cellStyle name="Note 3 4 2 4" xfId="22875"/>
    <cellStyle name="Note 3 4 2 4 2" xfId="22876"/>
    <cellStyle name="Note 3 4 2 5" xfId="22877"/>
    <cellStyle name="Note 3 4 2 6" xfId="22870"/>
    <cellStyle name="Note 3 4 3" xfId="2315"/>
    <cellStyle name="Note 3 4 3 2" xfId="5092"/>
    <cellStyle name="Note 3 4 3 2 2" xfId="22880"/>
    <cellStyle name="Note 3 4 3 2 3" xfId="22879"/>
    <cellStyle name="Note 3 4 3 3" xfId="5091"/>
    <cellStyle name="Note 3 4 3 3 2" xfId="22881"/>
    <cellStyle name="Note 3 4 3 4" xfId="22878"/>
    <cellStyle name="Note 3 4 4" xfId="2688"/>
    <cellStyle name="Note 3 4 4 2" xfId="5094"/>
    <cellStyle name="Note 3 4 4 2 2" xfId="22884"/>
    <cellStyle name="Note 3 4 4 2 3" xfId="22883"/>
    <cellStyle name="Note 3 4 4 3" xfId="5093"/>
    <cellStyle name="Note 3 4 4 3 2" xfId="22885"/>
    <cellStyle name="Note 3 4 4 4" xfId="22882"/>
    <cellStyle name="Note 3 4 5" xfId="3061"/>
    <cellStyle name="Note 3 4 5 2" xfId="5096"/>
    <cellStyle name="Note 3 4 5 2 2" xfId="22888"/>
    <cellStyle name="Note 3 4 5 2 3" xfId="22887"/>
    <cellStyle name="Note 3 4 5 3" xfId="5095"/>
    <cellStyle name="Note 3 4 5 3 2" xfId="22889"/>
    <cellStyle name="Note 3 4 5 4" xfId="22886"/>
    <cellStyle name="Note 3 4 6" xfId="3432"/>
    <cellStyle name="Note 3 4 6 2" xfId="5098"/>
    <cellStyle name="Note 3 4 6 2 2" xfId="22892"/>
    <cellStyle name="Note 3 4 6 2 3" xfId="22891"/>
    <cellStyle name="Note 3 4 6 3" xfId="5097"/>
    <cellStyle name="Note 3 4 6 3 2" xfId="22893"/>
    <cellStyle name="Note 3 4 6 4" xfId="22890"/>
    <cellStyle name="Note 3 4 7" xfId="22894"/>
    <cellStyle name="Note 3 4 8" xfId="22869"/>
    <cellStyle name="Note 3 5" xfId="2088"/>
    <cellStyle name="Note 3 5 2" xfId="22896"/>
    <cellStyle name="Note 3 5 2 2" xfId="22897"/>
    <cellStyle name="Note 3 5 3" xfId="22898"/>
    <cellStyle name="Note 3 5 3 2" xfId="22899"/>
    <cellStyle name="Note 3 5 4" xfId="22900"/>
    <cellStyle name="Note 3 5 4 2" xfId="22901"/>
    <cellStyle name="Note 3 5 5" xfId="22902"/>
    <cellStyle name="Note 3 5 6" xfId="22895"/>
    <cellStyle name="Note 3 6" xfId="2462"/>
    <cellStyle name="Note 3 6 2" xfId="22904"/>
    <cellStyle name="Note 3 6 2 2" xfId="22905"/>
    <cellStyle name="Note 3 6 3" xfId="22906"/>
    <cellStyle name="Note 3 6 3 2" xfId="22907"/>
    <cellStyle name="Note 3 6 4" xfId="22908"/>
    <cellStyle name="Note 3 6 4 2" xfId="22909"/>
    <cellStyle name="Note 3 6 5" xfId="22910"/>
    <cellStyle name="Note 3 6 6" xfId="22903"/>
    <cellStyle name="Note 3 7" xfId="2834"/>
    <cellStyle name="Note 3 7 2" xfId="22912"/>
    <cellStyle name="Note 3 7 2 2" xfId="22913"/>
    <cellStyle name="Note 3 7 3" xfId="22914"/>
    <cellStyle name="Note 3 7 3 2" xfId="22915"/>
    <cellStyle name="Note 3 7 4" xfId="22916"/>
    <cellStyle name="Note 3 7 4 2" xfId="22917"/>
    <cellStyle name="Note 3 7 5" xfId="22918"/>
    <cellStyle name="Note 3 7 6" xfId="22911"/>
    <cellStyle name="Note 3 8" xfId="3205"/>
    <cellStyle name="Note 3 8 2" xfId="22920"/>
    <cellStyle name="Note 3 8 2 2" xfId="22921"/>
    <cellStyle name="Note 3 8 3" xfId="22922"/>
    <cellStyle name="Note 3 8 3 2" xfId="22923"/>
    <cellStyle name="Note 3 8 4" xfId="22924"/>
    <cellStyle name="Note 3 8 4 2" xfId="22925"/>
    <cellStyle name="Note 3 8 5" xfId="22926"/>
    <cellStyle name="Note 3 8 6" xfId="22919"/>
    <cellStyle name="Note 3 9" xfId="3575"/>
    <cellStyle name="Note 3 9 2" xfId="22928"/>
    <cellStyle name="Note 3 9 2 2" xfId="22929"/>
    <cellStyle name="Note 3 9 3" xfId="22930"/>
    <cellStyle name="Note 3 9 3 2" xfId="22931"/>
    <cellStyle name="Note 3 9 4" xfId="22932"/>
    <cellStyle name="Note 3 9 4 2" xfId="22933"/>
    <cellStyle name="Note 3 9 5" xfId="22934"/>
    <cellStyle name="Note 3 9 6" xfId="22927"/>
    <cellStyle name="Note 4" xfId="271"/>
    <cellStyle name="Note 4 10" xfId="3755"/>
    <cellStyle name="Note 4 10 2" xfId="22937"/>
    <cellStyle name="Note 4 10 2 2" xfId="22938"/>
    <cellStyle name="Note 4 10 3" xfId="22939"/>
    <cellStyle name="Note 4 10 3 2" xfId="22940"/>
    <cellStyle name="Note 4 10 4" xfId="22941"/>
    <cellStyle name="Note 4 10 4 2" xfId="22942"/>
    <cellStyle name="Note 4 10 5" xfId="22943"/>
    <cellStyle name="Note 4 10 6" xfId="22936"/>
    <cellStyle name="Note 4 11" xfId="1290"/>
    <cellStyle name="Note 4 11 10" xfId="22944"/>
    <cellStyle name="Note 4 11 11" xfId="24875"/>
    <cellStyle name="Note 4 11 12" xfId="28117"/>
    <cellStyle name="Note 4 11 2" xfId="4143"/>
    <cellStyle name="Note 4 11 2 2" xfId="5102"/>
    <cellStyle name="Note 4 11 2 2 2" xfId="22947"/>
    <cellStyle name="Note 4 11 2 2 3" xfId="22946"/>
    <cellStyle name="Note 4 11 2 3" xfId="5101"/>
    <cellStyle name="Note 4 11 2 3 2" xfId="22948"/>
    <cellStyle name="Note 4 11 2 4" xfId="7089"/>
    <cellStyle name="Note 4 11 2 4 2" xfId="28119"/>
    <cellStyle name="Note 4 11 2 5" xfId="22945"/>
    <cellStyle name="Note 4 11 2 6" xfId="24995"/>
    <cellStyle name="Note 4 11 2 7" xfId="28118"/>
    <cellStyle name="Note 4 11 3" xfId="5103"/>
    <cellStyle name="Note 4 11 3 2" xfId="22950"/>
    <cellStyle name="Note 4 11 3 3" xfId="22949"/>
    <cellStyle name="Note 4 11 4" xfId="5100"/>
    <cellStyle name="Note 4 11 4 2" xfId="22952"/>
    <cellStyle name="Note 4 11 4 3" xfId="22951"/>
    <cellStyle name="Note 4 11 5" xfId="7088"/>
    <cellStyle name="Note 4 11 5 2" xfId="22954"/>
    <cellStyle name="Note 4 11 5 2 2" xfId="22955"/>
    <cellStyle name="Note 4 11 5 3" xfId="22956"/>
    <cellStyle name="Note 4 11 5 3 2" xfId="22957"/>
    <cellStyle name="Note 4 11 5 4" xfId="22958"/>
    <cellStyle name="Note 4 11 5 5" xfId="22953"/>
    <cellStyle name="Note 4 11 5 6" xfId="28120"/>
    <cellStyle name="Note 4 11 6" xfId="22959"/>
    <cellStyle name="Note 4 11 6 2" xfId="22960"/>
    <cellStyle name="Note 4 11 7" xfId="22961"/>
    <cellStyle name="Note 4 11 7 2" xfId="22962"/>
    <cellStyle name="Note 4 11 8" xfId="22963"/>
    <cellStyle name="Note 4 11 8 2" xfId="22964"/>
    <cellStyle name="Note 4 11 9" xfId="22965"/>
    <cellStyle name="Note 4 12" xfId="5104"/>
    <cellStyle name="Note 4 12 2" xfId="5105"/>
    <cellStyle name="Note 4 12 2 2" xfId="22968"/>
    <cellStyle name="Note 4 12 2 3" xfId="22967"/>
    <cellStyle name="Note 4 12 3" xfId="22969"/>
    <cellStyle name="Note 4 12 3 2" xfId="22970"/>
    <cellStyle name="Note 4 12 4" xfId="22971"/>
    <cellStyle name="Note 4 12 4 2" xfId="22972"/>
    <cellStyle name="Note 4 12 5" xfId="22973"/>
    <cellStyle name="Note 4 12 6" xfId="22966"/>
    <cellStyle name="Note 4 13" xfId="5106"/>
    <cellStyle name="Note 4 13 2" xfId="22975"/>
    <cellStyle name="Note 4 13 2 2" xfId="22976"/>
    <cellStyle name="Note 4 13 3" xfId="22977"/>
    <cellStyle name="Note 4 13 3 2" xfId="22978"/>
    <cellStyle name="Note 4 13 4" xfId="22979"/>
    <cellStyle name="Note 4 13 5" xfId="22974"/>
    <cellStyle name="Note 4 14" xfId="5099"/>
    <cellStyle name="Note 4 14 2" xfId="22981"/>
    <cellStyle name="Note 4 14 2 2" xfId="22982"/>
    <cellStyle name="Note 4 14 3" xfId="22983"/>
    <cellStyle name="Note 4 14 3 2" xfId="22984"/>
    <cellStyle name="Note 4 14 4" xfId="22985"/>
    <cellStyle name="Note 4 14 5" xfId="22980"/>
    <cellStyle name="Note 4 15" xfId="22986"/>
    <cellStyle name="Note 4 15 2" xfId="22987"/>
    <cellStyle name="Note 4 16" xfId="22988"/>
    <cellStyle name="Note 4 16 2" xfId="22989"/>
    <cellStyle name="Note 4 17" xfId="22990"/>
    <cellStyle name="Note 4 17 2" xfId="22991"/>
    <cellStyle name="Note 4 18" xfId="22992"/>
    <cellStyle name="Note 4 18 2" xfId="22993"/>
    <cellStyle name="Note 4 18 2 2" xfId="22994"/>
    <cellStyle name="Note 4 18 3" xfId="22995"/>
    <cellStyle name="Note 4 18 3 2" xfId="22996"/>
    <cellStyle name="Note 4 18 4" xfId="22997"/>
    <cellStyle name="Note 4 19" xfId="22998"/>
    <cellStyle name="Note 4 19 2" xfId="22999"/>
    <cellStyle name="Note 4 2" xfId="1529"/>
    <cellStyle name="Note 4 2 10" xfId="23001"/>
    <cellStyle name="Note 4 2 10 2" xfId="23002"/>
    <cellStyle name="Note 4 2 10 2 2" xfId="23003"/>
    <cellStyle name="Note 4 2 10 3" xfId="23004"/>
    <cellStyle name="Note 4 2 10 3 2" xfId="23005"/>
    <cellStyle name="Note 4 2 10 4" xfId="23006"/>
    <cellStyle name="Note 4 2 11" xfId="23007"/>
    <cellStyle name="Note 4 2 11 2" xfId="23008"/>
    <cellStyle name="Note 4 2 11 2 2" xfId="23009"/>
    <cellStyle name="Note 4 2 11 3" xfId="23010"/>
    <cellStyle name="Note 4 2 11 3 2" xfId="23011"/>
    <cellStyle name="Note 4 2 11 4" xfId="23012"/>
    <cellStyle name="Note 4 2 12" xfId="23013"/>
    <cellStyle name="Note 4 2 12 2" xfId="23014"/>
    <cellStyle name="Note 4 2 12 2 2" xfId="23015"/>
    <cellStyle name="Note 4 2 12 3" xfId="23016"/>
    <cellStyle name="Note 4 2 12 3 2" xfId="23017"/>
    <cellStyle name="Note 4 2 12 4" xfId="23018"/>
    <cellStyle name="Note 4 2 13" xfId="23019"/>
    <cellStyle name="Note 4 2 13 2" xfId="23020"/>
    <cellStyle name="Note 4 2 14" xfId="23021"/>
    <cellStyle name="Note 4 2 14 2" xfId="23022"/>
    <cellStyle name="Note 4 2 15" xfId="23023"/>
    <cellStyle name="Note 4 2 15 2" xfId="23024"/>
    <cellStyle name="Note 4 2 16" xfId="23025"/>
    <cellStyle name="Note 4 2 17" xfId="23000"/>
    <cellStyle name="Note 4 2 2" xfId="23026"/>
    <cellStyle name="Note 4 2 2 2" xfId="23027"/>
    <cellStyle name="Note 4 2 2 2 2" xfId="23028"/>
    <cellStyle name="Note 4 2 2 3" xfId="23029"/>
    <cellStyle name="Note 4 2 2 3 2" xfId="23030"/>
    <cellStyle name="Note 4 2 2 4" xfId="23031"/>
    <cellStyle name="Note 4 2 3" xfId="23032"/>
    <cellStyle name="Note 4 2 3 2" xfId="23033"/>
    <cellStyle name="Note 4 2 3 2 2" xfId="23034"/>
    <cellStyle name="Note 4 2 3 3" xfId="23035"/>
    <cellStyle name="Note 4 2 3 3 2" xfId="23036"/>
    <cellStyle name="Note 4 2 3 4" xfId="23037"/>
    <cellStyle name="Note 4 2 4" xfId="23038"/>
    <cellStyle name="Note 4 2 4 2" xfId="23039"/>
    <cellStyle name="Note 4 2 4 2 2" xfId="23040"/>
    <cellStyle name="Note 4 2 4 3" xfId="23041"/>
    <cellStyle name="Note 4 2 4 3 2" xfId="23042"/>
    <cellStyle name="Note 4 2 4 4" xfId="23043"/>
    <cellStyle name="Note 4 2 5" xfId="23044"/>
    <cellStyle name="Note 4 2 5 2" xfId="23045"/>
    <cellStyle name="Note 4 2 5 2 2" xfId="23046"/>
    <cellStyle name="Note 4 2 5 3" xfId="23047"/>
    <cellStyle name="Note 4 2 5 3 2" xfId="23048"/>
    <cellStyle name="Note 4 2 5 4" xfId="23049"/>
    <cellStyle name="Note 4 2 6" xfId="23050"/>
    <cellStyle name="Note 4 2 6 2" xfId="23051"/>
    <cellStyle name="Note 4 2 6 2 2" xfId="23052"/>
    <cellStyle name="Note 4 2 6 3" xfId="23053"/>
    <cellStyle name="Note 4 2 6 3 2" xfId="23054"/>
    <cellStyle name="Note 4 2 6 4" xfId="23055"/>
    <cellStyle name="Note 4 2 7" xfId="23056"/>
    <cellStyle name="Note 4 2 7 2" xfId="23057"/>
    <cellStyle name="Note 4 2 7 2 2" xfId="23058"/>
    <cellStyle name="Note 4 2 7 3" xfId="23059"/>
    <cellStyle name="Note 4 2 7 3 2" xfId="23060"/>
    <cellStyle name="Note 4 2 7 4" xfId="23061"/>
    <cellStyle name="Note 4 2 8" xfId="23062"/>
    <cellStyle name="Note 4 2 8 2" xfId="23063"/>
    <cellStyle name="Note 4 2 8 2 2" xfId="23064"/>
    <cellStyle name="Note 4 2 8 3" xfId="23065"/>
    <cellStyle name="Note 4 2 8 3 2" xfId="23066"/>
    <cellStyle name="Note 4 2 8 4" xfId="23067"/>
    <cellStyle name="Note 4 2 9" xfId="23068"/>
    <cellStyle name="Note 4 2 9 2" xfId="23069"/>
    <cellStyle name="Note 4 2 9 2 2" xfId="23070"/>
    <cellStyle name="Note 4 2 9 3" xfId="23071"/>
    <cellStyle name="Note 4 2 9 3 2" xfId="23072"/>
    <cellStyle name="Note 4 2 9 4" xfId="23073"/>
    <cellStyle name="Note 4 20" xfId="23074"/>
    <cellStyle name="Note 4 20 2" xfId="23075"/>
    <cellStyle name="Note 4 21" xfId="23076"/>
    <cellStyle name="Note 4 21 2" xfId="23077"/>
    <cellStyle name="Note 4 22" xfId="23078"/>
    <cellStyle name="Note 4 23" xfId="22935"/>
    <cellStyle name="Note 4 3" xfId="1654"/>
    <cellStyle name="Note 4 3 2" xfId="23080"/>
    <cellStyle name="Note 4 3 2 2" xfId="23081"/>
    <cellStyle name="Note 4 3 2 2 2" xfId="23082"/>
    <cellStyle name="Note 4 3 2 3" xfId="23083"/>
    <cellStyle name="Note 4 3 2 3 2" xfId="23084"/>
    <cellStyle name="Note 4 3 2 4" xfId="23085"/>
    <cellStyle name="Note 4 3 3" xfId="23086"/>
    <cellStyle name="Note 4 3 3 2" xfId="23087"/>
    <cellStyle name="Note 4 3 4" xfId="23088"/>
    <cellStyle name="Note 4 3 4 2" xfId="23089"/>
    <cellStyle name="Note 4 3 5" xfId="23090"/>
    <cellStyle name="Note 4 3 5 2" xfId="23091"/>
    <cellStyle name="Note 4 3 6" xfId="23092"/>
    <cellStyle name="Note 4 3 7" xfId="23079"/>
    <cellStyle name="Note 4 4" xfId="1768"/>
    <cellStyle name="Note 4 4 2" xfId="23094"/>
    <cellStyle name="Note 4 4 2 2" xfId="23095"/>
    <cellStyle name="Note 4 4 2 2 2" xfId="23096"/>
    <cellStyle name="Note 4 4 2 3" xfId="23097"/>
    <cellStyle name="Note 4 4 2 3 2" xfId="23098"/>
    <cellStyle name="Note 4 4 2 4" xfId="23099"/>
    <cellStyle name="Note 4 4 3" xfId="23100"/>
    <cellStyle name="Note 4 4 3 2" xfId="23101"/>
    <cellStyle name="Note 4 4 4" xfId="23102"/>
    <cellStyle name="Note 4 4 4 2" xfId="23103"/>
    <cellStyle name="Note 4 4 5" xfId="23104"/>
    <cellStyle name="Note 4 4 5 2" xfId="23105"/>
    <cellStyle name="Note 4 4 6" xfId="23106"/>
    <cellStyle name="Note 4 4 7" xfId="23093"/>
    <cellStyle name="Note 4 5" xfId="2103"/>
    <cellStyle name="Note 4 5 2" xfId="23108"/>
    <cellStyle name="Note 4 5 2 2" xfId="23109"/>
    <cellStyle name="Note 4 5 3" xfId="23110"/>
    <cellStyle name="Note 4 5 3 2" xfId="23111"/>
    <cellStyle name="Note 4 5 4" xfId="23112"/>
    <cellStyle name="Note 4 5 4 2" xfId="23113"/>
    <cellStyle name="Note 4 5 5" xfId="23114"/>
    <cellStyle name="Note 4 5 6" xfId="23107"/>
    <cellStyle name="Note 4 6" xfId="2477"/>
    <cellStyle name="Note 4 6 2" xfId="23116"/>
    <cellStyle name="Note 4 6 2 2" xfId="23117"/>
    <cellStyle name="Note 4 6 3" xfId="23118"/>
    <cellStyle name="Note 4 6 3 2" xfId="23119"/>
    <cellStyle name="Note 4 6 4" xfId="23120"/>
    <cellStyle name="Note 4 6 4 2" xfId="23121"/>
    <cellStyle name="Note 4 6 5" xfId="23122"/>
    <cellStyle name="Note 4 6 6" xfId="23115"/>
    <cellStyle name="Note 4 7" xfId="2849"/>
    <cellStyle name="Note 4 7 2" xfId="23124"/>
    <cellStyle name="Note 4 7 2 2" xfId="23125"/>
    <cellStyle name="Note 4 7 3" xfId="23126"/>
    <cellStyle name="Note 4 7 3 2" xfId="23127"/>
    <cellStyle name="Note 4 7 4" xfId="23128"/>
    <cellStyle name="Note 4 7 4 2" xfId="23129"/>
    <cellStyle name="Note 4 7 5" xfId="23130"/>
    <cellStyle name="Note 4 7 6" xfId="23123"/>
    <cellStyle name="Note 4 8" xfId="3220"/>
    <cellStyle name="Note 4 8 2" xfId="23132"/>
    <cellStyle name="Note 4 8 2 2" xfId="23133"/>
    <cellStyle name="Note 4 8 3" xfId="23134"/>
    <cellStyle name="Note 4 8 3 2" xfId="23135"/>
    <cellStyle name="Note 4 8 4" xfId="23136"/>
    <cellStyle name="Note 4 8 4 2" xfId="23137"/>
    <cellStyle name="Note 4 8 5" xfId="23138"/>
    <cellStyle name="Note 4 8 6" xfId="23131"/>
    <cellStyle name="Note 4 9" xfId="3618"/>
    <cellStyle name="Note 4 9 2" xfId="23140"/>
    <cellStyle name="Note 4 9 2 2" xfId="23141"/>
    <cellStyle name="Note 4 9 3" xfId="23142"/>
    <cellStyle name="Note 4 9 3 2" xfId="23143"/>
    <cellStyle name="Note 4 9 4" xfId="23144"/>
    <cellStyle name="Note 4 9 4 2" xfId="23145"/>
    <cellStyle name="Note 4 9 5" xfId="23146"/>
    <cellStyle name="Note 4 9 6" xfId="23139"/>
    <cellStyle name="Note 5" xfId="503"/>
    <cellStyle name="Note 5 10" xfId="23148"/>
    <cellStyle name="Note 5 10 2" xfId="23149"/>
    <cellStyle name="Note 5 10 2 2" xfId="23150"/>
    <cellStyle name="Note 5 10 3" xfId="23151"/>
    <cellStyle name="Note 5 10 3 2" xfId="23152"/>
    <cellStyle name="Note 5 10 4" xfId="23153"/>
    <cellStyle name="Note 5 11" xfId="23154"/>
    <cellStyle name="Note 5 11 2" xfId="23155"/>
    <cellStyle name="Note 5 11 2 2" xfId="23156"/>
    <cellStyle name="Note 5 11 3" xfId="23157"/>
    <cellStyle name="Note 5 11 3 2" xfId="23158"/>
    <cellStyle name="Note 5 11 4" xfId="23159"/>
    <cellStyle name="Note 5 12" xfId="23160"/>
    <cellStyle name="Note 5 12 2" xfId="23161"/>
    <cellStyle name="Note 5 12 2 2" xfId="23162"/>
    <cellStyle name="Note 5 12 3" xfId="23163"/>
    <cellStyle name="Note 5 12 3 2" xfId="23164"/>
    <cellStyle name="Note 5 12 4" xfId="23165"/>
    <cellStyle name="Note 5 13" xfId="23166"/>
    <cellStyle name="Note 5 13 2" xfId="23167"/>
    <cellStyle name="Note 5 13 2 2" xfId="23168"/>
    <cellStyle name="Note 5 13 3" xfId="23169"/>
    <cellStyle name="Note 5 13 3 2" xfId="23170"/>
    <cellStyle name="Note 5 13 4" xfId="23171"/>
    <cellStyle name="Note 5 14" xfId="23172"/>
    <cellStyle name="Note 5 14 2" xfId="23173"/>
    <cellStyle name="Note 5 14 2 2" xfId="23174"/>
    <cellStyle name="Note 5 14 3" xfId="23175"/>
    <cellStyle name="Note 5 14 3 2" xfId="23176"/>
    <cellStyle name="Note 5 14 4" xfId="23177"/>
    <cellStyle name="Note 5 15" xfId="23178"/>
    <cellStyle name="Note 5 15 2" xfId="23179"/>
    <cellStyle name="Note 5 16" xfId="23180"/>
    <cellStyle name="Note 5 16 2" xfId="23181"/>
    <cellStyle name="Note 5 17" xfId="23182"/>
    <cellStyle name="Note 5 17 2" xfId="23183"/>
    <cellStyle name="Note 5 18" xfId="23184"/>
    <cellStyle name="Note 5 19" xfId="23147"/>
    <cellStyle name="Note 5 2" xfId="23185"/>
    <cellStyle name="Note 5 2 10" xfId="23186"/>
    <cellStyle name="Note 5 2 10 2" xfId="23187"/>
    <cellStyle name="Note 5 2 10 2 2" xfId="23188"/>
    <cellStyle name="Note 5 2 10 3" xfId="23189"/>
    <cellStyle name="Note 5 2 10 3 2" xfId="23190"/>
    <cellStyle name="Note 5 2 10 4" xfId="23191"/>
    <cellStyle name="Note 5 2 11" xfId="23192"/>
    <cellStyle name="Note 5 2 11 2" xfId="23193"/>
    <cellStyle name="Note 5 2 11 2 2" xfId="23194"/>
    <cellStyle name="Note 5 2 11 3" xfId="23195"/>
    <cellStyle name="Note 5 2 11 3 2" xfId="23196"/>
    <cellStyle name="Note 5 2 11 4" xfId="23197"/>
    <cellStyle name="Note 5 2 12" xfId="23198"/>
    <cellStyle name="Note 5 2 12 2" xfId="23199"/>
    <cellStyle name="Note 5 2 12 2 2" xfId="23200"/>
    <cellStyle name="Note 5 2 12 3" xfId="23201"/>
    <cellStyle name="Note 5 2 12 3 2" xfId="23202"/>
    <cellStyle name="Note 5 2 12 4" xfId="23203"/>
    <cellStyle name="Note 5 2 13" xfId="23204"/>
    <cellStyle name="Note 5 2 13 2" xfId="23205"/>
    <cellStyle name="Note 5 2 14" xfId="23206"/>
    <cellStyle name="Note 5 2 14 2" xfId="23207"/>
    <cellStyle name="Note 5 2 15" xfId="23208"/>
    <cellStyle name="Note 5 2 2" xfId="23209"/>
    <cellStyle name="Note 5 2 2 2" xfId="23210"/>
    <cellStyle name="Note 5 2 2 2 2" xfId="23211"/>
    <cellStyle name="Note 5 2 2 3" xfId="23212"/>
    <cellStyle name="Note 5 2 2 3 2" xfId="23213"/>
    <cellStyle name="Note 5 2 2 4" xfId="23214"/>
    <cellStyle name="Note 5 2 3" xfId="23215"/>
    <cellStyle name="Note 5 2 3 2" xfId="23216"/>
    <cellStyle name="Note 5 2 3 2 2" xfId="23217"/>
    <cellStyle name="Note 5 2 3 3" xfId="23218"/>
    <cellStyle name="Note 5 2 3 3 2" xfId="23219"/>
    <cellStyle name="Note 5 2 3 4" xfId="23220"/>
    <cellStyle name="Note 5 2 4" xfId="23221"/>
    <cellStyle name="Note 5 2 4 2" xfId="23222"/>
    <cellStyle name="Note 5 2 4 2 2" xfId="23223"/>
    <cellStyle name="Note 5 2 4 3" xfId="23224"/>
    <cellStyle name="Note 5 2 4 3 2" xfId="23225"/>
    <cellStyle name="Note 5 2 4 4" xfId="23226"/>
    <cellStyle name="Note 5 2 5" xfId="23227"/>
    <cellStyle name="Note 5 2 5 2" xfId="23228"/>
    <cellStyle name="Note 5 2 5 2 2" xfId="23229"/>
    <cellStyle name="Note 5 2 5 3" xfId="23230"/>
    <cellStyle name="Note 5 2 5 3 2" xfId="23231"/>
    <cellStyle name="Note 5 2 5 4" xfId="23232"/>
    <cellStyle name="Note 5 2 6" xfId="23233"/>
    <cellStyle name="Note 5 2 6 2" xfId="23234"/>
    <cellStyle name="Note 5 2 6 2 2" xfId="23235"/>
    <cellStyle name="Note 5 2 6 3" xfId="23236"/>
    <cellStyle name="Note 5 2 6 3 2" xfId="23237"/>
    <cellStyle name="Note 5 2 6 4" xfId="23238"/>
    <cellStyle name="Note 5 2 7" xfId="23239"/>
    <cellStyle name="Note 5 2 7 2" xfId="23240"/>
    <cellStyle name="Note 5 2 7 2 2" xfId="23241"/>
    <cellStyle name="Note 5 2 7 3" xfId="23242"/>
    <cellStyle name="Note 5 2 7 3 2" xfId="23243"/>
    <cellStyle name="Note 5 2 7 4" xfId="23244"/>
    <cellStyle name="Note 5 2 8" xfId="23245"/>
    <cellStyle name="Note 5 2 8 2" xfId="23246"/>
    <cellStyle name="Note 5 2 8 2 2" xfId="23247"/>
    <cellStyle name="Note 5 2 8 3" xfId="23248"/>
    <cellStyle name="Note 5 2 8 3 2" xfId="23249"/>
    <cellStyle name="Note 5 2 8 4" xfId="23250"/>
    <cellStyle name="Note 5 2 9" xfId="23251"/>
    <cellStyle name="Note 5 2 9 2" xfId="23252"/>
    <cellStyle name="Note 5 2 9 2 2" xfId="23253"/>
    <cellStyle name="Note 5 2 9 3" xfId="23254"/>
    <cellStyle name="Note 5 2 9 3 2" xfId="23255"/>
    <cellStyle name="Note 5 2 9 4" xfId="23256"/>
    <cellStyle name="Note 5 3" xfId="23257"/>
    <cellStyle name="Note 5 3 2" xfId="23258"/>
    <cellStyle name="Note 5 3 2 2" xfId="23259"/>
    <cellStyle name="Note 5 3 2 2 2" xfId="23260"/>
    <cellStyle name="Note 5 3 2 3" xfId="23261"/>
    <cellStyle name="Note 5 3 2 3 2" xfId="23262"/>
    <cellStyle name="Note 5 3 2 4" xfId="23263"/>
    <cellStyle name="Note 5 3 3" xfId="23264"/>
    <cellStyle name="Note 5 3 3 2" xfId="23265"/>
    <cellStyle name="Note 5 3 4" xfId="23266"/>
    <cellStyle name="Note 5 3 4 2" xfId="23267"/>
    <cellStyle name="Note 5 3 5" xfId="23268"/>
    <cellStyle name="Note 5 4" xfId="23269"/>
    <cellStyle name="Note 5 4 2" xfId="23270"/>
    <cellStyle name="Note 5 4 2 2" xfId="23271"/>
    <cellStyle name="Note 5 4 2 2 2" xfId="23272"/>
    <cellStyle name="Note 5 4 2 3" xfId="23273"/>
    <cellStyle name="Note 5 4 2 3 2" xfId="23274"/>
    <cellStyle name="Note 5 4 2 4" xfId="23275"/>
    <cellStyle name="Note 5 4 3" xfId="23276"/>
    <cellStyle name="Note 5 4 3 2" xfId="23277"/>
    <cellStyle name="Note 5 4 4" xfId="23278"/>
    <cellStyle name="Note 5 4 4 2" xfId="23279"/>
    <cellStyle name="Note 5 4 5" xfId="23280"/>
    <cellStyle name="Note 5 5" xfId="23281"/>
    <cellStyle name="Note 5 5 2" xfId="23282"/>
    <cellStyle name="Note 5 5 2 2" xfId="23283"/>
    <cellStyle name="Note 5 5 3" xfId="23284"/>
    <cellStyle name="Note 5 5 3 2" xfId="23285"/>
    <cellStyle name="Note 5 5 4" xfId="23286"/>
    <cellStyle name="Note 5 6" xfId="23287"/>
    <cellStyle name="Note 5 6 2" xfId="23288"/>
    <cellStyle name="Note 5 6 2 2" xfId="23289"/>
    <cellStyle name="Note 5 6 3" xfId="23290"/>
    <cellStyle name="Note 5 6 3 2" xfId="23291"/>
    <cellStyle name="Note 5 6 4" xfId="23292"/>
    <cellStyle name="Note 5 7" xfId="23293"/>
    <cellStyle name="Note 5 7 2" xfId="23294"/>
    <cellStyle name="Note 5 7 2 2" xfId="23295"/>
    <cellStyle name="Note 5 7 3" xfId="23296"/>
    <cellStyle name="Note 5 7 3 2" xfId="23297"/>
    <cellStyle name="Note 5 7 4" xfId="23298"/>
    <cellStyle name="Note 5 8" xfId="23299"/>
    <cellStyle name="Note 5 8 2" xfId="23300"/>
    <cellStyle name="Note 5 8 2 2" xfId="23301"/>
    <cellStyle name="Note 5 8 3" xfId="23302"/>
    <cellStyle name="Note 5 8 3 2" xfId="23303"/>
    <cellStyle name="Note 5 8 4" xfId="23304"/>
    <cellStyle name="Note 5 9" xfId="23305"/>
    <cellStyle name="Note 5 9 2" xfId="23306"/>
    <cellStyle name="Note 5 9 2 2" xfId="23307"/>
    <cellStyle name="Note 5 9 3" xfId="23308"/>
    <cellStyle name="Note 5 9 3 2" xfId="23309"/>
    <cellStyle name="Note 5 9 4" xfId="23310"/>
    <cellStyle name="Note 6" xfId="504"/>
    <cellStyle name="Note 6 10" xfId="5108"/>
    <cellStyle name="Note 6 10 2" xfId="23313"/>
    <cellStyle name="Note 6 10 2 2" xfId="23314"/>
    <cellStyle name="Note 6 10 3" xfId="23315"/>
    <cellStyle name="Note 6 10 3 2" xfId="23316"/>
    <cellStyle name="Note 6 10 4" xfId="23317"/>
    <cellStyle name="Note 6 10 5" xfId="23312"/>
    <cellStyle name="Note 6 11" xfId="5107"/>
    <cellStyle name="Note 6 11 2" xfId="23319"/>
    <cellStyle name="Note 6 11 2 2" xfId="23320"/>
    <cellStyle name="Note 6 11 3" xfId="23321"/>
    <cellStyle name="Note 6 11 3 2" xfId="23322"/>
    <cellStyle name="Note 6 11 4" xfId="23323"/>
    <cellStyle name="Note 6 11 5" xfId="23318"/>
    <cellStyle name="Note 6 12" xfId="7090"/>
    <cellStyle name="Note 6 12 2" xfId="23325"/>
    <cellStyle name="Note 6 12 2 2" xfId="23326"/>
    <cellStyle name="Note 6 12 3" xfId="23327"/>
    <cellStyle name="Note 6 12 3 2" xfId="23328"/>
    <cellStyle name="Note 6 12 4" xfId="23329"/>
    <cellStyle name="Note 6 12 5" xfId="23324"/>
    <cellStyle name="Note 6 12 6" xfId="28122"/>
    <cellStyle name="Note 6 13" xfId="23330"/>
    <cellStyle name="Note 6 13 2" xfId="23331"/>
    <cellStyle name="Note 6 13 2 2" xfId="23332"/>
    <cellStyle name="Note 6 13 3" xfId="23333"/>
    <cellStyle name="Note 6 13 3 2" xfId="23334"/>
    <cellStyle name="Note 6 13 4" xfId="23335"/>
    <cellStyle name="Note 6 14" xfId="23336"/>
    <cellStyle name="Note 6 14 2" xfId="23337"/>
    <cellStyle name="Note 6 15" xfId="23338"/>
    <cellStyle name="Note 6 15 2" xfId="23339"/>
    <cellStyle name="Note 6 16" xfId="23340"/>
    <cellStyle name="Note 6 16 2" xfId="23341"/>
    <cellStyle name="Note 6 17" xfId="23342"/>
    <cellStyle name="Note 6 17 2" xfId="23343"/>
    <cellStyle name="Note 6 17 2 2" xfId="23344"/>
    <cellStyle name="Note 6 17 3" xfId="23345"/>
    <cellStyle name="Note 6 17 3 2" xfId="23346"/>
    <cellStyle name="Note 6 17 4" xfId="23347"/>
    <cellStyle name="Note 6 18" xfId="23348"/>
    <cellStyle name="Note 6 18 2" xfId="23349"/>
    <cellStyle name="Note 6 19" xfId="23350"/>
    <cellStyle name="Note 6 19 2" xfId="23351"/>
    <cellStyle name="Note 6 2" xfId="2005"/>
    <cellStyle name="Note 6 2 10" xfId="23353"/>
    <cellStyle name="Note 6 2 10 2" xfId="23354"/>
    <cellStyle name="Note 6 2 10 2 2" xfId="23355"/>
    <cellStyle name="Note 6 2 10 3" xfId="23356"/>
    <cellStyle name="Note 6 2 10 3 2" xfId="23357"/>
    <cellStyle name="Note 6 2 10 4" xfId="23358"/>
    <cellStyle name="Note 6 2 11" xfId="23359"/>
    <cellStyle name="Note 6 2 11 2" xfId="23360"/>
    <cellStyle name="Note 6 2 11 2 2" xfId="23361"/>
    <cellStyle name="Note 6 2 11 3" xfId="23362"/>
    <cellStyle name="Note 6 2 11 3 2" xfId="23363"/>
    <cellStyle name="Note 6 2 11 4" xfId="23364"/>
    <cellStyle name="Note 6 2 12" xfId="23365"/>
    <cellStyle name="Note 6 2 12 2" xfId="23366"/>
    <cellStyle name="Note 6 2 12 2 2" xfId="23367"/>
    <cellStyle name="Note 6 2 12 3" xfId="23368"/>
    <cellStyle name="Note 6 2 12 3 2" xfId="23369"/>
    <cellStyle name="Note 6 2 12 4" xfId="23370"/>
    <cellStyle name="Note 6 2 13" xfId="23371"/>
    <cellStyle name="Note 6 2 13 2" xfId="23372"/>
    <cellStyle name="Note 6 2 14" xfId="23373"/>
    <cellStyle name="Note 6 2 14 2" xfId="23374"/>
    <cellStyle name="Note 6 2 15" xfId="23375"/>
    <cellStyle name="Note 6 2 15 2" xfId="23376"/>
    <cellStyle name="Note 6 2 16" xfId="23377"/>
    <cellStyle name="Note 6 2 17" xfId="23352"/>
    <cellStyle name="Note 6 2 2" xfId="23378"/>
    <cellStyle name="Note 6 2 2 2" xfId="23379"/>
    <cellStyle name="Note 6 2 2 2 2" xfId="23380"/>
    <cellStyle name="Note 6 2 2 3" xfId="23381"/>
    <cellStyle name="Note 6 2 2 3 2" xfId="23382"/>
    <cellStyle name="Note 6 2 2 4" xfId="23383"/>
    <cellStyle name="Note 6 2 3" xfId="23384"/>
    <cellStyle name="Note 6 2 3 2" xfId="23385"/>
    <cellStyle name="Note 6 2 3 2 2" xfId="23386"/>
    <cellStyle name="Note 6 2 3 3" xfId="23387"/>
    <cellStyle name="Note 6 2 3 3 2" xfId="23388"/>
    <cellStyle name="Note 6 2 3 4" xfId="23389"/>
    <cellStyle name="Note 6 2 4" xfId="23390"/>
    <cellStyle name="Note 6 2 4 2" xfId="23391"/>
    <cellStyle name="Note 6 2 4 2 2" xfId="23392"/>
    <cellStyle name="Note 6 2 4 3" xfId="23393"/>
    <cellStyle name="Note 6 2 4 3 2" xfId="23394"/>
    <cellStyle name="Note 6 2 4 4" xfId="23395"/>
    <cellStyle name="Note 6 2 5" xfId="23396"/>
    <cellStyle name="Note 6 2 5 2" xfId="23397"/>
    <cellStyle name="Note 6 2 5 2 2" xfId="23398"/>
    <cellStyle name="Note 6 2 5 3" xfId="23399"/>
    <cellStyle name="Note 6 2 5 3 2" xfId="23400"/>
    <cellStyle name="Note 6 2 5 4" xfId="23401"/>
    <cellStyle name="Note 6 2 6" xfId="23402"/>
    <cellStyle name="Note 6 2 6 2" xfId="23403"/>
    <cellStyle name="Note 6 2 6 2 2" xfId="23404"/>
    <cellStyle name="Note 6 2 6 3" xfId="23405"/>
    <cellStyle name="Note 6 2 6 3 2" xfId="23406"/>
    <cellStyle name="Note 6 2 6 4" xfId="23407"/>
    <cellStyle name="Note 6 2 7" xfId="23408"/>
    <cellStyle name="Note 6 2 7 2" xfId="23409"/>
    <cellStyle name="Note 6 2 7 2 2" xfId="23410"/>
    <cellStyle name="Note 6 2 7 3" xfId="23411"/>
    <cellStyle name="Note 6 2 7 3 2" xfId="23412"/>
    <cellStyle name="Note 6 2 7 4" xfId="23413"/>
    <cellStyle name="Note 6 2 8" xfId="23414"/>
    <cellStyle name="Note 6 2 8 2" xfId="23415"/>
    <cellStyle name="Note 6 2 8 2 2" xfId="23416"/>
    <cellStyle name="Note 6 2 8 3" xfId="23417"/>
    <cellStyle name="Note 6 2 8 3 2" xfId="23418"/>
    <cellStyle name="Note 6 2 8 4" xfId="23419"/>
    <cellStyle name="Note 6 2 9" xfId="23420"/>
    <cellStyle name="Note 6 2 9 2" xfId="23421"/>
    <cellStyle name="Note 6 2 9 2 2" xfId="23422"/>
    <cellStyle name="Note 6 2 9 3" xfId="23423"/>
    <cellStyle name="Note 6 2 9 3 2" xfId="23424"/>
    <cellStyle name="Note 6 2 9 4" xfId="23425"/>
    <cellStyle name="Note 6 20" xfId="23426"/>
    <cellStyle name="Note 6 20 2" xfId="23427"/>
    <cellStyle name="Note 6 21" xfId="23428"/>
    <cellStyle name="Note 6 22" xfId="23311"/>
    <cellStyle name="Note 6 23" xfId="24844"/>
    <cellStyle name="Note 6 24" xfId="28121"/>
    <cellStyle name="Note 6 3" xfId="2380"/>
    <cellStyle name="Note 6 3 2" xfId="23430"/>
    <cellStyle name="Note 6 3 2 2" xfId="23431"/>
    <cellStyle name="Note 6 3 3" xfId="23432"/>
    <cellStyle name="Note 6 3 3 2" xfId="23433"/>
    <cellStyle name="Note 6 3 4" xfId="23434"/>
    <cellStyle name="Note 6 3 4 2" xfId="23435"/>
    <cellStyle name="Note 6 3 5" xfId="23436"/>
    <cellStyle name="Note 6 3 6" xfId="23429"/>
    <cellStyle name="Note 6 4" xfId="2753"/>
    <cellStyle name="Note 6 4 2" xfId="23438"/>
    <cellStyle name="Note 6 4 2 2" xfId="23439"/>
    <cellStyle name="Note 6 4 3" xfId="23440"/>
    <cellStyle name="Note 6 4 3 2" xfId="23441"/>
    <cellStyle name="Note 6 4 4" xfId="23442"/>
    <cellStyle name="Note 6 4 4 2" xfId="23443"/>
    <cellStyle name="Note 6 4 5" xfId="23444"/>
    <cellStyle name="Note 6 4 6" xfId="23437"/>
    <cellStyle name="Note 6 5" xfId="3126"/>
    <cellStyle name="Note 6 5 2" xfId="23446"/>
    <cellStyle name="Note 6 5 2 2" xfId="23447"/>
    <cellStyle name="Note 6 5 3" xfId="23448"/>
    <cellStyle name="Note 6 5 3 2" xfId="23449"/>
    <cellStyle name="Note 6 5 4" xfId="23450"/>
    <cellStyle name="Note 6 5 4 2" xfId="23451"/>
    <cellStyle name="Note 6 5 5" xfId="23452"/>
    <cellStyle name="Note 6 5 6" xfId="23445"/>
    <cellStyle name="Note 6 6" xfId="3497"/>
    <cellStyle name="Note 6 6 2" xfId="23454"/>
    <cellStyle name="Note 6 6 2 2" xfId="23455"/>
    <cellStyle name="Note 6 6 3" xfId="23456"/>
    <cellStyle name="Note 6 6 3 2" xfId="23457"/>
    <cellStyle name="Note 6 6 4" xfId="23458"/>
    <cellStyle name="Note 6 6 4 2" xfId="23459"/>
    <cellStyle name="Note 6 6 5" xfId="23460"/>
    <cellStyle name="Note 6 6 6" xfId="23453"/>
    <cellStyle name="Note 6 7" xfId="3803"/>
    <cellStyle name="Note 6 7 2" xfId="23462"/>
    <cellStyle name="Note 6 7 2 2" xfId="23463"/>
    <cellStyle name="Note 6 7 3" xfId="23464"/>
    <cellStyle name="Note 6 7 3 2" xfId="23465"/>
    <cellStyle name="Note 6 7 4" xfId="23466"/>
    <cellStyle name="Note 6 7 4 2" xfId="23467"/>
    <cellStyle name="Note 6 7 5" xfId="23468"/>
    <cellStyle name="Note 6 7 6" xfId="23461"/>
    <cellStyle name="Note 6 8" xfId="1360"/>
    <cellStyle name="Note 6 8 10" xfId="23469"/>
    <cellStyle name="Note 6 8 11" xfId="24892"/>
    <cellStyle name="Note 6 8 12" xfId="28123"/>
    <cellStyle name="Note 6 8 2" xfId="4160"/>
    <cellStyle name="Note 6 8 2 2" xfId="5111"/>
    <cellStyle name="Note 6 8 2 2 2" xfId="23472"/>
    <cellStyle name="Note 6 8 2 2 3" xfId="23471"/>
    <cellStyle name="Note 6 8 2 3" xfId="5110"/>
    <cellStyle name="Note 6 8 2 3 2" xfId="23473"/>
    <cellStyle name="Note 6 8 2 4" xfId="7092"/>
    <cellStyle name="Note 6 8 2 4 2" xfId="28125"/>
    <cellStyle name="Note 6 8 2 5" xfId="23470"/>
    <cellStyle name="Note 6 8 2 6" xfId="25012"/>
    <cellStyle name="Note 6 8 2 7" xfId="28124"/>
    <cellStyle name="Note 6 8 3" xfId="5112"/>
    <cellStyle name="Note 6 8 3 2" xfId="23475"/>
    <cellStyle name="Note 6 8 3 3" xfId="23474"/>
    <cellStyle name="Note 6 8 4" xfId="5109"/>
    <cellStyle name="Note 6 8 4 2" xfId="23477"/>
    <cellStyle name="Note 6 8 4 3" xfId="23476"/>
    <cellStyle name="Note 6 8 5" xfId="7091"/>
    <cellStyle name="Note 6 8 5 2" xfId="23479"/>
    <cellStyle name="Note 6 8 5 2 2" xfId="23480"/>
    <cellStyle name="Note 6 8 5 3" xfId="23481"/>
    <cellStyle name="Note 6 8 5 3 2" xfId="23482"/>
    <cellStyle name="Note 6 8 5 4" xfId="23483"/>
    <cellStyle name="Note 6 8 5 5" xfId="23478"/>
    <cellStyle name="Note 6 8 5 6" xfId="28126"/>
    <cellStyle name="Note 6 8 6" xfId="23484"/>
    <cellStyle name="Note 6 8 6 2" xfId="23485"/>
    <cellStyle name="Note 6 8 7" xfId="23486"/>
    <cellStyle name="Note 6 8 7 2" xfId="23487"/>
    <cellStyle name="Note 6 8 8" xfId="23488"/>
    <cellStyle name="Note 6 8 8 2" xfId="23489"/>
    <cellStyle name="Note 6 8 9" xfId="23490"/>
    <cellStyle name="Note 6 9" xfId="3830"/>
    <cellStyle name="Note 6 9 2" xfId="5114"/>
    <cellStyle name="Note 6 9 2 2" xfId="23493"/>
    <cellStyle name="Note 6 9 2 3" xfId="23492"/>
    <cellStyle name="Note 6 9 3" xfId="5113"/>
    <cellStyle name="Note 6 9 3 2" xfId="23495"/>
    <cellStyle name="Note 6 9 3 3" xfId="23494"/>
    <cellStyle name="Note 6 9 4" xfId="7093"/>
    <cellStyle name="Note 6 9 4 2" xfId="23497"/>
    <cellStyle name="Note 6 9 4 3" xfId="23496"/>
    <cellStyle name="Note 6 9 4 4" xfId="28128"/>
    <cellStyle name="Note 6 9 5" xfId="23498"/>
    <cellStyle name="Note 6 9 6" xfId="23491"/>
    <cellStyle name="Note 6 9 7" xfId="24966"/>
    <cellStyle name="Note 6 9 8" xfId="28127"/>
    <cellStyle name="Note 7" xfId="505"/>
    <cellStyle name="Note 7 10" xfId="23500"/>
    <cellStyle name="Note 7 10 2" xfId="23501"/>
    <cellStyle name="Note 7 10 2 2" xfId="23502"/>
    <cellStyle name="Note 7 10 3" xfId="23503"/>
    <cellStyle name="Note 7 10 3 2" xfId="23504"/>
    <cellStyle name="Note 7 10 4" xfId="23505"/>
    <cellStyle name="Note 7 11" xfId="23506"/>
    <cellStyle name="Note 7 11 2" xfId="23507"/>
    <cellStyle name="Note 7 11 2 2" xfId="23508"/>
    <cellStyle name="Note 7 11 3" xfId="23509"/>
    <cellStyle name="Note 7 11 3 2" xfId="23510"/>
    <cellStyle name="Note 7 11 4" xfId="23511"/>
    <cellStyle name="Note 7 12" xfId="23512"/>
    <cellStyle name="Note 7 12 2" xfId="23513"/>
    <cellStyle name="Note 7 12 2 2" xfId="23514"/>
    <cellStyle name="Note 7 12 3" xfId="23515"/>
    <cellStyle name="Note 7 12 3 2" xfId="23516"/>
    <cellStyle name="Note 7 12 4" xfId="23517"/>
    <cellStyle name="Note 7 13" xfId="23518"/>
    <cellStyle name="Note 7 13 2" xfId="23519"/>
    <cellStyle name="Note 7 13 2 2" xfId="23520"/>
    <cellStyle name="Note 7 13 3" xfId="23521"/>
    <cellStyle name="Note 7 13 3 2" xfId="23522"/>
    <cellStyle name="Note 7 13 4" xfId="23523"/>
    <cellStyle name="Note 7 14" xfId="23524"/>
    <cellStyle name="Note 7 14 2" xfId="23525"/>
    <cellStyle name="Note 7 15" xfId="23526"/>
    <cellStyle name="Note 7 15 2" xfId="23527"/>
    <cellStyle name="Note 7 16" xfId="23528"/>
    <cellStyle name="Note 7 16 2" xfId="23529"/>
    <cellStyle name="Note 7 17" xfId="23530"/>
    <cellStyle name="Note 7 18" xfId="23499"/>
    <cellStyle name="Note 7 2" xfId="23531"/>
    <cellStyle name="Note 7 2 10" xfId="23532"/>
    <cellStyle name="Note 7 2 10 2" xfId="23533"/>
    <cellStyle name="Note 7 2 10 2 2" xfId="23534"/>
    <cellStyle name="Note 7 2 10 3" xfId="23535"/>
    <cellStyle name="Note 7 2 10 3 2" xfId="23536"/>
    <cellStyle name="Note 7 2 10 4" xfId="23537"/>
    <cellStyle name="Note 7 2 11" xfId="23538"/>
    <cellStyle name="Note 7 2 11 2" xfId="23539"/>
    <cellStyle name="Note 7 2 11 2 2" xfId="23540"/>
    <cellStyle name="Note 7 2 11 3" xfId="23541"/>
    <cellStyle name="Note 7 2 11 3 2" xfId="23542"/>
    <cellStyle name="Note 7 2 11 4" xfId="23543"/>
    <cellStyle name="Note 7 2 12" xfId="23544"/>
    <cellStyle name="Note 7 2 12 2" xfId="23545"/>
    <cellStyle name="Note 7 2 12 2 2" xfId="23546"/>
    <cellStyle name="Note 7 2 12 3" xfId="23547"/>
    <cellStyle name="Note 7 2 12 3 2" xfId="23548"/>
    <cellStyle name="Note 7 2 12 4" xfId="23549"/>
    <cellStyle name="Note 7 2 13" xfId="23550"/>
    <cellStyle name="Note 7 2 13 2" xfId="23551"/>
    <cellStyle name="Note 7 2 14" xfId="23552"/>
    <cellStyle name="Note 7 2 14 2" xfId="23553"/>
    <cellStyle name="Note 7 2 15" xfId="23554"/>
    <cellStyle name="Note 7 2 2" xfId="23555"/>
    <cellStyle name="Note 7 2 2 2" xfId="23556"/>
    <cellStyle name="Note 7 2 2 2 2" xfId="23557"/>
    <cellStyle name="Note 7 2 2 3" xfId="23558"/>
    <cellStyle name="Note 7 2 2 3 2" xfId="23559"/>
    <cellStyle name="Note 7 2 2 4" xfId="23560"/>
    <cellStyle name="Note 7 2 3" xfId="23561"/>
    <cellStyle name="Note 7 2 3 2" xfId="23562"/>
    <cellStyle name="Note 7 2 3 2 2" xfId="23563"/>
    <cellStyle name="Note 7 2 3 3" xfId="23564"/>
    <cellStyle name="Note 7 2 3 3 2" xfId="23565"/>
    <cellStyle name="Note 7 2 3 4" xfId="23566"/>
    <cellStyle name="Note 7 2 4" xfId="23567"/>
    <cellStyle name="Note 7 2 4 2" xfId="23568"/>
    <cellStyle name="Note 7 2 4 2 2" xfId="23569"/>
    <cellStyle name="Note 7 2 4 3" xfId="23570"/>
    <cellStyle name="Note 7 2 4 3 2" xfId="23571"/>
    <cellStyle name="Note 7 2 4 4" xfId="23572"/>
    <cellStyle name="Note 7 2 5" xfId="23573"/>
    <cellStyle name="Note 7 2 5 2" xfId="23574"/>
    <cellStyle name="Note 7 2 5 2 2" xfId="23575"/>
    <cellStyle name="Note 7 2 5 3" xfId="23576"/>
    <cellStyle name="Note 7 2 5 3 2" xfId="23577"/>
    <cellStyle name="Note 7 2 5 4" xfId="23578"/>
    <cellStyle name="Note 7 2 6" xfId="23579"/>
    <cellStyle name="Note 7 2 6 2" xfId="23580"/>
    <cellStyle name="Note 7 2 6 2 2" xfId="23581"/>
    <cellStyle name="Note 7 2 6 3" xfId="23582"/>
    <cellStyle name="Note 7 2 6 3 2" xfId="23583"/>
    <cellStyle name="Note 7 2 6 4" xfId="23584"/>
    <cellStyle name="Note 7 2 7" xfId="23585"/>
    <cellStyle name="Note 7 2 7 2" xfId="23586"/>
    <cellStyle name="Note 7 2 7 2 2" xfId="23587"/>
    <cellStyle name="Note 7 2 7 3" xfId="23588"/>
    <cellStyle name="Note 7 2 7 3 2" xfId="23589"/>
    <cellStyle name="Note 7 2 7 4" xfId="23590"/>
    <cellStyle name="Note 7 2 8" xfId="23591"/>
    <cellStyle name="Note 7 2 8 2" xfId="23592"/>
    <cellStyle name="Note 7 2 8 2 2" xfId="23593"/>
    <cellStyle name="Note 7 2 8 3" xfId="23594"/>
    <cellStyle name="Note 7 2 8 3 2" xfId="23595"/>
    <cellStyle name="Note 7 2 8 4" xfId="23596"/>
    <cellStyle name="Note 7 2 9" xfId="23597"/>
    <cellStyle name="Note 7 2 9 2" xfId="23598"/>
    <cellStyle name="Note 7 2 9 2 2" xfId="23599"/>
    <cellStyle name="Note 7 2 9 3" xfId="23600"/>
    <cellStyle name="Note 7 2 9 3 2" xfId="23601"/>
    <cellStyle name="Note 7 2 9 4" xfId="23602"/>
    <cellStyle name="Note 7 3" xfId="23603"/>
    <cellStyle name="Note 7 3 2" xfId="23604"/>
    <cellStyle name="Note 7 3 2 2" xfId="23605"/>
    <cellStyle name="Note 7 3 3" xfId="23606"/>
    <cellStyle name="Note 7 3 3 2" xfId="23607"/>
    <cellStyle name="Note 7 3 4" xfId="23608"/>
    <cellStyle name="Note 7 4" xfId="23609"/>
    <cellStyle name="Note 7 4 2" xfId="23610"/>
    <cellStyle name="Note 7 4 2 2" xfId="23611"/>
    <cellStyle name="Note 7 4 3" xfId="23612"/>
    <cellStyle name="Note 7 4 3 2" xfId="23613"/>
    <cellStyle name="Note 7 4 4" xfId="23614"/>
    <cellStyle name="Note 7 5" xfId="23615"/>
    <cellStyle name="Note 7 5 2" xfId="23616"/>
    <cellStyle name="Note 7 5 2 2" xfId="23617"/>
    <cellStyle name="Note 7 5 3" xfId="23618"/>
    <cellStyle name="Note 7 5 3 2" xfId="23619"/>
    <cellStyle name="Note 7 5 4" xfId="23620"/>
    <cellStyle name="Note 7 6" xfId="23621"/>
    <cellStyle name="Note 7 6 2" xfId="23622"/>
    <cellStyle name="Note 7 6 2 2" xfId="23623"/>
    <cellStyle name="Note 7 6 3" xfId="23624"/>
    <cellStyle name="Note 7 6 3 2" xfId="23625"/>
    <cellStyle name="Note 7 6 4" xfId="23626"/>
    <cellStyle name="Note 7 7" xfId="23627"/>
    <cellStyle name="Note 7 7 2" xfId="23628"/>
    <cellStyle name="Note 7 7 2 2" xfId="23629"/>
    <cellStyle name="Note 7 7 3" xfId="23630"/>
    <cellStyle name="Note 7 7 3 2" xfId="23631"/>
    <cellStyle name="Note 7 7 4" xfId="23632"/>
    <cellStyle name="Note 7 8" xfId="23633"/>
    <cellStyle name="Note 7 8 2" xfId="23634"/>
    <cellStyle name="Note 7 8 2 2" xfId="23635"/>
    <cellStyle name="Note 7 8 3" xfId="23636"/>
    <cellStyle name="Note 7 8 3 2" xfId="23637"/>
    <cellStyle name="Note 7 8 4" xfId="23638"/>
    <cellStyle name="Note 7 9" xfId="23639"/>
    <cellStyle name="Note 7 9 2" xfId="23640"/>
    <cellStyle name="Note 7 9 2 2" xfId="23641"/>
    <cellStyle name="Note 7 9 3" xfId="23642"/>
    <cellStyle name="Note 7 9 3 2" xfId="23643"/>
    <cellStyle name="Note 7 9 4" xfId="23644"/>
    <cellStyle name="Note 8" xfId="628"/>
    <cellStyle name="Note 8 10" xfId="23646"/>
    <cellStyle name="Note 8 10 2" xfId="23647"/>
    <cellStyle name="Note 8 10 2 2" xfId="23648"/>
    <cellStyle name="Note 8 10 3" xfId="23649"/>
    <cellStyle name="Note 8 10 3 2" xfId="23650"/>
    <cellStyle name="Note 8 10 4" xfId="23651"/>
    <cellStyle name="Note 8 11" xfId="23652"/>
    <cellStyle name="Note 8 11 2" xfId="23653"/>
    <cellStyle name="Note 8 11 2 2" xfId="23654"/>
    <cellStyle name="Note 8 11 3" xfId="23655"/>
    <cellStyle name="Note 8 11 3 2" xfId="23656"/>
    <cellStyle name="Note 8 11 4" xfId="23657"/>
    <cellStyle name="Note 8 12" xfId="23658"/>
    <cellStyle name="Note 8 12 2" xfId="23659"/>
    <cellStyle name="Note 8 12 2 2" xfId="23660"/>
    <cellStyle name="Note 8 12 3" xfId="23661"/>
    <cellStyle name="Note 8 12 3 2" xfId="23662"/>
    <cellStyle name="Note 8 12 4" xfId="23663"/>
    <cellStyle name="Note 8 13" xfId="23664"/>
    <cellStyle name="Note 8 13 2" xfId="23665"/>
    <cellStyle name="Note 8 13 2 2" xfId="23666"/>
    <cellStyle name="Note 8 13 3" xfId="23667"/>
    <cellStyle name="Note 8 13 3 2" xfId="23668"/>
    <cellStyle name="Note 8 13 4" xfId="23669"/>
    <cellStyle name="Note 8 14" xfId="23670"/>
    <cellStyle name="Note 8 14 2" xfId="23671"/>
    <cellStyle name="Note 8 15" xfId="23672"/>
    <cellStyle name="Note 8 15 2" xfId="23673"/>
    <cellStyle name="Note 8 16" xfId="23674"/>
    <cellStyle name="Note 8 16 2" xfId="23675"/>
    <cellStyle name="Note 8 17" xfId="23676"/>
    <cellStyle name="Note 8 17 2" xfId="23677"/>
    <cellStyle name="Note 8 17 2 2" xfId="23678"/>
    <cellStyle name="Note 8 17 3" xfId="23679"/>
    <cellStyle name="Note 8 17 3 2" xfId="23680"/>
    <cellStyle name="Note 8 17 4" xfId="23681"/>
    <cellStyle name="Note 8 18" xfId="23682"/>
    <cellStyle name="Note 8 18 2" xfId="23683"/>
    <cellStyle name="Note 8 19" xfId="23684"/>
    <cellStyle name="Note 8 19 2" xfId="23685"/>
    <cellStyle name="Note 8 2" xfId="1371"/>
    <cellStyle name="Note 8 2 10" xfId="23687"/>
    <cellStyle name="Note 8 2 10 2" xfId="23688"/>
    <cellStyle name="Note 8 2 10 2 2" xfId="23689"/>
    <cellStyle name="Note 8 2 10 3" xfId="23690"/>
    <cellStyle name="Note 8 2 10 3 2" xfId="23691"/>
    <cellStyle name="Note 8 2 10 4" xfId="23692"/>
    <cellStyle name="Note 8 2 11" xfId="23693"/>
    <cellStyle name="Note 8 2 11 2" xfId="23694"/>
    <cellStyle name="Note 8 2 11 2 2" xfId="23695"/>
    <cellStyle name="Note 8 2 11 3" xfId="23696"/>
    <cellStyle name="Note 8 2 11 3 2" xfId="23697"/>
    <cellStyle name="Note 8 2 11 4" xfId="23698"/>
    <cellStyle name="Note 8 2 12" xfId="23699"/>
    <cellStyle name="Note 8 2 12 2" xfId="23700"/>
    <cellStyle name="Note 8 2 12 2 2" xfId="23701"/>
    <cellStyle name="Note 8 2 12 3" xfId="23702"/>
    <cellStyle name="Note 8 2 12 3 2" xfId="23703"/>
    <cellStyle name="Note 8 2 12 4" xfId="23704"/>
    <cellStyle name="Note 8 2 13" xfId="23705"/>
    <cellStyle name="Note 8 2 13 2" xfId="23706"/>
    <cellStyle name="Note 8 2 14" xfId="23707"/>
    <cellStyle name="Note 8 2 14 2" xfId="23708"/>
    <cellStyle name="Note 8 2 15" xfId="23709"/>
    <cellStyle name="Note 8 2 15 2" xfId="23710"/>
    <cellStyle name="Note 8 2 16" xfId="23711"/>
    <cellStyle name="Note 8 2 16 2" xfId="23712"/>
    <cellStyle name="Note 8 2 16 2 2" xfId="23713"/>
    <cellStyle name="Note 8 2 16 3" xfId="23714"/>
    <cellStyle name="Note 8 2 16 3 2" xfId="23715"/>
    <cellStyle name="Note 8 2 16 4" xfId="23716"/>
    <cellStyle name="Note 8 2 17" xfId="23717"/>
    <cellStyle name="Note 8 2 17 2" xfId="23718"/>
    <cellStyle name="Note 8 2 18" xfId="23719"/>
    <cellStyle name="Note 8 2 18 2" xfId="23720"/>
    <cellStyle name="Note 8 2 19" xfId="23721"/>
    <cellStyle name="Note 8 2 19 2" xfId="23722"/>
    <cellStyle name="Note 8 2 2" xfId="4171"/>
    <cellStyle name="Note 8 2 2 2" xfId="5118"/>
    <cellStyle name="Note 8 2 2 2 2" xfId="23725"/>
    <cellStyle name="Note 8 2 2 2 3" xfId="23724"/>
    <cellStyle name="Note 8 2 2 3" xfId="5117"/>
    <cellStyle name="Note 8 2 2 3 2" xfId="23727"/>
    <cellStyle name="Note 8 2 2 3 3" xfId="23726"/>
    <cellStyle name="Note 8 2 2 4" xfId="7096"/>
    <cellStyle name="Note 8 2 2 4 2" xfId="23729"/>
    <cellStyle name="Note 8 2 2 4 3" xfId="23728"/>
    <cellStyle name="Note 8 2 2 4 4" xfId="28132"/>
    <cellStyle name="Note 8 2 2 5" xfId="23730"/>
    <cellStyle name="Note 8 2 2 6" xfId="23723"/>
    <cellStyle name="Note 8 2 2 7" xfId="25023"/>
    <cellStyle name="Note 8 2 2 8" xfId="28131"/>
    <cellStyle name="Note 8 2 20" xfId="23731"/>
    <cellStyle name="Note 8 2 21" xfId="23686"/>
    <cellStyle name="Note 8 2 22" xfId="24903"/>
    <cellStyle name="Note 8 2 23" xfId="28130"/>
    <cellStyle name="Note 8 2 3" xfId="5119"/>
    <cellStyle name="Note 8 2 3 2" xfId="23733"/>
    <cellStyle name="Note 8 2 3 2 2" xfId="23734"/>
    <cellStyle name="Note 8 2 3 3" xfId="23735"/>
    <cellStyle name="Note 8 2 3 3 2" xfId="23736"/>
    <cellStyle name="Note 8 2 3 4" xfId="23737"/>
    <cellStyle name="Note 8 2 3 5" xfId="23732"/>
    <cellStyle name="Note 8 2 4" xfId="5116"/>
    <cellStyle name="Note 8 2 4 2" xfId="23739"/>
    <cellStyle name="Note 8 2 4 2 2" xfId="23740"/>
    <cellStyle name="Note 8 2 4 3" xfId="23741"/>
    <cellStyle name="Note 8 2 4 3 2" xfId="23742"/>
    <cellStyle name="Note 8 2 4 4" xfId="23743"/>
    <cellStyle name="Note 8 2 4 5" xfId="23738"/>
    <cellStyle name="Note 8 2 5" xfId="7095"/>
    <cellStyle name="Note 8 2 5 2" xfId="23745"/>
    <cellStyle name="Note 8 2 5 2 2" xfId="23746"/>
    <cellStyle name="Note 8 2 5 3" xfId="23747"/>
    <cellStyle name="Note 8 2 5 3 2" xfId="23748"/>
    <cellStyle name="Note 8 2 5 4" xfId="23749"/>
    <cellStyle name="Note 8 2 5 5" xfId="23744"/>
    <cellStyle name="Note 8 2 5 6" xfId="28133"/>
    <cellStyle name="Note 8 2 6" xfId="23750"/>
    <cellStyle name="Note 8 2 6 2" xfId="23751"/>
    <cellStyle name="Note 8 2 6 2 2" xfId="23752"/>
    <cellStyle name="Note 8 2 6 3" xfId="23753"/>
    <cellStyle name="Note 8 2 6 3 2" xfId="23754"/>
    <cellStyle name="Note 8 2 6 4" xfId="23755"/>
    <cellStyle name="Note 8 2 7" xfId="23756"/>
    <cellStyle name="Note 8 2 7 2" xfId="23757"/>
    <cellStyle name="Note 8 2 7 2 2" xfId="23758"/>
    <cellStyle name="Note 8 2 7 3" xfId="23759"/>
    <cellStyle name="Note 8 2 7 3 2" xfId="23760"/>
    <cellStyle name="Note 8 2 7 4" xfId="23761"/>
    <cellStyle name="Note 8 2 8" xfId="23762"/>
    <cellStyle name="Note 8 2 8 2" xfId="23763"/>
    <cellStyle name="Note 8 2 8 2 2" xfId="23764"/>
    <cellStyle name="Note 8 2 8 3" xfId="23765"/>
    <cellStyle name="Note 8 2 8 3 2" xfId="23766"/>
    <cellStyle name="Note 8 2 8 4" xfId="23767"/>
    <cellStyle name="Note 8 2 9" xfId="23768"/>
    <cellStyle name="Note 8 2 9 2" xfId="23769"/>
    <cellStyle name="Note 8 2 9 2 2" xfId="23770"/>
    <cellStyle name="Note 8 2 9 3" xfId="23771"/>
    <cellStyle name="Note 8 2 9 3 2" xfId="23772"/>
    <cellStyle name="Note 8 2 9 4" xfId="23773"/>
    <cellStyle name="Note 8 20" xfId="23774"/>
    <cellStyle name="Note 8 20 2" xfId="23775"/>
    <cellStyle name="Note 8 21" xfId="23776"/>
    <cellStyle name="Note 8 22" xfId="23645"/>
    <cellStyle name="Note 8 23" xfId="24858"/>
    <cellStyle name="Note 8 24" xfId="28129"/>
    <cellStyle name="Note 8 3" xfId="3844"/>
    <cellStyle name="Note 8 3 2" xfId="5121"/>
    <cellStyle name="Note 8 3 2 2" xfId="23779"/>
    <cellStyle name="Note 8 3 2 3" xfId="23778"/>
    <cellStyle name="Note 8 3 3" xfId="5120"/>
    <cellStyle name="Note 8 3 3 2" xfId="23781"/>
    <cellStyle name="Note 8 3 3 3" xfId="23780"/>
    <cellStyle name="Note 8 3 4" xfId="7097"/>
    <cellStyle name="Note 8 3 4 2" xfId="23783"/>
    <cellStyle name="Note 8 3 4 3" xfId="23782"/>
    <cellStyle name="Note 8 3 4 4" xfId="28135"/>
    <cellStyle name="Note 8 3 5" xfId="23784"/>
    <cellStyle name="Note 8 3 6" xfId="23777"/>
    <cellStyle name="Note 8 3 7" xfId="24980"/>
    <cellStyle name="Note 8 3 8" xfId="28134"/>
    <cellStyle name="Note 8 4" xfId="5122"/>
    <cellStyle name="Note 8 4 2" xfId="23786"/>
    <cellStyle name="Note 8 4 2 2" xfId="23787"/>
    <cellStyle name="Note 8 4 3" xfId="23788"/>
    <cellStyle name="Note 8 4 3 2" xfId="23789"/>
    <cellStyle name="Note 8 4 4" xfId="23790"/>
    <cellStyle name="Note 8 4 5" xfId="23785"/>
    <cellStyle name="Note 8 5" xfId="5115"/>
    <cellStyle name="Note 8 5 2" xfId="23792"/>
    <cellStyle name="Note 8 5 2 2" xfId="23793"/>
    <cellStyle name="Note 8 5 3" xfId="23794"/>
    <cellStyle name="Note 8 5 3 2" xfId="23795"/>
    <cellStyle name="Note 8 5 4" xfId="23796"/>
    <cellStyle name="Note 8 5 5" xfId="23791"/>
    <cellStyle name="Note 8 6" xfId="7094"/>
    <cellStyle name="Note 8 6 2" xfId="23798"/>
    <cellStyle name="Note 8 6 2 2" xfId="23799"/>
    <cellStyle name="Note 8 6 3" xfId="23800"/>
    <cellStyle name="Note 8 6 3 2" xfId="23801"/>
    <cellStyle name="Note 8 6 4" xfId="23802"/>
    <cellStyle name="Note 8 6 5" xfId="23797"/>
    <cellStyle name="Note 8 6 6" xfId="28136"/>
    <cellStyle name="Note 8 7" xfId="23803"/>
    <cellStyle name="Note 8 7 2" xfId="23804"/>
    <cellStyle name="Note 8 7 2 2" xfId="23805"/>
    <cellStyle name="Note 8 7 3" xfId="23806"/>
    <cellStyle name="Note 8 7 3 2" xfId="23807"/>
    <cellStyle name="Note 8 7 4" xfId="23808"/>
    <cellStyle name="Note 8 8" xfId="23809"/>
    <cellStyle name="Note 8 8 2" xfId="23810"/>
    <cellStyle name="Note 8 8 2 2" xfId="23811"/>
    <cellStyle name="Note 8 8 3" xfId="23812"/>
    <cellStyle name="Note 8 8 3 2" xfId="23813"/>
    <cellStyle name="Note 8 8 4" xfId="23814"/>
    <cellStyle name="Note 8 9" xfId="23815"/>
    <cellStyle name="Note 8 9 2" xfId="23816"/>
    <cellStyle name="Note 8 9 2 2" xfId="23817"/>
    <cellStyle name="Note 8 9 3" xfId="23818"/>
    <cellStyle name="Note 8 9 3 2" xfId="23819"/>
    <cellStyle name="Note 8 9 4" xfId="23820"/>
    <cellStyle name="Note 9" xfId="629"/>
    <cellStyle name="Note 9 2" xfId="23822"/>
    <cellStyle name="Note 9 2 2" xfId="23823"/>
    <cellStyle name="Note 9 2 2 2" xfId="23824"/>
    <cellStyle name="Note 9 2 2 2 2" xfId="23825"/>
    <cellStyle name="Note 9 2 2 3" xfId="23826"/>
    <cellStyle name="Note 9 2 2 3 2" xfId="23827"/>
    <cellStyle name="Note 9 2 2 4" xfId="23828"/>
    <cellStyle name="Note 9 2 3" xfId="23829"/>
    <cellStyle name="Note 9 2 3 2" xfId="23830"/>
    <cellStyle name="Note 9 2 4" xfId="23831"/>
    <cellStyle name="Note 9 2 4 2" xfId="23832"/>
    <cellStyle name="Note 9 2 5" xfId="23833"/>
    <cellStyle name="Note 9 3" xfId="23834"/>
    <cellStyle name="Note 9 4" xfId="23821"/>
    <cellStyle name="Output 10" xfId="786"/>
    <cellStyle name="Output 10 2" xfId="23837"/>
    <cellStyle name="Output 10 3" xfId="23836"/>
    <cellStyle name="Output 11" xfId="787"/>
    <cellStyle name="Output 11 2" xfId="23839"/>
    <cellStyle name="Output 11 3" xfId="23838"/>
    <cellStyle name="Output 12" xfId="911"/>
    <cellStyle name="Output 12 2" xfId="23840"/>
    <cellStyle name="Output 13" xfId="912"/>
    <cellStyle name="Output 13 2" xfId="23835"/>
    <cellStyle name="Output 14" xfId="995"/>
    <cellStyle name="Output 2" xfId="106"/>
    <cellStyle name="Output 2 10" xfId="1704"/>
    <cellStyle name="Output 2 10 2" xfId="23843"/>
    <cellStyle name="Output 2 10 3" xfId="23842"/>
    <cellStyle name="Output 2 11" xfId="2039"/>
    <cellStyle name="Output 2 11 2" xfId="23845"/>
    <cellStyle name="Output 2 11 3" xfId="23844"/>
    <cellStyle name="Output 2 12" xfId="2413"/>
    <cellStyle name="Output 2 12 2" xfId="23847"/>
    <cellStyle name="Output 2 12 3" xfId="23846"/>
    <cellStyle name="Output 2 13" xfId="2786"/>
    <cellStyle name="Output 2 13 2" xfId="23849"/>
    <cellStyle name="Output 2 13 3" xfId="23848"/>
    <cellStyle name="Output 2 14" xfId="3160"/>
    <cellStyle name="Output 2 14 2" xfId="23851"/>
    <cellStyle name="Output 2 14 3" xfId="23850"/>
    <cellStyle name="Output 2 15" xfId="3531"/>
    <cellStyle name="Output 2 15 2" xfId="23853"/>
    <cellStyle name="Output 2 15 3" xfId="23852"/>
    <cellStyle name="Output 2 16" xfId="3668"/>
    <cellStyle name="Output 2 16 2" xfId="23855"/>
    <cellStyle name="Output 2 16 3" xfId="23854"/>
    <cellStyle name="Output 2 17" xfId="23856"/>
    <cellStyle name="Output 2 17 2" xfId="23857"/>
    <cellStyle name="Output 2 18" xfId="23858"/>
    <cellStyle name="Output 2 19" xfId="23841"/>
    <cellStyle name="Output 2 2" xfId="150"/>
    <cellStyle name="Output 2 2 2" xfId="162"/>
    <cellStyle name="Output 2 2 2 2" xfId="23861"/>
    <cellStyle name="Output 2 2 2 3" xfId="23860"/>
    <cellStyle name="Output 2 2 3" xfId="326"/>
    <cellStyle name="Output 2 2 3 2" xfId="23863"/>
    <cellStyle name="Output 2 2 3 3" xfId="23862"/>
    <cellStyle name="Output 2 2 4" xfId="2149"/>
    <cellStyle name="Output 2 2 4 2" xfId="23865"/>
    <cellStyle name="Output 2 2 4 3" xfId="23864"/>
    <cellStyle name="Output 2 2 5" xfId="2523"/>
    <cellStyle name="Output 2 2 5 2" xfId="23867"/>
    <cellStyle name="Output 2 2 5 3" xfId="23866"/>
    <cellStyle name="Output 2 2 6" xfId="2895"/>
    <cellStyle name="Output 2 2 6 2" xfId="23869"/>
    <cellStyle name="Output 2 2 6 3" xfId="23868"/>
    <cellStyle name="Output 2 2 7" xfId="3266"/>
    <cellStyle name="Output 2 2 7 2" xfId="23871"/>
    <cellStyle name="Output 2 2 7 3" xfId="23870"/>
    <cellStyle name="Output 2 2 8" xfId="23872"/>
    <cellStyle name="Output 2 2 9" xfId="23859"/>
    <cellStyle name="Output 2 20" xfId="24502"/>
    <cellStyle name="Output 2 3" xfId="314"/>
    <cellStyle name="Output 2 3 2" xfId="1325"/>
    <cellStyle name="Output 2 3 2 2" xfId="23874"/>
    <cellStyle name="Output 2 3 3" xfId="23873"/>
    <cellStyle name="Output 2 4" xfId="506"/>
    <cellStyle name="Output 2 4 2" xfId="23876"/>
    <cellStyle name="Output 2 4 3" xfId="23875"/>
    <cellStyle name="Output 2 5" xfId="630"/>
    <cellStyle name="Output 2 5 2" xfId="23878"/>
    <cellStyle name="Output 2 5 3" xfId="23877"/>
    <cellStyle name="Output 2 6" xfId="788"/>
    <cellStyle name="Output 2 6 2" xfId="23880"/>
    <cellStyle name="Output 2 6 3" xfId="23879"/>
    <cellStyle name="Output 2 7" xfId="789"/>
    <cellStyle name="Output 2 7 2" xfId="23882"/>
    <cellStyle name="Output 2 7 3" xfId="23881"/>
    <cellStyle name="Output 2 8" xfId="913"/>
    <cellStyle name="Output 2 8 2" xfId="1433"/>
    <cellStyle name="Output 2 8 2 2" xfId="23884"/>
    <cellStyle name="Output 2 8 3" xfId="23883"/>
    <cellStyle name="Output 2 9" xfId="996"/>
    <cellStyle name="Output 2 9 2" xfId="1544"/>
    <cellStyle name="Output 2 9 2 2" xfId="23886"/>
    <cellStyle name="Output 2 9 3" xfId="23885"/>
    <cellStyle name="Output 3" xfId="203"/>
    <cellStyle name="Output 3 10" xfId="3712"/>
    <cellStyle name="Output 3 10 2" xfId="23889"/>
    <cellStyle name="Output 3 10 3" xfId="23888"/>
    <cellStyle name="Output 3 11" xfId="23890"/>
    <cellStyle name="Output 3 11 2" xfId="23891"/>
    <cellStyle name="Output 3 12" xfId="23892"/>
    <cellStyle name="Output 3 13" xfId="23887"/>
    <cellStyle name="Output 3 2" xfId="1485"/>
    <cellStyle name="Output 3 2 2" xfId="1814"/>
    <cellStyle name="Output 3 2 2 2" xfId="23895"/>
    <cellStyle name="Output 3 2 2 3" xfId="23894"/>
    <cellStyle name="Output 3 2 3" xfId="2189"/>
    <cellStyle name="Output 3 2 3 2" xfId="23897"/>
    <cellStyle name="Output 3 2 3 3" xfId="23896"/>
    <cellStyle name="Output 3 2 4" xfId="2563"/>
    <cellStyle name="Output 3 2 4 2" xfId="23899"/>
    <cellStyle name="Output 3 2 4 3" xfId="23898"/>
    <cellStyle name="Output 3 2 5" xfId="2935"/>
    <cellStyle name="Output 3 2 5 2" xfId="23901"/>
    <cellStyle name="Output 3 2 5 3" xfId="23900"/>
    <cellStyle name="Output 3 2 6" xfId="3307"/>
    <cellStyle name="Output 3 2 6 2" xfId="23903"/>
    <cellStyle name="Output 3 2 6 3" xfId="23902"/>
    <cellStyle name="Output 3 2 7" xfId="23904"/>
    <cellStyle name="Output 3 2 8" xfId="23893"/>
    <cellStyle name="Output 3 3" xfId="1612"/>
    <cellStyle name="Output 3 3 2" xfId="1891"/>
    <cellStyle name="Output 3 3 2 2" xfId="23907"/>
    <cellStyle name="Output 3 3 2 3" xfId="23906"/>
    <cellStyle name="Output 3 3 3" xfId="2266"/>
    <cellStyle name="Output 3 3 3 2" xfId="23909"/>
    <cellStyle name="Output 3 3 3 3" xfId="23908"/>
    <cellStyle name="Output 3 3 4" xfId="2639"/>
    <cellStyle name="Output 3 3 4 2" xfId="23911"/>
    <cellStyle name="Output 3 3 4 3" xfId="23910"/>
    <cellStyle name="Output 3 3 5" xfId="3012"/>
    <cellStyle name="Output 3 3 5 2" xfId="23913"/>
    <cellStyle name="Output 3 3 5 3" xfId="23912"/>
    <cellStyle name="Output 3 3 6" xfId="3383"/>
    <cellStyle name="Output 3 3 6 2" xfId="23915"/>
    <cellStyle name="Output 3 3 6 3" xfId="23914"/>
    <cellStyle name="Output 3 3 7" xfId="23916"/>
    <cellStyle name="Output 3 3 8" xfId="23905"/>
    <cellStyle name="Output 3 4" xfId="1754"/>
    <cellStyle name="Output 3 4 2" xfId="1935"/>
    <cellStyle name="Output 3 4 2 2" xfId="23919"/>
    <cellStyle name="Output 3 4 2 3" xfId="23918"/>
    <cellStyle name="Output 3 4 3" xfId="2310"/>
    <cellStyle name="Output 3 4 3 2" xfId="23921"/>
    <cellStyle name="Output 3 4 3 3" xfId="23920"/>
    <cellStyle name="Output 3 4 4" xfId="2683"/>
    <cellStyle name="Output 3 4 4 2" xfId="23923"/>
    <cellStyle name="Output 3 4 4 3" xfId="23922"/>
    <cellStyle name="Output 3 4 5" xfId="3056"/>
    <cellStyle name="Output 3 4 5 2" xfId="23925"/>
    <cellStyle name="Output 3 4 5 3" xfId="23924"/>
    <cellStyle name="Output 3 4 6" xfId="3427"/>
    <cellStyle name="Output 3 4 6 2" xfId="23927"/>
    <cellStyle name="Output 3 4 6 3" xfId="23926"/>
    <cellStyle name="Output 3 4 7" xfId="23928"/>
    <cellStyle name="Output 3 4 8" xfId="23917"/>
    <cellStyle name="Output 3 5" xfId="2089"/>
    <cellStyle name="Output 3 5 2" xfId="23930"/>
    <cellStyle name="Output 3 5 3" xfId="23929"/>
    <cellStyle name="Output 3 6" xfId="2463"/>
    <cellStyle name="Output 3 6 2" xfId="23932"/>
    <cellStyle name="Output 3 6 3" xfId="23931"/>
    <cellStyle name="Output 3 7" xfId="2835"/>
    <cellStyle name="Output 3 7 2" xfId="23934"/>
    <cellStyle name="Output 3 7 3" xfId="23933"/>
    <cellStyle name="Output 3 8" xfId="3206"/>
    <cellStyle name="Output 3 8 2" xfId="23936"/>
    <cellStyle name="Output 3 8 3" xfId="23935"/>
    <cellStyle name="Output 3 9" xfId="3576"/>
    <cellStyle name="Output 3 9 2" xfId="23938"/>
    <cellStyle name="Output 3 9 3" xfId="23937"/>
    <cellStyle name="Output 4" xfId="272"/>
    <cellStyle name="Output 4 10" xfId="3756"/>
    <cellStyle name="Output 4 10 2" xfId="23941"/>
    <cellStyle name="Output 4 10 3" xfId="23940"/>
    <cellStyle name="Output 4 11" xfId="1285"/>
    <cellStyle name="Output 4 11 2" xfId="23943"/>
    <cellStyle name="Output 4 11 3" xfId="23942"/>
    <cellStyle name="Output 4 12" xfId="23944"/>
    <cellStyle name="Output 4 13" xfId="23939"/>
    <cellStyle name="Output 4 2" xfId="1530"/>
    <cellStyle name="Output 4 2 2" xfId="23946"/>
    <cellStyle name="Output 4 2 3" xfId="23945"/>
    <cellStyle name="Output 4 3" xfId="1655"/>
    <cellStyle name="Output 4 3 2" xfId="23948"/>
    <cellStyle name="Output 4 3 3" xfId="23947"/>
    <cellStyle name="Output 4 4" xfId="1767"/>
    <cellStyle name="Output 4 4 2" xfId="23950"/>
    <cellStyle name="Output 4 4 3" xfId="23949"/>
    <cellStyle name="Output 4 5" xfId="2102"/>
    <cellStyle name="Output 4 5 2" xfId="23952"/>
    <cellStyle name="Output 4 5 3" xfId="23951"/>
    <cellStyle name="Output 4 6" xfId="2476"/>
    <cellStyle name="Output 4 6 2" xfId="23954"/>
    <cellStyle name="Output 4 6 3" xfId="23953"/>
    <cellStyle name="Output 4 7" xfId="2848"/>
    <cellStyle name="Output 4 7 2" xfId="23956"/>
    <cellStyle name="Output 4 7 3" xfId="23955"/>
    <cellStyle name="Output 4 8" xfId="3219"/>
    <cellStyle name="Output 4 8 2" xfId="23958"/>
    <cellStyle name="Output 4 8 3" xfId="23957"/>
    <cellStyle name="Output 4 9" xfId="3619"/>
    <cellStyle name="Output 4 9 2" xfId="23960"/>
    <cellStyle name="Output 4 9 3" xfId="23959"/>
    <cellStyle name="Output 5" xfId="507"/>
    <cellStyle name="Output 5 2" xfId="1849"/>
    <cellStyle name="Output 5 2 2" xfId="23963"/>
    <cellStyle name="Output 5 2 3" xfId="23962"/>
    <cellStyle name="Output 5 3" xfId="2224"/>
    <cellStyle name="Output 5 3 2" xfId="23965"/>
    <cellStyle name="Output 5 3 3" xfId="23964"/>
    <cellStyle name="Output 5 4" xfId="2598"/>
    <cellStyle name="Output 5 4 2" xfId="23967"/>
    <cellStyle name="Output 5 4 3" xfId="23966"/>
    <cellStyle name="Output 5 5" xfId="2970"/>
    <cellStyle name="Output 5 5 2" xfId="23969"/>
    <cellStyle name="Output 5 5 3" xfId="23968"/>
    <cellStyle name="Output 5 6" xfId="3342"/>
    <cellStyle name="Output 5 6 2" xfId="23971"/>
    <cellStyle name="Output 5 6 3" xfId="23970"/>
    <cellStyle name="Output 5 7" xfId="23972"/>
    <cellStyle name="Output 5 7 2" xfId="23973"/>
    <cellStyle name="Output 5 8" xfId="23974"/>
    <cellStyle name="Output 5 9" xfId="23961"/>
    <cellStyle name="Output 6" xfId="508"/>
    <cellStyle name="Output 6 10" xfId="23975"/>
    <cellStyle name="Output 6 2" xfId="2006"/>
    <cellStyle name="Output 6 2 2" xfId="23977"/>
    <cellStyle name="Output 6 2 3" xfId="23976"/>
    <cellStyle name="Output 6 3" xfId="2381"/>
    <cellStyle name="Output 6 3 2" xfId="23979"/>
    <cellStyle name="Output 6 3 3" xfId="23978"/>
    <cellStyle name="Output 6 4" xfId="2754"/>
    <cellStyle name="Output 6 4 2" xfId="23981"/>
    <cellStyle name="Output 6 4 3" xfId="23980"/>
    <cellStyle name="Output 6 5" xfId="3127"/>
    <cellStyle name="Output 6 5 2" xfId="23983"/>
    <cellStyle name="Output 6 5 3" xfId="23982"/>
    <cellStyle name="Output 6 6" xfId="3498"/>
    <cellStyle name="Output 6 6 2" xfId="23985"/>
    <cellStyle name="Output 6 6 3" xfId="23984"/>
    <cellStyle name="Output 6 7" xfId="3804"/>
    <cellStyle name="Output 6 7 2" xfId="23987"/>
    <cellStyle name="Output 6 7 3" xfId="23986"/>
    <cellStyle name="Output 6 8" xfId="23988"/>
    <cellStyle name="Output 6 8 2" xfId="23989"/>
    <cellStyle name="Output 6 9" xfId="23990"/>
    <cellStyle name="Output 7" xfId="509"/>
    <cellStyle name="Output 7 2" xfId="23992"/>
    <cellStyle name="Output 7 3" xfId="23991"/>
    <cellStyle name="Output 8" xfId="631"/>
    <cellStyle name="Output 8 2" xfId="23994"/>
    <cellStyle name="Output 8 3" xfId="23993"/>
    <cellStyle name="Output 9" xfId="632"/>
    <cellStyle name="Output 9 2" xfId="23996"/>
    <cellStyle name="Output 9 3" xfId="23995"/>
    <cellStyle name="Percent" xfId="17" builtinId="5"/>
    <cellStyle name="Percent 2" xfId="5123"/>
    <cellStyle name="Percent 2 2" xfId="7104"/>
    <cellStyle name="Percent 2 2 2" xfId="23999"/>
    <cellStyle name="Percent 2 2 2 2" xfId="24559"/>
    <cellStyle name="Percent 2 2 2 3" xfId="24558"/>
    <cellStyle name="Percent 2 2 3" xfId="23998"/>
    <cellStyle name="Percent 2 2 3 2" xfId="24560"/>
    <cellStyle name="Percent 2 2 4" xfId="24561"/>
    <cellStyle name="Percent 2 2 5" xfId="24557"/>
    <cellStyle name="Percent 2 3" xfId="24000"/>
    <cellStyle name="Percent 2 3 2" xfId="24563"/>
    <cellStyle name="Percent 2 3 3" xfId="24562"/>
    <cellStyle name="Percent 2 4" xfId="23997"/>
    <cellStyle name="Percent 2 4 2" xfId="24564"/>
    <cellStyle name="Percent 2 4 3" xfId="28691"/>
    <cellStyle name="Percent 2 5" xfId="24565"/>
    <cellStyle name="Percent 2 6" xfId="24556"/>
    <cellStyle name="Percent 3" xfId="7102"/>
    <cellStyle name="Percent 3 2" xfId="24567"/>
    <cellStyle name="Percent 3 3" xfId="24566"/>
    <cellStyle name="Percent 4" xfId="24568"/>
    <cellStyle name="PSChar" xfId="18"/>
    <cellStyle name="PSChar 2" xfId="19"/>
    <cellStyle name="PSChar 2 2" xfId="24003"/>
    <cellStyle name="PSChar 2 2 2" xfId="24004"/>
    <cellStyle name="PSChar 2 3" xfId="24005"/>
    <cellStyle name="PSChar 2 4" xfId="24002"/>
    <cellStyle name="PSChar 3" xfId="24006"/>
    <cellStyle name="PSChar 3 2" xfId="24007"/>
    <cellStyle name="PSChar 3 2 2" xfId="24008"/>
    <cellStyle name="PSChar 3 3" xfId="24009"/>
    <cellStyle name="PSChar 4" xfId="24010"/>
    <cellStyle name="PSChar 4 2" xfId="24011"/>
    <cellStyle name="PSChar 5" xfId="24012"/>
    <cellStyle name="PSChar 5 2" xfId="24013"/>
    <cellStyle name="PSChar 6" xfId="24014"/>
    <cellStyle name="PSChar 7" xfId="24463"/>
    <cellStyle name="PSChar 8" xfId="24001"/>
    <cellStyle name="PSDate" xfId="20"/>
    <cellStyle name="PSDate 2" xfId="21"/>
    <cellStyle name="PSDate 2 2" xfId="24017"/>
    <cellStyle name="PSDate 2 2 2" xfId="24018"/>
    <cellStyle name="PSDate 2 3" xfId="24019"/>
    <cellStyle name="PSDate 2 4" xfId="24016"/>
    <cellStyle name="PSDate 3" xfId="24020"/>
    <cellStyle name="PSDate 3 2" xfId="24021"/>
    <cellStyle name="PSDate 3 2 2" xfId="24022"/>
    <cellStyle name="PSDate 3 3" xfId="24023"/>
    <cellStyle name="PSDate 4" xfId="24024"/>
    <cellStyle name="PSDate 4 2" xfId="24025"/>
    <cellStyle name="PSDate 5" xfId="24026"/>
    <cellStyle name="PSDate 5 2" xfId="24027"/>
    <cellStyle name="PSDate 6" xfId="24028"/>
    <cellStyle name="PSDate 7" xfId="24462"/>
    <cellStyle name="PSDate 8" xfId="24015"/>
    <cellStyle name="PSDec" xfId="22"/>
    <cellStyle name="PSDec 2" xfId="23"/>
    <cellStyle name="PSDec 2 2" xfId="24031"/>
    <cellStyle name="PSDec 2 2 2" xfId="24032"/>
    <cellStyle name="PSDec 2 3" xfId="24033"/>
    <cellStyle name="PSDec 2 4" xfId="24030"/>
    <cellStyle name="PSDec 3" xfId="24034"/>
    <cellStyle name="PSDec 3 2" xfId="24035"/>
    <cellStyle name="PSDec 3 2 2" xfId="24036"/>
    <cellStyle name="PSDec 3 3" xfId="24037"/>
    <cellStyle name="PSDec 4" xfId="24038"/>
    <cellStyle name="PSDec 4 2" xfId="24039"/>
    <cellStyle name="PSDec 5" xfId="24040"/>
    <cellStyle name="PSDec 5 2" xfId="24041"/>
    <cellStyle name="PSDec 6" xfId="24042"/>
    <cellStyle name="PSDec 7" xfId="24461"/>
    <cellStyle name="PSDec 8" xfId="24029"/>
    <cellStyle name="PSHeading" xfId="24"/>
    <cellStyle name="PSHeading 2" xfId="25"/>
    <cellStyle name="PSHeading 2 2" xfId="24045"/>
    <cellStyle name="PSHeading 2 2 2" xfId="24046"/>
    <cellStyle name="PSHeading 2 3" xfId="24047"/>
    <cellStyle name="PSHeading 2 4" xfId="24044"/>
    <cellStyle name="PSHeading 3" xfId="24048"/>
    <cellStyle name="PSHeading 3 2" xfId="24049"/>
    <cellStyle name="PSHeading 3 2 2" xfId="24050"/>
    <cellStyle name="PSHeading 3 3" xfId="24051"/>
    <cellStyle name="PSHeading 4" xfId="24052"/>
    <cellStyle name="PSHeading 4 2" xfId="24053"/>
    <cellStyle name="PSHeading 5" xfId="24054"/>
    <cellStyle name="PSHeading 5 2" xfId="24055"/>
    <cellStyle name="PSHeading 6" xfId="24056"/>
    <cellStyle name="PSHeading 7" xfId="24460"/>
    <cellStyle name="PSHeading 8" xfId="24043"/>
    <cellStyle name="PSInt" xfId="26"/>
    <cellStyle name="PSInt 2" xfId="27"/>
    <cellStyle name="PSInt 2 2" xfId="24059"/>
    <cellStyle name="PSInt 2 2 2" xfId="24060"/>
    <cellStyle name="PSInt 2 3" xfId="24061"/>
    <cellStyle name="PSInt 2 4" xfId="24058"/>
    <cellStyle name="PSInt 3" xfId="24062"/>
    <cellStyle name="PSInt 3 2" xfId="24063"/>
    <cellStyle name="PSInt 3 2 2" xfId="24064"/>
    <cellStyle name="PSInt 3 3" xfId="24065"/>
    <cellStyle name="PSInt 4" xfId="24066"/>
    <cellStyle name="PSInt 4 2" xfId="24067"/>
    <cellStyle name="PSInt 5" xfId="24068"/>
    <cellStyle name="PSInt 5 2" xfId="24069"/>
    <cellStyle name="PSInt 6" xfId="24070"/>
    <cellStyle name="PSInt 7" xfId="24459"/>
    <cellStyle name="PSInt 8" xfId="24057"/>
    <cellStyle name="PSSpacer" xfId="28"/>
    <cellStyle name="PSSpacer 2" xfId="29"/>
    <cellStyle name="PSSpacer 2 2" xfId="24073"/>
    <cellStyle name="PSSpacer 2 2 2" xfId="24074"/>
    <cellStyle name="PSSpacer 2 3" xfId="24075"/>
    <cellStyle name="PSSpacer 2 4" xfId="24072"/>
    <cellStyle name="PSSpacer 3" xfId="24076"/>
    <cellStyle name="PSSpacer 3 2" xfId="24077"/>
    <cellStyle name="PSSpacer 3 2 2" xfId="24078"/>
    <cellStyle name="PSSpacer 3 3" xfId="24079"/>
    <cellStyle name="PSSpacer 4" xfId="24080"/>
    <cellStyle name="PSSpacer 4 2" xfId="24081"/>
    <cellStyle name="PSSpacer 5" xfId="24082"/>
    <cellStyle name="PSSpacer 5 2" xfId="24083"/>
    <cellStyle name="PSSpacer 6" xfId="24084"/>
    <cellStyle name="PSSpacer 7" xfId="24458"/>
    <cellStyle name="PSSpacer 8" xfId="24071"/>
    <cellStyle name="Title 2" xfId="107"/>
    <cellStyle name="Title 2 10" xfId="3532"/>
    <cellStyle name="Title 2 10 2" xfId="24088"/>
    <cellStyle name="Title 2 10 3" xfId="24087"/>
    <cellStyle name="Title 2 11" xfId="24089"/>
    <cellStyle name="Title 2 12" xfId="24086"/>
    <cellStyle name="Title 2 2" xfId="153"/>
    <cellStyle name="Title 2 2 2" xfId="24091"/>
    <cellStyle name="Title 2 2 3" xfId="24090"/>
    <cellStyle name="Title 2 3" xfId="317"/>
    <cellStyle name="Title 2 3 2" xfId="1868"/>
    <cellStyle name="Title 2 3 2 2" xfId="24094"/>
    <cellStyle name="Title 2 3 2 3" xfId="24093"/>
    <cellStyle name="Title 2 3 3" xfId="2243"/>
    <cellStyle name="Title 2 3 3 2" xfId="24096"/>
    <cellStyle name="Title 2 3 3 3" xfId="24095"/>
    <cellStyle name="Title 2 3 4" xfId="2617"/>
    <cellStyle name="Title 2 3 4 2" xfId="24098"/>
    <cellStyle name="Title 2 3 4 3" xfId="24097"/>
    <cellStyle name="Title 2 3 5" xfId="2989"/>
    <cellStyle name="Title 2 3 5 2" xfId="24100"/>
    <cellStyle name="Title 2 3 5 3" xfId="24099"/>
    <cellStyle name="Title 2 3 6" xfId="3361"/>
    <cellStyle name="Title 2 3 6 2" xfId="24102"/>
    <cellStyle name="Title 2 3 6 3" xfId="24101"/>
    <cellStyle name="Title 2 3 7" xfId="1434"/>
    <cellStyle name="Title 2 3 7 2" xfId="24103"/>
    <cellStyle name="Title 2 3 8" xfId="24092"/>
    <cellStyle name="Title 2 4" xfId="1541"/>
    <cellStyle name="Title 2 4 2" xfId="1924"/>
    <cellStyle name="Title 2 4 2 2" xfId="24106"/>
    <cellStyle name="Title 2 4 2 3" xfId="24105"/>
    <cellStyle name="Title 2 4 3" xfId="2299"/>
    <cellStyle name="Title 2 4 3 2" xfId="24108"/>
    <cellStyle name="Title 2 4 3 3" xfId="24107"/>
    <cellStyle name="Title 2 4 4" xfId="2672"/>
    <cellStyle name="Title 2 4 4 2" xfId="24110"/>
    <cellStyle name="Title 2 4 4 3" xfId="24109"/>
    <cellStyle name="Title 2 4 5" xfId="3045"/>
    <cellStyle name="Title 2 4 5 2" xfId="24112"/>
    <cellStyle name="Title 2 4 5 3" xfId="24111"/>
    <cellStyle name="Title 2 4 6" xfId="3416"/>
    <cellStyle name="Title 2 4 6 2" xfId="24114"/>
    <cellStyle name="Title 2 4 6 3" xfId="24113"/>
    <cellStyle name="Title 2 4 7" xfId="24115"/>
    <cellStyle name="Title 2 4 8" xfId="24104"/>
    <cellStyle name="Title 2 5" xfId="1709"/>
    <cellStyle name="Title 2 5 2" xfId="24117"/>
    <cellStyle name="Title 2 5 3" xfId="24116"/>
    <cellStyle name="Title 2 6" xfId="2044"/>
    <cellStyle name="Title 2 6 2" xfId="24119"/>
    <cellStyle name="Title 2 6 3" xfId="24118"/>
    <cellStyle name="Title 2 7" xfId="2418"/>
    <cellStyle name="Title 2 7 2" xfId="24121"/>
    <cellStyle name="Title 2 7 3" xfId="24120"/>
    <cellStyle name="Title 2 8" xfId="2790"/>
    <cellStyle name="Title 2 8 2" xfId="24123"/>
    <cellStyle name="Title 2 8 3" xfId="24122"/>
    <cellStyle name="Title 2 9" xfId="3161"/>
    <cellStyle name="Title 2 9 2" xfId="24125"/>
    <cellStyle name="Title 2 9 3" xfId="24124"/>
    <cellStyle name="Title 3" xfId="194"/>
    <cellStyle name="Title 3 10" xfId="3713"/>
    <cellStyle name="Title 3 10 2" xfId="24128"/>
    <cellStyle name="Title 3 10 3" xfId="24127"/>
    <cellStyle name="Title 3 11" xfId="24129"/>
    <cellStyle name="Title 3 12" xfId="24126"/>
    <cellStyle name="Title 3 2" xfId="1486"/>
    <cellStyle name="Title 3 2 2" xfId="1805"/>
    <cellStyle name="Title 3 2 2 2" xfId="24132"/>
    <cellStyle name="Title 3 2 2 3" xfId="24131"/>
    <cellStyle name="Title 3 2 3" xfId="2180"/>
    <cellStyle name="Title 3 2 3 2" xfId="24134"/>
    <cellStyle name="Title 3 2 3 3" xfId="24133"/>
    <cellStyle name="Title 3 2 4" xfId="2554"/>
    <cellStyle name="Title 3 2 4 2" xfId="24136"/>
    <cellStyle name="Title 3 2 4 3" xfId="24135"/>
    <cellStyle name="Title 3 2 5" xfId="2926"/>
    <cellStyle name="Title 3 2 5 2" xfId="24138"/>
    <cellStyle name="Title 3 2 5 3" xfId="24137"/>
    <cellStyle name="Title 3 2 6" xfId="3298"/>
    <cellStyle name="Title 3 2 6 2" xfId="24140"/>
    <cellStyle name="Title 3 2 6 3" xfId="24139"/>
    <cellStyle name="Title 3 2 7" xfId="24141"/>
    <cellStyle name="Title 3 2 8" xfId="24130"/>
    <cellStyle name="Title 3 3" xfId="1613"/>
    <cellStyle name="Title 3 3 2" xfId="1882"/>
    <cellStyle name="Title 3 3 2 2" xfId="24144"/>
    <cellStyle name="Title 3 3 2 3" xfId="24143"/>
    <cellStyle name="Title 3 3 3" xfId="2257"/>
    <cellStyle name="Title 3 3 3 2" xfId="24146"/>
    <cellStyle name="Title 3 3 3 3" xfId="24145"/>
    <cellStyle name="Title 3 3 4" xfId="2630"/>
    <cellStyle name="Title 3 3 4 2" xfId="24148"/>
    <cellStyle name="Title 3 3 4 3" xfId="24147"/>
    <cellStyle name="Title 3 3 5" xfId="3003"/>
    <cellStyle name="Title 3 3 5 2" xfId="24150"/>
    <cellStyle name="Title 3 3 5 3" xfId="24149"/>
    <cellStyle name="Title 3 3 6" xfId="3374"/>
    <cellStyle name="Title 3 3 6 2" xfId="24152"/>
    <cellStyle name="Title 3 3 6 3" xfId="24151"/>
    <cellStyle name="Title 3 3 7" xfId="24153"/>
    <cellStyle name="Title 3 3 8" xfId="24142"/>
    <cellStyle name="Title 3 4" xfId="1756"/>
    <cellStyle name="Title 3 4 2" xfId="1926"/>
    <cellStyle name="Title 3 4 2 2" xfId="24156"/>
    <cellStyle name="Title 3 4 2 3" xfId="24155"/>
    <cellStyle name="Title 3 4 3" xfId="2301"/>
    <cellStyle name="Title 3 4 3 2" xfId="24158"/>
    <cellStyle name="Title 3 4 3 3" xfId="24157"/>
    <cellStyle name="Title 3 4 4" xfId="2674"/>
    <cellStyle name="Title 3 4 4 2" xfId="24160"/>
    <cellStyle name="Title 3 4 4 3" xfId="24159"/>
    <cellStyle name="Title 3 4 5" xfId="3047"/>
    <cellStyle name="Title 3 4 5 2" xfId="24162"/>
    <cellStyle name="Title 3 4 5 3" xfId="24161"/>
    <cellStyle name="Title 3 4 6" xfId="3418"/>
    <cellStyle name="Title 3 4 6 2" xfId="24164"/>
    <cellStyle name="Title 3 4 6 3" xfId="24163"/>
    <cellStyle name="Title 3 4 7" xfId="24165"/>
    <cellStyle name="Title 3 4 8" xfId="24154"/>
    <cellStyle name="Title 3 5" xfId="2091"/>
    <cellStyle name="Title 3 5 2" xfId="24167"/>
    <cellStyle name="Title 3 5 3" xfId="24166"/>
    <cellStyle name="Title 3 6" xfId="2465"/>
    <cellStyle name="Title 3 6 2" xfId="24169"/>
    <cellStyle name="Title 3 6 3" xfId="24168"/>
    <cellStyle name="Title 3 7" xfId="2837"/>
    <cellStyle name="Title 3 7 2" xfId="24171"/>
    <cellStyle name="Title 3 7 3" xfId="24170"/>
    <cellStyle name="Title 3 8" xfId="3208"/>
    <cellStyle name="Title 3 8 2" xfId="24173"/>
    <cellStyle name="Title 3 8 3" xfId="24172"/>
    <cellStyle name="Title 3 9" xfId="3577"/>
    <cellStyle name="Title 3 9 2" xfId="24175"/>
    <cellStyle name="Title 3 9 3" xfId="24174"/>
    <cellStyle name="Title 4" xfId="273"/>
    <cellStyle name="Title 4 10" xfId="3757"/>
    <cellStyle name="Title 4 10 2" xfId="24178"/>
    <cellStyle name="Title 4 10 3" xfId="24177"/>
    <cellStyle name="Title 4 11" xfId="1276"/>
    <cellStyle name="Title 4 11 2" xfId="24179"/>
    <cellStyle name="Title 4 12" xfId="24176"/>
    <cellStyle name="Title 4 2" xfId="1531"/>
    <cellStyle name="Title 4 2 2" xfId="24181"/>
    <cellStyle name="Title 4 2 3" xfId="24180"/>
    <cellStyle name="Title 4 3" xfId="1656"/>
    <cellStyle name="Title 4 3 2" xfId="24183"/>
    <cellStyle name="Title 4 3 3" xfId="24182"/>
    <cellStyle name="Title 4 4" xfId="1765"/>
    <cellStyle name="Title 4 4 2" xfId="24185"/>
    <cellStyle name="Title 4 4 3" xfId="24184"/>
    <cellStyle name="Title 4 5" xfId="2100"/>
    <cellStyle name="Title 4 5 2" xfId="24187"/>
    <cellStyle name="Title 4 5 3" xfId="24186"/>
    <cellStyle name="Title 4 6" xfId="2474"/>
    <cellStyle name="Title 4 6 2" xfId="24189"/>
    <cellStyle name="Title 4 6 3" xfId="24188"/>
    <cellStyle name="Title 4 7" xfId="2846"/>
    <cellStyle name="Title 4 7 2" xfId="24191"/>
    <cellStyle name="Title 4 7 3" xfId="24190"/>
    <cellStyle name="Title 4 8" xfId="3217"/>
    <cellStyle name="Title 4 8 2" xfId="24193"/>
    <cellStyle name="Title 4 8 3" xfId="24192"/>
    <cellStyle name="Title 4 9" xfId="3620"/>
    <cellStyle name="Title 4 9 2" xfId="24195"/>
    <cellStyle name="Title 4 9 3" xfId="24194"/>
    <cellStyle name="Title 5" xfId="510"/>
    <cellStyle name="Title 5 10" xfId="3763"/>
    <cellStyle name="Title 5 10 2" xfId="24198"/>
    <cellStyle name="Title 5 10 3" xfId="24197"/>
    <cellStyle name="Title 5 11" xfId="24199"/>
    <cellStyle name="Title 5 12" xfId="24196"/>
    <cellStyle name="Title 5 2" xfId="1569"/>
    <cellStyle name="Title 5 2 2" xfId="24201"/>
    <cellStyle name="Title 5 2 3" xfId="24200"/>
    <cellStyle name="Title 5 3" xfId="1661"/>
    <cellStyle name="Title 5 3 2" xfId="24203"/>
    <cellStyle name="Title 5 3 3" xfId="24202"/>
    <cellStyle name="Title 5 4" xfId="1848"/>
    <cellStyle name="Title 5 4 2" xfId="24205"/>
    <cellStyle name="Title 5 4 3" xfId="24204"/>
    <cellStyle name="Title 5 5" xfId="2223"/>
    <cellStyle name="Title 5 5 2" xfId="24207"/>
    <cellStyle name="Title 5 5 3" xfId="24206"/>
    <cellStyle name="Title 5 6" xfId="2597"/>
    <cellStyle name="Title 5 6 2" xfId="24209"/>
    <cellStyle name="Title 5 6 3" xfId="24208"/>
    <cellStyle name="Title 5 7" xfId="2969"/>
    <cellStyle name="Title 5 7 2" xfId="24211"/>
    <cellStyle name="Title 5 7 3" xfId="24210"/>
    <cellStyle name="Title 5 8" xfId="3341"/>
    <cellStyle name="Title 5 8 2" xfId="24213"/>
    <cellStyle name="Title 5 8 3" xfId="24212"/>
    <cellStyle name="Title 5 9" xfId="3624"/>
    <cellStyle name="Title 5 9 2" xfId="24215"/>
    <cellStyle name="Title 5 9 3" xfId="24214"/>
    <cellStyle name="Title 6" xfId="633"/>
    <cellStyle name="Title 6 2" xfId="2007"/>
    <cellStyle name="Title 6 2 2" xfId="24218"/>
    <cellStyle name="Title 6 2 3" xfId="24217"/>
    <cellStyle name="Title 6 3" xfId="2382"/>
    <cellStyle name="Title 6 3 2" xfId="24220"/>
    <cellStyle name="Title 6 3 3" xfId="24219"/>
    <cellStyle name="Title 6 4" xfId="2755"/>
    <cellStyle name="Title 6 4 2" xfId="24222"/>
    <cellStyle name="Title 6 4 3" xfId="24221"/>
    <cellStyle name="Title 6 5" xfId="3128"/>
    <cellStyle name="Title 6 5 2" xfId="24224"/>
    <cellStyle name="Title 6 5 3" xfId="24223"/>
    <cellStyle name="Title 6 6" xfId="3499"/>
    <cellStyle name="Title 6 6 2" xfId="24226"/>
    <cellStyle name="Title 6 6 3" xfId="24225"/>
    <cellStyle name="Title 6 7" xfId="3805"/>
    <cellStyle name="Title 6 7 2" xfId="24228"/>
    <cellStyle name="Title 6 7 3" xfId="24227"/>
    <cellStyle name="Title 6 8" xfId="24229"/>
    <cellStyle name="Title 6 9" xfId="24216"/>
    <cellStyle name="Title 7" xfId="914"/>
    <cellStyle name="Title 7 2" xfId="3812"/>
    <cellStyle name="Title 7 2 2" xfId="24231"/>
    <cellStyle name="Title 7 3" xfId="24230"/>
    <cellStyle name="Title 8" xfId="24232"/>
    <cellStyle name="Title 9" xfId="24085"/>
    <cellStyle name="Total 10" xfId="790"/>
    <cellStyle name="Total 10 2" xfId="24235"/>
    <cellStyle name="Total 10 3" xfId="24234"/>
    <cellStyle name="Total 11" xfId="791"/>
    <cellStyle name="Total 11 2" xfId="24237"/>
    <cellStyle name="Total 11 3" xfId="24236"/>
    <cellStyle name="Total 12" xfId="915"/>
    <cellStyle name="Total 12 2" xfId="24238"/>
    <cellStyle name="Total 13" xfId="916"/>
    <cellStyle name="Total 13 2" xfId="24233"/>
    <cellStyle name="Total 14" xfId="997"/>
    <cellStyle name="Total 2" xfId="108"/>
    <cellStyle name="Total 2 10" xfId="1710"/>
    <cellStyle name="Total 2 10 2" xfId="24241"/>
    <cellStyle name="Total 2 10 3" xfId="24240"/>
    <cellStyle name="Total 2 11" xfId="2045"/>
    <cellStyle name="Total 2 11 2" xfId="24243"/>
    <cellStyle name="Total 2 11 3" xfId="24242"/>
    <cellStyle name="Total 2 12" xfId="2419"/>
    <cellStyle name="Total 2 12 2" xfId="24245"/>
    <cellStyle name="Total 2 12 3" xfId="24244"/>
    <cellStyle name="Total 2 13" xfId="2791"/>
    <cellStyle name="Total 2 13 2" xfId="24247"/>
    <cellStyle name="Total 2 13 3" xfId="24246"/>
    <cellStyle name="Total 2 14" xfId="3162"/>
    <cellStyle name="Total 2 14 2" xfId="24249"/>
    <cellStyle name="Total 2 14 3" xfId="24248"/>
    <cellStyle name="Total 2 15" xfId="3533"/>
    <cellStyle name="Total 2 15 2" xfId="24251"/>
    <cellStyle name="Total 2 15 3" xfId="24250"/>
    <cellStyle name="Total 2 16" xfId="3669"/>
    <cellStyle name="Total 2 16 2" xfId="24253"/>
    <cellStyle name="Total 2 16 3" xfId="24252"/>
    <cellStyle name="Total 2 17" xfId="24254"/>
    <cellStyle name="Total 2 17 2" xfId="24255"/>
    <cellStyle name="Total 2 18" xfId="24256"/>
    <cellStyle name="Total 2 19" xfId="24239"/>
    <cellStyle name="Total 2 2" xfId="151"/>
    <cellStyle name="Total 2 2 2" xfId="169"/>
    <cellStyle name="Total 2 2 2 2" xfId="24259"/>
    <cellStyle name="Total 2 2 2 3" xfId="24258"/>
    <cellStyle name="Total 2 2 3" xfId="333"/>
    <cellStyle name="Total 2 2 3 2" xfId="24261"/>
    <cellStyle name="Total 2 2 3 3" xfId="24260"/>
    <cellStyle name="Total 2 2 4" xfId="2155"/>
    <cellStyle name="Total 2 2 4 2" xfId="24263"/>
    <cellStyle name="Total 2 2 4 3" xfId="24262"/>
    <cellStyle name="Total 2 2 5" xfId="2529"/>
    <cellStyle name="Total 2 2 5 2" xfId="24265"/>
    <cellStyle name="Total 2 2 5 3" xfId="24264"/>
    <cellStyle name="Total 2 2 6" xfId="2901"/>
    <cellStyle name="Total 2 2 6 2" xfId="24267"/>
    <cellStyle name="Total 2 2 6 3" xfId="24266"/>
    <cellStyle name="Total 2 2 7" xfId="3273"/>
    <cellStyle name="Total 2 2 7 2" xfId="24269"/>
    <cellStyle name="Total 2 2 7 3" xfId="24268"/>
    <cellStyle name="Total 2 2 8" xfId="24270"/>
    <cellStyle name="Total 2 2 9" xfId="24257"/>
    <cellStyle name="Total 2 20" xfId="24503"/>
    <cellStyle name="Total 2 3" xfId="315"/>
    <cellStyle name="Total 2 3 2" xfId="1331"/>
    <cellStyle name="Total 2 3 2 2" xfId="24272"/>
    <cellStyle name="Total 2 3 3" xfId="24271"/>
    <cellStyle name="Total 2 4" xfId="511"/>
    <cellStyle name="Total 2 4 2" xfId="24274"/>
    <cellStyle name="Total 2 4 3" xfId="24273"/>
    <cellStyle name="Total 2 5" xfId="634"/>
    <cellStyle name="Total 2 5 2" xfId="24276"/>
    <cellStyle name="Total 2 5 3" xfId="24275"/>
    <cellStyle name="Total 2 6" xfId="792"/>
    <cellStyle name="Total 2 6 2" xfId="24278"/>
    <cellStyle name="Total 2 6 3" xfId="24277"/>
    <cellStyle name="Total 2 7" xfId="793"/>
    <cellStyle name="Total 2 7 2" xfId="24280"/>
    <cellStyle name="Total 2 7 3" xfId="24279"/>
    <cellStyle name="Total 2 8" xfId="917"/>
    <cellStyle name="Total 2 8 2" xfId="1435"/>
    <cellStyle name="Total 2 8 2 2" xfId="24282"/>
    <cellStyle name="Total 2 8 3" xfId="24281"/>
    <cellStyle name="Total 2 9" xfId="998"/>
    <cellStyle name="Total 2 9 2" xfId="1540"/>
    <cellStyle name="Total 2 9 2 2" xfId="24284"/>
    <cellStyle name="Total 2 9 3" xfId="24283"/>
    <cellStyle name="Total 3" xfId="210"/>
    <cellStyle name="Total 3 10" xfId="3714"/>
    <cellStyle name="Total 3 10 2" xfId="24287"/>
    <cellStyle name="Total 3 10 3" xfId="24286"/>
    <cellStyle name="Total 3 11" xfId="24288"/>
    <cellStyle name="Total 3 11 2" xfId="24289"/>
    <cellStyle name="Total 3 12" xfId="24290"/>
    <cellStyle name="Total 3 13" xfId="24285"/>
    <cellStyle name="Total 3 2" xfId="1487"/>
    <cellStyle name="Total 3 2 2" xfId="1821"/>
    <cellStyle name="Total 3 2 2 2" xfId="24293"/>
    <cellStyle name="Total 3 2 2 3" xfId="24292"/>
    <cellStyle name="Total 3 2 3" xfId="2196"/>
    <cellStyle name="Total 3 2 3 2" xfId="24295"/>
    <cellStyle name="Total 3 2 3 3" xfId="24294"/>
    <cellStyle name="Total 3 2 4" xfId="2570"/>
    <cellStyle name="Total 3 2 4 2" xfId="24297"/>
    <cellStyle name="Total 3 2 4 3" xfId="24296"/>
    <cellStyle name="Total 3 2 5" xfId="2942"/>
    <cellStyle name="Total 3 2 5 2" xfId="24299"/>
    <cellStyle name="Total 3 2 5 3" xfId="24298"/>
    <cellStyle name="Total 3 2 6" xfId="3314"/>
    <cellStyle name="Total 3 2 6 2" xfId="24301"/>
    <cellStyle name="Total 3 2 6 3" xfId="24300"/>
    <cellStyle name="Total 3 2 7" xfId="24302"/>
    <cellStyle name="Total 3 2 8" xfId="24291"/>
    <cellStyle name="Total 3 3" xfId="1614"/>
    <cellStyle name="Total 3 3 2" xfId="1898"/>
    <cellStyle name="Total 3 3 2 2" xfId="24305"/>
    <cellStyle name="Total 3 3 2 3" xfId="24304"/>
    <cellStyle name="Total 3 3 3" xfId="2273"/>
    <cellStyle name="Total 3 3 3 2" xfId="24307"/>
    <cellStyle name="Total 3 3 3 3" xfId="24306"/>
    <cellStyle name="Total 3 3 4" xfId="2646"/>
    <cellStyle name="Total 3 3 4 2" xfId="24309"/>
    <cellStyle name="Total 3 3 4 3" xfId="24308"/>
    <cellStyle name="Total 3 3 5" xfId="3019"/>
    <cellStyle name="Total 3 3 5 2" xfId="24311"/>
    <cellStyle name="Total 3 3 5 3" xfId="24310"/>
    <cellStyle name="Total 3 3 6" xfId="3390"/>
    <cellStyle name="Total 3 3 6 2" xfId="24313"/>
    <cellStyle name="Total 3 3 6 3" xfId="24312"/>
    <cellStyle name="Total 3 3 7" xfId="24314"/>
    <cellStyle name="Total 3 3 8" xfId="24303"/>
    <cellStyle name="Total 3 4" xfId="1757"/>
    <cellStyle name="Total 3 4 2" xfId="1942"/>
    <cellStyle name="Total 3 4 2 2" xfId="24317"/>
    <cellStyle name="Total 3 4 2 3" xfId="24316"/>
    <cellStyle name="Total 3 4 3" xfId="2317"/>
    <cellStyle name="Total 3 4 3 2" xfId="24319"/>
    <cellStyle name="Total 3 4 3 3" xfId="24318"/>
    <cellStyle name="Total 3 4 4" xfId="2690"/>
    <cellStyle name="Total 3 4 4 2" xfId="24321"/>
    <cellStyle name="Total 3 4 4 3" xfId="24320"/>
    <cellStyle name="Total 3 4 5" xfId="3063"/>
    <cellStyle name="Total 3 4 5 2" xfId="24323"/>
    <cellStyle name="Total 3 4 5 3" xfId="24322"/>
    <cellStyle name="Total 3 4 6" xfId="3434"/>
    <cellStyle name="Total 3 4 6 2" xfId="24325"/>
    <cellStyle name="Total 3 4 6 3" xfId="24324"/>
    <cellStyle name="Total 3 4 7" xfId="24326"/>
    <cellStyle name="Total 3 4 8" xfId="24315"/>
    <cellStyle name="Total 3 5" xfId="2092"/>
    <cellStyle name="Total 3 5 2" xfId="24328"/>
    <cellStyle name="Total 3 5 3" xfId="24327"/>
    <cellStyle name="Total 3 6" xfId="2466"/>
    <cellStyle name="Total 3 6 2" xfId="24330"/>
    <cellStyle name="Total 3 6 3" xfId="24329"/>
    <cellStyle name="Total 3 7" xfId="2838"/>
    <cellStyle name="Total 3 7 2" xfId="24332"/>
    <cellStyle name="Total 3 7 3" xfId="24331"/>
    <cellStyle name="Total 3 8" xfId="3209"/>
    <cellStyle name="Total 3 8 2" xfId="24334"/>
    <cellStyle name="Total 3 8 3" xfId="24333"/>
    <cellStyle name="Total 3 9" xfId="3578"/>
    <cellStyle name="Total 3 9 2" xfId="24336"/>
    <cellStyle name="Total 3 9 3" xfId="24335"/>
    <cellStyle name="Total 4" xfId="274"/>
    <cellStyle name="Total 4 10" xfId="3758"/>
    <cellStyle name="Total 4 10 2" xfId="24338"/>
    <cellStyle name="Total 4 10 3" xfId="24337"/>
    <cellStyle name="Total 4 11" xfId="1292"/>
    <cellStyle name="Total 4 11 2" xfId="24340"/>
    <cellStyle name="Total 4 11 3" xfId="24339"/>
    <cellStyle name="Total 4 12" xfId="24341"/>
    <cellStyle name="Total 4 2" xfId="1532"/>
    <cellStyle name="Total 4 2 2" xfId="24343"/>
    <cellStyle name="Total 4 2 3" xfId="24342"/>
    <cellStyle name="Total 4 3" xfId="1657"/>
    <cellStyle name="Total 4 3 2" xfId="24345"/>
    <cellStyle name="Total 4 3 3" xfId="24344"/>
    <cellStyle name="Total 4 4" xfId="1764"/>
    <cellStyle name="Total 4 4 2" xfId="24347"/>
    <cellStyle name="Total 4 4 3" xfId="24346"/>
    <cellStyle name="Total 4 5" xfId="2099"/>
    <cellStyle name="Total 4 5 2" xfId="24349"/>
    <cellStyle name="Total 4 5 3" xfId="24348"/>
    <cellStyle name="Total 4 6" xfId="2473"/>
    <cellStyle name="Total 4 6 2" xfId="24351"/>
    <cellStyle name="Total 4 6 3" xfId="24350"/>
    <cellStyle name="Total 4 7" xfId="2845"/>
    <cellStyle name="Total 4 7 2" xfId="24353"/>
    <cellStyle name="Total 4 7 3" xfId="24352"/>
    <cellStyle name="Total 4 8" xfId="3216"/>
    <cellStyle name="Total 4 8 2" xfId="24355"/>
    <cellStyle name="Total 4 8 3" xfId="24354"/>
    <cellStyle name="Total 4 9" xfId="3621"/>
    <cellStyle name="Total 4 9 2" xfId="5216"/>
    <cellStyle name="Total 4 9 2 2" xfId="24356"/>
    <cellStyle name="Total 4 9 3" xfId="5124"/>
    <cellStyle name="Total 5" xfId="512"/>
    <cellStyle name="Total 5 2" xfId="1881"/>
    <cellStyle name="Total 5 2 2" xfId="5218"/>
    <cellStyle name="Total 5 2 2 2" xfId="24357"/>
    <cellStyle name="Total 5 2 3" xfId="5126"/>
    <cellStyle name="Total 5 3" xfId="2256"/>
    <cellStyle name="Total 5 3 2" xfId="5219"/>
    <cellStyle name="Total 5 3 2 2" xfId="24358"/>
    <cellStyle name="Total 5 3 3" xfId="5127"/>
    <cellStyle name="Total 5 4" xfId="2629"/>
    <cellStyle name="Total 5 4 2" xfId="5220"/>
    <cellStyle name="Total 5 4 2 2" xfId="24359"/>
    <cellStyle name="Total 5 4 3" xfId="5128"/>
    <cellStyle name="Total 5 5" xfId="3002"/>
    <cellStyle name="Total 5 5 2" xfId="5221"/>
    <cellStyle name="Total 5 5 2 2" xfId="24360"/>
    <cellStyle name="Total 5 5 3" xfId="5129"/>
    <cellStyle name="Total 5 6" xfId="3373"/>
    <cellStyle name="Total 5 6 2" xfId="5222"/>
    <cellStyle name="Total 5 6 2 2" xfId="24361"/>
    <cellStyle name="Total 5 6 3" xfId="5130"/>
    <cellStyle name="Total 5 7" xfId="5217"/>
    <cellStyle name="Total 5 7 2" xfId="24363"/>
    <cellStyle name="Total 5 7 3" xfId="24362"/>
    <cellStyle name="Total 5 8" xfId="5125"/>
    <cellStyle name="Total 6" xfId="513"/>
    <cellStyle name="Total 6 2" xfId="2008"/>
    <cellStyle name="Total 6 2 2" xfId="5224"/>
    <cellStyle name="Total 6 2 2 2" xfId="24364"/>
    <cellStyle name="Total 6 2 3" xfId="5132"/>
    <cellStyle name="Total 6 3" xfId="2383"/>
    <cellStyle name="Total 6 3 2" xfId="5225"/>
    <cellStyle name="Total 6 3 2 2" xfId="24365"/>
    <cellStyle name="Total 6 3 3" xfId="5133"/>
    <cellStyle name="Total 6 4" xfId="2756"/>
    <cellStyle name="Total 6 4 2" xfId="5226"/>
    <cellStyle name="Total 6 4 2 2" xfId="24366"/>
    <cellStyle name="Total 6 4 3" xfId="5134"/>
    <cellStyle name="Total 6 5" xfId="3129"/>
    <cellStyle name="Total 6 5 2" xfId="5227"/>
    <cellStyle name="Total 6 5 2 2" xfId="24367"/>
    <cellStyle name="Total 6 5 3" xfId="5135"/>
    <cellStyle name="Total 6 6" xfId="3500"/>
    <cellStyle name="Total 6 6 2" xfId="5228"/>
    <cellStyle name="Total 6 6 2 2" xfId="24368"/>
    <cellStyle name="Total 6 6 3" xfId="5136"/>
    <cellStyle name="Total 6 7" xfId="3806"/>
    <cellStyle name="Total 6 7 2" xfId="5229"/>
    <cellStyle name="Total 6 7 2 2" xfId="24369"/>
    <cellStyle name="Total 6 7 3" xfId="5137"/>
    <cellStyle name="Total 6 8" xfId="5223"/>
    <cellStyle name="Total 6 8 2" xfId="24371"/>
    <cellStyle name="Total 6 8 3" xfId="24370"/>
    <cellStyle name="Total 6 9" xfId="5131"/>
    <cellStyle name="Total 7" xfId="514"/>
    <cellStyle name="Total 7 2" xfId="5230"/>
    <cellStyle name="Total 7 2 2" xfId="24372"/>
    <cellStyle name="Total 7 3" xfId="5138"/>
    <cellStyle name="Total 8" xfId="635"/>
    <cellStyle name="Total 8 2" xfId="5231"/>
    <cellStyle name="Total 8 2 2" xfId="24373"/>
    <cellStyle name="Total 8 3" xfId="5139"/>
    <cellStyle name="Total 9" xfId="636"/>
    <cellStyle name="Total 9 2" xfId="5232"/>
    <cellStyle name="Total 9 2 2" xfId="24374"/>
    <cellStyle name="Total 9 3" xfId="5140"/>
    <cellStyle name="Warning Text 10" xfId="794"/>
    <cellStyle name="Warning Text 10 2" xfId="5233"/>
    <cellStyle name="Warning Text 10 2 2" xfId="24376"/>
    <cellStyle name="Warning Text 10 3" xfId="5141"/>
    <cellStyle name="Warning Text 11" xfId="795"/>
    <cellStyle name="Warning Text 11 2" xfId="5234"/>
    <cellStyle name="Warning Text 11 2 2" xfId="24377"/>
    <cellStyle name="Warning Text 11 3" xfId="5142"/>
    <cellStyle name="Warning Text 12" xfId="918"/>
    <cellStyle name="Warning Text 12 2" xfId="24378"/>
    <cellStyle name="Warning Text 13" xfId="919"/>
    <cellStyle name="Warning Text 13 2" xfId="24375"/>
    <cellStyle name="Warning Text 14" xfId="999"/>
    <cellStyle name="Warning Text 2" xfId="109"/>
    <cellStyle name="Warning Text 2 10" xfId="1711"/>
    <cellStyle name="Warning Text 2 10 2" xfId="5236"/>
    <cellStyle name="Warning Text 2 10 2 2" xfId="24379"/>
    <cellStyle name="Warning Text 2 10 3" xfId="5144"/>
    <cellStyle name="Warning Text 2 11" xfId="2046"/>
    <cellStyle name="Warning Text 2 11 2" xfId="5237"/>
    <cellStyle name="Warning Text 2 11 2 2" xfId="24380"/>
    <cellStyle name="Warning Text 2 11 3" xfId="5145"/>
    <cellStyle name="Warning Text 2 12" xfId="2420"/>
    <cellStyle name="Warning Text 2 12 2" xfId="5238"/>
    <cellStyle name="Warning Text 2 12 2 2" xfId="24381"/>
    <cellStyle name="Warning Text 2 12 3" xfId="5146"/>
    <cellStyle name="Warning Text 2 13" xfId="2792"/>
    <cellStyle name="Warning Text 2 13 2" xfId="5239"/>
    <cellStyle name="Warning Text 2 13 2 2" xfId="24382"/>
    <cellStyle name="Warning Text 2 13 3" xfId="5147"/>
    <cellStyle name="Warning Text 2 14" xfId="3163"/>
    <cellStyle name="Warning Text 2 14 2" xfId="5240"/>
    <cellStyle name="Warning Text 2 14 2 2" xfId="24383"/>
    <cellStyle name="Warning Text 2 14 3" xfId="5148"/>
    <cellStyle name="Warning Text 2 15" xfId="3534"/>
    <cellStyle name="Warning Text 2 15 2" xfId="5241"/>
    <cellStyle name="Warning Text 2 15 2 2" xfId="24384"/>
    <cellStyle name="Warning Text 2 15 3" xfId="5149"/>
    <cellStyle name="Warning Text 2 16" xfId="3670"/>
    <cellStyle name="Warning Text 2 16 2" xfId="5242"/>
    <cellStyle name="Warning Text 2 16 2 2" xfId="24385"/>
    <cellStyle name="Warning Text 2 16 3" xfId="5150"/>
    <cellStyle name="Warning Text 2 17" xfId="5235"/>
    <cellStyle name="Warning Text 2 17 2" xfId="24387"/>
    <cellStyle name="Warning Text 2 17 3" xfId="24386"/>
    <cellStyle name="Warning Text 2 18" xfId="5143"/>
    <cellStyle name="Warning Text 2 19" xfId="24504"/>
    <cellStyle name="Warning Text 2 2" xfId="152"/>
    <cellStyle name="Warning Text 2 2 2" xfId="166"/>
    <cellStyle name="Warning Text 2 2 2 2" xfId="5244"/>
    <cellStyle name="Warning Text 2 2 2 2 2" xfId="24388"/>
    <cellStyle name="Warning Text 2 2 2 3" xfId="5152"/>
    <cellStyle name="Warning Text 2 2 3" xfId="330"/>
    <cellStyle name="Warning Text 2 2 3 2" xfId="5245"/>
    <cellStyle name="Warning Text 2 2 3 2 2" xfId="24389"/>
    <cellStyle name="Warning Text 2 2 3 3" xfId="5153"/>
    <cellStyle name="Warning Text 2 2 4" xfId="2153"/>
    <cellStyle name="Warning Text 2 2 4 2" xfId="5246"/>
    <cellStyle name="Warning Text 2 2 4 2 2" xfId="24390"/>
    <cellStyle name="Warning Text 2 2 4 3" xfId="5154"/>
    <cellStyle name="Warning Text 2 2 5" xfId="2527"/>
    <cellStyle name="Warning Text 2 2 5 2" xfId="5247"/>
    <cellStyle name="Warning Text 2 2 5 2 2" xfId="24391"/>
    <cellStyle name="Warning Text 2 2 5 3" xfId="5155"/>
    <cellStyle name="Warning Text 2 2 6" xfId="2899"/>
    <cellStyle name="Warning Text 2 2 6 2" xfId="5248"/>
    <cellStyle name="Warning Text 2 2 6 2 2" xfId="24392"/>
    <cellStyle name="Warning Text 2 2 6 3" xfId="5156"/>
    <cellStyle name="Warning Text 2 2 7" xfId="3270"/>
    <cellStyle name="Warning Text 2 2 7 2" xfId="5249"/>
    <cellStyle name="Warning Text 2 2 7 2 2" xfId="24393"/>
    <cellStyle name="Warning Text 2 2 7 3" xfId="5157"/>
    <cellStyle name="Warning Text 2 2 8" xfId="5243"/>
    <cellStyle name="Warning Text 2 2 8 2" xfId="24394"/>
    <cellStyle name="Warning Text 2 2 9" xfId="5151"/>
    <cellStyle name="Warning Text 2 3" xfId="316"/>
    <cellStyle name="Warning Text 2 3 2" xfId="1329"/>
    <cellStyle name="Warning Text 2 3 2 2" xfId="24395"/>
    <cellStyle name="Warning Text 2 3 3" xfId="5158"/>
    <cellStyle name="Warning Text 2 4" xfId="515"/>
    <cellStyle name="Warning Text 2 4 2" xfId="5250"/>
    <cellStyle name="Warning Text 2 4 2 2" xfId="24396"/>
    <cellStyle name="Warning Text 2 4 3" xfId="5159"/>
    <cellStyle name="Warning Text 2 5" xfId="637"/>
    <cellStyle name="Warning Text 2 5 2" xfId="5251"/>
    <cellStyle name="Warning Text 2 5 2 2" xfId="24397"/>
    <cellStyle name="Warning Text 2 5 3" xfId="5160"/>
    <cellStyle name="Warning Text 2 6" xfId="796"/>
    <cellStyle name="Warning Text 2 6 2" xfId="5252"/>
    <cellStyle name="Warning Text 2 6 2 2" xfId="24398"/>
    <cellStyle name="Warning Text 2 6 3" xfId="5161"/>
    <cellStyle name="Warning Text 2 7" xfId="797"/>
    <cellStyle name="Warning Text 2 7 2" xfId="5253"/>
    <cellStyle name="Warning Text 2 7 2 2" xfId="24399"/>
    <cellStyle name="Warning Text 2 7 3" xfId="5162"/>
    <cellStyle name="Warning Text 2 8" xfId="920"/>
    <cellStyle name="Warning Text 2 8 2" xfId="1436"/>
    <cellStyle name="Warning Text 2 8 2 2" xfId="24400"/>
    <cellStyle name="Warning Text 2 8 3" xfId="5163"/>
    <cellStyle name="Warning Text 2 9" xfId="1000"/>
    <cellStyle name="Warning Text 2 9 2" xfId="1539"/>
    <cellStyle name="Warning Text 2 9 2 2" xfId="24401"/>
    <cellStyle name="Warning Text 2 9 3" xfId="5164"/>
    <cellStyle name="Warning Text 3" xfId="207"/>
    <cellStyle name="Warning Text 3 10" xfId="3715"/>
    <cellStyle name="Warning Text 3 10 2" xfId="5255"/>
    <cellStyle name="Warning Text 3 10 2 2" xfId="24402"/>
    <cellStyle name="Warning Text 3 10 3" xfId="5166"/>
    <cellStyle name="Warning Text 3 11" xfId="5254"/>
    <cellStyle name="Warning Text 3 11 2" xfId="24404"/>
    <cellStyle name="Warning Text 3 11 3" xfId="24403"/>
    <cellStyle name="Warning Text 3 12" xfId="5165"/>
    <cellStyle name="Warning Text 3 2" xfId="1488"/>
    <cellStyle name="Warning Text 3 2 2" xfId="1818"/>
    <cellStyle name="Warning Text 3 2 2 2" xfId="5257"/>
    <cellStyle name="Warning Text 3 2 2 2 2" xfId="24405"/>
    <cellStyle name="Warning Text 3 2 2 3" xfId="5168"/>
    <cellStyle name="Warning Text 3 2 3" xfId="2193"/>
    <cellStyle name="Warning Text 3 2 3 2" xfId="5258"/>
    <cellStyle name="Warning Text 3 2 3 2 2" xfId="24406"/>
    <cellStyle name="Warning Text 3 2 3 3" xfId="5169"/>
    <cellStyle name="Warning Text 3 2 4" xfId="2567"/>
    <cellStyle name="Warning Text 3 2 4 2" xfId="5259"/>
    <cellStyle name="Warning Text 3 2 4 2 2" xfId="24407"/>
    <cellStyle name="Warning Text 3 2 4 3" xfId="5170"/>
    <cellStyle name="Warning Text 3 2 5" xfId="2939"/>
    <cellStyle name="Warning Text 3 2 5 2" xfId="5260"/>
    <cellStyle name="Warning Text 3 2 5 2 2" xfId="24408"/>
    <cellStyle name="Warning Text 3 2 5 3" xfId="5171"/>
    <cellStyle name="Warning Text 3 2 6" xfId="3311"/>
    <cellStyle name="Warning Text 3 2 6 2" xfId="5261"/>
    <cellStyle name="Warning Text 3 2 6 2 2" xfId="24409"/>
    <cellStyle name="Warning Text 3 2 6 3" xfId="5172"/>
    <cellStyle name="Warning Text 3 2 7" xfId="5256"/>
    <cellStyle name="Warning Text 3 2 7 2" xfId="24410"/>
    <cellStyle name="Warning Text 3 2 8" xfId="5167"/>
    <cellStyle name="Warning Text 3 3" xfId="1615"/>
    <cellStyle name="Warning Text 3 3 2" xfId="1895"/>
    <cellStyle name="Warning Text 3 3 2 2" xfId="5263"/>
    <cellStyle name="Warning Text 3 3 2 2 2" xfId="24411"/>
    <cellStyle name="Warning Text 3 3 2 3" xfId="5174"/>
    <cellStyle name="Warning Text 3 3 3" xfId="2270"/>
    <cellStyle name="Warning Text 3 3 3 2" xfId="5264"/>
    <cellStyle name="Warning Text 3 3 3 2 2" xfId="24412"/>
    <cellStyle name="Warning Text 3 3 3 3" xfId="5175"/>
    <cellStyle name="Warning Text 3 3 4" xfId="2643"/>
    <cellStyle name="Warning Text 3 3 4 2" xfId="5265"/>
    <cellStyle name="Warning Text 3 3 4 2 2" xfId="24413"/>
    <cellStyle name="Warning Text 3 3 4 3" xfId="5176"/>
    <cellStyle name="Warning Text 3 3 5" xfId="3016"/>
    <cellStyle name="Warning Text 3 3 5 2" xfId="5266"/>
    <cellStyle name="Warning Text 3 3 5 2 2" xfId="24414"/>
    <cellStyle name="Warning Text 3 3 5 3" xfId="5177"/>
    <cellStyle name="Warning Text 3 3 6" xfId="3387"/>
    <cellStyle name="Warning Text 3 3 6 2" xfId="5267"/>
    <cellStyle name="Warning Text 3 3 6 2 2" xfId="24415"/>
    <cellStyle name="Warning Text 3 3 6 3" xfId="5178"/>
    <cellStyle name="Warning Text 3 3 7" xfId="5262"/>
    <cellStyle name="Warning Text 3 3 7 2" xfId="24416"/>
    <cellStyle name="Warning Text 3 3 8" xfId="5173"/>
    <cellStyle name="Warning Text 3 4" xfId="1758"/>
    <cellStyle name="Warning Text 3 4 2" xfId="1939"/>
    <cellStyle name="Warning Text 3 4 2 2" xfId="5269"/>
    <cellStyle name="Warning Text 3 4 2 2 2" xfId="24417"/>
    <cellStyle name="Warning Text 3 4 2 3" xfId="5180"/>
    <cellStyle name="Warning Text 3 4 3" xfId="2314"/>
    <cellStyle name="Warning Text 3 4 3 2" xfId="5270"/>
    <cellStyle name="Warning Text 3 4 3 2 2" xfId="24418"/>
    <cellStyle name="Warning Text 3 4 3 3" xfId="5181"/>
    <cellStyle name="Warning Text 3 4 4" xfId="2687"/>
    <cellStyle name="Warning Text 3 4 4 2" xfId="5271"/>
    <cellStyle name="Warning Text 3 4 4 2 2" xfId="24419"/>
    <cellStyle name="Warning Text 3 4 4 3" xfId="5182"/>
    <cellStyle name="Warning Text 3 4 5" xfId="3060"/>
    <cellStyle name="Warning Text 3 4 5 2" xfId="5272"/>
    <cellStyle name="Warning Text 3 4 5 2 2" xfId="24420"/>
    <cellStyle name="Warning Text 3 4 5 3" xfId="5183"/>
    <cellStyle name="Warning Text 3 4 6" xfId="3431"/>
    <cellStyle name="Warning Text 3 4 6 2" xfId="5273"/>
    <cellStyle name="Warning Text 3 4 6 2 2" xfId="24421"/>
    <cellStyle name="Warning Text 3 4 6 3" xfId="5184"/>
    <cellStyle name="Warning Text 3 4 7" xfId="5268"/>
    <cellStyle name="Warning Text 3 4 7 2" xfId="24422"/>
    <cellStyle name="Warning Text 3 4 8" xfId="5179"/>
    <cellStyle name="Warning Text 3 5" xfId="2093"/>
    <cellStyle name="Warning Text 3 5 2" xfId="5274"/>
    <cellStyle name="Warning Text 3 5 2 2" xfId="24423"/>
    <cellStyle name="Warning Text 3 5 3" xfId="5185"/>
    <cellStyle name="Warning Text 3 6" xfId="2467"/>
    <cellStyle name="Warning Text 3 6 2" xfId="5275"/>
    <cellStyle name="Warning Text 3 6 2 2" xfId="24424"/>
    <cellStyle name="Warning Text 3 6 3" xfId="5186"/>
    <cellStyle name="Warning Text 3 7" xfId="2839"/>
    <cellStyle name="Warning Text 3 7 2" xfId="5276"/>
    <cellStyle name="Warning Text 3 7 2 2" xfId="24425"/>
    <cellStyle name="Warning Text 3 7 3" xfId="5187"/>
    <cellStyle name="Warning Text 3 8" xfId="3210"/>
    <cellStyle name="Warning Text 3 8 2" xfId="5277"/>
    <cellStyle name="Warning Text 3 8 2 2" xfId="24426"/>
    <cellStyle name="Warning Text 3 8 3" xfId="5188"/>
    <cellStyle name="Warning Text 3 9" xfId="3579"/>
    <cellStyle name="Warning Text 3 9 2" xfId="5278"/>
    <cellStyle name="Warning Text 3 9 2 2" xfId="24427"/>
    <cellStyle name="Warning Text 3 9 3" xfId="5189"/>
    <cellStyle name="Warning Text 4" xfId="275"/>
    <cellStyle name="Warning Text 4 10" xfId="3759"/>
    <cellStyle name="Warning Text 4 10 2" xfId="5279"/>
    <cellStyle name="Warning Text 4 10 2 2" xfId="24428"/>
    <cellStyle name="Warning Text 4 10 3" xfId="5191"/>
    <cellStyle name="Warning Text 4 11" xfId="1289"/>
    <cellStyle name="Warning Text 4 11 2" xfId="24430"/>
    <cellStyle name="Warning Text 4 11 3" xfId="24429"/>
    <cellStyle name="Warning Text 4 12" xfId="5190"/>
    <cellStyle name="Warning Text 4 2" xfId="1533"/>
    <cellStyle name="Warning Text 4 2 2" xfId="5280"/>
    <cellStyle name="Warning Text 4 2 2 2" xfId="24431"/>
    <cellStyle name="Warning Text 4 2 3" xfId="5192"/>
    <cellStyle name="Warning Text 4 3" xfId="1658"/>
    <cellStyle name="Warning Text 4 3 2" xfId="5281"/>
    <cellStyle name="Warning Text 4 3 2 2" xfId="24432"/>
    <cellStyle name="Warning Text 4 3 3" xfId="5193"/>
    <cellStyle name="Warning Text 4 4" xfId="1763"/>
    <cellStyle name="Warning Text 4 4 2" xfId="5282"/>
    <cellStyle name="Warning Text 4 4 2 2" xfId="24433"/>
    <cellStyle name="Warning Text 4 4 3" xfId="5194"/>
    <cellStyle name="Warning Text 4 5" xfId="2098"/>
    <cellStyle name="Warning Text 4 5 2" xfId="5283"/>
    <cellStyle name="Warning Text 4 5 2 2" xfId="24434"/>
    <cellStyle name="Warning Text 4 5 3" xfId="5195"/>
    <cellStyle name="Warning Text 4 6" xfId="2472"/>
    <cellStyle name="Warning Text 4 6 2" xfId="5284"/>
    <cellStyle name="Warning Text 4 6 2 2" xfId="24435"/>
    <cellStyle name="Warning Text 4 6 3" xfId="5196"/>
    <cellStyle name="Warning Text 4 7" xfId="2844"/>
    <cellStyle name="Warning Text 4 7 2" xfId="5285"/>
    <cellStyle name="Warning Text 4 7 2 2" xfId="24436"/>
    <cellStyle name="Warning Text 4 7 3" xfId="5197"/>
    <cellStyle name="Warning Text 4 8" xfId="3215"/>
    <cellStyle name="Warning Text 4 8 2" xfId="5286"/>
    <cellStyle name="Warning Text 4 8 2 2" xfId="24437"/>
    <cellStyle name="Warning Text 4 8 3" xfId="5198"/>
    <cellStyle name="Warning Text 4 9" xfId="3622"/>
    <cellStyle name="Warning Text 4 9 2" xfId="5287"/>
    <cellStyle name="Warning Text 4 9 2 2" xfId="24438"/>
    <cellStyle name="Warning Text 4 9 3" xfId="5199"/>
    <cellStyle name="Warning Text 5" xfId="516"/>
    <cellStyle name="Warning Text 5 2" xfId="1847"/>
    <cellStyle name="Warning Text 5 2 2" xfId="5289"/>
    <cellStyle name="Warning Text 5 2 2 2" xfId="24439"/>
    <cellStyle name="Warning Text 5 2 3" xfId="5201"/>
    <cellStyle name="Warning Text 5 3" xfId="2222"/>
    <cellStyle name="Warning Text 5 3 2" xfId="5290"/>
    <cellStyle name="Warning Text 5 3 2 2" xfId="24440"/>
    <cellStyle name="Warning Text 5 3 3" xfId="5202"/>
    <cellStyle name="Warning Text 5 4" xfId="2596"/>
    <cellStyle name="Warning Text 5 4 2" xfId="5291"/>
    <cellStyle name="Warning Text 5 4 2 2" xfId="24441"/>
    <cellStyle name="Warning Text 5 4 3" xfId="5203"/>
    <cellStyle name="Warning Text 5 5" xfId="2968"/>
    <cellStyle name="Warning Text 5 5 2" xfId="5292"/>
    <cellStyle name="Warning Text 5 5 2 2" xfId="24442"/>
    <cellStyle name="Warning Text 5 5 3" xfId="5204"/>
    <cellStyle name="Warning Text 5 6" xfId="3340"/>
    <cellStyle name="Warning Text 5 6 2" xfId="5293"/>
    <cellStyle name="Warning Text 5 6 2 2" xfId="24443"/>
    <cellStyle name="Warning Text 5 6 3" xfId="5205"/>
    <cellStyle name="Warning Text 5 7" xfId="5288"/>
    <cellStyle name="Warning Text 5 7 2" xfId="24445"/>
    <cellStyle name="Warning Text 5 7 3" xfId="24444"/>
    <cellStyle name="Warning Text 5 8" xfId="5200"/>
    <cellStyle name="Warning Text 6" xfId="517"/>
    <cellStyle name="Warning Text 6 2" xfId="2009"/>
    <cellStyle name="Warning Text 6 2 2" xfId="5295"/>
    <cellStyle name="Warning Text 6 2 2 2" xfId="24446"/>
    <cellStyle name="Warning Text 6 2 3" xfId="5207"/>
    <cellStyle name="Warning Text 6 3" xfId="2384"/>
    <cellStyle name="Warning Text 6 3 2" xfId="5296"/>
    <cellStyle name="Warning Text 6 3 2 2" xfId="24447"/>
    <cellStyle name="Warning Text 6 3 3" xfId="5208"/>
    <cellStyle name="Warning Text 6 4" xfId="2757"/>
    <cellStyle name="Warning Text 6 4 2" xfId="5297"/>
    <cellStyle name="Warning Text 6 4 2 2" xfId="24448"/>
    <cellStyle name="Warning Text 6 4 3" xfId="5209"/>
    <cellStyle name="Warning Text 6 5" xfId="3130"/>
    <cellStyle name="Warning Text 6 5 2" xfId="5298"/>
    <cellStyle name="Warning Text 6 5 2 2" xfId="24449"/>
    <cellStyle name="Warning Text 6 5 3" xfId="5210"/>
    <cellStyle name="Warning Text 6 6" xfId="3501"/>
    <cellStyle name="Warning Text 6 6 2" xfId="5299"/>
    <cellStyle name="Warning Text 6 6 2 2" xfId="24450"/>
    <cellStyle name="Warning Text 6 6 3" xfId="5211"/>
    <cellStyle name="Warning Text 6 7" xfId="3807"/>
    <cellStyle name="Warning Text 6 7 2" xfId="5300"/>
    <cellStyle name="Warning Text 6 7 2 2" xfId="24451"/>
    <cellStyle name="Warning Text 6 7 3" xfId="5212"/>
    <cellStyle name="Warning Text 6 8" xfId="5294"/>
    <cellStyle name="Warning Text 6 8 2" xfId="24453"/>
    <cellStyle name="Warning Text 6 8 3" xfId="24452"/>
    <cellStyle name="Warning Text 6 9" xfId="5206"/>
    <cellStyle name="Warning Text 7" xfId="518"/>
    <cellStyle name="Warning Text 7 2" xfId="5301"/>
    <cellStyle name="Warning Text 7 2 2" xfId="24454"/>
    <cellStyle name="Warning Text 7 3" xfId="5213"/>
    <cellStyle name="Warning Text 8" xfId="638"/>
    <cellStyle name="Warning Text 8 2" xfId="5302"/>
    <cellStyle name="Warning Text 8 2 2" xfId="24455"/>
    <cellStyle name="Warning Text 8 3" xfId="5214"/>
    <cellStyle name="Warning Text 9" xfId="639"/>
    <cellStyle name="Warning Text 9 2" xfId="5303"/>
    <cellStyle name="Warning Text 9 2 2" xfId="24456"/>
    <cellStyle name="Warning Text 9 3" xfId="5215"/>
  </cellStyles>
  <dxfs count="5">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3"/>
  <sheetViews>
    <sheetView tabSelected="1" zoomScaleNormal="100" zoomScaleSheetLayoutView="100" workbookViewId="0">
      <selection activeCell="A10" sqref="A10:I10"/>
    </sheetView>
  </sheetViews>
  <sheetFormatPr defaultRowHeight="15.75" x14ac:dyDescent="0.25"/>
  <cols>
    <col min="1" max="1" width="10.140625" style="10" bestFit="1" customWidth="1"/>
    <col min="2" max="3" width="11.42578125" style="10" bestFit="1" customWidth="1"/>
    <col min="4" max="4" width="9.140625" style="10"/>
    <col min="5" max="5" width="11.5703125" style="10" bestFit="1" customWidth="1"/>
    <col min="6" max="7" width="9.140625" style="10"/>
    <col min="8" max="8" width="19.7109375" style="10" bestFit="1" customWidth="1"/>
    <col min="9" max="16384" width="9.140625" style="10"/>
  </cols>
  <sheetData>
    <row r="1" spans="1:9" x14ac:dyDescent="0.25">
      <c r="A1" s="8"/>
      <c r="B1" s="9"/>
      <c r="C1" s="8"/>
      <c r="G1" s="11"/>
      <c r="H1" s="12"/>
    </row>
    <row r="2" spans="1:9" x14ac:dyDescent="0.25">
      <c r="A2" s="670"/>
      <c r="B2" s="670"/>
      <c r="C2" s="670"/>
      <c r="D2" s="670"/>
      <c r="E2" s="670"/>
      <c r="F2" s="670"/>
      <c r="G2" s="670"/>
      <c r="H2" s="670"/>
      <c r="I2" s="670"/>
    </row>
    <row r="3" spans="1:9" x14ac:dyDescent="0.25">
      <c r="B3" s="13"/>
    </row>
    <row r="4" spans="1:9" x14ac:dyDescent="0.25">
      <c r="A4" s="671" t="s">
        <v>528</v>
      </c>
      <c r="B4" s="671"/>
      <c r="C4" s="671"/>
      <c r="D4" s="671"/>
      <c r="E4" s="671"/>
      <c r="F4" s="671"/>
      <c r="G4" s="671"/>
      <c r="H4" s="671"/>
      <c r="I4" s="671"/>
    </row>
    <row r="6" spans="1:9" x14ac:dyDescent="0.25">
      <c r="A6" s="671" t="s">
        <v>945</v>
      </c>
      <c r="B6" s="671"/>
      <c r="C6" s="671"/>
      <c r="D6" s="671"/>
      <c r="E6" s="671"/>
      <c r="F6" s="671"/>
      <c r="G6" s="671"/>
      <c r="H6" s="671"/>
      <c r="I6" s="671"/>
    </row>
    <row r="7" spans="1:9" x14ac:dyDescent="0.25">
      <c r="A7" s="671"/>
      <c r="B7" s="671"/>
      <c r="C7" s="671"/>
      <c r="D7" s="671"/>
      <c r="E7" s="671"/>
      <c r="F7" s="671"/>
      <c r="G7" s="671"/>
      <c r="H7" s="671"/>
      <c r="I7" s="671"/>
    </row>
    <row r="8" spans="1:9" x14ac:dyDescent="0.25">
      <c r="A8" s="498"/>
      <c r="B8" s="498"/>
      <c r="C8" s="498"/>
      <c r="D8" s="498"/>
      <c r="E8" s="498"/>
      <c r="F8" s="498"/>
      <c r="G8" s="498"/>
      <c r="H8" s="498"/>
      <c r="I8" s="498"/>
    </row>
    <row r="9" spans="1:9" x14ac:dyDescent="0.25">
      <c r="A9" s="671" t="s">
        <v>156</v>
      </c>
      <c r="B9" s="671"/>
      <c r="C9" s="671"/>
      <c r="D9" s="671"/>
      <c r="E9" s="671"/>
      <c r="F9" s="671"/>
      <c r="G9" s="671"/>
      <c r="H9" s="671"/>
      <c r="I9" s="671"/>
    </row>
    <row r="10" spans="1:9" x14ac:dyDescent="0.25">
      <c r="A10" s="673" t="s">
        <v>1140</v>
      </c>
      <c r="B10" s="673"/>
      <c r="C10" s="673"/>
      <c r="D10" s="673"/>
      <c r="E10" s="673"/>
      <c r="F10" s="673"/>
      <c r="G10" s="673"/>
      <c r="H10" s="673"/>
      <c r="I10" s="673"/>
    </row>
    <row r="12" spans="1:9" x14ac:dyDescent="0.25">
      <c r="A12" s="15"/>
      <c r="B12" s="15"/>
      <c r="C12" s="15"/>
      <c r="D12" s="15"/>
      <c r="E12" s="15"/>
      <c r="F12" s="15"/>
      <c r="G12" s="15"/>
      <c r="H12" s="15"/>
      <c r="I12" s="15"/>
    </row>
    <row r="13" spans="1:9" x14ac:dyDescent="0.25">
      <c r="A13" s="673" t="s">
        <v>1141</v>
      </c>
      <c r="B13" s="673"/>
      <c r="C13" s="673"/>
      <c r="D13" s="673"/>
      <c r="E13" s="673"/>
      <c r="F13" s="673"/>
      <c r="G13" s="673"/>
      <c r="H13" s="673"/>
      <c r="I13" s="673"/>
    </row>
    <row r="14" spans="1:9" x14ac:dyDescent="0.25">
      <c r="A14" s="671"/>
      <c r="B14" s="671"/>
      <c r="C14" s="671"/>
      <c r="D14" s="671"/>
      <c r="E14" s="671"/>
      <c r="F14" s="671"/>
      <c r="G14" s="671"/>
      <c r="H14" s="671"/>
      <c r="I14" s="671"/>
    </row>
    <row r="15" spans="1:9" x14ac:dyDescent="0.25">
      <c r="A15" s="14"/>
      <c r="B15" s="14"/>
      <c r="C15" s="14"/>
      <c r="D15" s="14"/>
      <c r="E15" s="14"/>
      <c r="F15" s="14"/>
      <c r="G15" s="14"/>
      <c r="H15" s="14"/>
      <c r="I15" s="14"/>
    </row>
    <row r="18" spans="1:9" x14ac:dyDescent="0.25">
      <c r="A18" s="674">
        <v>42887</v>
      </c>
      <c r="B18" s="674"/>
      <c r="C18" s="674"/>
      <c r="D18" s="674"/>
      <c r="E18" s="674"/>
      <c r="F18" s="674"/>
      <c r="G18" s="674"/>
      <c r="H18" s="674"/>
      <c r="I18" s="674"/>
    </row>
    <row r="21" spans="1:9" x14ac:dyDescent="0.25">
      <c r="A21" s="672"/>
      <c r="B21" s="672"/>
      <c r="C21" s="672"/>
      <c r="D21" s="672"/>
      <c r="E21" s="672"/>
      <c r="F21" s="672"/>
      <c r="G21" s="672"/>
      <c r="H21" s="672"/>
      <c r="I21" s="672"/>
    </row>
    <row r="22" spans="1:9" x14ac:dyDescent="0.25">
      <c r="B22" s="136"/>
      <c r="C22" s="136"/>
      <c r="D22" s="136"/>
      <c r="E22" s="136"/>
      <c r="F22" s="136"/>
    </row>
    <row r="23" spans="1:9" x14ac:dyDescent="0.25">
      <c r="B23" s="136"/>
      <c r="C23" s="136"/>
      <c r="D23" s="136"/>
      <c r="E23" s="136"/>
      <c r="F23" s="136"/>
    </row>
    <row r="24" spans="1:9" x14ac:dyDescent="0.25">
      <c r="B24" s="136"/>
      <c r="C24" s="136"/>
      <c r="D24" s="136"/>
      <c r="E24" s="136"/>
      <c r="F24" s="136"/>
    </row>
    <row r="25" spans="1:9" x14ac:dyDescent="0.25">
      <c r="B25" s="136"/>
      <c r="C25" s="136"/>
      <c r="D25" s="136"/>
      <c r="E25" s="136"/>
      <c r="F25" s="136"/>
    </row>
    <row r="26" spans="1:9" x14ac:dyDescent="0.25">
      <c r="B26" s="136"/>
      <c r="C26" s="136"/>
      <c r="D26" s="136"/>
      <c r="E26" s="136"/>
      <c r="F26" s="136"/>
    </row>
    <row r="53" spans="1:9" x14ac:dyDescent="0.25">
      <c r="A53" s="672"/>
      <c r="B53" s="672"/>
      <c r="C53" s="672"/>
      <c r="D53" s="672"/>
      <c r="E53" s="672"/>
      <c r="F53" s="672"/>
      <c r="G53" s="672"/>
      <c r="H53" s="672"/>
      <c r="I53" s="672"/>
    </row>
  </sheetData>
  <mergeCells count="11">
    <mergeCell ref="A2:I2"/>
    <mergeCell ref="A4:I4"/>
    <mergeCell ref="A6:I6"/>
    <mergeCell ref="A53:I53"/>
    <mergeCell ref="A7:I7"/>
    <mergeCell ref="A13:I13"/>
    <mergeCell ref="A18:I18"/>
    <mergeCell ref="A14:I14"/>
    <mergeCell ref="A21:I21"/>
    <mergeCell ref="A9:I9"/>
    <mergeCell ref="A10:I10"/>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59"/>
  <sheetViews>
    <sheetView zoomScaleNormal="100" zoomScaleSheetLayoutView="100" workbookViewId="0">
      <selection activeCell="A19" sqref="A19"/>
    </sheetView>
  </sheetViews>
  <sheetFormatPr defaultRowHeight="12.75" x14ac:dyDescent="0.2"/>
  <cols>
    <col min="1" max="1" width="4.5703125" style="504" customWidth="1"/>
    <col min="2" max="2" width="5.28515625" style="153" customWidth="1"/>
    <col min="3" max="3" width="4.7109375" style="153" customWidth="1"/>
    <col min="4" max="4" width="47.42578125" style="153" customWidth="1"/>
    <col min="5" max="5" width="66.7109375" style="153" bestFit="1" customWidth="1"/>
    <col min="6" max="6" width="18.5703125" style="153" customWidth="1"/>
    <col min="7" max="7" width="9.140625" style="153"/>
    <col min="8" max="8" width="15.85546875" style="153" bestFit="1" customWidth="1"/>
    <col min="9" max="16384" width="9.140625" style="153"/>
  </cols>
  <sheetData>
    <row r="1" spans="1:8" x14ac:dyDescent="0.2">
      <c r="A1" s="685" t="s">
        <v>365</v>
      </c>
      <c r="B1" s="685"/>
      <c r="C1" s="685"/>
      <c r="D1" s="685"/>
      <c r="E1" s="685"/>
      <c r="F1" s="685"/>
    </row>
    <row r="2" spans="1:8" x14ac:dyDescent="0.2">
      <c r="A2" s="685" t="s">
        <v>397</v>
      </c>
      <c r="B2" s="685"/>
      <c r="C2" s="685"/>
      <c r="D2" s="685"/>
      <c r="E2" s="685"/>
      <c r="F2" s="685"/>
    </row>
    <row r="5" spans="1:8" x14ac:dyDescent="0.2">
      <c r="A5" s="504">
        <v>1</v>
      </c>
      <c r="B5" s="157" t="s">
        <v>182</v>
      </c>
    </row>
    <row r="6" spans="1:8" x14ac:dyDescent="0.2">
      <c r="A6" s="504">
        <f>A5+1</f>
        <v>2</v>
      </c>
    </row>
    <row r="7" spans="1:8" x14ac:dyDescent="0.2">
      <c r="A7" s="504">
        <f t="shared" ref="A7:A55" si="0">A6+1</f>
        <v>3</v>
      </c>
      <c r="D7" s="153" t="s">
        <v>203</v>
      </c>
      <c r="E7" s="159" t="s">
        <v>181</v>
      </c>
      <c r="F7" s="168">
        <f>-'Rate Calculation'!E8</f>
        <v>31448126.854999997</v>
      </c>
    </row>
    <row r="8" spans="1:8" x14ac:dyDescent="0.2">
      <c r="A8" s="504">
        <f t="shared" si="0"/>
        <v>4</v>
      </c>
      <c r="D8" s="153" t="s">
        <v>758</v>
      </c>
      <c r="E8" s="159" t="s">
        <v>114</v>
      </c>
      <c r="F8" s="168">
        <f>'Rate Calculation'!E7</f>
        <v>1120902541</v>
      </c>
      <c r="H8" s="210"/>
    </row>
    <row r="9" spans="1:8" x14ac:dyDescent="0.2">
      <c r="A9" s="504">
        <f t="shared" si="0"/>
        <v>5</v>
      </c>
      <c r="D9" s="153" t="s">
        <v>182</v>
      </c>
      <c r="E9" s="161" t="s">
        <v>592</v>
      </c>
      <c r="F9" s="160">
        <f>ROUND(F7/F8,8)</f>
        <v>2.8056080000000001E-2</v>
      </c>
      <c r="H9" s="211"/>
    </row>
    <row r="10" spans="1:8" x14ac:dyDescent="0.2">
      <c r="A10" s="504">
        <f t="shared" si="0"/>
        <v>6</v>
      </c>
      <c r="E10" s="161"/>
      <c r="F10" s="212"/>
    </row>
    <row r="11" spans="1:8" x14ac:dyDescent="0.2">
      <c r="A11" s="504">
        <f t="shared" si="0"/>
        <v>7</v>
      </c>
      <c r="E11" s="161"/>
      <c r="F11" s="212"/>
    </row>
    <row r="12" spans="1:8" x14ac:dyDescent="0.2">
      <c r="A12" s="504">
        <f t="shared" si="0"/>
        <v>8</v>
      </c>
      <c r="B12" s="157" t="s">
        <v>219</v>
      </c>
    </row>
    <row r="13" spans="1:8" x14ac:dyDescent="0.2">
      <c r="A13" s="504">
        <f t="shared" si="0"/>
        <v>9</v>
      </c>
    </row>
    <row r="14" spans="1:8" x14ac:dyDescent="0.2">
      <c r="A14" s="504">
        <f t="shared" si="0"/>
        <v>10</v>
      </c>
      <c r="D14" s="153" t="s">
        <v>220</v>
      </c>
      <c r="E14" s="159" t="s">
        <v>571</v>
      </c>
      <c r="F14" s="168">
        <f>'Schedule 8'!E17</f>
        <v>1041147.3400000001</v>
      </c>
    </row>
    <row r="15" spans="1:8" x14ac:dyDescent="0.2">
      <c r="A15" s="504">
        <f t="shared" si="0"/>
        <v>11</v>
      </c>
      <c r="D15" s="153" t="s">
        <v>758</v>
      </c>
      <c r="E15" s="159" t="s">
        <v>114</v>
      </c>
      <c r="F15" s="168">
        <f>'Rate Calculation'!E7</f>
        <v>1120902541</v>
      </c>
    </row>
    <row r="16" spans="1:8" x14ac:dyDescent="0.2">
      <c r="A16" s="504">
        <f t="shared" si="0"/>
        <v>12</v>
      </c>
      <c r="D16" s="153" t="s">
        <v>219</v>
      </c>
      <c r="E16" s="161" t="s">
        <v>593</v>
      </c>
      <c r="F16" s="160">
        <f>ROUND(F14/F15,8)</f>
        <v>9.2885000000000005E-4</v>
      </c>
    </row>
    <row r="17" spans="1:8" x14ac:dyDescent="0.2">
      <c r="A17" s="504">
        <f t="shared" si="0"/>
        <v>13</v>
      </c>
      <c r="E17" s="159"/>
      <c r="F17" s="213"/>
    </row>
    <row r="18" spans="1:8" x14ac:dyDescent="0.2">
      <c r="A18" s="504">
        <f t="shared" si="0"/>
        <v>14</v>
      </c>
      <c r="E18" s="161"/>
      <c r="F18" s="212"/>
    </row>
    <row r="19" spans="1:8" x14ac:dyDescent="0.2">
      <c r="A19" s="504">
        <f t="shared" si="0"/>
        <v>15</v>
      </c>
      <c r="B19" s="157" t="s">
        <v>270</v>
      </c>
    </row>
    <row r="20" spans="1:8" x14ac:dyDescent="0.2">
      <c r="A20" s="504">
        <f t="shared" si="0"/>
        <v>16</v>
      </c>
    </row>
    <row r="21" spans="1:8" x14ac:dyDescent="0.2">
      <c r="A21" s="504">
        <f t="shared" si="0"/>
        <v>17</v>
      </c>
      <c r="D21" s="153" t="s">
        <v>398</v>
      </c>
      <c r="E21" s="159" t="s">
        <v>969</v>
      </c>
      <c r="F21" s="158">
        <v>9612695</v>
      </c>
    </row>
    <row r="22" spans="1:8" x14ac:dyDescent="0.2">
      <c r="A22" s="504">
        <f t="shared" si="0"/>
        <v>18</v>
      </c>
      <c r="D22" s="153" t="s">
        <v>221</v>
      </c>
      <c r="E22" s="161" t="s">
        <v>293</v>
      </c>
      <c r="F22" s="163">
        <f>-(F9*F21)</f>
        <v>-269694.53993560001</v>
      </c>
    </row>
    <row r="23" spans="1:8" x14ac:dyDescent="0.2">
      <c r="A23" s="504">
        <f t="shared" si="0"/>
        <v>19</v>
      </c>
      <c r="D23" s="153" t="s">
        <v>222</v>
      </c>
      <c r="E23" s="161" t="s">
        <v>294</v>
      </c>
      <c r="F23" s="163">
        <f>-(F21*F16)</f>
        <v>-8928.7517507499997</v>
      </c>
    </row>
    <row r="24" spans="1:8" x14ac:dyDescent="0.2">
      <c r="A24" s="504">
        <f t="shared" si="0"/>
        <v>20</v>
      </c>
      <c r="D24" s="153" t="s">
        <v>223</v>
      </c>
      <c r="E24" s="161" t="s">
        <v>295</v>
      </c>
      <c r="F24" s="158">
        <f>SUM(F21:F23)</f>
        <v>9334071.7083136495</v>
      </c>
    </row>
    <row r="25" spans="1:8" x14ac:dyDescent="0.2">
      <c r="A25" s="504">
        <f t="shared" si="0"/>
        <v>21</v>
      </c>
      <c r="D25" s="153" t="s">
        <v>399</v>
      </c>
      <c r="E25" s="159" t="s">
        <v>970</v>
      </c>
      <c r="F25" s="158">
        <v>72301350</v>
      </c>
    </row>
    <row r="26" spans="1:8" x14ac:dyDescent="0.2">
      <c r="A26" s="504">
        <f t="shared" si="0"/>
        <v>22</v>
      </c>
      <c r="D26" s="153" t="s">
        <v>400</v>
      </c>
      <c r="E26" s="159" t="s">
        <v>971</v>
      </c>
      <c r="F26" s="158">
        <v>149649473</v>
      </c>
    </row>
    <row r="27" spans="1:8" x14ac:dyDescent="0.2">
      <c r="A27" s="504">
        <f t="shared" si="0"/>
        <v>23</v>
      </c>
      <c r="D27" s="153" t="s">
        <v>518</v>
      </c>
      <c r="E27" s="161" t="s">
        <v>759</v>
      </c>
      <c r="F27" s="160">
        <f>ROUND(F24/(F26-F25),8)</f>
        <v>0.12067612</v>
      </c>
      <c r="H27" s="163"/>
    </row>
    <row r="28" spans="1:8" x14ac:dyDescent="0.2">
      <c r="A28" s="504">
        <f t="shared" si="0"/>
        <v>24</v>
      </c>
      <c r="E28" s="161"/>
      <c r="F28" s="212"/>
    </row>
    <row r="29" spans="1:8" x14ac:dyDescent="0.2">
      <c r="A29" s="504">
        <f t="shared" si="0"/>
        <v>25</v>
      </c>
      <c r="E29" s="161"/>
      <c r="F29" s="212"/>
    </row>
    <row r="30" spans="1:8" x14ac:dyDescent="0.2">
      <c r="A30" s="504">
        <f t="shared" si="0"/>
        <v>26</v>
      </c>
      <c r="B30" s="157" t="s">
        <v>517</v>
      </c>
    </row>
    <row r="31" spans="1:8" x14ac:dyDescent="0.2">
      <c r="A31" s="504">
        <f t="shared" si="0"/>
        <v>27</v>
      </c>
    </row>
    <row r="32" spans="1:8" x14ac:dyDescent="0.2">
      <c r="A32" s="504">
        <f t="shared" si="0"/>
        <v>28</v>
      </c>
      <c r="E32" s="159"/>
      <c r="F32" s="158"/>
    </row>
    <row r="33" spans="1:6" x14ac:dyDescent="0.2">
      <c r="A33" s="504">
        <f t="shared" si="0"/>
        <v>29</v>
      </c>
      <c r="D33" s="153" t="s">
        <v>758</v>
      </c>
      <c r="E33" s="159" t="s">
        <v>114</v>
      </c>
      <c r="F33" s="158">
        <f>'Rate Calculation'!E7</f>
        <v>1120902541</v>
      </c>
    </row>
    <row r="34" spans="1:6" x14ac:dyDescent="0.2">
      <c r="A34" s="504">
        <f t="shared" si="0"/>
        <v>30</v>
      </c>
      <c r="D34" s="153" t="s">
        <v>202</v>
      </c>
      <c r="E34" s="159" t="s">
        <v>181</v>
      </c>
      <c r="F34" s="158">
        <f>-'Schedule 7'!E90</f>
        <v>-31448126.854999997</v>
      </c>
    </row>
    <row r="35" spans="1:6" x14ac:dyDescent="0.2">
      <c r="A35" s="504">
        <f t="shared" si="0"/>
        <v>31</v>
      </c>
      <c r="D35" s="153" t="s">
        <v>224</v>
      </c>
      <c r="E35" s="159" t="s">
        <v>571</v>
      </c>
      <c r="F35" s="158">
        <f>-('Schedule 8'!E17)</f>
        <v>-1041147.3400000001</v>
      </c>
    </row>
    <row r="36" spans="1:6" x14ac:dyDescent="0.2">
      <c r="A36" s="504">
        <f t="shared" si="0"/>
        <v>32</v>
      </c>
      <c r="D36" s="153" t="s">
        <v>196</v>
      </c>
      <c r="E36" s="161" t="s">
        <v>296</v>
      </c>
      <c r="F36" s="158">
        <f>SUM(F33:F35)</f>
        <v>1088413266.8050001</v>
      </c>
    </row>
    <row r="37" spans="1:6" x14ac:dyDescent="0.2">
      <c r="A37" s="504">
        <f t="shared" si="0"/>
        <v>33</v>
      </c>
      <c r="D37" s="153" t="s">
        <v>430</v>
      </c>
      <c r="E37" s="143">
        <v>-49</v>
      </c>
      <c r="F37" s="158">
        <f>F53</f>
        <v>50857212.434491403</v>
      </c>
    </row>
    <row r="38" spans="1:6" x14ac:dyDescent="0.2">
      <c r="A38" s="504">
        <f t="shared" si="0"/>
        <v>34</v>
      </c>
      <c r="D38" s="153" t="s">
        <v>760</v>
      </c>
      <c r="E38" s="159" t="s">
        <v>958</v>
      </c>
      <c r="F38" s="158">
        <f>5731292950-15311883-0-0-0-0-164191-0</f>
        <v>5715816876</v>
      </c>
    </row>
    <row r="39" spans="1:6" x14ac:dyDescent="0.2">
      <c r="A39" s="504">
        <f t="shared" si="0"/>
        <v>35</v>
      </c>
      <c r="D39" s="153" t="s">
        <v>517</v>
      </c>
      <c r="E39" s="161" t="s">
        <v>153</v>
      </c>
      <c r="F39" s="160">
        <f>ROUND((F36+F37)/F38,8)</f>
        <v>0.19931893000000001</v>
      </c>
    </row>
    <row r="40" spans="1:6" x14ac:dyDescent="0.2">
      <c r="A40" s="504">
        <f t="shared" si="0"/>
        <v>36</v>
      </c>
    </row>
    <row r="41" spans="1:6" x14ac:dyDescent="0.2">
      <c r="A41" s="504">
        <f t="shared" si="0"/>
        <v>37</v>
      </c>
    </row>
    <row r="42" spans="1:6" x14ac:dyDescent="0.2">
      <c r="A42" s="504">
        <f t="shared" si="0"/>
        <v>38</v>
      </c>
      <c r="B42" s="157" t="s">
        <v>314</v>
      </c>
    </row>
    <row r="43" spans="1:6" x14ac:dyDescent="0.2">
      <c r="A43" s="504">
        <f t="shared" si="0"/>
        <v>39</v>
      </c>
    </row>
    <row r="44" spans="1:6" x14ac:dyDescent="0.2">
      <c r="A44" s="504">
        <f t="shared" si="0"/>
        <v>40</v>
      </c>
      <c r="D44" s="153" t="s">
        <v>197</v>
      </c>
      <c r="E44" s="159" t="s">
        <v>225</v>
      </c>
      <c r="F44" s="158">
        <f>F36</f>
        <v>1088413266.8050001</v>
      </c>
    </row>
    <row r="45" spans="1:6" x14ac:dyDescent="0.2">
      <c r="A45" s="504">
        <f t="shared" si="0"/>
        <v>41</v>
      </c>
      <c r="D45" s="153" t="s">
        <v>760</v>
      </c>
      <c r="E45" s="143">
        <v>-34</v>
      </c>
      <c r="F45" s="158">
        <f>F38</f>
        <v>5715816876</v>
      </c>
    </row>
    <row r="46" spans="1:6" x14ac:dyDescent="0.2">
      <c r="A46" s="504">
        <f t="shared" si="0"/>
        <v>42</v>
      </c>
      <c r="D46" s="153" t="s">
        <v>314</v>
      </c>
      <c r="E46" s="161" t="s">
        <v>154</v>
      </c>
      <c r="F46" s="160">
        <f>ROUND(F44/F45,8)</f>
        <v>0.19042129999999999</v>
      </c>
    </row>
    <row r="47" spans="1:6" x14ac:dyDescent="0.2">
      <c r="A47" s="504">
        <f t="shared" si="0"/>
        <v>43</v>
      </c>
    </row>
    <row r="48" spans="1:6" x14ac:dyDescent="0.2">
      <c r="A48" s="504">
        <f t="shared" si="0"/>
        <v>44</v>
      </c>
    </row>
    <row r="49" spans="1:6" x14ac:dyDescent="0.2">
      <c r="A49" s="504">
        <f t="shared" si="0"/>
        <v>45</v>
      </c>
      <c r="B49" s="157" t="s">
        <v>401</v>
      </c>
    </row>
    <row r="50" spans="1:6" x14ac:dyDescent="0.2">
      <c r="A50" s="504">
        <f t="shared" si="0"/>
        <v>46</v>
      </c>
    </row>
    <row r="51" spans="1:6" x14ac:dyDescent="0.2">
      <c r="A51" s="504">
        <f t="shared" si="0"/>
        <v>47</v>
      </c>
      <c r="D51" s="153" t="s">
        <v>431</v>
      </c>
      <c r="E51" s="159" t="s">
        <v>233</v>
      </c>
      <c r="F51" s="93">
        <f>'Schedule 1'!F22</f>
        <v>44492681.097991042</v>
      </c>
    </row>
    <row r="52" spans="1:6" x14ac:dyDescent="0.2">
      <c r="A52" s="504">
        <f t="shared" si="0"/>
        <v>48</v>
      </c>
      <c r="D52" s="153" t="s">
        <v>432</v>
      </c>
      <c r="E52" s="159" t="s">
        <v>233</v>
      </c>
      <c r="F52" s="93">
        <f>'Schedule 1'!F36</f>
        <v>6364531.3365003597</v>
      </c>
    </row>
    <row r="53" spans="1:6" x14ac:dyDescent="0.2">
      <c r="A53" s="504">
        <f t="shared" si="0"/>
        <v>49</v>
      </c>
      <c r="D53" s="153" t="s">
        <v>433</v>
      </c>
      <c r="E53" s="161" t="s">
        <v>297</v>
      </c>
      <c r="F53" s="93">
        <f>SUM(F51:F52)</f>
        <v>50857212.434491403</v>
      </c>
    </row>
    <row r="54" spans="1:6" x14ac:dyDescent="0.2">
      <c r="A54" s="504">
        <f t="shared" si="0"/>
        <v>50</v>
      </c>
      <c r="D54" s="153" t="s">
        <v>760</v>
      </c>
      <c r="E54" s="143">
        <v>-34</v>
      </c>
      <c r="F54" s="158">
        <f>F38</f>
        <v>5715816876</v>
      </c>
    </row>
    <row r="55" spans="1:6" x14ac:dyDescent="0.2">
      <c r="A55" s="504">
        <f t="shared" si="0"/>
        <v>51</v>
      </c>
      <c r="D55" s="153" t="s">
        <v>426</v>
      </c>
      <c r="E55" s="161" t="s">
        <v>155</v>
      </c>
      <c r="F55" s="153">
        <f>ROUND(F53/F54,8)</f>
        <v>8.8976300000000001E-3</v>
      </c>
    </row>
    <row r="59" spans="1:6" x14ac:dyDescent="0.2">
      <c r="D59" s="168"/>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43"/>
  <sheetViews>
    <sheetView zoomScaleNormal="100" zoomScaleSheetLayoutView="100" workbookViewId="0">
      <selection activeCell="A19" sqref="A19"/>
    </sheetView>
  </sheetViews>
  <sheetFormatPr defaultRowHeight="12.75" x14ac:dyDescent="0.2"/>
  <cols>
    <col min="1" max="1" width="3.140625" style="153" customWidth="1"/>
    <col min="2" max="2" width="2.140625" style="153" customWidth="1"/>
    <col min="3" max="3" width="44.28515625" style="153" customWidth="1"/>
    <col min="4" max="4" width="37.7109375" style="93" customWidth="1"/>
    <col min="5" max="5" width="15.85546875" style="153" customWidth="1"/>
    <col min="6" max="16384" width="9.140625" style="153"/>
  </cols>
  <sheetData>
    <row r="1" spans="1:5" x14ac:dyDescent="0.2">
      <c r="A1" s="685" t="s">
        <v>366</v>
      </c>
      <c r="B1" s="685"/>
      <c r="C1" s="685"/>
      <c r="D1" s="685"/>
      <c r="E1" s="685"/>
    </row>
    <row r="2" spans="1:5" x14ac:dyDescent="0.2">
      <c r="A2" s="685" t="s">
        <v>302</v>
      </c>
      <c r="B2" s="685"/>
      <c r="C2" s="685"/>
      <c r="D2" s="685"/>
      <c r="E2" s="685"/>
    </row>
    <row r="3" spans="1:5" x14ac:dyDescent="0.2">
      <c r="A3" s="685"/>
      <c r="B3" s="685"/>
      <c r="C3" s="685"/>
      <c r="D3" s="685"/>
      <c r="E3" s="685"/>
    </row>
    <row r="6" spans="1:5" x14ac:dyDescent="0.2">
      <c r="A6" s="504">
        <v>1</v>
      </c>
      <c r="B6" s="157"/>
      <c r="C6" s="157" t="s">
        <v>471</v>
      </c>
    </row>
    <row r="7" spans="1:5" x14ac:dyDescent="0.2">
      <c r="A7" s="504">
        <f>A6+1</f>
        <v>2</v>
      </c>
      <c r="B7" s="157"/>
      <c r="C7" s="153" t="s">
        <v>403</v>
      </c>
    </row>
    <row r="8" spans="1:5" x14ac:dyDescent="0.2">
      <c r="A8" s="504">
        <f t="shared" ref="A8:A23" si="0">A7+1</f>
        <v>3</v>
      </c>
      <c r="B8" s="157"/>
      <c r="C8" s="153" t="s">
        <v>404</v>
      </c>
    </row>
    <row r="9" spans="1:5" x14ac:dyDescent="0.2">
      <c r="A9" s="504">
        <f t="shared" si="0"/>
        <v>4</v>
      </c>
      <c r="B9" s="157"/>
      <c r="C9" s="153" t="s">
        <v>183</v>
      </c>
      <c r="D9" s="191" t="s">
        <v>635</v>
      </c>
      <c r="E9" s="464">
        <f>'Schedule 4 Workpaper page 1'!F11</f>
        <v>226923.32</v>
      </c>
    </row>
    <row r="10" spans="1:5" x14ac:dyDescent="0.2">
      <c r="A10" s="504">
        <f t="shared" si="0"/>
        <v>5</v>
      </c>
      <c r="B10" s="157"/>
      <c r="C10" s="153" t="s">
        <v>217</v>
      </c>
      <c r="D10" s="191" t="s">
        <v>635</v>
      </c>
      <c r="E10" s="465">
        <f>'Schedule 4 Workpaper page 1'!F10</f>
        <v>59896.868984243993</v>
      </c>
    </row>
    <row r="11" spans="1:5" x14ac:dyDescent="0.2">
      <c r="A11" s="504">
        <f t="shared" si="0"/>
        <v>6</v>
      </c>
      <c r="B11" s="157"/>
      <c r="C11" s="153" t="s">
        <v>228</v>
      </c>
      <c r="D11" s="191" t="s">
        <v>635</v>
      </c>
      <c r="E11" s="466">
        <f>'Schedule 4 Workpaper page 1'!F12</f>
        <v>280530.25</v>
      </c>
    </row>
    <row r="12" spans="1:5" x14ac:dyDescent="0.2">
      <c r="A12" s="504">
        <f t="shared" si="0"/>
        <v>7</v>
      </c>
      <c r="B12" s="157"/>
      <c r="C12" s="153" t="s">
        <v>919</v>
      </c>
      <c r="D12" s="191" t="s">
        <v>635</v>
      </c>
      <c r="E12" s="467">
        <f>'Schedule 4 Workpaper page 1'!F33</f>
        <v>3002519.2</v>
      </c>
    </row>
    <row r="13" spans="1:5" x14ac:dyDescent="0.2">
      <c r="A13" s="504">
        <f t="shared" si="0"/>
        <v>8</v>
      </c>
      <c r="B13" s="157"/>
      <c r="C13" s="154" t="s">
        <v>192</v>
      </c>
      <c r="D13" s="191"/>
      <c r="E13" s="372">
        <f>SUM(E9:E12)</f>
        <v>3569869.6389842443</v>
      </c>
    </row>
    <row r="14" spans="1:5" x14ac:dyDescent="0.2">
      <c r="A14" s="504">
        <f t="shared" si="0"/>
        <v>9</v>
      </c>
      <c r="B14" s="157"/>
      <c r="D14" s="191"/>
      <c r="E14" s="465"/>
    </row>
    <row r="15" spans="1:5" x14ac:dyDescent="0.2">
      <c r="A15" s="504">
        <f t="shared" si="0"/>
        <v>10</v>
      </c>
      <c r="B15" s="157"/>
      <c r="C15" s="157" t="s">
        <v>405</v>
      </c>
      <c r="D15" s="191"/>
      <c r="E15" s="434"/>
    </row>
    <row r="16" spans="1:5" x14ac:dyDescent="0.2">
      <c r="A16" s="504">
        <f t="shared" si="0"/>
        <v>11</v>
      </c>
      <c r="B16" s="157"/>
      <c r="C16" s="228" t="s">
        <v>183</v>
      </c>
      <c r="D16" s="468" t="s">
        <v>3</v>
      </c>
      <c r="E16" s="469">
        <f>'Schedule 4 Workpaper page 5'!G11</f>
        <v>3972.3037387119061</v>
      </c>
    </row>
    <row r="17" spans="1:5" x14ac:dyDescent="0.2">
      <c r="A17" s="504">
        <f t="shared" si="0"/>
        <v>12</v>
      </c>
      <c r="B17" s="157"/>
      <c r="C17" s="228" t="s">
        <v>350</v>
      </c>
      <c r="D17" s="468" t="s">
        <v>1142</v>
      </c>
      <c r="E17" s="466">
        <f>15240*0.35</f>
        <v>5334</v>
      </c>
    </row>
    <row r="18" spans="1:5" x14ac:dyDescent="0.2">
      <c r="A18" s="504">
        <f t="shared" si="0"/>
        <v>13</v>
      </c>
      <c r="B18" s="157"/>
      <c r="C18" s="228" t="s">
        <v>895</v>
      </c>
      <c r="D18" s="468" t="s">
        <v>797</v>
      </c>
      <c r="E18" s="470">
        <f>'Schedule 4 Workpaper page 6'!K30</f>
        <v>11354857.289999999</v>
      </c>
    </row>
    <row r="19" spans="1:5" x14ac:dyDescent="0.2">
      <c r="A19" s="504">
        <f t="shared" si="0"/>
        <v>14</v>
      </c>
      <c r="B19" s="157"/>
      <c r="C19" s="154" t="s">
        <v>192</v>
      </c>
      <c r="D19" s="471"/>
      <c r="E19" s="469">
        <f>SUM(E16:E18)</f>
        <v>11364163.593738711</v>
      </c>
    </row>
    <row r="20" spans="1:5" x14ac:dyDescent="0.2">
      <c r="A20" s="504">
        <f t="shared" si="0"/>
        <v>15</v>
      </c>
      <c r="B20" s="157"/>
      <c r="C20" s="154"/>
      <c r="D20" s="471"/>
      <c r="E20" s="466"/>
    </row>
    <row r="21" spans="1:5" x14ac:dyDescent="0.2">
      <c r="A21" s="504">
        <f t="shared" si="0"/>
        <v>16</v>
      </c>
      <c r="D21" s="153"/>
      <c r="E21" s="465"/>
    </row>
    <row r="22" spans="1:5" x14ac:dyDescent="0.2">
      <c r="A22" s="504">
        <f t="shared" si="0"/>
        <v>17</v>
      </c>
      <c r="D22" s="153"/>
      <c r="E22" s="465"/>
    </row>
    <row r="23" spans="1:5" x14ac:dyDescent="0.2">
      <c r="A23" s="504">
        <f t="shared" si="0"/>
        <v>18</v>
      </c>
      <c r="B23" s="157"/>
      <c r="C23" s="472" t="s">
        <v>406</v>
      </c>
      <c r="E23" s="469">
        <f>E13+E19</f>
        <v>14934033.232722955</v>
      </c>
    </row>
    <row r="24" spans="1:5" x14ac:dyDescent="0.2">
      <c r="A24" s="504"/>
      <c r="B24" s="157"/>
      <c r="C24" s="159"/>
      <c r="E24" s="471"/>
    </row>
    <row r="25" spans="1:5" x14ac:dyDescent="0.2">
      <c r="A25" s="504"/>
      <c r="B25" s="157"/>
    </row>
    <row r="26" spans="1:5" x14ac:dyDescent="0.2">
      <c r="B26" s="157"/>
    </row>
    <row r="27" spans="1:5" x14ac:dyDescent="0.2">
      <c r="B27" s="157"/>
    </row>
    <row r="29" spans="1:5" x14ac:dyDescent="0.2">
      <c r="C29" s="153" t="s">
        <v>894</v>
      </c>
    </row>
    <row r="30" spans="1:5" x14ac:dyDescent="0.2">
      <c r="C30" s="153" t="s">
        <v>802</v>
      </c>
    </row>
    <row r="35" ht="15" customHeight="1" x14ac:dyDescent="0.2"/>
    <row r="43" ht="15" customHeight="1" x14ac:dyDescent="0.2"/>
  </sheetData>
  <sheetProtection formatCells="0"/>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70"/>
  <sheetViews>
    <sheetView zoomScale="90" zoomScaleNormal="90" zoomScaleSheetLayoutView="100" zoomScalePageLayoutView="75" workbookViewId="0">
      <selection activeCell="A27" sqref="A27:H27"/>
    </sheetView>
  </sheetViews>
  <sheetFormatPr defaultRowHeight="12.75" x14ac:dyDescent="0.2"/>
  <cols>
    <col min="1" max="1" width="15.85546875" style="159" customWidth="1"/>
    <col min="2" max="3" width="14.42578125" style="504" customWidth="1"/>
    <col min="4" max="4" width="19.7109375" style="504" bestFit="1" customWidth="1"/>
    <col min="5" max="5" width="17.140625" style="504" customWidth="1"/>
    <col min="6" max="6" width="17.85546875" style="153" customWidth="1"/>
    <col min="7" max="8" width="14.42578125" style="153" customWidth="1"/>
    <col min="9" max="9" width="11.85546875" style="153" customWidth="1"/>
    <col min="10" max="10" width="14.42578125" style="504" customWidth="1"/>
    <col min="11" max="11" width="14.42578125" style="570" customWidth="1"/>
    <col min="12" max="16" width="11.85546875" style="153" customWidth="1"/>
    <col min="17" max="16384" width="9.140625" style="153"/>
  </cols>
  <sheetData>
    <row r="1" spans="1:19" x14ac:dyDescent="0.2">
      <c r="A1" s="685" t="s">
        <v>193</v>
      </c>
      <c r="B1" s="685"/>
      <c r="C1" s="685"/>
      <c r="D1" s="685"/>
      <c r="E1" s="685"/>
      <c r="F1" s="685"/>
      <c r="G1" s="685"/>
      <c r="H1" s="685"/>
      <c r="I1" s="685"/>
      <c r="J1" s="685"/>
      <c r="K1" s="685"/>
      <c r="L1" s="685"/>
      <c r="M1" s="685"/>
      <c r="N1" s="183"/>
      <c r="O1" s="183"/>
      <c r="P1" s="183"/>
    </row>
    <row r="2" spans="1:19" s="157" customFormat="1" x14ac:dyDescent="0.2">
      <c r="A2" s="685" t="s">
        <v>980</v>
      </c>
      <c r="B2" s="685"/>
      <c r="C2" s="685"/>
      <c r="D2" s="685"/>
      <c r="E2" s="685"/>
      <c r="F2" s="685"/>
      <c r="G2" s="685"/>
      <c r="H2" s="685"/>
      <c r="I2" s="685"/>
      <c r="J2" s="685"/>
      <c r="K2" s="685"/>
      <c r="L2" s="685"/>
      <c r="M2" s="685"/>
      <c r="N2" s="183"/>
      <c r="O2" s="183"/>
      <c r="P2" s="183"/>
    </row>
    <row r="3" spans="1:19" x14ac:dyDescent="0.2">
      <c r="A3" s="183"/>
      <c r="B3" s="183"/>
      <c r="C3" s="183"/>
      <c r="D3" s="183"/>
      <c r="E3" s="183"/>
      <c r="F3" s="183"/>
      <c r="G3" s="183"/>
      <c r="H3" s="183"/>
      <c r="I3" s="183"/>
      <c r="J3" s="183"/>
      <c r="K3" s="183"/>
      <c r="L3" s="183"/>
      <c r="M3" s="183"/>
      <c r="N3" s="183"/>
      <c r="O3" s="183"/>
      <c r="P3" s="183"/>
    </row>
    <row r="4" spans="1:19" x14ac:dyDescent="0.2">
      <c r="B4" s="214"/>
      <c r="C4" s="214"/>
      <c r="D4" s="214"/>
      <c r="E4" s="214"/>
      <c r="F4" s="214"/>
      <c r="G4" s="214"/>
      <c r="H4" s="214"/>
      <c r="I4" s="214"/>
      <c r="L4" s="504"/>
      <c r="M4" s="504"/>
      <c r="N4" s="504"/>
      <c r="O4" s="183"/>
      <c r="P4" s="183"/>
    </row>
    <row r="5" spans="1:19" x14ac:dyDescent="0.2">
      <c r="A5" s="215"/>
      <c r="B5" s="216"/>
      <c r="C5" s="216"/>
      <c r="D5" s="216"/>
      <c r="E5" s="216"/>
      <c r="F5" s="216"/>
      <c r="G5" s="216"/>
      <c r="H5" s="216"/>
      <c r="I5" s="494"/>
      <c r="L5" s="504"/>
      <c r="M5" s="504"/>
      <c r="N5" s="504"/>
      <c r="O5" s="183"/>
      <c r="P5" s="183"/>
    </row>
    <row r="6" spans="1:19" x14ac:dyDescent="0.2">
      <c r="A6" s="217"/>
      <c r="B6" s="506" t="s">
        <v>459</v>
      </c>
      <c r="C6" s="506" t="s">
        <v>460</v>
      </c>
      <c r="D6" s="506" t="s">
        <v>640</v>
      </c>
      <c r="E6" s="506" t="s">
        <v>641</v>
      </c>
      <c r="F6" s="506" t="s">
        <v>778</v>
      </c>
      <c r="G6" s="506" t="s">
        <v>779</v>
      </c>
      <c r="H6" s="507" t="s">
        <v>693</v>
      </c>
      <c r="I6" s="510"/>
      <c r="L6" s="504"/>
      <c r="M6" s="504"/>
      <c r="N6" s="504"/>
      <c r="O6" s="183"/>
      <c r="P6" s="183"/>
    </row>
    <row r="7" spans="1:19" x14ac:dyDescent="0.2">
      <c r="A7" s="218"/>
      <c r="B7" s="510"/>
      <c r="C7" s="510" t="s">
        <v>456</v>
      </c>
      <c r="D7" s="510"/>
      <c r="E7" s="510"/>
      <c r="F7" s="178"/>
      <c r="G7" s="178"/>
      <c r="H7" s="219"/>
      <c r="I7" s="178"/>
      <c r="O7" s="183"/>
      <c r="P7" s="183"/>
    </row>
    <row r="8" spans="1:19" x14ac:dyDescent="0.2">
      <c r="A8" s="218"/>
      <c r="B8" s="510" t="s">
        <v>456</v>
      </c>
      <c r="C8" s="510" t="s">
        <v>457</v>
      </c>
      <c r="D8" s="510" t="s">
        <v>782</v>
      </c>
      <c r="E8" s="510"/>
      <c r="F8" s="510" t="s">
        <v>800</v>
      </c>
      <c r="G8" s="178"/>
      <c r="H8" s="511"/>
      <c r="I8" s="510"/>
      <c r="L8" s="504"/>
      <c r="M8" s="504"/>
      <c r="N8" s="504"/>
      <c r="O8" s="183"/>
      <c r="P8" s="183"/>
    </row>
    <row r="9" spans="1:19" x14ac:dyDescent="0.2">
      <c r="A9" s="218"/>
      <c r="B9" s="220" t="s">
        <v>796</v>
      </c>
      <c r="C9" s="220" t="s">
        <v>458</v>
      </c>
      <c r="D9" s="220" t="s">
        <v>533</v>
      </c>
      <c r="E9" s="220" t="s">
        <v>443</v>
      </c>
      <c r="F9" s="220" t="s">
        <v>801</v>
      </c>
      <c r="G9" s="220" t="s">
        <v>335</v>
      </c>
      <c r="H9" s="221" t="s">
        <v>443</v>
      </c>
      <c r="I9" s="220"/>
      <c r="J9" s="222"/>
      <c r="K9" s="222"/>
      <c r="L9" s="222"/>
      <c r="M9" s="222"/>
      <c r="N9" s="222"/>
      <c r="O9" s="183"/>
      <c r="P9" s="183"/>
    </row>
    <row r="10" spans="1:19" s="228" customFormat="1" ht="38.25" x14ac:dyDescent="0.2">
      <c r="A10" s="223"/>
      <c r="B10" s="224" t="s">
        <v>780</v>
      </c>
      <c r="C10" s="224" t="s">
        <v>781</v>
      </c>
      <c r="D10" s="224" t="s">
        <v>7</v>
      </c>
      <c r="E10" s="224" t="s">
        <v>892</v>
      </c>
      <c r="F10" s="224"/>
      <c r="G10" s="225"/>
      <c r="H10" s="226"/>
      <c r="I10" s="224"/>
      <c r="J10" s="227"/>
      <c r="K10" s="227"/>
      <c r="L10" s="227"/>
      <c r="M10" s="227"/>
      <c r="N10" s="569"/>
      <c r="O10" s="569"/>
      <c r="P10" s="569"/>
      <c r="Q10" s="569"/>
      <c r="R10" s="569"/>
      <c r="S10" s="569"/>
    </row>
    <row r="11" spans="1:19" x14ac:dyDescent="0.2">
      <c r="A11" s="218" t="s">
        <v>444</v>
      </c>
      <c r="B11" s="229">
        <f>E11-C11-D11</f>
        <v>2060</v>
      </c>
      <c r="C11" s="229">
        <f>'Schedule 5 Workpaper '!C10</f>
        <v>222</v>
      </c>
      <c r="D11" s="229">
        <f t="shared" ref="D11:D22" si="0">L54</f>
        <v>773</v>
      </c>
      <c r="E11" s="229">
        <f>'Schedule 5 Workpaper '!F10-F11</f>
        <v>3055</v>
      </c>
      <c r="F11" s="229">
        <v>0</v>
      </c>
      <c r="G11" s="632">
        <v>330</v>
      </c>
      <c r="H11" s="230">
        <f>SUM(E11:G11)</f>
        <v>3385</v>
      </c>
      <c r="I11" s="229"/>
      <c r="J11" s="232"/>
      <c r="K11" s="232"/>
      <c r="L11" s="231"/>
      <c r="M11" s="504"/>
      <c r="N11" s="504"/>
      <c r="O11" s="183"/>
      <c r="P11" s="183"/>
    </row>
    <row r="12" spans="1:19" x14ac:dyDescent="0.2">
      <c r="A12" s="218" t="s">
        <v>445</v>
      </c>
      <c r="B12" s="229">
        <f t="shared" ref="B12:B22" si="1">E12-C12-D12</f>
        <v>2100</v>
      </c>
      <c r="C12" s="229">
        <f>'Schedule 5 Workpaper '!C11</f>
        <v>221</v>
      </c>
      <c r="D12" s="229">
        <f t="shared" si="0"/>
        <v>773</v>
      </c>
      <c r="E12" s="229">
        <f>'Schedule 5 Workpaper '!F11-F12</f>
        <v>3094</v>
      </c>
      <c r="F12" s="229">
        <v>0</v>
      </c>
      <c r="G12" s="632">
        <v>330</v>
      </c>
      <c r="H12" s="230">
        <f t="shared" ref="H12:H22" si="2">SUM(E12:G12)</f>
        <v>3424</v>
      </c>
      <c r="I12" s="229"/>
      <c r="J12" s="232"/>
      <c r="K12" s="232"/>
      <c r="L12" s="231"/>
      <c r="M12" s="504"/>
      <c r="N12" s="504"/>
      <c r="O12" s="183"/>
      <c r="P12" s="183"/>
    </row>
    <row r="13" spans="1:19" x14ac:dyDescent="0.2">
      <c r="A13" s="218" t="s">
        <v>446</v>
      </c>
      <c r="B13" s="229">
        <f t="shared" si="1"/>
        <v>1704</v>
      </c>
      <c r="C13" s="229">
        <f>'Schedule 5 Workpaper '!C12</f>
        <v>175</v>
      </c>
      <c r="D13" s="229">
        <f t="shared" si="0"/>
        <v>773</v>
      </c>
      <c r="E13" s="229">
        <f>'Schedule 5 Workpaper '!F12-F13</f>
        <v>2652</v>
      </c>
      <c r="F13" s="229">
        <v>0</v>
      </c>
      <c r="G13" s="632">
        <v>330</v>
      </c>
      <c r="H13" s="230">
        <f t="shared" si="2"/>
        <v>2982</v>
      </c>
      <c r="I13" s="229"/>
      <c r="J13" s="232"/>
      <c r="K13" s="232"/>
      <c r="L13" s="232"/>
      <c r="M13" s="504"/>
      <c r="N13" s="504"/>
      <c r="O13" s="183"/>
      <c r="P13" s="183"/>
    </row>
    <row r="14" spans="1:19" x14ac:dyDescent="0.2">
      <c r="A14" s="218" t="s">
        <v>447</v>
      </c>
      <c r="B14" s="229">
        <f t="shared" si="1"/>
        <v>1730</v>
      </c>
      <c r="C14" s="229">
        <f>'Schedule 5 Workpaper '!C13</f>
        <v>204</v>
      </c>
      <c r="D14" s="229">
        <f t="shared" si="0"/>
        <v>773</v>
      </c>
      <c r="E14" s="229">
        <f>'Schedule 5 Workpaper '!F13-F14</f>
        <v>2707</v>
      </c>
      <c r="F14" s="229">
        <v>0</v>
      </c>
      <c r="G14" s="632">
        <v>330</v>
      </c>
      <c r="H14" s="230">
        <f t="shared" si="2"/>
        <v>3037</v>
      </c>
      <c r="I14" s="229"/>
      <c r="J14" s="232"/>
      <c r="K14" s="232"/>
      <c r="L14" s="232"/>
      <c r="M14" s="504"/>
      <c r="N14" s="504"/>
      <c r="O14" s="183"/>
      <c r="P14" s="183"/>
    </row>
    <row r="15" spans="1:19" x14ac:dyDescent="0.2">
      <c r="A15" s="218" t="s">
        <v>448</v>
      </c>
      <c r="B15" s="229">
        <f t="shared" si="1"/>
        <v>2167</v>
      </c>
      <c r="C15" s="229">
        <f>'Schedule 5 Workpaper '!C14</f>
        <v>253</v>
      </c>
      <c r="D15" s="229">
        <f t="shared" si="0"/>
        <v>773</v>
      </c>
      <c r="E15" s="229">
        <f>'Schedule 5 Workpaper '!F14-F15</f>
        <v>3193</v>
      </c>
      <c r="F15" s="229">
        <v>0</v>
      </c>
      <c r="G15" s="632">
        <v>330</v>
      </c>
      <c r="H15" s="230">
        <f t="shared" si="2"/>
        <v>3523</v>
      </c>
      <c r="I15" s="229"/>
      <c r="J15" s="232"/>
      <c r="K15" s="232"/>
      <c r="L15" s="232"/>
      <c r="M15" s="504"/>
      <c r="N15" s="504"/>
      <c r="O15" s="183"/>
      <c r="P15" s="183"/>
    </row>
    <row r="16" spans="1:19" x14ac:dyDescent="0.2">
      <c r="A16" s="218" t="s">
        <v>449</v>
      </c>
      <c r="B16" s="229">
        <f t="shared" si="1"/>
        <v>3221</v>
      </c>
      <c r="C16" s="229">
        <f>'Schedule 5 Workpaper '!C15</f>
        <v>365</v>
      </c>
      <c r="D16" s="229">
        <f t="shared" si="0"/>
        <v>773</v>
      </c>
      <c r="E16" s="229">
        <f>'Schedule 5 Workpaper '!F15-F16</f>
        <v>4359</v>
      </c>
      <c r="F16" s="229">
        <v>0</v>
      </c>
      <c r="G16" s="632">
        <v>330</v>
      </c>
      <c r="H16" s="230">
        <f t="shared" si="2"/>
        <v>4689</v>
      </c>
      <c r="I16" s="229"/>
      <c r="J16" s="232"/>
      <c r="K16" s="232"/>
      <c r="L16" s="232"/>
      <c r="M16" s="504"/>
      <c r="N16" s="504"/>
      <c r="O16" s="183"/>
      <c r="P16" s="183"/>
    </row>
    <row r="17" spans="1:16" x14ac:dyDescent="0.2">
      <c r="A17" s="218" t="s">
        <v>450</v>
      </c>
      <c r="B17" s="229">
        <f t="shared" si="1"/>
        <v>3010</v>
      </c>
      <c r="C17" s="229">
        <f>'Schedule 5 Workpaper '!C16</f>
        <v>344</v>
      </c>
      <c r="D17" s="229">
        <f t="shared" si="0"/>
        <v>973</v>
      </c>
      <c r="E17" s="229">
        <f>'Schedule 5 Workpaper '!F16-F17</f>
        <v>4327</v>
      </c>
      <c r="F17" s="229">
        <v>0</v>
      </c>
      <c r="G17" s="632">
        <v>330</v>
      </c>
      <c r="H17" s="230">
        <f t="shared" si="2"/>
        <v>4657</v>
      </c>
      <c r="I17" s="229"/>
      <c r="J17" s="232"/>
      <c r="K17" s="232"/>
      <c r="L17" s="232"/>
      <c r="M17" s="504"/>
      <c r="N17" s="504"/>
      <c r="O17" s="183"/>
      <c r="P17" s="183"/>
    </row>
    <row r="18" spans="1:16" x14ac:dyDescent="0.2">
      <c r="A18" s="218" t="s">
        <v>451</v>
      </c>
      <c r="B18" s="229">
        <f t="shared" si="1"/>
        <v>3010</v>
      </c>
      <c r="C18" s="229">
        <f>'Schedule 5 Workpaper '!C17</f>
        <v>331</v>
      </c>
      <c r="D18" s="229">
        <f t="shared" si="0"/>
        <v>973</v>
      </c>
      <c r="E18" s="229">
        <f>'Schedule 5 Workpaper '!F17-F18</f>
        <v>4314</v>
      </c>
      <c r="F18" s="229">
        <v>0</v>
      </c>
      <c r="G18" s="632">
        <v>330</v>
      </c>
      <c r="H18" s="230">
        <f t="shared" si="2"/>
        <v>4644</v>
      </c>
      <c r="I18" s="229"/>
      <c r="J18" s="232"/>
      <c r="K18" s="232"/>
      <c r="L18" s="232"/>
      <c r="M18" s="504"/>
      <c r="N18" s="504"/>
      <c r="O18" s="183"/>
      <c r="P18" s="183"/>
    </row>
    <row r="19" spans="1:16" x14ac:dyDescent="0.2">
      <c r="A19" s="218" t="s">
        <v>452</v>
      </c>
      <c r="B19" s="229">
        <f t="shared" si="1"/>
        <v>2421</v>
      </c>
      <c r="C19" s="229">
        <f>'Schedule 5 Workpaper '!C18</f>
        <v>294</v>
      </c>
      <c r="D19" s="229">
        <f t="shared" si="0"/>
        <v>973</v>
      </c>
      <c r="E19" s="229">
        <f>'Schedule 5 Workpaper '!F18-F19</f>
        <v>3688</v>
      </c>
      <c r="F19" s="229">
        <v>0</v>
      </c>
      <c r="G19" s="632">
        <v>330</v>
      </c>
      <c r="H19" s="230">
        <f t="shared" si="2"/>
        <v>4018</v>
      </c>
      <c r="I19" s="229"/>
      <c r="J19" s="232"/>
      <c r="K19" s="232"/>
      <c r="L19" s="232"/>
      <c r="M19" s="504"/>
      <c r="N19" s="504"/>
      <c r="O19" s="183"/>
      <c r="P19" s="183"/>
    </row>
    <row r="20" spans="1:16" x14ac:dyDescent="0.2">
      <c r="A20" s="218" t="s">
        <v>453</v>
      </c>
      <c r="B20" s="229">
        <f t="shared" si="1"/>
        <v>1721</v>
      </c>
      <c r="C20" s="229">
        <f>'Schedule 5 Workpaper '!C19</f>
        <v>171</v>
      </c>
      <c r="D20" s="229">
        <f t="shared" si="0"/>
        <v>973</v>
      </c>
      <c r="E20" s="229">
        <f>'Schedule 5 Workpaper '!F19-F20</f>
        <v>2865</v>
      </c>
      <c r="F20" s="229">
        <v>0</v>
      </c>
      <c r="G20" s="632">
        <v>330</v>
      </c>
      <c r="H20" s="230">
        <f t="shared" si="2"/>
        <v>3195</v>
      </c>
      <c r="I20" s="229"/>
      <c r="J20" s="232"/>
      <c r="K20" s="232"/>
      <c r="L20" s="232"/>
      <c r="M20" s="504"/>
      <c r="N20" s="504"/>
      <c r="O20" s="504"/>
      <c r="P20" s="504"/>
    </row>
    <row r="21" spans="1:16" x14ac:dyDescent="0.2">
      <c r="A21" s="218" t="s">
        <v>454</v>
      </c>
      <c r="B21" s="229">
        <f t="shared" si="1"/>
        <v>1900</v>
      </c>
      <c r="C21" s="229">
        <f>'Schedule 5 Workpaper '!C20</f>
        <v>189</v>
      </c>
      <c r="D21" s="229">
        <f t="shared" si="0"/>
        <v>973</v>
      </c>
      <c r="E21" s="229">
        <f>'Schedule 5 Workpaper '!F20-F21</f>
        <v>3062</v>
      </c>
      <c r="F21" s="229">
        <v>0</v>
      </c>
      <c r="G21" s="632">
        <v>330</v>
      </c>
      <c r="H21" s="230">
        <f t="shared" si="2"/>
        <v>3392</v>
      </c>
      <c r="I21" s="229"/>
      <c r="J21" s="232"/>
      <c r="K21" s="232"/>
      <c r="L21" s="232"/>
      <c r="M21" s="504"/>
      <c r="N21" s="504"/>
      <c r="O21" s="504"/>
      <c r="P21" s="504"/>
    </row>
    <row r="22" spans="1:16" x14ac:dyDescent="0.2">
      <c r="A22" s="218" t="s">
        <v>455</v>
      </c>
      <c r="B22" s="229">
        <f t="shared" si="1"/>
        <v>2349</v>
      </c>
      <c r="C22" s="229">
        <f>'Schedule 5 Workpaper '!C21</f>
        <v>233</v>
      </c>
      <c r="D22" s="229">
        <f t="shared" si="0"/>
        <v>973</v>
      </c>
      <c r="E22" s="229">
        <f>'Schedule 5 Workpaper '!F21-F22</f>
        <v>3555</v>
      </c>
      <c r="F22" s="229">
        <v>0</v>
      </c>
      <c r="G22" s="632">
        <v>330</v>
      </c>
      <c r="H22" s="230">
        <f t="shared" si="2"/>
        <v>3885</v>
      </c>
      <c r="I22" s="229"/>
      <c r="J22" s="232"/>
      <c r="K22" s="232"/>
      <c r="L22" s="232"/>
      <c r="M22" s="504"/>
      <c r="N22" s="504"/>
      <c r="O22" s="504"/>
      <c r="P22" s="504"/>
    </row>
    <row r="23" spans="1:16" x14ac:dyDescent="0.2">
      <c r="A23" s="218"/>
      <c r="B23" s="510"/>
      <c r="C23" s="510"/>
      <c r="D23" s="510"/>
      <c r="E23" s="510"/>
      <c r="F23" s="634"/>
      <c r="G23" s="178"/>
      <c r="H23" s="230"/>
      <c r="I23" s="229"/>
      <c r="L23" s="232"/>
      <c r="M23" s="504"/>
      <c r="N23" s="504"/>
      <c r="O23" s="504"/>
      <c r="P23" s="504"/>
    </row>
    <row r="24" spans="1:16" x14ac:dyDescent="0.2">
      <c r="A24" s="218" t="s">
        <v>522</v>
      </c>
      <c r="B24" s="229">
        <f>ROUND(SUM(B11:B22)/12,0)</f>
        <v>2283</v>
      </c>
      <c r="C24" s="229">
        <f>F45</f>
        <v>250</v>
      </c>
      <c r="D24" s="229">
        <f>L67</f>
        <v>873</v>
      </c>
      <c r="E24" s="229">
        <f>AVERAGE(E11:E22)</f>
        <v>3405.9166666666665</v>
      </c>
      <c r="F24" s="229">
        <f>AVERAGE(F11:F22)</f>
        <v>0</v>
      </c>
      <c r="G24" s="229">
        <f>AVERAGE(G11:G22)</f>
        <v>330</v>
      </c>
      <c r="H24" s="233">
        <f>SUM(E24:G24)</f>
        <v>3735.9166666666665</v>
      </c>
      <c r="I24" s="229"/>
      <c r="J24" s="229"/>
      <c r="K24" s="229"/>
      <c r="L24" s="232"/>
      <c r="M24" s="504"/>
      <c r="N24" s="504"/>
      <c r="O24" s="504"/>
      <c r="P24" s="504"/>
    </row>
    <row r="25" spans="1:16" x14ac:dyDescent="0.2">
      <c r="A25" s="218"/>
      <c r="B25" s="510"/>
      <c r="C25" s="510"/>
      <c r="D25" s="510"/>
      <c r="E25" s="510"/>
      <c r="F25" s="234"/>
      <c r="G25" s="178"/>
      <c r="H25" s="511"/>
      <c r="I25" s="510"/>
      <c r="L25" s="232"/>
      <c r="M25" s="504"/>
      <c r="N25" s="504"/>
      <c r="O25" s="504"/>
      <c r="P25" s="504"/>
    </row>
    <row r="26" spans="1:16" x14ac:dyDescent="0.2">
      <c r="A26" s="496" t="s">
        <v>32</v>
      </c>
      <c r="B26" s="181"/>
      <c r="C26" s="510"/>
      <c r="D26" s="510"/>
      <c r="E26" s="510"/>
      <c r="F26" s="510"/>
      <c r="G26" s="178"/>
      <c r="H26" s="511"/>
      <c r="I26" s="510"/>
      <c r="L26" s="232"/>
      <c r="M26" s="504"/>
      <c r="N26" s="504"/>
      <c r="O26" s="504"/>
      <c r="P26" s="504"/>
    </row>
    <row r="27" spans="1:16" ht="28.5" customHeight="1" x14ac:dyDescent="0.2">
      <c r="A27" s="708" t="s">
        <v>1143</v>
      </c>
      <c r="B27" s="709"/>
      <c r="C27" s="709"/>
      <c r="D27" s="709"/>
      <c r="E27" s="709"/>
      <c r="F27" s="709"/>
      <c r="G27" s="709"/>
      <c r="H27" s="710"/>
      <c r="I27" s="495"/>
      <c r="L27" s="232"/>
      <c r="M27" s="504"/>
      <c r="N27" s="504"/>
      <c r="O27" s="504"/>
      <c r="P27" s="504"/>
    </row>
    <row r="28" spans="1:16" x14ac:dyDescent="0.2">
      <c r="B28" s="183"/>
      <c r="C28" s="183"/>
      <c r="D28" s="183"/>
      <c r="E28" s="183"/>
      <c r="F28" s="183"/>
      <c r="G28" s="183"/>
      <c r="H28" s="183"/>
      <c r="I28" s="183"/>
      <c r="L28" s="232"/>
      <c r="M28" s="504"/>
      <c r="N28" s="504"/>
      <c r="O28" s="505"/>
      <c r="P28" s="505"/>
    </row>
    <row r="29" spans="1:16" x14ac:dyDescent="0.2">
      <c r="A29" s="217"/>
      <c r="B29" s="687" t="s">
        <v>330</v>
      </c>
      <c r="C29" s="687"/>
      <c r="D29" s="687"/>
      <c r="E29" s="687"/>
      <c r="F29" s="687"/>
      <c r="G29" s="369"/>
    </row>
    <row r="30" spans="1:16" s="222" customFormat="1" x14ac:dyDescent="0.2">
      <c r="A30" s="236"/>
      <c r="B30" s="220" t="s">
        <v>534</v>
      </c>
      <c r="C30" s="220" t="s">
        <v>535</v>
      </c>
      <c r="D30" s="220" t="s">
        <v>537</v>
      </c>
      <c r="E30" s="220" t="s">
        <v>538</v>
      </c>
      <c r="F30" s="221" t="s">
        <v>539</v>
      </c>
    </row>
    <row r="31" spans="1:16" s="222" customFormat="1" x14ac:dyDescent="0.2">
      <c r="A31" s="236"/>
      <c r="B31" s="220"/>
      <c r="C31" s="220"/>
      <c r="D31" s="220"/>
      <c r="E31" s="220"/>
      <c r="F31" s="511" t="s">
        <v>527</v>
      </c>
    </row>
    <row r="32" spans="1:16" x14ac:dyDescent="0.2">
      <c r="A32" s="218" t="s">
        <v>444</v>
      </c>
      <c r="B32" s="635">
        <v>0.34039999999999998</v>
      </c>
      <c r="C32" s="636">
        <v>1</v>
      </c>
      <c r="D32" s="636">
        <v>165</v>
      </c>
      <c r="E32" s="636">
        <v>56</v>
      </c>
      <c r="F32" s="230">
        <f t="shared" ref="F32:F43" si="3">SUM(B32:E32)</f>
        <v>222.34039999999999</v>
      </c>
      <c r="G32" s="504"/>
      <c r="H32" s="504"/>
      <c r="I32" s="504"/>
      <c r="L32" s="504"/>
      <c r="M32" s="504"/>
      <c r="N32" s="504"/>
      <c r="O32" s="504"/>
    </row>
    <row r="33" spans="1:16" x14ac:dyDescent="0.2">
      <c r="A33" s="218" t="s">
        <v>445</v>
      </c>
      <c r="B33" s="635">
        <v>0.38450000000000001</v>
      </c>
      <c r="C33" s="636">
        <v>1</v>
      </c>
      <c r="D33" s="636">
        <v>171</v>
      </c>
      <c r="E33" s="636">
        <v>49</v>
      </c>
      <c r="F33" s="230">
        <f t="shared" si="3"/>
        <v>221.3845</v>
      </c>
      <c r="G33" s="504"/>
      <c r="H33" s="504"/>
      <c r="I33" s="504"/>
      <c r="L33" s="504"/>
      <c r="M33" s="504"/>
      <c r="N33" s="504"/>
      <c r="O33" s="504"/>
    </row>
    <row r="34" spans="1:16" x14ac:dyDescent="0.2">
      <c r="A34" s="218" t="s">
        <v>446</v>
      </c>
      <c r="B34" s="635">
        <v>0.30630000000000002</v>
      </c>
      <c r="C34" s="636">
        <v>1</v>
      </c>
      <c r="D34" s="636">
        <v>131</v>
      </c>
      <c r="E34" s="636">
        <v>43</v>
      </c>
      <c r="F34" s="230">
        <f t="shared" si="3"/>
        <v>175.30629999999999</v>
      </c>
      <c r="G34" s="504"/>
      <c r="H34" s="504"/>
      <c r="I34" s="504"/>
      <c r="L34" s="504"/>
      <c r="M34" s="504"/>
      <c r="N34" s="504"/>
      <c r="O34" s="504"/>
    </row>
    <row r="35" spans="1:16" x14ac:dyDescent="0.2">
      <c r="A35" s="218" t="s">
        <v>447</v>
      </c>
      <c r="B35" s="635">
        <v>0.24660000000000001</v>
      </c>
      <c r="C35" s="636">
        <v>29</v>
      </c>
      <c r="D35" s="636">
        <v>134</v>
      </c>
      <c r="E35" s="636">
        <v>41</v>
      </c>
      <c r="F35" s="230">
        <f t="shared" si="3"/>
        <v>204.2466</v>
      </c>
      <c r="G35" s="504"/>
      <c r="H35" s="504"/>
      <c r="I35" s="504"/>
      <c r="L35" s="504"/>
      <c r="M35" s="504"/>
      <c r="N35" s="504"/>
      <c r="O35" s="504"/>
    </row>
    <row r="36" spans="1:16" x14ac:dyDescent="0.2">
      <c r="A36" s="218" t="s">
        <v>448</v>
      </c>
      <c r="B36" s="635">
        <v>0.22159999999999999</v>
      </c>
      <c r="C36" s="636">
        <v>42</v>
      </c>
      <c r="D36" s="636">
        <v>170</v>
      </c>
      <c r="E36" s="636">
        <v>41</v>
      </c>
      <c r="F36" s="230">
        <f t="shared" si="3"/>
        <v>253.2216</v>
      </c>
      <c r="G36" s="504"/>
      <c r="H36" s="504"/>
      <c r="I36" s="504"/>
      <c r="L36" s="504"/>
      <c r="M36" s="504"/>
      <c r="N36" s="504"/>
      <c r="O36" s="504"/>
    </row>
    <row r="37" spans="1:16" x14ac:dyDescent="0.2">
      <c r="A37" s="218" t="s">
        <v>449</v>
      </c>
      <c r="B37" s="635">
        <v>0.3357</v>
      </c>
      <c r="C37" s="636">
        <v>70</v>
      </c>
      <c r="D37" s="636">
        <v>240</v>
      </c>
      <c r="E37" s="636">
        <v>55</v>
      </c>
      <c r="F37" s="230">
        <f t="shared" si="3"/>
        <v>365.33569999999997</v>
      </c>
      <c r="G37" s="504"/>
      <c r="H37" s="504"/>
      <c r="I37" s="504"/>
      <c r="L37" s="504"/>
      <c r="M37" s="504"/>
      <c r="N37" s="504"/>
      <c r="O37" s="504"/>
    </row>
    <row r="38" spans="1:16" x14ac:dyDescent="0.2">
      <c r="A38" s="218" t="s">
        <v>450</v>
      </c>
      <c r="B38" s="635">
        <v>0.34250000000000003</v>
      </c>
      <c r="C38" s="636">
        <v>58</v>
      </c>
      <c r="D38" s="636">
        <v>232</v>
      </c>
      <c r="E38" s="636">
        <v>54</v>
      </c>
      <c r="F38" s="230">
        <f t="shared" si="3"/>
        <v>344.34249999999997</v>
      </c>
      <c r="G38" s="504"/>
      <c r="H38" s="504"/>
      <c r="I38" s="504"/>
      <c r="L38" s="504"/>
      <c r="M38" s="504"/>
      <c r="N38" s="504"/>
      <c r="O38" s="504"/>
    </row>
    <row r="39" spans="1:16" x14ac:dyDescent="0.2">
      <c r="A39" s="218" t="s">
        <v>451</v>
      </c>
      <c r="B39" s="635">
        <v>0.30109999999999998</v>
      </c>
      <c r="C39" s="636">
        <v>56</v>
      </c>
      <c r="D39" s="636">
        <v>222</v>
      </c>
      <c r="E39" s="636">
        <v>53</v>
      </c>
      <c r="F39" s="230">
        <f t="shared" si="3"/>
        <v>331.30110000000002</v>
      </c>
      <c r="G39" s="504"/>
      <c r="H39" s="504"/>
      <c r="I39" s="504"/>
      <c r="L39" s="504"/>
      <c r="M39" s="504"/>
      <c r="N39" s="504"/>
      <c r="O39" s="504"/>
    </row>
    <row r="40" spans="1:16" x14ac:dyDescent="0.2">
      <c r="A40" s="218" t="s">
        <v>452</v>
      </c>
      <c r="B40" s="635">
        <v>0.3281</v>
      </c>
      <c r="C40" s="636">
        <v>53</v>
      </c>
      <c r="D40" s="636">
        <v>201</v>
      </c>
      <c r="E40" s="636">
        <v>40</v>
      </c>
      <c r="F40" s="230">
        <f t="shared" si="3"/>
        <v>294.32810000000001</v>
      </c>
      <c r="G40" s="504"/>
      <c r="H40" s="504"/>
      <c r="I40" s="504"/>
      <c r="L40" s="504"/>
      <c r="M40" s="504"/>
      <c r="N40" s="504"/>
      <c r="O40" s="504"/>
    </row>
    <row r="41" spans="1:16" x14ac:dyDescent="0.2">
      <c r="A41" s="218" t="s">
        <v>453</v>
      </c>
      <c r="B41" s="635">
        <v>0.254</v>
      </c>
      <c r="C41" s="636">
        <v>1</v>
      </c>
      <c r="D41" s="636">
        <v>125</v>
      </c>
      <c r="E41" s="636">
        <v>45</v>
      </c>
      <c r="F41" s="230">
        <f t="shared" si="3"/>
        <v>171.25400000000002</v>
      </c>
      <c r="G41" s="504"/>
      <c r="H41" s="504"/>
      <c r="I41" s="504"/>
      <c r="L41" s="504"/>
      <c r="M41" s="504"/>
      <c r="N41" s="504"/>
      <c r="O41" s="504"/>
    </row>
    <row r="42" spans="1:16" x14ac:dyDescent="0.2">
      <c r="A42" s="218" t="s">
        <v>454</v>
      </c>
      <c r="B42" s="635">
        <v>0.3221</v>
      </c>
      <c r="C42" s="636">
        <v>1</v>
      </c>
      <c r="D42" s="636">
        <v>141</v>
      </c>
      <c r="E42" s="636">
        <v>47</v>
      </c>
      <c r="F42" s="230">
        <f t="shared" si="3"/>
        <v>189.32210000000001</v>
      </c>
      <c r="G42" s="504"/>
      <c r="H42" s="504"/>
      <c r="I42" s="504"/>
      <c r="L42" s="504"/>
      <c r="M42" s="504"/>
      <c r="N42" s="504"/>
      <c r="O42" s="504"/>
    </row>
    <row r="43" spans="1:16" x14ac:dyDescent="0.2">
      <c r="A43" s="218" t="s">
        <v>455</v>
      </c>
      <c r="B43" s="635">
        <v>0.52359999999999995</v>
      </c>
      <c r="C43" s="636">
        <v>1</v>
      </c>
      <c r="D43" s="636">
        <v>166</v>
      </c>
      <c r="E43" s="636">
        <v>65</v>
      </c>
      <c r="F43" s="230">
        <f t="shared" si="3"/>
        <v>232.52359999999999</v>
      </c>
      <c r="G43" s="504"/>
      <c r="H43" s="504"/>
      <c r="I43" s="504"/>
      <c r="L43" s="504"/>
      <c r="M43" s="504"/>
      <c r="N43" s="504"/>
      <c r="O43" s="504"/>
    </row>
    <row r="44" spans="1:16" x14ac:dyDescent="0.2">
      <c r="A44" s="218"/>
      <c r="B44" s="510"/>
      <c r="C44" s="510"/>
      <c r="D44" s="178"/>
      <c r="E44" s="178"/>
      <c r="F44" s="511"/>
      <c r="G44" s="504"/>
      <c r="H44" s="504"/>
      <c r="I44" s="504"/>
      <c r="J44" s="153"/>
      <c r="K44" s="153"/>
    </row>
    <row r="45" spans="1:16" x14ac:dyDescent="0.2">
      <c r="A45" s="237" t="s">
        <v>522</v>
      </c>
      <c r="B45" s="238">
        <f>SUM(B32:B43)/12</f>
        <v>0.32554166666666667</v>
      </c>
      <c r="C45" s="238">
        <f>SUM(C32:C43)/12</f>
        <v>26.166666666666668</v>
      </c>
      <c r="D45" s="238">
        <f>SUM(D32:D43)/12</f>
        <v>174.83333333333334</v>
      </c>
      <c r="E45" s="238">
        <f>SUM(E32:E43)/12</f>
        <v>49.083333333333336</v>
      </c>
      <c r="F45" s="239">
        <f>TRUNC(SUM(F32:F43)/12,0)</f>
        <v>250</v>
      </c>
      <c r="G45" s="504"/>
      <c r="H45" s="504"/>
      <c r="I45" s="504"/>
      <c r="L45" s="504"/>
      <c r="M45" s="504"/>
      <c r="N45" s="504"/>
      <c r="O45" s="504"/>
    </row>
    <row r="46" spans="1:16" x14ac:dyDescent="0.2">
      <c r="F46" s="504"/>
      <c r="G46" s="504"/>
      <c r="H46" s="504"/>
      <c r="I46" s="504"/>
      <c r="L46" s="504"/>
      <c r="M46" s="504"/>
      <c r="N46" s="504"/>
      <c r="O46" s="504"/>
      <c r="P46" s="504"/>
    </row>
    <row r="48" spans="1:16" x14ac:dyDescent="0.2">
      <c r="A48" s="688" t="s">
        <v>540</v>
      </c>
      <c r="B48" s="689"/>
      <c r="C48" s="689"/>
      <c r="D48" s="689"/>
      <c r="E48" s="689"/>
      <c r="F48" s="689"/>
      <c r="G48" s="689"/>
      <c r="H48" s="689"/>
      <c r="I48" s="689"/>
      <c r="J48" s="689"/>
      <c r="K48" s="689"/>
      <c r="L48" s="690"/>
      <c r="N48" s="240"/>
    </row>
    <row r="49" spans="1:12" x14ac:dyDescent="0.2">
      <c r="A49" s="241"/>
      <c r="B49" s="242" t="s">
        <v>541</v>
      </c>
      <c r="C49" s="242" t="s">
        <v>986</v>
      </c>
      <c r="D49" s="242" t="s">
        <v>833</v>
      </c>
      <c r="E49" s="242" t="s">
        <v>834</v>
      </c>
      <c r="F49" s="242" t="s">
        <v>834</v>
      </c>
      <c r="G49" s="242" t="s">
        <v>834</v>
      </c>
      <c r="H49" s="242" t="s">
        <v>834</v>
      </c>
      <c r="I49" s="242" t="s">
        <v>834</v>
      </c>
      <c r="J49" s="242" t="s">
        <v>1146</v>
      </c>
      <c r="K49" s="242" t="s">
        <v>1146</v>
      </c>
      <c r="L49" s="221" t="s">
        <v>443</v>
      </c>
    </row>
    <row r="50" spans="1:12" ht="66" customHeight="1" x14ac:dyDescent="0.2">
      <c r="A50" s="243" t="s">
        <v>542</v>
      </c>
      <c r="B50" s="224">
        <v>81676557</v>
      </c>
      <c r="C50" s="224" t="s">
        <v>987</v>
      </c>
      <c r="D50" s="224">
        <v>77065697</v>
      </c>
      <c r="E50" s="224" t="s">
        <v>1093</v>
      </c>
      <c r="F50" s="224" t="s">
        <v>1094</v>
      </c>
      <c r="G50" s="224">
        <v>80381517</v>
      </c>
      <c r="H50" s="224" t="s">
        <v>1092</v>
      </c>
      <c r="I50" s="224">
        <v>81071591</v>
      </c>
      <c r="J50" s="224" t="s">
        <v>1147</v>
      </c>
      <c r="K50" s="224" t="s">
        <v>1148</v>
      </c>
      <c r="L50" s="219"/>
    </row>
    <row r="51" spans="1:12" ht="52.5" customHeight="1" x14ac:dyDescent="0.2">
      <c r="A51" s="243" t="s">
        <v>1144</v>
      </c>
      <c r="B51" s="224" t="s">
        <v>1145</v>
      </c>
      <c r="C51" s="224" t="s">
        <v>1030</v>
      </c>
      <c r="D51" s="224" t="s">
        <v>1090</v>
      </c>
      <c r="E51" s="497" t="s">
        <v>1095</v>
      </c>
      <c r="F51" s="497" t="s">
        <v>1095</v>
      </c>
      <c r="G51" s="497" t="s">
        <v>1091</v>
      </c>
      <c r="H51" s="497" t="s">
        <v>1091</v>
      </c>
      <c r="I51" s="497" t="s">
        <v>1091</v>
      </c>
      <c r="J51" s="497" t="s">
        <v>1149</v>
      </c>
      <c r="K51" s="497" t="s">
        <v>1149</v>
      </c>
      <c r="L51" s="219"/>
    </row>
    <row r="52" spans="1:12" x14ac:dyDescent="0.2">
      <c r="A52" s="243" t="s">
        <v>328</v>
      </c>
      <c r="B52" s="224" t="s">
        <v>891</v>
      </c>
      <c r="C52" s="224" t="s">
        <v>329</v>
      </c>
      <c r="D52" s="224" t="s">
        <v>835</v>
      </c>
      <c r="E52" s="224" t="s">
        <v>1096</v>
      </c>
      <c r="F52" s="497" t="s">
        <v>1067</v>
      </c>
      <c r="G52" s="497" t="s">
        <v>1067</v>
      </c>
      <c r="H52" s="497" t="s">
        <v>1097</v>
      </c>
      <c r="I52" s="497" t="s">
        <v>1067</v>
      </c>
      <c r="J52" s="497" t="s">
        <v>1150</v>
      </c>
      <c r="K52" s="497" t="s">
        <v>1151</v>
      </c>
      <c r="L52" s="219"/>
    </row>
    <row r="53" spans="1:12" x14ac:dyDescent="0.2">
      <c r="A53" s="223"/>
      <c r="B53" s="244"/>
      <c r="C53" s="224"/>
      <c r="D53" s="224"/>
      <c r="E53" s="224"/>
      <c r="F53" s="224"/>
      <c r="G53" s="572"/>
      <c r="H53" s="178"/>
      <c r="I53" s="178"/>
      <c r="J53" s="178"/>
      <c r="K53" s="178"/>
      <c r="L53" s="219"/>
    </row>
    <row r="54" spans="1:12" x14ac:dyDescent="0.2">
      <c r="A54" s="218" t="s">
        <v>444</v>
      </c>
      <c r="B54" s="632">
        <v>75</v>
      </c>
      <c r="C54" s="632">
        <v>87</v>
      </c>
      <c r="D54" s="632">
        <v>101</v>
      </c>
      <c r="E54" s="632">
        <v>124</v>
      </c>
      <c r="F54" s="632">
        <v>76</v>
      </c>
      <c r="G54" s="632">
        <v>60</v>
      </c>
      <c r="H54" s="632">
        <v>241</v>
      </c>
      <c r="I54" s="632">
        <v>9</v>
      </c>
      <c r="J54" s="548"/>
      <c r="K54" s="572"/>
      <c r="L54" s="549">
        <f>SUM(B54:K54)</f>
        <v>773</v>
      </c>
    </row>
    <row r="55" spans="1:12" x14ac:dyDescent="0.2">
      <c r="A55" s="218" t="s">
        <v>445</v>
      </c>
      <c r="B55" s="632">
        <v>75</v>
      </c>
      <c r="C55" s="632">
        <v>87</v>
      </c>
      <c r="D55" s="632">
        <v>101</v>
      </c>
      <c r="E55" s="632">
        <v>124</v>
      </c>
      <c r="F55" s="632">
        <v>76</v>
      </c>
      <c r="G55" s="632">
        <v>60</v>
      </c>
      <c r="H55" s="632">
        <v>241</v>
      </c>
      <c r="I55" s="632">
        <v>9</v>
      </c>
      <c r="J55" s="548"/>
      <c r="K55" s="572"/>
      <c r="L55" s="573">
        <f t="shared" ref="L55:L65" si="4">SUM(B55:K55)</f>
        <v>773</v>
      </c>
    </row>
    <row r="56" spans="1:12" x14ac:dyDescent="0.2">
      <c r="A56" s="218" t="s">
        <v>446</v>
      </c>
      <c r="B56" s="632">
        <v>75</v>
      </c>
      <c r="C56" s="632">
        <v>87</v>
      </c>
      <c r="D56" s="632">
        <v>101</v>
      </c>
      <c r="E56" s="632">
        <v>124</v>
      </c>
      <c r="F56" s="632">
        <v>76</v>
      </c>
      <c r="G56" s="632">
        <v>60</v>
      </c>
      <c r="H56" s="632">
        <v>241</v>
      </c>
      <c r="I56" s="632">
        <v>9</v>
      </c>
      <c r="J56" s="548"/>
      <c r="K56" s="572"/>
      <c r="L56" s="573">
        <f t="shared" si="4"/>
        <v>773</v>
      </c>
    </row>
    <row r="57" spans="1:12" x14ac:dyDescent="0.2">
      <c r="A57" s="218" t="s">
        <v>447</v>
      </c>
      <c r="B57" s="632">
        <v>75</v>
      </c>
      <c r="C57" s="632">
        <v>87</v>
      </c>
      <c r="D57" s="632">
        <v>101</v>
      </c>
      <c r="E57" s="632">
        <v>124</v>
      </c>
      <c r="F57" s="632">
        <v>76</v>
      </c>
      <c r="G57" s="632">
        <v>60</v>
      </c>
      <c r="H57" s="632">
        <v>241</v>
      </c>
      <c r="I57" s="632">
        <v>9</v>
      </c>
      <c r="J57" s="548"/>
      <c r="K57" s="572"/>
      <c r="L57" s="573">
        <f t="shared" si="4"/>
        <v>773</v>
      </c>
    </row>
    <row r="58" spans="1:12" x14ac:dyDescent="0.2">
      <c r="A58" s="218" t="s">
        <v>448</v>
      </c>
      <c r="B58" s="632">
        <v>75</v>
      </c>
      <c r="C58" s="632">
        <v>87</v>
      </c>
      <c r="D58" s="632">
        <v>101</v>
      </c>
      <c r="E58" s="632">
        <v>124</v>
      </c>
      <c r="F58" s="632">
        <v>76</v>
      </c>
      <c r="G58" s="632">
        <v>60</v>
      </c>
      <c r="H58" s="632">
        <v>241</v>
      </c>
      <c r="I58" s="632">
        <v>9</v>
      </c>
      <c r="J58" s="548"/>
      <c r="K58" s="572"/>
      <c r="L58" s="573">
        <f t="shared" si="4"/>
        <v>773</v>
      </c>
    </row>
    <row r="59" spans="1:12" x14ac:dyDescent="0.2">
      <c r="A59" s="218" t="s">
        <v>449</v>
      </c>
      <c r="B59" s="632">
        <v>75</v>
      </c>
      <c r="C59" s="632">
        <v>87</v>
      </c>
      <c r="D59" s="632">
        <v>101</v>
      </c>
      <c r="E59" s="632">
        <v>124</v>
      </c>
      <c r="F59" s="632">
        <v>76</v>
      </c>
      <c r="G59" s="632">
        <v>60</v>
      </c>
      <c r="H59" s="632">
        <v>241</v>
      </c>
      <c r="I59" s="632">
        <v>9</v>
      </c>
      <c r="J59" s="548"/>
      <c r="K59" s="572"/>
      <c r="L59" s="573">
        <f t="shared" si="4"/>
        <v>773</v>
      </c>
    </row>
    <row r="60" spans="1:12" x14ac:dyDescent="0.2">
      <c r="A60" s="218" t="s">
        <v>450</v>
      </c>
      <c r="B60" s="632">
        <v>75</v>
      </c>
      <c r="C60" s="632">
        <v>87</v>
      </c>
      <c r="D60" s="632">
        <v>101</v>
      </c>
      <c r="E60" s="632">
        <v>124</v>
      </c>
      <c r="F60" s="632">
        <v>76</v>
      </c>
      <c r="G60" s="632">
        <v>60</v>
      </c>
      <c r="H60" s="632">
        <v>241</v>
      </c>
      <c r="I60" s="632">
        <v>9</v>
      </c>
      <c r="J60" s="632">
        <v>100</v>
      </c>
      <c r="K60" s="632">
        <v>100</v>
      </c>
      <c r="L60" s="573">
        <f t="shared" si="4"/>
        <v>973</v>
      </c>
    </row>
    <row r="61" spans="1:12" x14ac:dyDescent="0.2">
      <c r="A61" s="218" t="s">
        <v>451</v>
      </c>
      <c r="B61" s="632">
        <v>75</v>
      </c>
      <c r="C61" s="632">
        <v>87</v>
      </c>
      <c r="D61" s="632">
        <v>101</v>
      </c>
      <c r="E61" s="632">
        <v>124</v>
      </c>
      <c r="F61" s="632">
        <v>76</v>
      </c>
      <c r="G61" s="632">
        <v>60</v>
      </c>
      <c r="H61" s="632">
        <v>241</v>
      </c>
      <c r="I61" s="632">
        <v>9</v>
      </c>
      <c r="J61" s="632">
        <v>100</v>
      </c>
      <c r="K61" s="632">
        <v>100</v>
      </c>
      <c r="L61" s="573">
        <f t="shared" si="4"/>
        <v>973</v>
      </c>
    </row>
    <row r="62" spans="1:12" x14ac:dyDescent="0.2">
      <c r="A62" s="218" t="s">
        <v>452</v>
      </c>
      <c r="B62" s="632">
        <v>75</v>
      </c>
      <c r="C62" s="632">
        <v>87</v>
      </c>
      <c r="D62" s="632">
        <v>101</v>
      </c>
      <c r="E62" s="632">
        <v>124</v>
      </c>
      <c r="F62" s="632">
        <v>76</v>
      </c>
      <c r="G62" s="632">
        <v>60</v>
      </c>
      <c r="H62" s="632">
        <v>241</v>
      </c>
      <c r="I62" s="632">
        <v>9</v>
      </c>
      <c r="J62" s="632">
        <v>100</v>
      </c>
      <c r="K62" s="632">
        <v>100</v>
      </c>
      <c r="L62" s="573">
        <f t="shared" si="4"/>
        <v>973</v>
      </c>
    </row>
    <row r="63" spans="1:12" x14ac:dyDescent="0.2">
      <c r="A63" s="218" t="s">
        <v>453</v>
      </c>
      <c r="B63" s="632">
        <v>75</v>
      </c>
      <c r="C63" s="632">
        <v>87</v>
      </c>
      <c r="D63" s="632">
        <v>101</v>
      </c>
      <c r="E63" s="632">
        <v>124</v>
      </c>
      <c r="F63" s="632">
        <v>76</v>
      </c>
      <c r="G63" s="632">
        <v>60</v>
      </c>
      <c r="H63" s="632">
        <v>241</v>
      </c>
      <c r="I63" s="632">
        <v>9</v>
      </c>
      <c r="J63" s="632">
        <v>100</v>
      </c>
      <c r="K63" s="632">
        <v>100</v>
      </c>
      <c r="L63" s="573">
        <f t="shared" si="4"/>
        <v>973</v>
      </c>
    </row>
    <row r="64" spans="1:12" x14ac:dyDescent="0.2">
      <c r="A64" s="218" t="s">
        <v>454</v>
      </c>
      <c r="B64" s="632">
        <v>75</v>
      </c>
      <c r="C64" s="632">
        <v>87</v>
      </c>
      <c r="D64" s="632">
        <v>101</v>
      </c>
      <c r="E64" s="632">
        <v>124</v>
      </c>
      <c r="F64" s="632">
        <v>76</v>
      </c>
      <c r="G64" s="632">
        <v>60</v>
      </c>
      <c r="H64" s="632">
        <v>241</v>
      </c>
      <c r="I64" s="632">
        <v>9</v>
      </c>
      <c r="J64" s="632">
        <v>100</v>
      </c>
      <c r="K64" s="632">
        <v>100</v>
      </c>
      <c r="L64" s="573">
        <f t="shared" si="4"/>
        <v>973</v>
      </c>
    </row>
    <row r="65" spans="1:14" x14ac:dyDescent="0.2">
      <c r="A65" s="218" t="s">
        <v>455</v>
      </c>
      <c r="B65" s="632">
        <v>75</v>
      </c>
      <c r="C65" s="632">
        <v>87</v>
      </c>
      <c r="D65" s="632">
        <v>101</v>
      </c>
      <c r="E65" s="632">
        <v>124</v>
      </c>
      <c r="F65" s="632">
        <v>76</v>
      </c>
      <c r="G65" s="632">
        <v>60</v>
      </c>
      <c r="H65" s="632">
        <v>241</v>
      </c>
      <c r="I65" s="632">
        <v>9</v>
      </c>
      <c r="J65" s="632">
        <v>100</v>
      </c>
      <c r="K65" s="632">
        <v>100</v>
      </c>
      <c r="L65" s="573">
        <f t="shared" si="4"/>
        <v>973</v>
      </c>
    </row>
    <row r="66" spans="1:14" x14ac:dyDescent="0.2">
      <c r="A66" s="218"/>
      <c r="B66" s="632"/>
      <c r="C66" s="548"/>
      <c r="D66" s="548"/>
      <c r="E66" s="548"/>
      <c r="F66" s="548"/>
      <c r="G66" s="548"/>
      <c r="H66" s="178"/>
      <c r="I66" s="178"/>
      <c r="J66" s="178"/>
      <c r="K66" s="178"/>
      <c r="L66" s="549"/>
    </row>
    <row r="67" spans="1:14" x14ac:dyDescent="0.2">
      <c r="A67" s="237" t="s">
        <v>522</v>
      </c>
      <c r="B67" s="238">
        <f t="shared" ref="B67:L67" si="5">ROUND(AVERAGE(B54:B65),0)</f>
        <v>75</v>
      </c>
      <c r="C67" s="238">
        <f t="shared" si="5"/>
        <v>87</v>
      </c>
      <c r="D67" s="238">
        <f t="shared" si="5"/>
        <v>101</v>
      </c>
      <c r="E67" s="238">
        <f t="shared" si="5"/>
        <v>124</v>
      </c>
      <c r="F67" s="238">
        <f t="shared" si="5"/>
        <v>76</v>
      </c>
      <c r="G67" s="238">
        <f t="shared" si="5"/>
        <v>60</v>
      </c>
      <c r="H67" s="238">
        <f t="shared" si="5"/>
        <v>241</v>
      </c>
      <c r="I67" s="238">
        <f t="shared" si="5"/>
        <v>9</v>
      </c>
      <c r="J67" s="238">
        <f t="shared" si="5"/>
        <v>100</v>
      </c>
      <c r="K67" s="238">
        <f t="shared" si="5"/>
        <v>100</v>
      </c>
      <c r="L67" s="239">
        <f t="shared" si="5"/>
        <v>873</v>
      </c>
    </row>
    <row r="68" spans="1:14" x14ac:dyDescent="0.2">
      <c r="D68" s="245"/>
      <c r="E68" s="245"/>
      <c r="F68" s="245"/>
      <c r="G68" s="504"/>
      <c r="H68" s="504"/>
      <c r="I68" s="504"/>
      <c r="J68" s="245"/>
      <c r="K68" s="245"/>
      <c r="L68" s="245"/>
      <c r="M68" s="245"/>
      <c r="N68" s="245"/>
    </row>
    <row r="69" spans="1:14" x14ac:dyDescent="0.2">
      <c r="B69" s="510"/>
      <c r="C69" s="510"/>
      <c r="D69" s="510"/>
      <c r="E69" s="178"/>
      <c r="F69" s="178"/>
      <c r="G69" s="178"/>
      <c r="H69" s="178"/>
      <c r="I69" s="178"/>
      <c r="J69" s="510"/>
      <c r="K69" s="572"/>
      <c r="L69" s="178"/>
      <c r="M69" s="178"/>
      <c r="N69" s="178"/>
    </row>
    <row r="70" spans="1:14" ht="15.75" customHeight="1" x14ac:dyDescent="0.2">
      <c r="A70" s="686"/>
      <c r="B70" s="686"/>
      <c r="C70" s="686"/>
      <c r="D70" s="686"/>
      <c r="E70" s="686"/>
      <c r="F70" s="686"/>
      <c r="G70" s="686"/>
      <c r="H70" s="686"/>
    </row>
  </sheetData>
  <sheetProtection formatCells="0"/>
  <mergeCells count="6">
    <mergeCell ref="A70:H70"/>
    <mergeCell ref="B29:F29"/>
    <mergeCell ref="A27:H27"/>
    <mergeCell ref="A1:M1"/>
    <mergeCell ref="A2:M2"/>
    <mergeCell ref="A48:L48"/>
  </mergeCells>
  <phoneticPr fontId="0" type="noConversion"/>
  <printOptions horizontalCentered="1"/>
  <pageMargins left="0.75" right="0.75" top="1" bottom="1" header="0.5" footer="0.5"/>
  <pageSetup scale="47" orientation="portrait" r:id="rId1"/>
  <headerFooter alignWithMargins="0">
    <oddHeader>&amp;CIDAHO POWER COMPANY
Transmission Cost of Service Rate Development
12 Months Ended 12/31/2016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259"/>
  <sheetViews>
    <sheetView zoomScale="90" zoomScaleNormal="90" zoomScaleSheetLayoutView="100" zoomScalePageLayoutView="75" workbookViewId="0">
      <selection activeCell="A19" sqref="A19"/>
    </sheetView>
  </sheetViews>
  <sheetFormatPr defaultRowHeight="12.75" x14ac:dyDescent="0.2"/>
  <cols>
    <col min="1" max="1" width="3.7109375" style="504" customWidth="1"/>
    <col min="2" max="2" width="3.5703125" style="505" customWidth="1"/>
    <col min="3" max="3" width="25.5703125" style="153" customWidth="1"/>
    <col min="4" max="4" width="21.5703125" style="153" bestFit="1" customWidth="1"/>
    <col min="5" max="5" width="16.7109375" style="153" customWidth="1"/>
    <col min="6" max="6" width="14.7109375" style="153" customWidth="1"/>
    <col min="7" max="7" width="6.42578125" style="263" customWidth="1"/>
    <col min="8" max="8" width="16.42578125" style="263" customWidth="1"/>
    <col min="9" max="9" width="14.28515625" style="153" customWidth="1"/>
    <col min="10" max="16384" width="9.140625" style="153"/>
  </cols>
  <sheetData>
    <row r="1" spans="1:9" ht="15.75" customHeight="1" x14ac:dyDescent="0.2">
      <c r="A1" s="685" t="s">
        <v>487</v>
      </c>
      <c r="B1" s="685"/>
      <c r="C1" s="685"/>
      <c r="D1" s="685"/>
      <c r="E1" s="685"/>
      <c r="F1" s="685"/>
      <c r="G1" s="685"/>
      <c r="H1" s="685"/>
      <c r="I1" s="685"/>
    </row>
    <row r="2" spans="1:9" ht="15.75" customHeight="1" x14ac:dyDescent="0.2">
      <c r="A2" s="685" t="s">
        <v>51</v>
      </c>
      <c r="B2" s="685"/>
      <c r="C2" s="685"/>
      <c r="D2" s="685"/>
      <c r="E2" s="685"/>
      <c r="F2" s="685"/>
      <c r="G2" s="685"/>
      <c r="H2" s="685"/>
      <c r="I2" s="685"/>
    </row>
    <row r="3" spans="1:9" x14ac:dyDescent="0.2">
      <c r="C3" s="157"/>
      <c r="D3" s="157"/>
      <c r="E3" s="157"/>
      <c r="G3" s="153"/>
      <c r="H3" s="168"/>
    </row>
    <row r="4" spans="1:9" x14ac:dyDescent="0.2">
      <c r="C4" s="157"/>
      <c r="D4" s="157"/>
      <c r="E4" s="157"/>
      <c r="G4" s="153"/>
      <c r="H4" s="168"/>
    </row>
    <row r="5" spans="1:9" x14ac:dyDescent="0.2">
      <c r="G5" s="153"/>
      <c r="H5" s="168"/>
    </row>
    <row r="6" spans="1:9" x14ac:dyDescent="0.2">
      <c r="A6" s="504">
        <v>1</v>
      </c>
      <c r="B6" s="505" t="s">
        <v>459</v>
      </c>
      <c r="C6" s="157" t="s">
        <v>491</v>
      </c>
      <c r="D6" s="157"/>
      <c r="G6" s="153"/>
      <c r="H6" s="168"/>
    </row>
    <row r="7" spans="1:9" x14ac:dyDescent="0.2">
      <c r="A7" s="504">
        <f>A6+1</f>
        <v>2</v>
      </c>
      <c r="E7" s="246" t="s">
        <v>408</v>
      </c>
      <c r="F7" s="246"/>
      <c r="G7" s="240"/>
      <c r="H7" s="247" t="s">
        <v>441</v>
      </c>
      <c r="I7" s="246"/>
    </row>
    <row r="8" spans="1:9" x14ac:dyDescent="0.2">
      <c r="A8" s="504">
        <f t="shared" ref="A8:A42" si="0">A7+1</f>
        <v>3</v>
      </c>
      <c r="D8" s="153" t="s">
        <v>229</v>
      </c>
      <c r="E8" s="235" t="s">
        <v>230</v>
      </c>
      <c r="F8" s="235" t="s">
        <v>409</v>
      </c>
      <c r="G8" s="504"/>
      <c r="H8" s="248" t="s">
        <v>410</v>
      </c>
      <c r="I8" s="235" t="s">
        <v>411</v>
      </c>
    </row>
    <row r="9" spans="1:9" x14ac:dyDescent="0.2">
      <c r="A9" s="504">
        <f t="shared" si="0"/>
        <v>4</v>
      </c>
      <c r="E9" s="249"/>
      <c r="F9" s="249"/>
      <c r="G9" s="249"/>
      <c r="H9" s="250"/>
      <c r="I9" s="249"/>
    </row>
    <row r="10" spans="1:9" x14ac:dyDescent="0.2">
      <c r="A10" s="504">
        <f t="shared" si="0"/>
        <v>5</v>
      </c>
      <c r="E10" s="249"/>
      <c r="F10" s="516"/>
      <c r="G10" s="516"/>
      <c r="H10" s="516"/>
      <c r="I10" s="516"/>
    </row>
    <row r="11" spans="1:9" x14ac:dyDescent="0.2">
      <c r="A11" s="504">
        <f t="shared" si="0"/>
        <v>6</v>
      </c>
      <c r="C11" s="153" t="s">
        <v>1088</v>
      </c>
      <c r="D11" s="153" t="s">
        <v>98</v>
      </c>
      <c r="E11" s="201">
        <f>'Schedule 6 Workpaper page 1'!G38*1000</f>
        <v>1745460000</v>
      </c>
      <c r="F11" s="517">
        <f>E11/E17</f>
        <v>0.46618159910317969</v>
      </c>
      <c r="G11" s="517"/>
      <c r="H11" s="517">
        <f>'Schedule 6 Workpaper page 1'!O38</f>
        <v>5.0098621973849053E-2</v>
      </c>
      <c r="I11" s="517">
        <f>H11*F11</f>
        <v>2.3355055704634649E-2</v>
      </c>
    </row>
    <row r="12" spans="1:9" x14ac:dyDescent="0.2">
      <c r="A12" s="504">
        <f t="shared" si="0"/>
        <v>7</v>
      </c>
      <c r="E12" s="201"/>
      <c r="F12" s="517"/>
      <c r="G12" s="517"/>
      <c r="H12" s="517"/>
      <c r="I12" s="517"/>
    </row>
    <row r="13" spans="1:9" x14ac:dyDescent="0.2">
      <c r="A13" s="504">
        <f t="shared" si="0"/>
        <v>8</v>
      </c>
      <c r="C13" s="153" t="s">
        <v>412</v>
      </c>
      <c r="D13" s="153" t="s">
        <v>1060</v>
      </c>
      <c r="E13" s="201">
        <v>0</v>
      </c>
      <c r="F13" s="517">
        <f>E13/E17</f>
        <v>0</v>
      </c>
      <c r="G13" s="517"/>
      <c r="H13" s="517">
        <v>0</v>
      </c>
      <c r="I13" s="517">
        <f>H13*F13</f>
        <v>0</v>
      </c>
    </row>
    <row r="14" spans="1:9" x14ac:dyDescent="0.2">
      <c r="A14" s="504">
        <f t="shared" si="0"/>
        <v>9</v>
      </c>
      <c r="E14" s="201"/>
      <c r="F14" s="517"/>
      <c r="G14" s="517"/>
      <c r="H14" s="517"/>
      <c r="I14" s="517"/>
    </row>
    <row r="15" spans="1:9" x14ac:dyDescent="0.2">
      <c r="A15" s="504">
        <f t="shared" si="0"/>
        <v>10</v>
      </c>
      <c r="C15" s="153" t="s">
        <v>413</v>
      </c>
      <c r="D15" s="153" t="s">
        <v>1061</v>
      </c>
      <c r="E15" s="637">
        <v>1998703226</v>
      </c>
      <c r="F15" s="518">
        <f>E15/E17</f>
        <v>0.53381840089682031</v>
      </c>
      <c r="G15" s="518"/>
      <c r="H15" s="517">
        <v>0.107</v>
      </c>
      <c r="I15" s="518">
        <f>H15*F15</f>
        <v>5.7118568895959773E-2</v>
      </c>
    </row>
    <row r="16" spans="1:9" x14ac:dyDescent="0.2">
      <c r="A16" s="504">
        <f t="shared" si="0"/>
        <v>11</v>
      </c>
      <c r="E16" s="205"/>
      <c r="F16" s="518"/>
      <c r="G16" s="518"/>
      <c r="H16" s="517"/>
      <c r="I16" s="518"/>
    </row>
    <row r="17" spans="1:9" x14ac:dyDescent="0.2">
      <c r="A17" s="504">
        <f t="shared" si="0"/>
        <v>12</v>
      </c>
      <c r="C17" s="153" t="s">
        <v>414</v>
      </c>
      <c r="E17" s="201">
        <f>SUM(E11:E15)</f>
        <v>3744163226</v>
      </c>
      <c r="F17" s="517">
        <f>SUM(F11:F15)</f>
        <v>1</v>
      </c>
      <c r="G17" s="517"/>
      <c r="H17" s="517"/>
      <c r="I17" s="517">
        <f>SUM(I11:I15)</f>
        <v>8.0473624600594429E-2</v>
      </c>
    </row>
    <row r="18" spans="1:9" x14ac:dyDescent="0.2">
      <c r="A18" s="504">
        <f t="shared" si="0"/>
        <v>13</v>
      </c>
      <c r="E18" s="201"/>
      <c r="F18" s="251"/>
      <c r="G18" s="251"/>
      <c r="H18" s="168"/>
      <c r="I18" s="252"/>
    </row>
    <row r="19" spans="1:9" x14ac:dyDescent="0.2">
      <c r="A19" s="504">
        <f t="shared" si="0"/>
        <v>14</v>
      </c>
      <c r="G19" s="153"/>
      <c r="H19" s="168"/>
    </row>
    <row r="20" spans="1:9" ht="12.75" customHeight="1" x14ac:dyDescent="0.2">
      <c r="A20" s="504">
        <f t="shared" si="0"/>
        <v>15</v>
      </c>
      <c r="E20" s="253" t="s">
        <v>402</v>
      </c>
      <c r="G20" s="153"/>
      <c r="H20" s="254" t="s">
        <v>407</v>
      </c>
      <c r="I20" s="515">
        <f>I17</f>
        <v>8.0473624600594429E-2</v>
      </c>
    </row>
    <row r="21" spans="1:9" ht="12.75" customHeight="1" x14ac:dyDescent="0.2">
      <c r="A21" s="504">
        <f t="shared" si="0"/>
        <v>16</v>
      </c>
      <c r="E21" s="253"/>
      <c r="G21" s="153"/>
      <c r="H21" s="255"/>
      <c r="I21" s="252"/>
    </row>
    <row r="22" spans="1:9" ht="12.75" customHeight="1" x14ac:dyDescent="0.2">
      <c r="A22" s="504">
        <f t="shared" si="0"/>
        <v>17</v>
      </c>
      <c r="B22" s="505" t="s">
        <v>460</v>
      </c>
      <c r="C22" s="157" t="s">
        <v>488</v>
      </c>
      <c r="D22" s="157"/>
      <c r="E22" s="157"/>
      <c r="G22" s="168"/>
      <c r="H22" s="255"/>
      <c r="I22" s="252"/>
    </row>
    <row r="23" spans="1:9" ht="12.75" customHeight="1" x14ac:dyDescent="0.2">
      <c r="A23" s="504">
        <f t="shared" si="0"/>
        <v>18</v>
      </c>
      <c r="G23" s="168"/>
      <c r="H23" s="255"/>
      <c r="I23" s="252"/>
    </row>
    <row r="24" spans="1:9" ht="12.75" customHeight="1" x14ac:dyDescent="0.2">
      <c r="A24" s="504">
        <f t="shared" si="0"/>
        <v>19</v>
      </c>
      <c r="C24" s="153" t="s">
        <v>489</v>
      </c>
      <c r="E24" s="192">
        <v>0.35</v>
      </c>
      <c r="G24" s="153"/>
      <c r="H24" s="255"/>
      <c r="I24" s="252"/>
    </row>
    <row r="25" spans="1:9" ht="12.75" customHeight="1" x14ac:dyDescent="0.2">
      <c r="A25" s="504">
        <f t="shared" si="0"/>
        <v>20</v>
      </c>
      <c r="C25" s="153" t="s">
        <v>490</v>
      </c>
      <c r="E25" s="192">
        <f>'Schedule 6 Workpaper page 2'!F9</f>
        <v>6.3E-2</v>
      </c>
      <c r="F25" s="153" t="s">
        <v>106</v>
      </c>
      <c r="G25" s="153"/>
      <c r="H25" s="255"/>
      <c r="I25" s="252"/>
    </row>
    <row r="26" spans="1:9" ht="12.75" customHeight="1" x14ac:dyDescent="0.2">
      <c r="A26" s="504">
        <f t="shared" si="0"/>
        <v>21</v>
      </c>
      <c r="G26" s="168"/>
      <c r="H26" s="255"/>
      <c r="I26" s="252"/>
    </row>
    <row r="27" spans="1:9" x14ac:dyDescent="0.2">
      <c r="A27" s="504">
        <f t="shared" si="0"/>
        <v>22</v>
      </c>
      <c r="C27" s="256" t="s">
        <v>492</v>
      </c>
      <c r="D27" s="256"/>
      <c r="E27" s="178"/>
      <c r="F27" s="178"/>
      <c r="G27" s="202"/>
      <c r="H27" s="257"/>
      <c r="I27" s="258"/>
    </row>
    <row r="28" spans="1:9" x14ac:dyDescent="0.2">
      <c r="A28" s="504">
        <f t="shared" si="0"/>
        <v>23</v>
      </c>
      <c r="C28" s="178" t="s">
        <v>494</v>
      </c>
      <c r="D28" s="178"/>
      <c r="E28" s="178"/>
      <c r="F28" s="178"/>
      <c r="G28" s="202"/>
      <c r="H28" s="180"/>
      <c r="I28" s="519">
        <f>ROUND((((($I$20-$I$11) +((E38 + E39)/'Rate Calculation'!$E$26))*$E$24)/(1-$E$24)),5)</f>
        <v>3.0380000000000001E-2</v>
      </c>
    </row>
    <row r="29" spans="1:9" x14ac:dyDescent="0.2">
      <c r="A29" s="504">
        <f t="shared" si="0"/>
        <v>24</v>
      </c>
      <c r="C29" s="178"/>
      <c r="D29" s="178"/>
      <c r="E29" s="178"/>
      <c r="F29" s="178"/>
      <c r="G29" s="202"/>
      <c r="H29" s="180"/>
      <c r="I29" s="519"/>
    </row>
    <row r="30" spans="1:9" x14ac:dyDescent="0.2">
      <c r="A30" s="504">
        <f t="shared" si="0"/>
        <v>25</v>
      </c>
      <c r="C30" s="256" t="s">
        <v>493</v>
      </c>
      <c r="D30" s="256"/>
      <c r="E30" s="178"/>
      <c r="F30" s="178"/>
      <c r="G30" s="202"/>
      <c r="H30" s="180"/>
      <c r="I30" s="519"/>
    </row>
    <row r="31" spans="1:9" x14ac:dyDescent="0.2">
      <c r="A31" s="504">
        <f t="shared" si="0"/>
        <v>26</v>
      </c>
      <c r="C31" s="178" t="s">
        <v>495</v>
      </c>
      <c r="D31" s="178"/>
      <c r="E31" s="178"/>
      <c r="F31" s="178"/>
      <c r="G31" s="202"/>
      <c r="H31" s="180"/>
      <c r="I31" s="519">
        <f>ROUND(((($I$20-$I$11)+((E38 + E39) / 'Rate Calculation'!$E$26) + $I$28)*$E$25)/(1-$E$25),5)</f>
        <v>5.8399999999999997E-3</v>
      </c>
    </row>
    <row r="32" spans="1:9" x14ac:dyDescent="0.2">
      <c r="A32" s="504">
        <f t="shared" si="0"/>
        <v>27</v>
      </c>
      <c r="C32" s="178"/>
      <c r="D32" s="178"/>
      <c r="E32" s="178"/>
      <c r="F32" s="181" t="s">
        <v>402</v>
      </c>
      <c r="G32" s="180"/>
      <c r="H32" s="180"/>
      <c r="I32" s="520" t="s">
        <v>402</v>
      </c>
    </row>
    <row r="33" spans="1:9" x14ac:dyDescent="0.2">
      <c r="A33" s="504">
        <f t="shared" si="0"/>
        <v>28</v>
      </c>
      <c r="C33" s="178"/>
      <c r="D33" s="178"/>
      <c r="E33" s="178"/>
      <c r="F33" s="178"/>
      <c r="G33" s="180"/>
      <c r="H33" s="180"/>
      <c r="I33" s="519"/>
    </row>
    <row r="34" spans="1:9" x14ac:dyDescent="0.2">
      <c r="A34" s="504">
        <f t="shared" si="0"/>
        <v>29</v>
      </c>
      <c r="C34" s="178"/>
      <c r="D34" s="178"/>
      <c r="E34" s="178"/>
      <c r="F34" s="259" t="s">
        <v>496</v>
      </c>
      <c r="G34" s="260"/>
      <c r="H34" s="179"/>
      <c r="I34" s="521">
        <f>ROUND(SUM(I28:I31),5)</f>
        <v>3.6220000000000002E-2</v>
      </c>
    </row>
    <row r="35" spans="1:9" x14ac:dyDescent="0.2">
      <c r="A35" s="504">
        <f t="shared" si="0"/>
        <v>30</v>
      </c>
      <c r="C35" s="178"/>
      <c r="D35" s="178"/>
      <c r="E35" s="178"/>
      <c r="F35" s="259"/>
      <c r="G35" s="260"/>
      <c r="H35" s="179"/>
      <c r="I35" s="179"/>
    </row>
    <row r="36" spans="1:9" x14ac:dyDescent="0.2">
      <c r="A36" s="504">
        <f t="shared" si="0"/>
        <v>31</v>
      </c>
      <c r="C36" s="178"/>
      <c r="D36" s="178"/>
      <c r="E36" s="178"/>
      <c r="F36" s="259"/>
      <c r="G36" s="260"/>
      <c r="H36" s="179"/>
      <c r="I36" s="179"/>
    </row>
    <row r="37" spans="1:9" x14ac:dyDescent="0.2">
      <c r="A37" s="504">
        <f t="shared" si="0"/>
        <v>32</v>
      </c>
      <c r="C37" s="178"/>
      <c r="D37" s="178"/>
      <c r="E37" s="178"/>
      <c r="F37" s="179"/>
      <c r="G37" s="260"/>
      <c r="H37" s="180"/>
      <c r="I37" s="178"/>
    </row>
    <row r="38" spans="1:9" x14ac:dyDescent="0.2">
      <c r="A38" s="504">
        <f t="shared" si="0"/>
        <v>33</v>
      </c>
      <c r="C38" s="179" t="s">
        <v>497</v>
      </c>
      <c r="D38" s="179"/>
      <c r="E38" s="491">
        <f>'Schedule 6 Workpaper page 3'!G17</f>
        <v>83104</v>
      </c>
      <c r="F38" s="240" t="s">
        <v>107</v>
      </c>
      <c r="G38" s="260"/>
      <c r="H38" s="180"/>
      <c r="I38" s="178"/>
    </row>
    <row r="39" spans="1:9" x14ac:dyDescent="0.2">
      <c r="A39" s="504">
        <f t="shared" si="0"/>
        <v>34</v>
      </c>
      <c r="C39" s="179" t="s">
        <v>498</v>
      </c>
      <c r="D39" s="179"/>
      <c r="E39" s="205">
        <f>'Rate Calculation'!E38</f>
        <v>-582442.80108344997</v>
      </c>
      <c r="F39" s="181" t="s">
        <v>243</v>
      </c>
      <c r="G39" s="260"/>
      <c r="H39" s="180"/>
      <c r="I39" s="178"/>
    </row>
    <row r="40" spans="1:9" x14ac:dyDescent="0.2">
      <c r="A40" s="536">
        <f t="shared" si="0"/>
        <v>35</v>
      </c>
      <c r="C40" s="178"/>
      <c r="D40" s="178"/>
      <c r="E40" s="178"/>
      <c r="F40" s="178"/>
      <c r="G40" s="260"/>
      <c r="H40" s="180"/>
      <c r="I40" s="178"/>
    </row>
    <row r="41" spans="1:9" ht="29.25" customHeight="1" x14ac:dyDescent="0.2">
      <c r="A41" s="536">
        <f t="shared" si="0"/>
        <v>36</v>
      </c>
      <c r="C41" s="691" t="s">
        <v>1085</v>
      </c>
      <c r="D41" s="691"/>
      <c r="E41" s="691"/>
      <c r="F41" s="691"/>
      <c r="G41" s="691"/>
      <c r="H41" s="691"/>
      <c r="I41" s="691"/>
    </row>
    <row r="42" spans="1:9" x14ac:dyDescent="0.2">
      <c r="A42" s="538">
        <f t="shared" si="0"/>
        <v>37</v>
      </c>
      <c r="C42" s="178" t="s">
        <v>1087</v>
      </c>
      <c r="D42" s="178"/>
      <c r="E42" s="178"/>
      <c r="F42" s="178"/>
      <c r="G42" s="180"/>
      <c r="H42" s="180"/>
      <c r="I42" s="178"/>
    </row>
    <row r="43" spans="1:9" x14ac:dyDescent="0.2">
      <c r="C43" s="178"/>
      <c r="D43" s="178"/>
      <c r="E43" s="202"/>
      <c r="F43" s="178"/>
      <c r="G43" s="180"/>
      <c r="H43" s="180"/>
      <c r="I43" s="178"/>
    </row>
    <row r="44" spans="1:9" x14ac:dyDescent="0.2">
      <c r="C44" s="178"/>
      <c r="D44" s="178"/>
      <c r="E44" s="178"/>
      <c r="F44" s="178"/>
      <c r="G44" s="180"/>
      <c r="H44" s="180"/>
      <c r="I44" s="178"/>
    </row>
    <row r="45" spans="1:9" x14ac:dyDescent="0.2">
      <c r="C45" s="178"/>
      <c r="D45" s="178"/>
      <c r="E45" s="178"/>
      <c r="F45" s="178"/>
      <c r="G45" s="180"/>
      <c r="H45" s="180"/>
      <c r="I45" s="178"/>
    </row>
    <row r="46" spans="1:9" x14ac:dyDescent="0.2">
      <c r="C46" s="178"/>
      <c r="D46" s="178"/>
      <c r="E46" s="178"/>
      <c r="F46" s="178"/>
      <c r="G46" s="180"/>
      <c r="H46" s="180"/>
      <c r="I46" s="178"/>
    </row>
    <row r="47" spans="1:9" x14ac:dyDescent="0.2">
      <c r="C47" s="256"/>
      <c r="D47" s="256"/>
      <c r="E47" s="178"/>
      <c r="F47" s="178"/>
      <c r="G47" s="180"/>
      <c r="H47" s="180"/>
      <c r="I47" s="178"/>
    </row>
    <row r="48" spans="1:9" x14ac:dyDescent="0.2">
      <c r="C48" s="178"/>
      <c r="D48" s="178"/>
      <c r="E48" s="178"/>
      <c r="F48" s="178"/>
      <c r="G48" s="180"/>
      <c r="H48" s="180"/>
      <c r="I48" s="178"/>
    </row>
    <row r="49" spans="3:9" x14ac:dyDescent="0.2">
      <c r="C49" s="178"/>
      <c r="D49" s="178"/>
      <c r="E49" s="178"/>
      <c r="F49" s="178"/>
      <c r="G49" s="180"/>
      <c r="H49" s="180"/>
      <c r="I49" s="178"/>
    </row>
    <row r="50" spans="3:9" x14ac:dyDescent="0.2">
      <c r="C50" s="178"/>
      <c r="D50" s="178"/>
      <c r="E50" s="178"/>
      <c r="F50" s="178"/>
      <c r="G50" s="180"/>
      <c r="H50" s="180"/>
      <c r="I50" s="178"/>
    </row>
    <row r="51" spans="3:9" x14ac:dyDescent="0.2">
      <c r="C51" s="258"/>
      <c r="D51" s="258"/>
      <c r="E51" s="178"/>
      <c r="F51" s="178"/>
      <c r="G51" s="180"/>
      <c r="H51" s="180"/>
      <c r="I51" s="178"/>
    </row>
    <row r="52" spans="3:9" x14ac:dyDescent="0.2">
      <c r="C52" s="262"/>
      <c r="D52" s="262"/>
      <c r="E52" s="178"/>
      <c r="F52" s="178"/>
      <c r="G52" s="180"/>
      <c r="H52" s="180"/>
      <c r="I52" s="178"/>
    </row>
    <row r="53" spans="3:9" x14ac:dyDescent="0.2">
      <c r="C53" s="262"/>
      <c r="D53" s="262"/>
      <c r="E53" s="178"/>
      <c r="F53" s="178"/>
      <c r="G53" s="180"/>
      <c r="H53" s="180"/>
      <c r="I53" s="178"/>
    </row>
    <row r="54" spans="3:9" x14ac:dyDescent="0.2">
      <c r="C54" s="178"/>
      <c r="D54" s="178"/>
      <c r="E54" s="178"/>
      <c r="F54" s="178"/>
      <c r="G54" s="180"/>
      <c r="H54" s="180"/>
      <c r="I54" s="178"/>
    </row>
    <row r="55" spans="3:9" x14ac:dyDescent="0.2">
      <c r="C55" s="178"/>
      <c r="D55" s="178"/>
      <c r="E55" s="178"/>
      <c r="F55" s="178"/>
      <c r="G55" s="180"/>
      <c r="H55" s="180"/>
      <c r="I55" s="178"/>
    </row>
    <row r="56" spans="3:9" x14ac:dyDescent="0.2">
      <c r="C56" s="178"/>
      <c r="D56" s="178"/>
      <c r="E56" s="178"/>
      <c r="F56" s="178"/>
      <c r="G56" s="180"/>
      <c r="H56" s="180"/>
      <c r="I56" s="178"/>
    </row>
    <row r="57" spans="3:9" x14ac:dyDescent="0.2">
      <c r="C57" s="178"/>
      <c r="D57" s="178"/>
      <c r="E57" s="178"/>
      <c r="F57" s="178"/>
      <c r="G57" s="180"/>
      <c r="H57" s="180"/>
      <c r="I57" s="178"/>
    </row>
    <row r="58" spans="3:9" x14ac:dyDescent="0.2">
      <c r="C58" s="178"/>
      <c r="D58" s="178"/>
      <c r="E58" s="178"/>
      <c r="F58" s="178"/>
      <c r="G58" s="180"/>
      <c r="H58" s="180"/>
      <c r="I58" s="178"/>
    </row>
    <row r="59" spans="3:9" x14ac:dyDescent="0.2">
      <c r="C59" s="178"/>
      <c r="D59" s="178"/>
      <c r="E59" s="178"/>
      <c r="F59" s="178"/>
      <c r="G59" s="180"/>
      <c r="H59" s="180"/>
      <c r="I59" s="178"/>
    </row>
    <row r="60" spans="3:9" x14ac:dyDescent="0.2">
      <c r="C60" s="178"/>
      <c r="D60" s="178"/>
      <c r="E60" s="178"/>
      <c r="F60" s="178"/>
      <c r="G60" s="180"/>
      <c r="H60" s="180"/>
      <c r="I60" s="178"/>
    </row>
    <row r="61" spans="3:9" x14ac:dyDescent="0.2">
      <c r="C61" s="178"/>
      <c r="D61" s="178"/>
      <c r="E61" s="178"/>
      <c r="F61" s="178"/>
      <c r="G61" s="180"/>
      <c r="H61" s="180"/>
      <c r="I61" s="178"/>
    </row>
    <row r="62" spans="3:9" x14ac:dyDescent="0.2">
      <c r="C62" s="178"/>
      <c r="D62" s="178"/>
      <c r="E62" s="178"/>
      <c r="F62" s="178"/>
      <c r="G62" s="180"/>
      <c r="H62" s="180"/>
      <c r="I62" s="178"/>
    </row>
    <row r="63" spans="3:9" x14ac:dyDescent="0.2">
      <c r="C63" s="178"/>
      <c r="D63" s="178"/>
      <c r="E63" s="178"/>
      <c r="F63" s="178"/>
      <c r="G63" s="180"/>
      <c r="H63" s="180"/>
      <c r="I63" s="178"/>
    </row>
    <row r="64" spans="3:9" x14ac:dyDescent="0.2">
      <c r="C64" s="178"/>
      <c r="D64" s="178"/>
      <c r="E64" s="178"/>
      <c r="F64" s="178"/>
      <c r="G64" s="180"/>
      <c r="H64" s="180"/>
      <c r="I64" s="178"/>
    </row>
    <row r="65" spans="3:9" x14ac:dyDescent="0.2">
      <c r="C65" s="178"/>
      <c r="D65" s="178"/>
      <c r="E65" s="178"/>
      <c r="F65" s="178"/>
      <c r="G65" s="180"/>
      <c r="H65" s="180"/>
      <c r="I65" s="178"/>
    </row>
    <row r="66" spans="3:9" x14ac:dyDescent="0.2">
      <c r="C66" s="178"/>
      <c r="D66" s="178"/>
      <c r="E66" s="178"/>
      <c r="F66" s="178"/>
      <c r="G66" s="180"/>
      <c r="H66" s="180"/>
      <c r="I66" s="178"/>
    </row>
    <row r="67" spans="3:9" x14ac:dyDescent="0.2">
      <c r="C67" s="178"/>
      <c r="D67" s="178"/>
      <c r="E67" s="178"/>
      <c r="F67" s="178"/>
      <c r="G67" s="180"/>
      <c r="H67" s="180"/>
      <c r="I67" s="178"/>
    </row>
    <row r="68" spans="3:9" x14ac:dyDescent="0.2">
      <c r="C68" s="178"/>
      <c r="D68" s="178"/>
      <c r="E68" s="178"/>
      <c r="F68" s="178"/>
      <c r="G68" s="180"/>
      <c r="H68" s="180"/>
      <c r="I68" s="178"/>
    </row>
    <row r="69" spans="3:9" x14ac:dyDescent="0.2">
      <c r="C69" s="178"/>
      <c r="D69" s="178"/>
      <c r="E69" s="178"/>
      <c r="F69" s="178"/>
      <c r="G69" s="180"/>
      <c r="H69" s="180"/>
      <c r="I69" s="178"/>
    </row>
    <row r="70" spans="3:9" x14ac:dyDescent="0.2">
      <c r="C70" s="178"/>
      <c r="D70" s="178"/>
      <c r="E70" s="178"/>
      <c r="F70" s="178"/>
      <c r="G70" s="180"/>
      <c r="H70" s="180"/>
      <c r="I70" s="178"/>
    </row>
    <row r="71" spans="3:9" x14ac:dyDescent="0.2">
      <c r="C71" s="178"/>
      <c r="D71" s="178"/>
      <c r="E71" s="178"/>
      <c r="F71" s="178"/>
      <c r="G71" s="180"/>
      <c r="H71" s="180"/>
      <c r="I71" s="178"/>
    </row>
    <row r="72" spans="3:9" x14ac:dyDescent="0.2">
      <c r="C72" s="178"/>
      <c r="D72" s="178"/>
      <c r="E72" s="178"/>
      <c r="F72" s="178"/>
      <c r="G72" s="180"/>
      <c r="H72" s="180"/>
      <c r="I72" s="178"/>
    </row>
    <row r="73" spans="3:9" x14ac:dyDescent="0.2">
      <c r="C73" s="178"/>
      <c r="D73" s="178"/>
      <c r="E73" s="178"/>
      <c r="F73" s="178"/>
      <c r="G73" s="180"/>
      <c r="H73" s="180"/>
      <c r="I73" s="178"/>
    </row>
    <row r="74" spans="3:9" x14ac:dyDescent="0.2">
      <c r="C74" s="178"/>
      <c r="D74" s="178"/>
      <c r="E74" s="178"/>
      <c r="F74" s="178"/>
      <c r="G74" s="180"/>
      <c r="H74" s="180"/>
      <c r="I74" s="178"/>
    </row>
    <row r="75" spans="3:9" x14ac:dyDescent="0.2">
      <c r="C75" s="178"/>
      <c r="D75" s="178"/>
      <c r="E75" s="178"/>
      <c r="F75" s="178"/>
      <c r="G75" s="180"/>
      <c r="H75" s="180"/>
      <c r="I75" s="178"/>
    </row>
    <row r="76" spans="3:9" x14ac:dyDescent="0.2">
      <c r="C76" s="178"/>
      <c r="D76" s="178"/>
      <c r="E76" s="178"/>
      <c r="F76" s="178"/>
      <c r="G76" s="180"/>
      <c r="H76" s="180"/>
      <c r="I76" s="178"/>
    </row>
    <row r="77" spans="3:9" x14ac:dyDescent="0.2">
      <c r="C77" s="178"/>
      <c r="D77" s="178"/>
      <c r="E77" s="178"/>
      <c r="F77" s="178"/>
      <c r="G77" s="180"/>
      <c r="H77" s="180"/>
      <c r="I77" s="178"/>
    </row>
    <row r="78" spans="3:9" x14ac:dyDescent="0.2">
      <c r="C78" s="178"/>
      <c r="D78" s="178"/>
      <c r="E78" s="178"/>
      <c r="F78" s="178"/>
      <c r="G78" s="180"/>
      <c r="H78" s="180"/>
      <c r="I78" s="178"/>
    </row>
    <row r="79" spans="3:9" x14ac:dyDescent="0.2">
      <c r="C79" s="178"/>
      <c r="D79" s="178"/>
      <c r="E79" s="178"/>
      <c r="F79" s="178"/>
      <c r="G79" s="180"/>
      <c r="H79" s="180"/>
      <c r="I79" s="178"/>
    </row>
    <row r="80" spans="3:9" x14ac:dyDescent="0.2">
      <c r="C80" s="178"/>
      <c r="D80" s="178"/>
      <c r="E80" s="178"/>
      <c r="F80" s="178"/>
      <c r="G80" s="180"/>
      <c r="H80" s="180"/>
      <c r="I80" s="178"/>
    </row>
    <row r="81" spans="3:9" x14ac:dyDescent="0.2">
      <c r="C81" s="178"/>
      <c r="D81" s="178"/>
      <c r="E81" s="178"/>
      <c r="F81" s="178"/>
      <c r="G81" s="180"/>
      <c r="H81" s="180"/>
      <c r="I81" s="178"/>
    </row>
    <row r="82" spans="3:9" x14ac:dyDescent="0.2">
      <c r="C82" s="178"/>
      <c r="D82" s="178"/>
      <c r="E82" s="178"/>
      <c r="F82" s="178"/>
      <c r="G82" s="180"/>
      <c r="H82" s="180"/>
      <c r="I82" s="178"/>
    </row>
    <row r="83" spans="3:9" x14ac:dyDescent="0.2">
      <c r="C83" s="178"/>
      <c r="D83" s="178"/>
      <c r="E83" s="178"/>
      <c r="F83" s="178"/>
      <c r="G83" s="180"/>
      <c r="H83" s="180"/>
      <c r="I83" s="178"/>
    </row>
    <row r="84" spans="3:9" x14ac:dyDescent="0.2">
      <c r="C84" s="178"/>
      <c r="D84" s="178"/>
      <c r="E84" s="178"/>
      <c r="F84" s="178"/>
      <c r="G84" s="180"/>
      <c r="H84" s="180"/>
      <c r="I84" s="178"/>
    </row>
    <row r="85" spans="3:9" x14ac:dyDescent="0.2">
      <c r="C85" s="178"/>
      <c r="D85" s="178"/>
      <c r="E85" s="178"/>
      <c r="F85" s="178"/>
      <c r="G85" s="180"/>
      <c r="H85" s="180"/>
      <c r="I85" s="178"/>
    </row>
    <row r="86" spans="3:9" x14ac:dyDescent="0.2">
      <c r="C86" s="178"/>
      <c r="D86" s="178"/>
      <c r="E86" s="178"/>
      <c r="F86" s="178"/>
      <c r="G86" s="180"/>
      <c r="H86" s="180"/>
      <c r="I86" s="178"/>
    </row>
    <row r="87" spans="3:9" x14ac:dyDescent="0.2">
      <c r="C87" s="178"/>
      <c r="D87" s="178"/>
      <c r="E87" s="178"/>
      <c r="F87" s="178"/>
      <c r="G87" s="180"/>
      <c r="H87" s="180"/>
      <c r="I87" s="178"/>
    </row>
    <row r="88" spans="3:9" x14ac:dyDescent="0.2">
      <c r="C88" s="178"/>
      <c r="D88" s="178"/>
      <c r="E88" s="178"/>
      <c r="F88" s="178"/>
      <c r="G88" s="180"/>
      <c r="H88" s="180"/>
      <c r="I88" s="178"/>
    </row>
    <row r="89" spans="3:9" x14ac:dyDescent="0.2">
      <c r="C89" s="178"/>
      <c r="D89" s="178"/>
      <c r="E89" s="178"/>
      <c r="F89" s="178"/>
      <c r="G89" s="180"/>
      <c r="H89" s="180"/>
      <c r="I89" s="178"/>
    </row>
    <row r="90" spans="3:9" x14ac:dyDescent="0.2">
      <c r="C90" s="178"/>
      <c r="D90" s="178"/>
      <c r="E90" s="178"/>
      <c r="F90" s="178"/>
      <c r="G90" s="180"/>
      <c r="H90" s="180"/>
      <c r="I90" s="178"/>
    </row>
    <row r="91" spans="3:9" x14ac:dyDescent="0.2">
      <c r="C91" s="178"/>
      <c r="D91" s="178"/>
      <c r="E91" s="178"/>
      <c r="F91" s="178"/>
      <c r="G91" s="180"/>
      <c r="H91" s="180"/>
      <c r="I91" s="178"/>
    </row>
    <row r="92" spans="3:9" x14ac:dyDescent="0.2">
      <c r="C92" s="178"/>
      <c r="D92" s="178"/>
      <c r="E92" s="178"/>
      <c r="F92" s="178"/>
      <c r="G92" s="180"/>
      <c r="H92" s="180"/>
      <c r="I92" s="178"/>
    </row>
    <row r="93" spans="3:9" x14ac:dyDescent="0.2">
      <c r="C93" s="178"/>
      <c r="D93" s="178"/>
      <c r="E93" s="178"/>
      <c r="F93" s="178"/>
      <c r="G93" s="180"/>
      <c r="H93" s="180"/>
      <c r="I93" s="178"/>
    </row>
    <row r="94" spans="3:9" x14ac:dyDescent="0.2">
      <c r="C94" s="178"/>
      <c r="D94" s="178"/>
      <c r="E94" s="178"/>
      <c r="F94" s="178"/>
      <c r="G94" s="180"/>
      <c r="H94" s="180"/>
      <c r="I94" s="178"/>
    </row>
    <row r="95" spans="3:9" x14ac:dyDescent="0.2">
      <c r="C95" s="178"/>
      <c r="D95" s="178"/>
      <c r="E95" s="178"/>
      <c r="F95" s="178"/>
      <c r="G95" s="180"/>
      <c r="H95" s="180"/>
      <c r="I95" s="178"/>
    </row>
    <row r="96" spans="3:9" x14ac:dyDescent="0.2">
      <c r="C96" s="178"/>
      <c r="D96" s="178"/>
      <c r="E96" s="178"/>
      <c r="F96" s="178"/>
      <c r="G96" s="180"/>
      <c r="H96" s="180"/>
      <c r="I96" s="178"/>
    </row>
    <row r="97" spans="3:9" x14ac:dyDescent="0.2">
      <c r="C97" s="178"/>
      <c r="D97" s="178"/>
      <c r="E97" s="178"/>
      <c r="F97" s="178"/>
      <c r="G97" s="180"/>
      <c r="H97" s="180"/>
      <c r="I97" s="178"/>
    </row>
    <row r="98" spans="3:9" x14ac:dyDescent="0.2">
      <c r="C98" s="178"/>
      <c r="D98" s="178"/>
      <c r="E98" s="178"/>
      <c r="F98" s="178"/>
      <c r="G98" s="180"/>
      <c r="H98" s="180"/>
      <c r="I98" s="178"/>
    </row>
    <row r="99" spans="3:9" x14ac:dyDescent="0.2">
      <c r="C99" s="178"/>
      <c r="D99" s="178"/>
      <c r="E99" s="178"/>
      <c r="F99" s="178"/>
      <c r="G99" s="180"/>
      <c r="H99" s="180"/>
      <c r="I99" s="178"/>
    </row>
    <row r="100" spans="3:9" x14ac:dyDescent="0.2">
      <c r="C100" s="178"/>
      <c r="D100" s="178"/>
      <c r="E100" s="178"/>
      <c r="F100" s="178"/>
      <c r="G100" s="180"/>
      <c r="H100" s="180"/>
      <c r="I100" s="178"/>
    </row>
    <row r="101" spans="3:9" x14ac:dyDescent="0.2">
      <c r="C101" s="178"/>
      <c r="D101" s="178"/>
      <c r="E101" s="178"/>
      <c r="F101" s="178"/>
      <c r="G101" s="180"/>
      <c r="H101" s="180"/>
      <c r="I101" s="178"/>
    </row>
    <row r="102" spans="3:9" x14ac:dyDescent="0.2">
      <c r="C102" s="178"/>
      <c r="D102" s="178"/>
      <c r="E102" s="178"/>
      <c r="F102" s="178"/>
      <c r="G102" s="180"/>
      <c r="H102" s="180"/>
      <c r="I102" s="178"/>
    </row>
    <row r="103" spans="3:9" x14ac:dyDescent="0.2">
      <c r="C103" s="178"/>
      <c r="D103" s="178"/>
      <c r="E103" s="178"/>
      <c r="F103" s="178"/>
      <c r="G103" s="180"/>
      <c r="H103" s="180"/>
      <c r="I103" s="178"/>
    </row>
    <row r="104" spans="3:9" x14ac:dyDescent="0.2">
      <c r="C104" s="178"/>
      <c r="D104" s="178"/>
      <c r="E104" s="178"/>
      <c r="F104" s="178"/>
      <c r="G104" s="180"/>
      <c r="H104" s="180"/>
      <c r="I104" s="178"/>
    </row>
    <row r="105" spans="3:9" x14ac:dyDescent="0.2">
      <c r="C105" s="178"/>
      <c r="D105" s="178"/>
      <c r="E105" s="178"/>
      <c r="F105" s="178"/>
      <c r="G105" s="180"/>
      <c r="H105" s="180"/>
      <c r="I105" s="178"/>
    </row>
    <row r="106" spans="3:9" x14ac:dyDescent="0.2">
      <c r="C106" s="178"/>
      <c r="D106" s="178"/>
      <c r="E106" s="178"/>
      <c r="F106" s="178"/>
      <c r="G106" s="180"/>
      <c r="H106" s="180"/>
      <c r="I106" s="178"/>
    </row>
    <row r="107" spans="3:9" x14ac:dyDescent="0.2">
      <c r="C107" s="178"/>
      <c r="D107" s="178"/>
      <c r="E107" s="178"/>
      <c r="F107" s="178"/>
      <c r="G107" s="180"/>
      <c r="H107" s="180"/>
      <c r="I107" s="178"/>
    </row>
    <row r="108" spans="3:9" x14ac:dyDescent="0.2">
      <c r="C108" s="178"/>
      <c r="D108" s="178"/>
      <c r="E108" s="178"/>
      <c r="F108" s="178"/>
      <c r="G108" s="180"/>
      <c r="H108" s="180"/>
      <c r="I108" s="178"/>
    </row>
    <row r="109" spans="3:9" x14ac:dyDescent="0.2">
      <c r="C109" s="178"/>
      <c r="D109" s="178"/>
      <c r="E109" s="178"/>
      <c r="F109" s="178"/>
      <c r="G109" s="180"/>
      <c r="H109" s="180"/>
      <c r="I109" s="178"/>
    </row>
    <row r="110" spans="3:9" x14ac:dyDescent="0.2">
      <c r="C110" s="178"/>
      <c r="D110" s="178"/>
      <c r="E110" s="178"/>
      <c r="F110" s="178"/>
      <c r="G110" s="180"/>
      <c r="H110" s="180"/>
      <c r="I110" s="178"/>
    </row>
    <row r="111" spans="3:9" x14ac:dyDescent="0.2">
      <c r="C111" s="178"/>
      <c r="D111" s="178"/>
      <c r="E111" s="178"/>
      <c r="F111" s="178"/>
      <c r="G111" s="180"/>
      <c r="H111" s="180"/>
      <c r="I111" s="178"/>
    </row>
    <row r="112" spans="3:9" x14ac:dyDescent="0.2">
      <c r="C112" s="178"/>
      <c r="D112" s="178"/>
      <c r="E112" s="178"/>
      <c r="F112" s="178"/>
      <c r="G112" s="180"/>
      <c r="H112" s="180"/>
      <c r="I112" s="178"/>
    </row>
    <row r="113" spans="3:9" x14ac:dyDescent="0.2">
      <c r="C113" s="178"/>
      <c r="D113" s="178"/>
      <c r="E113" s="178"/>
      <c r="F113" s="178"/>
      <c r="G113" s="180"/>
      <c r="H113" s="180"/>
      <c r="I113" s="178"/>
    </row>
    <row r="114" spans="3:9" x14ac:dyDescent="0.2">
      <c r="C114" s="178"/>
      <c r="D114" s="178"/>
      <c r="E114" s="178"/>
      <c r="F114" s="178"/>
      <c r="G114" s="180"/>
      <c r="H114" s="180"/>
      <c r="I114" s="178"/>
    </row>
    <row r="115" spans="3:9" x14ac:dyDescent="0.2">
      <c r="C115" s="178"/>
      <c r="D115" s="178"/>
      <c r="E115" s="178"/>
      <c r="F115" s="178"/>
      <c r="G115" s="180"/>
      <c r="H115" s="180"/>
      <c r="I115" s="178"/>
    </row>
    <row r="116" spans="3:9" x14ac:dyDescent="0.2">
      <c r="C116" s="178"/>
      <c r="D116" s="178"/>
      <c r="E116" s="178"/>
      <c r="F116" s="178"/>
      <c r="G116" s="180"/>
      <c r="H116" s="180"/>
      <c r="I116" s="178"/>
    </row>
    <row r="117" spans="3:9" x14ac:dyDescent="0.2">
      <c r="C117" s="178"/>
      <c r="D117" s="178"/>
      <c r="E117" s="178"/>
      <c r="F117" s="178"/>
      <c r="G117" s="180"/>
      <c r="H117" s="180"/>
      <c r="I117" s="178"/>
    </row>
    <row r="118" spans="3:9" x14ac:dyDescent="0.2">
      <c r="C118" s="178"/>
      <c r="D118" s="178"/>
      <c r="E118" s="178"/>
      <c r="F118" s="178"/>
      <c r="G118" s="180"/>
      <c r="H118" s="180"/>
      <c r="I118" s="178"/>
    </row>
    <row r="119" spans="3:9" x14ac:dyDescent="0.2">
      <c r="C119" s="178"/>
      <c r="D119" s="178"/>
      <c r="E119" s="178"/>
      <c r="F119" s="178"/>
      <c r="G119" s="180"/>
      <c r="H119" s="180"/>
      <c r="I119" s="178"/>
    </row>
    <row r="120" spans="3:9" x14ac:dyDescent="0.2">
      <c r="C120" s="178"/>
      <c r="D120" s="178"/>
      <c r="E120" s="178"/>
      <c r="F120" s="178"/>
      <c r="G120" s="180"/>
      <c r="H120" s="180"/>
      <c r="I120" s="178"/>
    </row>
    <row r="121" spans="3:9" x14ac:dyDescent="0.2">
      <c r="C121" s="178"/>
      <c r="D121" s="178"/>
      <c r="E121" s="178"/>
      <c r="F121" s="178"/>
      <c r="G121" s="180"/>
      <c r="H121" s="180"/>
      <c r="I121" s="178"/>
    </row>
    <row r="122" spans="3:9" x14ac:dyDescent="0.2">
      <c r="C122" s="178"/>
      <c r="D122" s="178"/>
      <c r="E122" s="178"/>
      <c r="F122" s="178"/>
      <c r="G122" s="180"/>
      <c r="H122" s="180"/>
      <c r="I122" s="178"/>
    </row>
    <row r="123" spans="3:9" x14ac:dyDescent="0.2">
      <c r="C123" s="178"/>
      <c r="D123" s="178"/>
      <c r="E123" s="178"/>
      <c r="F123" s="178"/>
      <c r="G123" s="180"/>
      <c r="H123" s="180"/>
      <c r="I123" s="178"/>
    </row>
    <row r="124" spans="3:9" x14ac:dyDescent="0.2">
      <c r="C124" s="178"/>
      <c r="D124" s="178"/>
      <c r="E124" s="178"/>
      <c r="F124" s="178"/>
      <c r="G124" s="180"/>
      <c r="H124" s="180"/>
      <c r="I124" s="178"/>
    </row>
    <row r="125" spans="3:9" x14ac:dyDescent="0.2">
      <c r="C125" s="178"/>
      <c r="D125" s="178"/>
      <c r="E125" s="178"/>
      <c r="F125" s="178"/>
      <c r="G125" s="180"/>
      <c r="H125" s="180"/>
      <c r="I125" s="178"/>
    </row>
    <row r="126" spans="3:9" x14ac:dyDescent="0.2">
      <c r="C126" s="178"/>
      <c r="D126" s="178"/>
      <c r="E126" s="178"/>
      <c r="F126" s="178"/>
      <c r="G126" s="180"/>
      <c r="H126" s="180"/>
      <c r="I126" s="178"/>
    </row>
    <row r="127" spans="3:9" x14ac:dyDescent="0.2">
      <c r="C127" s="178"/>
      <c r="D127" s="178"/>
      <c r="E127" s="178"/>
      <c r="F127" s="178"/>
      <c r="G127" s="180"/>
      <c r="H127" s="180"/>
      <c r="I127" s="178"/>
    </row>
    <row r="128" spans="3:9" x14ac:dyDescent="0.2">
      <c r="C128" s="178"/>
      <c r="D128" s="178"/>
      <c r="E128" s="178"/>
      <c r="F128" s="178"/>
      <c r="G128" s="180"/>
      <c r="H128" s="180"/>
      <c r="I128" s="178"/>
    </row>
    <row r="129" spans="3:9" x14ac:dyDescent="0.2">
      <c r="C129" s="178"/>
      <c r="D129" s="178"/>
      <c r="E129" s="178"/>
      <c r="F129" s="178"/>
      <c r="G129" s="180"/>
      <c r="H129" s="180"/>
      <c r="I129" s="178"/>
    </row>
    <row r="130" spans="3:9" x14ac:dyDescent="0.2">
      <c r="C130" s="178"/>
      <c r="D130" s="178"/>
      <c r="E130" s="178"/>
      <c r="F130" s="178"/>
      <c r="G130" s="180"/>
      <c r="H130" s="180"/>
      <c r="I130" s="178"/>
    </row>
    <row r="131" spans="3:9" x14ac:dyDescent="0.2">
      <c r="C131" s="178"/>
      <c r="D131" s="178"/>
      <c r="E131" s="178"/>
      <c r="F131" s="178"/>
      <c r="G131" s="180"/>
      <c r="H131" s="180"/>
      <c r="I131" s="178"/>
    </row>
    <row r="132" spans="3:9" x14ac:dyDescent="0.2">
      <c r="C132" s="178"/>
      <c r="D132" s="178"/>
      <c r="E132" s="178"/>
      <c r="F132" s="178"/>
      <c r="G132" s="180"/>
      <c r="H132" s="180"/>
      <c r="I132" s="178"/>
    </row>
    <row r="133" spans="3:9" x14ac:dyDescent="0.2">
      <c r="C133" s="178"/>
      <c r="D133" s="178"/>
      <c r="E133" s="178"/>
      <c r="F133" s="178"/>
      <c r="G133" s="180"/>
      <c r="H133" s="180"/>
      <c r="I133" s="178"/>
    </row>
    <row r="134" spans="3:9" x14ac:dyDescent="0.2">
      <c r="C134" s="178"/>
      <c r="D134" s="178"/>
      <c r="E134" s="178"/>
      <c r="F134" s="178"/>
      <c r="G134" s="180"/>
      <c r="H134" s="180"/>
      <c r="I134" s="178"/>
    </row>
    <row r="135" spans="3:9" x14ac:dyDescent="0.2">
      <c r="C135" s="178"/>
      <c r="D135" s="178"/>
      <c r="E135" s="178"/>
      <c r="F135" s="178"/>
      <c r="G135" s="180"/>
      <c r="H135" s="180"/>
      <c r="I135" s="178"/>
    </row>
    <row r="136" spans="3:9" x14ac:dyDescent="0.2">
      <c r="C136" s="178"/>
      <c r="D136" s="178"/>
      <c r="E136" s="178"/>
      <c r="F136" s="178"/>
      <c r="G136" s="180"/>
      <c r="H136" s="180"/>
      <c r="I136" s="178"/>
    </row>
    <row r="137" spans="3:9" x14ac:dyDescent="0.2">
      <c r="C137" s="178"/>
      <c r="D137" s="178"/>
      <c r="E137" s="178"/>
      <c r="F137" s="178"/>
      <c r="G137" s="180"/>
      <c r="H137" s="180"/>
      <c r="I137" s="178"/>
    </row>
    <row r="138" spans="3:9" x14ac:dyDescent="0.2">
      <c r="C138" s="178"/>
      <c r="D138" s="178"/>
      <c r="E138" s="178"/>
      <c r="F138" s="178"/>
      <c r="G138" s="180"/>
      <c r="H138" s="180"/>
      <c r="I138" s="178"/>
    </row>
    <row r="139" spans="3:9" x14ac:dyDescent="0.2">
      <c r="C139" s="178"/>
      <c r="D139" s="178"/>
      <c r="E139" s="178"/>
      <c r="F139" s="178"/>
      <c r="G139" s="180"/>
      <c r="H139" s="180"/>
      <c r="I139" s="178"/>
    </row>
    <row r="140" spans="3:9" x14ac:dyDescent="0.2">
      <c r="C140" s="178"/>
      <c r="D140" s="178"/>
      <c r="E140" s="178"/>
      <c r="F140" s="178"/>
      <c r="G140" s="180"/>
      <c r="H140" s="180"/>
      <c r="I140" s="178"/>
    </row>
    <row r="141" spans="3:9" x14ac:dyDescent="0.2">
      <c r="C141" s="178"/>
      <c r="D141" s="178"/>
      <c r="E141" s="178"/>
      <c r="F141" s="178"/>
      <c r="G141" s="180"/>
      <c r="H141" s="180"/>
      <c r="I141" s="178"/>
    </row>
    <row r="142" spans="3:9" x14ac:dyDescent="0.2">
      <c r="C142" s="178"/>
      <c r="D142" s="178"/>
      <c r="E142" s="178"/>
      <c r="F142" s="178"/>
      <c r="G142" s="180"/>
      <c r="H142" s="180"/>
      <c r="I142" s="178"/>
    </row>
    <row r="143" spans="3:9" x14ac:dyDescent="0.2">
      <c r="C143" s="178"/>
      <c r="D143" s="178"/>
      <c r="E143" s="178"/>
      <c r="F143" s="178"/>
      <c r="G143" s="180"/>
      <c r="H143" s="180"/>
      <c r="I143" s="178"/>
    </row>
    <row r="144" spans="3:9" x14ac:dyDescent="0.2">
      <c r="C144" s="178"/>
      <c r="D144" s="178"/>
      <c r="E144" s="178"/>
      <c r="F144" s="178"/>
      <c r="G144" s="180"/>
      <c r="H144" s="180"/>
      <c r="I144" s="178"/>
    </row>
    <row r="145" spans="3:9" x14ac:dyDescent="0.2">
      <c r="C145" s="178"/>
      <c r="D145" s="178"/>
      <c r="E145" s="178"/>
      <c r="F145" s="178"/>
      <c r="G145" s="180"/>
      <c r="H145" s="180"/>
      <c r="I145" s="178"/>
    </row>
    <row r="146" spans="3:9" x14ac:dyDescent="0.2">
      <c r="C146" s="178"/>
      <c r="D146" s="178"/>
      <c r="E146" s="178"/>
      <c r="F146" s="178"/>
      <c r="G146" s="180"/>
      <c r="H146" s="180"/>
      <c r="I146" s="178"/>
    </row>
    <row r="147" spans="3:9" x14ac:dyDescent="0.2">
      <c r="C147" s="178"/>
      <c r="D147" s="178"/>
      <c r="E147" s="178"/>
      <c r="F147" s="178"/>
      <c r="G147" s="180"/>
      <c r="H147" s="180"/>
      <c r="I147" s="178"/>
    </row>
    <row r="148" spans="3:9" x14ac:dyDescent="0.2">
      <c r="C148" s="178"/>
      <c r="D148" s="178"/>
      <c r="E148" s="178"/>
      <c r="F148" s="178"/>
      <c r="G148" s="180"/>
      <c r="H148" s="180"/>
      <c r="I148" s="178"/>
    </row>
    <row r="149" spans="3:9" x14ac:dyDescent="0.2">
      <c r="C149" s="178"/>
      <c r="D149" s="178"/>
      <c r="E149" s="178"/>
      <c r="F149" s="178"/>
      <c r="G149" s="180"/>
      <c r="H149" s="180"/>
      <c r="I149" s="178"/>
    </row>
    <row r="150" spans="3:9" x14ac:dyDescent="0.2">
      <c r="C150" s="178"/>
      <c r="D150" s="178"/>
      <c r="E150" s="178"/>
      <c r="F150" s="178"/>
      <c r="G150" s="180"/>
      <c r="H150" s="180"/>
      <c r="I150" s="178"/>
    </row>
    <row r="151" spans="3:9" x14ac:dyDescent="0.2">
      <c r="C151" s="178"/>
      <c r="D151" s="178"/>
      <c r="E151" s="178"/>
      <c r="F151" s="178"/>
      <c r="G151" s="180"/>
      <c r="H151" s="180"/>
      <c r="I151" s="178"/>
    </row>
    <row r="152" spans="3:9" x14ac:dyDescent="0.2">
      <c r="C152" s="178"/>
      <c r="D152" s="178"/>
      <c r="E152" s="178"/>
      <c r="F152" s="178"/>
      <c r="G152" s="180"/>
      <c r="H152" s="180"/>
      <c r="I152" s="178"/>
    </row>
    <row r="153" spans="3:9" x14ac:dyDescent="0.2">
      <c r="C153" s="178"/>
      <c r="D153" s="178"/>
      <c r="E153" s="178"/>
      <c r="F153" s="178"/>
      <c r="G153" s="180"/>
      <c r="H153" s="180"/>
      <c r="I153" s="178"/>
    </row>
    <row r="154" spans="3:9" x14ac:dyDescent="0.2">
      <c r="C154" s="178"/>
      <c r="D154" s="178"/>
      <c r="E154" s="178"/>
      <c r="F154" s="178"/>
      <c r="G154" s="180"/>
      <c r="H154" s="180"/>
      <c r="I154" s="178"/>
    </row>
    <row r="155" spans="3:9" x14ac:dyDescent="0.2">
      <c r="C155" s="178"/>
      <c r="D155" s="178"/>
      <c r="E155" s="178"/>
      <c r="F155" s="178"/>
      <c r="G155" s="180"/>
      <c r="H155" s="180"/>
      <c r="I155" s="178"/>
    </row>
    <row r="156" spans="3:9" x14ac:dyDescent="0.2">
      <c r="C156" s="178"/>
      <c r="D156" s="178"/>
      <c r="E156" s="178"/>
      <c r="F156" s="178"/>
      <c r="G156" s="180"/>
      <c r="H156" s="180"/>
      <c r="I156" s="178"/>
    </row>
    <row r="157" spans="3:9" x14ac:dyDescent="0.2">
      <c r="C157" s="178"/>
      <c r="D157" s="178"/>
      <c r="E157" s="178"/>
      <c r="F157" s="178"/>
      <c r="G157" s="180"/>
      <c r="H157" s="180"/>
      <c r="I157" s="178"/>
    </row>
    <row r="158" spans="3:9" x14ac:dyDescent="0.2">
      <c r="C158" s="178"/>
      <c r="D158" s="178"/>
      <c r="E158" s="178"/>
      <c r="F158" s="178"/>
      <c r="G158" s="180"/>
      <c r="H158" s="180"/>
      <c r="I158" s="178"/>
    </row>
    <row r="159" spans="3:9" x14ac:dyDescent="0.2">
      <c r="C159" s="178"/>
      <c r="D159" s="178"/>
      <c r="E159" s="178"/>
      <c r="F159" s="178"/>
      <c r="G159" s="180"/>
      <c r="H159" s="180"/>
      <c r="I159" s="178"/>
    </row>
    <row r="160" spans="3:9" x14ac:dyDescent="0.2">
      <c r="C160" s="178"/>
      <c r="D160" s="178"/>
      <c r="E160" s="178"/>
      <c r="F160" s="178"/>
      <c r="G160" s="180"/>
      <c r="H160" s="180"/>
      <c r="I160" s="178"/>
    </row>
    <row r="161" spans="3:9" x14ac:dyDescent="0.2">
      <c r="C161" s="178"/>
      <c r="D161" s="178"/>
      <c r="E161" s="178"/>
      <c r="F161" s="178"/>
      <c r="G161" s="180"/>
      <c r="H161" s="180"/>
      <c r="I161" s="178"/>
    </row>
    <row r="162" spans="3:9" x14ac:dyDescent="0.2">
      <c r="C162" s="178"/>
      <c r="D162" s="178"/>
      <c r="E162" s="178"/>
      <c r="F162" s="178"/>
      <c r="G162" s="180"/>
      <c r="H162" s="180"/>
      <c r="I162" s="178"/>
    </row>
    <row r="163" spans="3:9" x14ac:dyDescent="0.2">
      <c r="C163" s="178"/>
      <c r="D163" s="178"/>
      <c r="E163" s="178"/>
      <c r="F163" s="178"/>
      <c r="G163" s="180"/>
      <c r="H163" s="180"/>
      <c r="I163" s="178"/>
    </row>
    <row r="164" spans="3:9" x14ac:dyDescent="0.2">
      <c r="C164" s="178"/>
      <c r="D164" s="178"/>
      <c r="E164" s="178"/>
      <c r="F164" s="178"/>
      <c r="G164" s="180"/>
      <c r="H164" s="180"/>
      <c r="I164" s="178"/>
    </row>
    <row r="165" spans="3:9" x14ac:dyDescent="0.2">
      <c r="C165" s="178"/>
      <c r="D165" s="178"/>
      <c r="E165" s="178"/>
      <c r="F165" s="178"/>
      <c r="G165" s="180"/>
      <c r="H165" s="180"/>
      <c r="I165" s="178"/>
    </row>
    <row r="166" spans="3:9" x14ac:dyDescent="0.2">
      <c r="C166" s="178"/>
      <c r="D166" s="178"/>
      <c r="E166" s="178"/>
      <c r="F166" s="178"/>
      <c r="G166" s="180"/>
      <c r="H166" s="180"/>
      <c r="I166" s="178"/>
    </row>
    <row r="167" spans="3:9" x14ac:dyDescent="0.2">
      <c r="C167" s="178"/>
      <c r="D167" s="178"/>
      <c r="E167" s="178"/>
      <c r="F167" s="178"/>
      <c r="G167" s="180"/>
      <c r="H167" s="180"/>
      <c r="I167" s="178"/>
    </row>
    <row r="168" spans="3:9" x14ac:dyDescent="0.2">
      <c r="C168" s="178"/>
      <c r="D168" s="178"/>
      <c r="E168" s="178"/>
      <c r="F168" s="178"/>
      <c r="G168" s="180"/>
      <c r="H168" s="180"/>
      <c r="I168" s="178"/>
    </row>
    <row r="169" spans="3:9" x14ac:dyDescent="0.2">
      <c r="C169" s="178"/>
      <c r="D169" s="178"/>
      <c r="E169" s="178"/>
      <c r="F169" s="178"/>
      <c r="G169" s="180"/>
      <c r="H169" s="180"/>
      <c r="I169" s="178"/>
    </row>
    <row r="170" spans="3:9" x14ac:dyDescent="0.2">
      <c r="C170" s="178"/>
      <c r="D170" s="178"/>
      <c r="E170" s="178"/>
      <c r="F170" s="178"/>
      <c r="G170" s="180"/>
      <c r="H170" s="180"/>
      <c r="I170" s="178"/>
    </row>
    <row r="171" spans="3:9" x14ac:dyDescent="0.2">
      <c r="C171" s="178"/>
      <c r="D171" s="178"/>
      <c r="E171" s="178"/>
      <c r="F171" s="178"/>
      <c r="G171" s="180"/>
      <c r="H171" s="180"/>
      <c r="I171" s="178"/>
    </row>
    <row r="172" spans="3:9" x14ac:dyDescent="0.2">
      <c r="C172" s="178"/>
      <c r="D172" s="178"/>
      <c r="E172" s="178"/>
      <c r="F172" s="178"/>
      <c r="G172" s="180"/>
      <c r="H172" s="180"/>
      <c r="I172" s="178"/>
    </row>
    <row r="173" spans="3:9" x14ac:dyDescent="0.2">
      <c r="C173" s="178"/>
      <c r="D173" s="178"/>
      <c r="E173" s="178"/>
      <c r="F173" s="178"/>
      <c r="G173" s="180"/>
      <c r="H173" s="180"/>
      <c r="I173" s="178"/>
    </row>
    <row r="174" spans="3:9" x14ac:dyDescent="0.2">
      <c r="C174" s="178"/>
      <c r="D174" s="178"/>
      <c r="E174" s="178"/>
      <c r="F174" s="178"/>
      <c r="G174" s="180"/>
      <c r="H174" s="180"/>
      <c r="I174" s="178"/>
    </row>
    <row r="175" spans="3:9" x14ac:dyDescent="0.2">
      <c r="C175" s="178"/>
      <c r="D175" s="178"/>
      <c r="E175" s="178"/>
      <c r="F175" s="178"/>
      <c r="G175" s="180"/>
      <c r="H175" s="180"/>
      <c r="I175" s="178"/>
    </row>
    <row r="176" spans="3:9" x14ac:dyDescent="0.2">
      <c r="C176" s="178"/>
      <c r="D176" s="178"/>
      <c r="E176" s="178"/>
      <c r="F176" s="178"/>
      <c r="G176" s="180"/>
      <c r="H176" s="180"/>
      <c r="I176" s="178"/>
    </row>
    <row r="177" spans="3:9" x14ac:dyDescent="0.2">
      <c r="C177" s="178"/>
      <c r="D177" s="178"/>
      <c r="E177" s="178"/>
      <c r="F177" s="178"/>
      <c r="G177" s="180"/>
      <c r="H177" s="180"/>
      <c r="I177" s="178"/>
    </row>
    <row r="178" spans="3:9" x14ac:dyDescent="0.2">
      <c r="C178" s="178"/>
      <c r="D178" s="178"/>
      <c r="E178" s="178"/>
      <c r="F178" s="178"/>
      <c r="G178" s="180"/>
      <c r="H178" s="180"/>
      <c r="I178" s="178"/>
    </row>
    <row r="179" spans="3:9" x14ac:dyDescent="0.2">
      <c r="C179" s="178"/>
      <c r="D179" s="178"/>
      <c r="E179" s="178"/>
      <c r="F179" s="178"/>
      <c r="G179" s="180"/>
      <c r="H179" s="180"/>
      <c r="I179" s="178"/>
    </row>
    <row r="180" spans="3:9" x14ac:dyDescent="0.2">
      <c r="C180" s="178"/>
      <c r="D180" s="178"/>
      <c r="E180" s="178"/>
      <c r="F180" s="178"/>
      <c r="G180" s="180"/>
      <c r="H180" s="180"/>
      <c r="I180" s="178"/>
    </row>
    <row r="181" spans="3:9" x14ac:dyDescent="0.2">
      <c r="C181" s="178"/>
      <c r="D181" s="178"/>
      <c r="E181" s="178"/>
      <c r="F181" s="178"/>
      <c r="G181" s="180"/>
      <c r="H181" s="180"/>
      <c r="I181" s="178"/>
    </row>
    <row r="182" spans="3:9" x14ac:dyDescent="0.2">
      <c r="C182" s="178"/>
      <c r="D182" s="178"/>
      <c r="E182" s="178"/>
      <c r="F182" s="178"/>
      <c r="G182" s="180"/>
      <c r="H182" s="180"/>
      <c r="I182" s="178"/>
    </row>
    <row r="183" spans="3:9" x14ac:dyDescent="0.2">
      <c r="C183" s="178"/>
      <c r="D183" s="178"/>
      <c r="E183" s="178"/>
      <c r="F183" s="178"/>
      <c r="G183" s="180"/>
      <c r="H183" s="180"/>
      <c r="I183" s="178"/>
    </row>
    <row r="184" spans="3:9" x14ac:dyDescent="0.2">
      <c r="C184" s="178"/>
      <c r="D184" s="178"/>
      <c r="E184" s="178"/>
      <c r="F184" s="178"/>
      <c r="G184" s="180"/>
      <c r="H184" s="180"/>
      <c r="I184" s="178"/>
    </row>
    <row r="185" spans="3:9" x14ac:dyDescent="0.2">
      <c r="C185" s="178"/>
      <c r="D185" s="178"/>
      <c r="E185" s="178"/>
      <c r="F185" s="178"/>
      <c r="G185" s="180"/>
      <c r="H185" s="180"/>
      <c r="I185" s="178"/>
    </row>
    <row r="186" spans="3:9" x14ac:dyDescent="0.2">
      <c r="C186" s="178"/>
      <c r="D186" s="178"/>
      <c r="E186" s="178"/>
      <c r="F186" s="178"/>
      <c r="G186" s="180"/>
      <c r="H186" s="180"/>
      <c r="I186" s="178"/>
    </row>
    <row r="187" spans="3:9" x14ac:dyDescent="0.2">
      <c r="C187" s="178"/>
      <c r="D187" s="178"/>
      <c r="E187" s="178"/>
      <c r="F187" s="178"/>
      <c r="G187" s="180"/>
      <c r="H187" s="180"/>
      <c r="I187" s="178"/>
    </row>
    <row r="188" spans="3:9" x14ac:dyDescent="0.2">
      <c r="C188" s="178"/>
      <c r="D188" s="178"/>
      <c r="E188" s="178"/>
      <c r="F188" s="178"/>
      <c r="G188" s="180"/>
      <c r="H188" s="180"/>
      <c r="I188" s="178"/>
    </row>
    <row r="189" spans="3:9" x14ac:dyDescent="0.2">
      <c r="C189" s="178"/>
      <c r="D189" s="178"/>
      <c r="E189" s="178"/>
      <c r="F189" s="178"/>
      <c r="G189" s="180"/>
      <c r="H189" s="180"/>
      <c r="I189" s="178"/>
    </row>
    <row r="190" spans="3:9" x14ac:dyDescent="0.2">
      <c r="C190" s="178"/>
      <c r="D190" s="178"/>
      <c r="E190" s="178"/>
      <c r="F190" s="178"/>
      <c r="G190" s="180"/>
      <c r="H190" s="180"/>
      <c r="I190" s="178"/>
    </row>
    <row r="191" spans="3:9" x14ac:dyDescent="0.2">
      <c r="C191" s="178"/>
      <c r="D191" s="178"/>
      <c r="E191" s="178"/>
      <c r="F191" s="178"/>
      <c r="G191" s="180"/>
      <c r="H191" s="180"/>
      <c r="I191" s="178"/>
    </row>
    <row r="192" spans="3:9" x14ac:dyDescent="0.2">
      <c r="C192" s="178"/>
      <c r="D192" s="178"/>
      <c r="E192" s="178"/>
      <c r="F192" s="178"/>
      <c r="G192" s="180"/>
      <c r="H192" s="180"/>
      <c r="I192" s="178"/>
    </row>
    <row r="193" spans="3:9" x14ac:dyDescent="0.2">
      <c r="C193" s="178"/>
      <c r="D193" s="178"/>
      <c r="E193" s="178"/>
      <c r="F193" s="178"/>
      <c r="G193" s="180"/>
      <c r="H193" s="180"/>
      <c r="I193" s="178"/>
    </row>
    <row r="194" spans="3:9" x14ac:dyDescent="0.2">
      <c r="C194" s="178"/>
      <c r="D194" s="178"/>
      <c r="E194" s="178"/>
      <c r="F194" s="178"/>
      <c r="G194" s="180"/>
      <c r="H194" s="180"/>
      <c r="I194" s="178"/>
    </row>
    <row r="195" spans="3:9" x14ac:dyDescent="0.2">
      <c r="C195" s="178"/>
      <c r="D195" s="178"/>
      <c r="E195" s="178"/>
      <c r="F195" s="178"/>
      <c r="G195" s="180"/>
      <c r="H195" s="180"/>
      <c r="I195" s="178"/>
    </row>
    <row r="196" spans="3:9" x14ac:dyDescent="0.2">
      <c r="C196" s="178"/>
      <c r="D196" s="178"/>
      <c r="E196" s="178"/>
      <c r="F196" s="178"/>
      <c r="G196" s="180"/>
      <c r="H196" s="180"/>
      <c r="I196" s="178"/>
    </row>
    <row r="197" spans="3:9" x14ac:dyDescent="0.2">
      <c r="C197" s="178"/>
      <c r="D197" s="178"/>
      <c r="E197" s="178"/>
      <c r="F197" s="178"/>
      <c r="G197" s="180"/>
      <c r="H197" s="180"/>
      <c r="I197" s="178"/>
    </row>
    <row r="198" spans="3:9" x14ac:dyDescent="0.2">
      <c r="C198" s="178"/>
      <c r="D198" s="178"/>
      <c r="E198" s="178"/>
      <c r="F198" s="178"/>
      <c r="G198" s="180"/>
      <c r="H198" s="180"/>
      <c r="I198" s="178"/>
    </row>
    <row r="199" spans="3:9" x14ac:dyDescent="0.2">
      <c r="C199" s="178"/>
      <c r="D199" s="178"/>
      <c r="E199" s="178"/>
      <c r="F199" s="178"/>
      <c r="G199" s="180"/>
      <c r="H199" s="180"/>
      <c r="I199" s="178"/>
    </row>
    <row r="200" spans="3:9" x14ac:dyDescent="0.2">
      <c r="C200" s="178"/>
      <c r="D200" s="178"/>
      <c r="E200" s="178"/>
      <c r="F200" s="178"/>
      <c r="G200" s="180"/>
      <c r="H200" s="180"/>
      <c r="I200" s="178"/>
    </row>
    <row r="201" spans="3:9" x14ac:dyDescent="0.2">
      <c r="C201" s="178"/>
      <c r="D201" s="178"/>
      <c r="E201" s="178"/>
      <c r="F201" s="178"/>
      <c r="G201" s="180"/>
      <c r="H201" s="180"/>
      <c r="I201" s="178"/>
    </row>
    <row r="202" spans="3:9" x14ac:dyDescent="0.2">
      <c r="C202" s="178"/>
      <c r="D202" s="178"/>
      <c r="E202" s="178"/>
      <c r="F202" s="178"/>
      <c r="G202" s="180"/>
      <c r="H202" s="180"/>
      <c r="I202" s="178"/>
    </row>
    <row r="203" spans="3:9" x14ac:dyDescent="0.2">
      <c r="C203" s="178"/>
      <c r="D203" s="178"/>
      <c r="E203" s="178"/>
      <c r="F203" s="178"/>
      <c r="G203" s="180"/>
      <c r="H203" s="180"/>
      <c r="I203" s="178"/>
    </row>
    <row r="204" spans="3:9" x14ac:dyDescent="0.2">
      <c r="C204" s="178"/>
      <c r="D204" s="178"/>
      <c r="E204" s="178"/>
      <c r="F204" s="178"/>
      <c r="G204" s="180"/>
      <c r="H204" s="180"/>
      <c r="I204" s="178"/>
    </row>
    <row r="205" spans="3:9" x14ac:dyDescent="0.2">
      <c r="C205" s="178"/>
      <c r="D205" s="178"/>
      <c r="E205" s="178"/>
      <c r="F205" s="178"/>
      <c r="G205" s="180"/>
      <c r="H205" s="180"/>
      <c r="I205" s="178"/>
    </row>
    <row r="206" spans="3:9" x14ac:dyDescent="0.2">
      <c r="C206" s="178"/>
      <c r="D206" s="178"/>
      <c r="E206" s="178"/>
      <c r="F206" s="178"/>
      <c r="G206" s="180"/>
      <c r="H206" s="180"/>
      <c r="I206" s="178"/>
    </row>
    <row r="207" spans="3:9" x14ac:dyDescent="0.2">
      <c r="C207" s="178"/>
      <c r="D207" s="178"/>
      <c r="E207" s="178"/>
      <c r="F207" s="178"/>
      <c r="G207" s="180"/>
      <c r="H207" s="180"/>
      <c r="I207" s="178"/>
    </row>
    <row r="208" spans="3:9" x14ac:dyDescent="0.2">
      <c r="C208" s="178"/>
      <c r="D208" s="178"/>
      <c r="E208" s="178"/>
      <c r="F208" s="178"/>
      <c r="G208" s="180"/>
      <c r="H208" s="180"/>
      <c r="I208" s="178"/>
    </row>
    <row r="209" spans="3:9" x14ac:dyDescent="0.2">
      <c r="C209" s="178"/>
      <c r="D209" s="178"/>
      <c r="E209" s="178"/>
      <c r="F209" s="178"/>
      <c r="G209" s="180"/>
      <c r="H209" s="180"/>
      <c r="I209" s="178"/>
    </row>
    <row r="210" spans="3:9" x14ac:dyDescent="0.2">
      <c r="C210" s="178"/>
      <c r="D210" s="178"/>
      <c r="E210" s="178"/>
      <c r="F210" s="178"/>
      <c r="G210" s="180"/>
      <c r="H210" s="180"/>
      <c r="I210" s="178"/>
    </row>
    <row r="211" spans="3:9" x14ac:dyDescent="0.2">
      <c r="C211" s="178"/>
      <c r="D211" s="178"/>
      <c r="E211" s="178"/>
      <c r="F211" s="178"/>
      <c r="G211" s="180"/>
      <c r="H211" s="180"/>
      <c r="I211" s="178"/>
    </row>
    <row r="212" spans="3:9" x14ac:dyDescent="0.2">
      <c r="C212" s="178"/>
      <c r="D212" s="178"/>
      <c r="E212" s="178"/>
      <c r="F212" s="178"/>
      <c r="G212" s="180"/>
      <c r="H212" s="180"/>
      <c r="I212" s="178"/>
    </row>
    <row r="213" spans="3:9" x14ac:dyDescent="0.2">
      <c r="C213" s="178"/>
      <c r="D213" s="178"/>
      <c r="E213" s="178"/>
      <c r="F213" s="178"/>
      <c r="G213" s="180"/>
      <c r="H213" s="180"/>
      <c r="I213" s="178"/>
    </row>
    <row r="214" spans="3:9" x14ac:dyDescent="0.2">
      <c r="C214" s="178"/>
      <c r="D214" s="178"/>
      <c r="E214" s="178"/>
      <c r="F214" s="178"/>
      <c r="G214" s="180"/>
      <c r="H214" s="180"/>
      <c r="I214" s="178"/>
    </row>
    <row r="215" spans="3:9" x14ac:dyDescent="0.2">
      <c r="C215" s="178"/>
      <c r="D215" s="178"/>
      <c r="E215" s="178"/>
      <c r="F215" s="178"/>
      <c r="G215" s="180"/>
      <c r="H215" s="180"/>
      <c r="I215" s="178"/>
    </row>
    <row r="216" spans="3:9" x14ac:dyDescent="0.2">
      <c r="C216" s="178"/>
      <c r="D216" s="178"/>
      <c r="E216" s="178"/>
      <c r="F216" s="178"/>
      <c r="G216" s="180"/>
      <c r="H216" s="180"/>
      <c r="I216" s="178"/>
    </row>
    <row r="217" spans="3:9" x14ac:dyDescent="0.2">
      <c r="C217" s="178"/>
      <c r="D217" s="178"/>
      <c r="E217" s="178"/>
      <c r="F217" s="178"/>
      <c r="G217" s="180"/>
      <c r="H217" s="180"/>
      <c r="I217" s="178"/>
    </row>
    <row r="218" spans="3:9" x14ac:dyDescent="0.2">
      <c r="C218" s="178"/>
      <c r="D218" s="178"/>
      <c r="E218" s="178"/>
      <c r="F218" s="178"/>
      <c r="G218" s="180"/>
      <c r="H218" s="180"/>
      <c r="I218" s="178"/>
    </row>
    <row r="219" spans="3:9" x14ac:dyDescent="0.2">
      <c r="C219" s="178"/>
      <c r="D219" s="178"/>
      <c r="E219" s="178"/>
      <c r="F219" s="178"/>
      <c r="G219" s="180"/>
      <c r="H219" s="180"/>
      <c r="I219" s="178"/>
    </row>
    <row r="220" spans="3:9" x14ac:dyDescent="0.2">
      <c r="C220" s="178"/>
      <c r="D220" s="178"/>
      <c r="E220" s="178"/>
      <c r="F220" s="178"/>
      <c r="G220" s="180"/>
      <c r="H220" s="180"/>
      <c r="I220" s="178"/>
    </row>
    <row r="221" spans="3:9" x14ac:dyDescent="0.2">
      <c r="C221" s="178"/>
      <c r="D221" s="178"/>
      <c r="E221" s="178"/>
      <c r="F221" s="178"/>
      <c r="G221" s="180"/>
      <c r="H221" s="180"/>
      <c r="I221" s="178"/>
    </row>
    <row r="222" spans="3:9" x14ac:dyDescent="0.2">
      <c r="C222" s="178"/>
      <c r="D222" s="178"/>
      <c r="E222" s="178"/>
      <c r="F222" s="178"/>
      <c r="G222" s="180"/>
      <c r="H222" s="180"/>
      <c r="I222" s="178"/>
    </row>
    <row r="223" spans="3:9" x14ac:dyDescent="0.2">
      <c r="C223" s="178"/>
      <c r="D223" s="178"/>
      <c r="E223" s="178"/>
      <c r="F223" s="178"/>
      <c r="G223" s="180"/>
      <c r="H223" s="180"/>
      <c r="I223" s="178"/>
    </row>
    <row r="224" spans="3:9" x14ac:dyDescent="0.2">
      <c r="C224" s="178"/>
      <c r="D224" s="178"/>
      <c r="E224" s="178"/>
      <c r="F224" s="178"/>
      <c r="G224" s="180"/>
      <c r="H224" s="180"/>
      <c r="I224" s="178"/>
    </row>
    <row r="225" spans="3:9" x14ac:dyDescent="0.2">
      <c r="C225" s="178"/>
      <c r="D225" s="178"/>
      <c r="E225" s="178"/>
      <c r="F225" s="178"/>
      <c r="G225" s="180"/>
      <c r="H225" s="180"/>
      <c r="I225" s="178"/>
    </row>
    <row r="226" spans="3:9" x14ac:dyDescent="0.2">
      <c r="C226" s="178"/>
      <c r="D226" s="178"/>
      <c r="E226" s="178"/>
      <c r="F226" s="178"/>
      <c r="G226" s="180"/>
      <c r="H226" s="180"/>
      <c r="I226" s="178"/>
    </row>
    <row r="227" spans="3:9" x14ac:dyDescent="0.2">
      <c r="C227" s="178"/>
      <c r="D227" s="178"/>
      <c r="E227" s="178"/>
      <c r="F227" s="178"/>
      <c r="G227" s="180"/>
      <c r="H227" s="180"/>
      <c r="I227" s="178"/>
    </row>
    <row r="228" spans="3:9" x14ac:dyDescent="0.2">
      <c r="C228" s="178"/>
      <c r="D228" s="178"/>
      <c r="E228" s="178"/>
      <c r="F228" s="178"/>
      <c r="G228" s="180"/>
      <c r="H228" s="180"/>
      <c r="I228" s="178"/>
    </row>
    <row r="229" spans="3:9" x14ac:dyDescent="0.2">
      <c r="C229" s="178"/>
      <c r="D229" s="178"/>
      <c r="E229" s="178"/>
      <c r="F229" s="178"/>
      <c r="G229" s="180"/>
      <c r="H229" s="180"/>
      <c r="I229" s="178"/>
    </row>
    <row r="230" spans="3:9" x14ac:dyDescent="0.2">
      <c r="C230" s="178"/>
      <c r="D230" s="178"/>
      <c r="E230" s="178"/>
      <c r="F230" s="178"/>
      <c r="G230" s="180"/>
      <c r="H230" s="180"/>
      <c r="I230" s="178"/>
    </row>
    <row r="231" spans="3:9" x14ac:dyDescent="0.2">
      <c r="C231" s="178"/>
      <c r="D231" s="178"/>
      <c r="E231" s="178"/>
      <c r="F231" s="178"/>
      <c r="G231" s="180"/>
      <c r="H231" s="180"/>
      <c r="I231" s="178"/>
    </row>
    <row r="232" spans="3:9" x14ac:dyDescent="0.2">
      <c r="C232" s="178"/>
      <c r="D232" s="178"/>
      <c r="E232" s="178"/>
      <c r="F232" s="178"/>
      <c r="G232" s="180"/>
      <c r="H232" s="180"/>
      <c r="I232" s="178"/>
    </row>
    <row r="233" spans="3:9" x14ac:dyDescent="0.2">
      <c r="C233" s="178"/>
      <c r="D233" s="178"/>
      <c r="E233" s="178"/>
      <c r="F233" s="178"/>
      <c r="G233" s="180"/>
      <c r="H233" s="180"/>
      <c r="I233" s="178"/>
    </row>
    <row r="234" spans="3:9" x14ac:dyDescent="0.2">
      <c r="C234" s="178"/>
      <c r="D234" s="178"/>
      <c r="E234" s="178"/>
      <c r="F234" s="178"/>
      <c r="G234" s="180"/>
      <c r="H234" s="180"/>
      <c r="I234" s="178"/>
    </row>
    <row r="235" spans="3:9" x14ac:dyDescent="0.2">
      <c r="C235" s="178"/>
      <c r="D235" s="178"/>
      <c r="E235" s="178"/>
      <c r="F235" s="178"/>
      <c r="G235" s="180"/>
      <c r="H235" s="180"/>
      <c r="I235" s="178"/>
    </row>
    <row r="236" spans="3:9" x14ac:dyDescent="0.2">
      <c r="C236" s="178"/>
      <c r="D236" s="178"/>
      <c r="E236" s="178"/>
      <c r="F236" s="178"/>
      <c r="G236" s="180"/>
      <c r="H236" s="180"/>
      <c r="I236" s="178"/>
    </row>
    <row r="237" spans="3:9" x14ac:dyDescent="0.2">
      <c r="C237" s="178"/>
      <c r="D237" s="178"/>
      <c r="E237" s="178"/>
      <c r="F237" s="178"/>
      <c r="G237" s="180"/>
      <c r="H237" s="180"/>
      <c r="I237" s="178"/>
    </row>
    <row r="238" spans="3:9" x14ac:dyDescent="0.2">
      <c r="C238" s="178"/>
      <c r="D238" s="178"/>
      <c r="E238" s="178"/>
      <c r="F238" s="178"/>
      <c r="G238" s="180"/>
      <c r="H238" s="180"/>
      <c r="I238" s="178"/>
    </row>
    <row r="239" spans="3:9" x14ac:dyDescent="0.2">
      <c r="C239" s="178"/>
      <c r="D239" s="178"/>
      <c r="E239" s="178"/>
      <c r="F239" s="178"/>
      <c r="G239" s="180"/>
      <c r="H239" s="180"/>
      <c r="I239" s="178"/>
    </row>
    <row r="240" spans="3:9" x14ac:dyDescent="0.2">
      <c r="C240" s="178"/>
      <c r="D240" s="178"/>
      <c r="E240" s="178"/>
      <c r="F240" s="178"/>
      <c r="G240" s="180"/>
      <c r="H240" s="180"/>
      <c r="I240" s="178"/>
    </row>
    <row r="241" spans="3:9" x14ac:dyDescent="0.2">
      <c r="C241" s="178"/>
      <c r="D241" s="178"/>
      <c r="E241" s="178"/>
      <c r="F241" s="178"/>
      <c r="G241" s="180"/>
      <c r="H241" s="180"/>
      <c r="I241" s="178"/>
    </row>
    <row r="242" spans="3:9" x14ac:dyDescent="0.2">
      <c r="C242" s="178"/>
      <c r="D242" s="178"/>
      <c r="E242" s="178"/>
      <c r="F242" s="178"/>
      <c r="G242" s="180"/>
      <c r="H242" s="180"/>
      <c r="I242" s="178"/>
    </row>
    <row r="243" spans="3:9" x14ac:dyDescent="0.2">
      <c r="C243" s="178"/>
      <c r="D243" s="178"/>
      <c r="E243" s="178"/>
      <c r="F243" s="178"/>
      <c r="G243" s="180"/>
      <c r="H243" s="180"/>
      <c r="I243" s="178"/>
    </row>
    <row r="244" spans="3:9" x14ac:dyDescent="0.2">
      <c r="C244" s="178"/>
      <c r="D244" s="178"/>
      <c r="E244" s="178"/>
      <c r="F244" s="178"/>
      <c r="G244" s="180"/>
      <c r="H244" s="180"/>
      <c r="I244" s="178"/>
    </row>
    <row r="245" spans="3:9" x14ac:dyDescent="0.2">
      <c r="C245" s="178"/>
      <c r="D245" s="178"/>
      <c r="E245" s="178"/>
      <c r="F245" s="178"/>
      <c r="G245" s="180"/>
      <c r="H245" s="180"/>
      <c r="I245" s="178"/>
    </row>
    <row r="246" spans="3:9" x14ac:dyDescent="0.2">
      <c r="C246" s="178"/>
      <c r="D246" s="178"/>
      <c r="E246" s="178"/>
      <c r="F246" s="178"/>
      <c r="G246" s="180"/>
      <c r="H246" s="180"/>
      <c r="I246" s="178"/>
    </row>
    <row r="247" spans="3:9" x14ac:dyDescent="0.2">
      <c r="C247" s="178"/>
      <c r="D247" s="178"/>
      <c r="E247" s="178"/>
      <c r="F247" s="178"/>
      <c r="G247" s="180"/>
      <c r="H247" s="180"/>
      <c r="I247" s="178"/>
    </row>
    <row r="248" spans="3:9" x14ac:dyDescent="0.2">
      <c r="C248" s="178"/>
      <c r="D248" s="178"/>
      <c r="E248" s="178"/>
      <c r="F248" s="178"/>
      <c r="G248" s="180"/>
      <c r="H248" s="180"/>
      <c r="I248" s="178"/>
    </row>
    <row r="249" spans="3:9" x14ac:dyDescent="0.2">
      <c r="C249" s="178"/>
      <c r="D249" s="178"/>
      <c r="E249" s="178"/>
      <c r="F249" s="178"/>
      <c r="G249" s="180"/>
      <c r="H249" s="180"/>
      <c r="I249" s="178"/>
    </row>
    <row r="250" spans="3:9" x14ac:dyDescent="0.2">
      <c r="C250" s="178"/>
      <c r="D250" s="178"/>
      <c r="E250" s="178"/>
      <c r="F250" s="178"/>
      <c r="G250" s="180"/>
      <c r="H250" s="180"/>
      <c r="I250" s="178"/>
    </row>
    <row r="251" spans="3:9" x14ac:dyDescent="0.2">
      <c r="C251" s="178"/>
      <c r="D251" s="178"/>
      <c r="E251" s="178"/>
      <c r="F251" s="178"/>
      <c r="G251" s="180"/>
      <c r="H251" s="180"/>
      <c r="I251" s="178"/>
    </row>
    <row r="252" spans="3:9" x14ac:dyDescent="0.2">
      <c r="C252" s="178"/>
      <c r="D252" s="178"/>
      <c r="E252" s="178"/>
      <c r="F252" s="178"/>
      <c r="G252" s="180"/>
      <c r="H252" s="180"/>
      <c r="I252" s="178"/>
    </row>
    <row r="253" spans="3:9" x14ac:dyDescent="0.2">
      <c r="C253" s="178"/>
      <c r="D253" s="178"/>
      <c r="E253" s="178"/>
      <c r="F253" s="178"/>
      <c r="G253" s="180"/>
      <c r="H253" s="180"/>
      <c r="I253" s="178"/>
    </row>
    <row r="254" spans="3:9" x14ac:dyDescent="0.2">
      <c r="C254" s="178"/>
      <c r="D254" s="178"/>
      <c r="E254" s="178"/>
      <c r="F254" s="178"/>
      <c r="G254" s="180"/>
      <c r="H254" s="180"/>
      <c r="I254" s="178"/>
    </row>
    <row r="255" spans="3:9" x14ac:dyDescent="0.2">
      <c r="C255" s="178"/>
      <c r="D255" s="178"/>
      <c r="E255" s="178"/>
      <c r="F255" s="178"/>
      <c r="G255" s="180"/>
      <c r="H255" s="180"/>
      <c r="I255" s="178"/>
    </row>
    <row r="256" spans="3:9" x14ac:dyDescent="0.2">
      <c r="C256" s="178"/>
      <c r="D256" s="178"/>
      <c r="E256" s="178"/>
      <c r="F256" s="178"/>
      <c r="G256" s="180"/>
      <c r="H256" s="180"/>
      <c r="I256" s="178"/>
    </row>
    <row r="257" spans="3:9" x14ac:dyDescent="0.2">
      <c r="C257" s="178"/>
      <c r="D257" s="178"/>
      <c r="E257" s="178"/>
      <c r="F257" s="178"/>
      <c r="G257" s="180"/>
      <c r="H257" s="180"/>
      <c r="I257" s="178"/>
    </row>
    <row r="258" spans="3:9" x14ac:dyDescent="0.2">
      <c r="C258" s="178"/>
      <c r="D258" s="178"/>
      <c r="E258" s="178"/>
      <c r="F258" s="178"/>
      <c r="G258" s="180"/>
      <c r="H258" s="180"/>
      <c r="I258" s="178"/>
    </row>
    <row r="259" spans="3:9" x14ac:dyDescent="0.2">
      <c r="C259" s="178"/>
      <c r="D259" s="178"/>
      <c r="E259" s="178"/>
      <c r="F259" s="178"/>
      <c r="G259" s="180"/>
      <c r="H259" s="180"/>
      <c r="I259" s="178"/>
    </row>
    <row r="260" spans="3:9" x14ac:dyDescent="0.2">
      <c r="C260" s="178"/>
      <c r="D260" s="178"/>
      <c r="E260" s="178"/>
      <c r="F260" s="178"/>
      <c r="G260" s="180"/>
      <c r="H260" s="180"/>
      <c r="I260" s="178"/>
    </row>
    <row r="261" spans="3:9" x14ac:dyDescent="0.2">
      <c r="C261" s="178"/>
      <c r="D261" s="178"/>
      <c r="E261" s="178"/>
      <c r="F261" s="178"/>
      <c r="G261" s="180"/>
      <c r="H261" s="180"/>
      <c r="I261" s="178"/>
    </row>
    <row r="262" spans="3:9" x14ac:dyDescent="0.2">
      <c r="C262" s="178"/>
      <c r="D262" s="178"/>
      <c r="E262" s="178"/>
      <c r="F262" s="178"/>
      <c r="G262" s="180"/>
      <c r="H262" s="180"/>
      <c r="I262" s="178"/>
    </row>
    <row r="263" spans="3:9" x14ac:dyDescent="0.2">
      <c r="C263" s="178"/>
      <c r="D263" s="178"/>
      <c r="E263" s="178"/>
      <c r="F263" s="178"/>
      <c r="G263" s="180"/>
      <c r="H263" s="180"/>
      <c r="I263" s="178"/>
    </row>
    <row r="264" spans="3:9" x14ac:dyDescent="0.2">
      <c r="C264" s="178"/>
      <c r="D264" s="178"/>
      <c r="E264" s="178"/>
      <c r="F264" s="178"/>
      <c r="G264" s="180"/>
      <c r="H264" s="180"/>
      <c r="I264" s="178"/>
    </row>
    <row r="265" spans="3:9" x14ac:dyDescent="0.2">
      <c r="C265" s="178"/>
      <c r="D265" s="178"/>
      <c r="E265" s="178"/>
      <c r="F265" s="178"/>
      <c r="G265" s="180"/>
      <c r="H265" s="180"/>
      <c r="I265" s="178"/>
    </row>
    <row r="266" spans="3:9" x14ac:dyDescent="0.2">
      <c r="C266" s="178"/>
      <c r="D266" s="178"/>
      <c r="E266" s="178"/>
      <c r="F266" s="178"/>
      <c r="G266" s="180"/>
      <c r="H266" s="180"/>
      <c r="I266" s="178"/>
    </row>
    <row r="267" spans="3:9" x14ac:dyDescent="0.2">
      <c r="C267" s="178"/>
      <c r="D267" s="178"/>
      <c r="E267" s="178"/>
      <c r="F267" s="178"/>
      <c r="G267" s="180"/>
      <c r="H267" s="180"/>
      <c r="I267" s="178"/>
    </row>
    <row r="268" spans="3:9" x14ac:dyDescent="0.2">
      <c r="C268" s="178"/>
      <c r="D268" s="178"/>
      <c r="E268" s="178"/>
      <c r="F268" s="178"/>
      <c r="G268" s="180"/>
      <c r="H268" s="180"/>
      <c r="I268" s="178"/>
    </row>
    <row r="269" spans="3:9" x14ac:dyDescent="0.2">
      <c r="C269" s="178"/>
      <c r="D269" s="178"/>
      <c r="E269" s="178"/>
      <c r="F269" s="178"/>
      <c r="G269" s="180"/>
      <c r="H269" s="180"/>
      <c r="I269" s="178"/>
    </row>
    <row r="270" spans="3:9" x14ac:dyDescent="0.2">
      <c r="C270" s="178"/>
      <c r="D270" s="178"/>
      <c r="E270" s="178"/>
      <c r="F270" s="178"/>
      <c r="G270" s="180"/>
      <c r="H270" s="180"/>
      <c r="I270" s="178"/>
    </row>
    <row r="271" spans="3:9" x14ac:dyDescent="0.2">
      <c r="C271" s="178"/>
      <c r="D271" s="178"/>
      <c r="E271" s="178"/>
      <c r="F271" s="178"/>
      <c r="G271" s="180"/>
      <c r="H271" s="180"/>
      <c r="I271" s="178"/>
    </row>
    <row r="272" spans="3:9" x14ac:dyDescent="0.2">
      <c r="C272" s="178"/>
      <c r="D272" s="178"/>
      <c r="E272" s="178"/>
      <c r="F272" s="178"/>
      <c r="G272" s="180"/>
      <c r="H272" s="180"/>
      <c r="I272" s="178"/>
    </row>
    <row r="273" spans="3:9" x14ac:dyDescent="0.2">
      <c r="C273" s="178"/>
      <c r="D273" s="178"/>
      <c r="E273" s="178"/>
      <c r="F273" s="178"/>
      <c r="G273" s="180"/>
      <c r="H273" s="180"/>
      <c r="I273" s="178"/>
    </row>
    <row r="274" spans="3:9" x14ac:dyDescent="0.2">
      <c r="C274" s="178"/>
      <c r="D274" s="178"/>
      <c r="E274" s="178"/>
      <c r="F274" s="178"/>
      <c r="G274" s="180"/>
      <c r="H274" s="180"/>
      <c r="I274" s="178"/>
    </row>
    <row r="275" spans="3:9" x14ac:dyDescent="0.2">
      <c r="C275" s="178"/>
      <c r="D275" s="178"/>
      <c r="E275" s="178"/>
      <c r="F275" s="178"/>
      <c r="G275" s="180"/>
      <c r="H275" s="180"/>
      <c r="I275" s="178"/>
    </row>
    <row r="276" spans="3:9" x14ac:dyDescent="0.2">
      <c r="C276" s="178"/>
      <c r="D276" s="178"/>
      <c r="E276" s="178"/>
      <c r="F276" s="178"/>
      <c r="G276" s="180"/>
      <c r="H276" s="180"/>
      <c r="I276" s="178"/>
    </row>
    <row r="277" spans="3:9" x14ac:dyDescent="0.2">
      <c r="C277" s="178"/>
      <c r="D277" s="178"/>
      <c r="E277" s="178"/>
      <c r="F277" s="178"/>
      <c r="G277" s="180"/>
      <c r="H277" s="180"/>
      <c r="I277" s="178"/>
    </row>
    <row r="278" spans="3:9" x14ac:dyDescent="0.2">
      <c r="C278" s="178"/>
      <c r="D278" s="178"/>
      <c r="E278" s="178"/>
      <c r="F278" s="178"/>
      <c r="G278" s="180"/>
      <c r="H278" s="180"/>
      <c r="I278" s="178"/>
    </row>
    <row r="279" spans="3:9" x14ac:dyDescent="0.2">
      <c r="C279" s="178"/>
      <c r="D279" s="178"/>
      <c r="E279" s="178"/>
      <c r="F279" s="178"/>
      <c r="G279" s="180"/>
      <c r="H279" s="180"/>
      <c r="I279" s="178"/>
    </row>
    <row r="280" spans="3:9" x14ac:dyDescent="0.2">
      <c r="C280" s="178"/>
      <c r="D280" s="178"/>
      <c r="E280" s="178"/>
      <c r="F280" s="178"/>
      <c r="G280" s="180"/>
      <c r="H280" s="180"/>
      <c r="I280" s="178"/>
    </row>
    <row r="281" spans="3:9" x14ac:dyDescent="0.2">
      <c r="C281" s="178"/>
      <c r="D281" s="178"/>
      <c r="E281" s="178"/>
      <c r="F281" s="178"/>
      <c r="G281" s="180"/>
      <c r="H281" s="180"/>
      <c r="I281" s="178"/>
    </row>
    <row r="282" spans="3:9" x14ac:dyDescent="0.2">
      <c r="C282" s="178"/>
      <c r="D282" s="178"/>
      <c r="E282" s="178"/>
      <c r="F282" s="178"/>
      <c r="G282" s="180"/>
      <c r="H282" s="180"/>
      <c r="I282" s="178"/>
    </row>
    <row r="283" spans="3:9" x14ac:dyDescent="0.2">
      <c r="C283" s="178"/>
      <c r="D283" s="178"/>
      <c r="E283" s="178"/>
      <c r="F283" s="178"/>
      <c r="G283" s="180"/>
      <c r="H283" s="180"/>
      <c r="I283" s="178"/>
    </row>
    <row r="284" spans="3:9" x14ac:dyDescent="0.2">
      <c r="C284" s="178"/>
      <c r="D284" s="178"/>
      <c r="E284" s="178"/>
      <c r="F284" s="178"/>
      <c r="G284" s="180"/>
      <c r="H284" s="180"/>
      <c r="I284" s="178"/>
    </row>
    <row r="285" spans="3:9" x14ac:dyDescent="0.2">
      <c r="C285" s="178"/>
      <c r="D285" s="178"/>
      <c r="E285" s="178"/>
      <c r="F285" s="178"/>
      <c r="G285" s="180"/>
      <c r="H285" s="180"/>
      <c r="I285" s="178"/>
    </row>
    <row r="286" spans="3:9" x14ac:dyDescent="0.2">
      <c r="C286" s="178"/>
      <c r="D286" s="178"/>
      <c r="E286" s="178"/>
      <c r="F286" s="178"/>
      <c r="G286" s="180"/>
      <c r="H286" s="180"/>
      <c r="I286" s="178"/>
    </row>
    <row r="287" spans="3:9" x14ac:dyDescent="0.2">
      <c r="C287" s="178"/>
      <c r="D287" s="178"/>
      <c r="E287" s="178"/>
      <c r="F287" s="178"/>
      <c r="G287" s="180"/>
      <c r="H287" s="180"/>
      <c r="I287" s="178"/>
    </row>
    <row r="288" spans="3:9" x14ac:dyDescent="0.2">
      <c r="C288" s="178"/>
      <c r="D288" s="178"/>
      <c r="E288" s="178"/>
      <c r="F288" s="178"/>
      <c r="G288" s="180"/>
      <c r="H288" s="180"/>
      <c r="I288" s="178"/>
    </row>
    <row r="289" spans="3:9" x14ac:dyDescent="0.2">
      <c r="C289" s="178"/>
      <c r="D289" s="178"/>
      <c r="E289" s="178"/>
      <c r="F289" s="178"/>
      <c r="G289" s="180"/>
      <c r="H289" s="180"/>
      <c r="I289" s="178"/>
    </row>
    <row r="290" spans="3:9" x14ac:dyDescent="0.2">
      <c r="C290" s="178"/>
      <c r="D290" s="178"/>
      <c r="E290" s="178"/>
      <c r="F290" s="178"/>
      <c r="G290" s="180"/>
      <c r="H290" s="180"/>
      <c r="I290" s="178"/>
    </row>
    <row r="291" spans="3:9" x14ac:dyDescent="0.2">
      <c r="C291" s="178"/>
      <c r="D291" s="178"/>
      <c r="E291" s="178"/>
      <c r="F291" s="178"/>
      <c r="G291" s="180"/>
      <c r="H291" s="180"/>
      <c r="I291" s="178"/>
    </row>
    <row r="292" spans="3:9" x14ac:dyDescent="0.2">
      <c r="C292" s="178"/>
      <c r="D292" s="178"/>
      <c r="E292" s="178"/>
      <c r="F292" s="178"/>
      <c r="G292" s="180"/>
      <c r="H292" s="180"/>
      <c r="I292" s="178"/>
    </row>
    <row r="293" spans="3:9" x14ac:dyDescent="0.2">
      <c r="C293" s="178"/>
      <c r="D293" s="178"/>
      <c r="E293" s="178"/>
      <c r="F293" s="178"/>
      <c r="G293" s="180"/>
      <c r="H293" s="180"/>
      <c r="I293" s="178"/>
    </row>
    <row r="294" spans="3:9" x14ac:dyDescent="0.2">
      <c r="C294" s="178"/>
      <c r="D294" s="178"/>
      <c r="E294" s="178"/>
      <c r="F294" s="178"/>
      <c r="G294" s="180"/>
      <c r="H294" s="180"/>
      <c r="I294" s="178"/>
    </row>
    <row r="295" spans="3:9" x14ac:dyDescent="0.2">
      <c r="C295" s="178"/>
      <c r="D295" s="178"/>
      <c r="E295" s="178"/>
      <c r="F295" s="178"/>
      <c r="G295" s="180"/>
      <c r="H295" s="180"/>
      <c r="I295" s="178"/>
    </row>
    <row r="296" spans="3:9" x14ac:dyDescent="0.2">
      <c r="C296" s="178"/>
      <c r="D296" s="178"/>
      <c r="E296" s="178"/>
      <c r="F296" s="178"/>
      <c r="G296" s="180"/>
      <c r="H296" s="180"/>
      <c r="I296" s="178"/>
    </row>
    <row r="297" spans="3:9" x14ac:dyDescent="0.2">
      <c r="C297" s="178"/>
      <c r="D297" s="178"/>
      <c r="E297" s="178"/>
      <c r="F297" s="178"/>
      <c r="G297" s="180"/>
      <c r="H297" s="180"/>
      <c r="I297" s="178"/>
    </row>
    <row r="298" spans="3:9" x14ac:dyDescent="0.2">
      <c r="C298" s="178"/>
      <c r="D298" s="178"/>
      <c r="E298" s="178"/>
      <c r="F298" s="178"/>
      <c r="G298" s="180"/>
      <c r="H298" s="180"/>
      <c r="I298" s="178"/>
    </row>
    <row r="299" spans="3:9" x14ac:dyDescent="0.2">
      <c r="C299" s="178"/>
      <c r="D299" s="178"/>
      <c r="E299" s="178"/>
      <c r="F299" s="178"/>
      <c r="G299" s="180"/>
      <c r="H299" s="180"/>
      <c r="I299" s="178"/>
    </row>
    <row r="300" spans="3:9" x14ac:dyDescent="0.2">
      <c r="C300" s="178"/>
      <c r="D300" s="178"/>
      <c r="E300" s="178"/>
      <c r="F300" s="178"/>
      <c r="G300" s="180"/>
      <c r="H300" s="180"/>
      <c r="I300" s="178"/>
    </row>
    <row r="301" spans="3:9" x14ac:dyDescent="0.2">
      <c r="C301" s="178"/>
      <c r="D301" s="178"/>
      <c r="E301" s="178"/>
      <c r="F301" s="178"/>
      <c r="G301" s="180"/>
      <c r="H301" s="180"/>
      <c r="I301" s="178"/>
    </row>
    <row r="302" spans="3:9" x14ac:dyDescent="0.2">
      <c r="C302" s="178"/>
      <c r="D302" s="178"/>
      <c r="E302" s="178"/>
      <c r="F302" s="178"/>
      <c r="G302" s="180"/>
      <c r="H302" s="180"/>
      <c r="I302" s="178"/>
    </row>
    <row r="303" spans="3:9" x14ac:dyDescent="0.2">
      <c r="C303" s="178"/>
      <c r="D303" s="178"/>
      <c r="E303" s="178"/>
      <c r="F303" s="178"/>
      <c r="G303" s="180"/>
      <c r="H303" s="180"/>
      <c r="I303" s="178"/>
    </row>
    <row r="304" spans="3:9" x14ac:dyDescent="0.2">
      <c r="C304" s="178"/>
      <c r="D304" s="178"/>
      <c r="E304" s="178"/>
      <c r="F304" s="178"/>
      <c r="G304" s="180"/>
      <c r="H304" s="180"/>
      <c r="I304" s="178"/>
    </row>
    <row r="305" spans="3:9" x14ac:dyDescent="0.2">
      <c r="C305" s="178"/>
      <c r="D305" s="178"/>
      <c r="E305" s="178"/>
      <c r="F305" s="178"/>
      <c r="G305" s="180"/>
      <c r="H305" s="180"/>
      <c r="I305" s="178"/>
    </row>
    <row r="306" spans="3:9" x14ac:dyDescent="0.2">
      <c r="C306" s="178"/>
      <c r="D306" s="178"/>
      <c r="E306" s="178"/>
      <c r="F306" s="178"/>
      <c r="G306" s="180"/>
      <c r="H306" s="180"/>
      <c r="I306" s="178"/>
    </row>
    <row r="307" spans="3:9" x14ac:dyDescent="0.2">
      <c r="C307" s="178"/>
      <c r="D307" s="178"/>
      <c r="E307" s="178"/>
      <c r="F307" s="178"/>
      <c r="G307" s="180"/>
      <c r="H307" s="180"/>
      <c r="I307" s="178"/>
    </row>
    <row r="308" spans="3:9" x14ac:dyDescent="0.2">
      <c r="C308" s="178"/>
      <c r="D308" s="178"/>
      <c r="E308" s="178"/>
      <c r="F308" s="178"/>
      <c r="G308" s="180"/>
      <c r="H308" s="180"/>
      <c r="I308" s="178"/>
    </row>
    <row r="309" spans="3:9" x14ac:dyDescent="0.2">
      <c r="C309" s="178"/>
      <c r="D309" s="178"/>
      <c r="E309" s="178"/>
      <c r="F309" s="178"/>
      <c r="G309" s="180"/>
      <c r="H309" s="180"/>
      <c r="I309" s="178"/>
    </row>
    <row r="310" spans="3:9" x14ac:dyDescent="0.2">
      <c r="C310" s="178"/>
      <c r="D310" s="178"/>
      <c r="E310" s="178"/>
      <c r="F310" s="178"/>
      <c r="G310" s="180"/>
      <c r="H310" s="180"/>
      <c r="I310" s="178"/>
    </row>
    <row r="311" spans="3:9" x14ac:dyDescent="0.2">
      <c r="C311" s="178"/>
      <c r="D311" s="178"/>
      <c r="E311" s="178"/>
      <c r="F311" s="178"/>
      <c r="G311" s="180"/>
      <c r="H311" s="180"/>
      <c r="I311" s="178"/>
    </row>
    <row r="312" spans="3:9" x14ac:dyDescent="0.2">
      <c r="C312" s="178"/>
      <c r="D312" s="178"/>
      <c r="E312" s="178"/>
      <c r="F312" s="178"/>
      <c r="G312" s="180"/>
      <c r="H312" s="180"/>
      <c r="I312" s="178"/>
    </row>
    <row r="313" spans="3:9" x14ac:dyDescent="0.2">
      <c r="C313" s="178"/>
      <c r="D313" s="178"/>
      <c r="E313" s="178"/>
      <c r="F313" s="178"/>
      <c r="G313" s="180"/>
      <c r="H313" s="180"/>
      <c r="I313" s="178"/>
    </row>
    <row r="314" spans="3:9" x14ac:dyDescent="0.2">
      <c r="C314" s="178"/>
      <c r="D314" s="178"/>
      <c r="E314" s="178"/>
      <c r="F314" s="178"/>
      <c r="G314" s="180"/>
      <c r="H314" s="180"/>
      <c r="I314" s="178"/>
    </row>
    <row r="315" spans="3:9" x14ac:dyDescent="0.2">
      <c r="C315" s="178"/>
      <c r="D315" s="178"/>
      <c r="E315" s="178"/>
      <c r="F315" s="178"/>
      <c r="G315" s="180"/>
      <c r="H315" s="180"/>
      <c r="I315" s="178"/>
    </row>
    <row r="316" spans="3:9" x14ac:dyDescent="0.2">
      <c r="C316" s="178"/>
      <c r="D316" s="178"/>
      <c r="E316" s="178"/>
      <c r="F316" s="178"/>
      <c r="G316" s="180"/>
      <c r="H316" s="180"/>
      <c r="I316" s="178"/>
    </row>
    <row r="317" spans="3:9" x14ac:dyDescent="0.2">
      <c r="C317" s="178"/>
      <c r="D317" s="178"/>
      <c r="E317" s="178"/>
      <c r="F317" s="178"/>
      <c r="G317" s="180"/>
      <c r="H317" s="180"/>
      <c r="I317" s="178"/>
    </row>
    <row r="318" spans="3:9" x14ac:dyDescent="0.2">
      <c r="C318" s="178"/>
      <c r="D318" s="178"/>
      <c r="E318" s="178"/>
      <c r="F318" s="178"/>
      <c r="G318" s="180"/>
      <c r="H318" s="180"/>
      <c r="I318" s="178"/>
    </row>
    <row r="319" spans="3:9" x14ac:dyDescent="0.2">
      <c r="C319" s="178"/>
      <c r="D319" s="178"/>
      <c r="E319" s="178"/>
      <c r="F319" s="178"/>
      <c r="G319" s="180"/>
      <c r="H319" s="180"/>
      <c r="I319" s="178"/>
    </row>
    <row r="320" spans="3:9" x14ac:dyDescent="0.2">
      <c r="C320" s="178"/>
      <c r="D320" s="178"/>
      <c r="E320" s="178"/>
      <c r="F320" s="178"/>
      <c r="G320" s="180"/>
      <c r="H320" s="180"/>
      <c r="I320" s="178"/>
    </row>
    <row r="321" spans="3:9" x14ac:dyDescent="0.2">
      <c r="C321" s="178"/>
      <c r="D321" s="178"/>
      <c r="E321" s="178"/>
      <c r="F321" s="178"/>
      <c r="G321" s="180"/>
      <c r="H321" s="180"/>
      <c r="I321" s="178"/>
    </row>
    <row r="322" spans="3:9" x14ac:dyDescent="0.2">
      <c r="C322" s="178"/>
      <c r="D322" s="178"/>
      <c r="E322" s="178"/>
      <c r="F322" s="178"/>
      <c r="G322" s="180"/>
      <c r="H322" s="180"/>
      <c r="I322" s="178"/>
    </row>
    <row r="323" spans="3:9" x14ac:dyDescent="0.2">
      <c r="C323" s="178"/>
      <c r="D323" s="178"/>
      <c r="E323" s="178"/>
      <c r="F323" s="178"/>
      <c r="G323" s="180"/>
      <c r="H323" s="180"/>
      <c r="I323" s="178"/>
    </row>
    <row r="324" spans="3:9" x14ac:dyDescent="0.2">
      <c r="C324" s="178"/>
      <c r="D324" s="178"/>
      <c r="E324" s="178"/>
      <c r="F324" s="178"/>
      <c r="G324" s="180"/>
      <c r="H324" s="180"/>
      <c r="I324" s="178"/>
    </row>
    <row r="325" spans="3:9" x14ac:dyDescent="0.2">
      <c r="C325" s="178"/>
      <c r="D325" s="178"/>
      <c r="E325" s="178"/>
      <c r="F325" s="178"/>
      <c r="G325" s="180"/>
      <c r="H325" s="180"/>
      <c r="I325" s="178"/>
    </row>
    <row r="326" spans="3:9" x14ac:dyDescent="0.2">
      <c r="C326" s="178"/>
      <c r="D326" s="178"/>
      <c r="E326" s="178"/>
      <c r="F326" s="178"/>
      <c r="G326" s="180"/>
      <c r="H326" s="180"/>
      <c r="I326" s="178"/>
    </row>
    <row r="327" spans="3:9" x14ac:dyDescent="0.2">
      <c r="C327" s="178"/>
      <c r="D327" s="178"/>
      <c r="E327" s="178"/>
      <c r="F327" s="178"/>
      <c r="G327" s="180"/>
      <c r="H327" s="180"/>
      <c r="I327" s="178"/>
    </row>
    <row r="328" spans="3:9" x14ac:dyDescent="0.2">
      <c r="C328" s="178"/>
      <c r="D328" s="178"/>
      <c r="E328" s="178"/>
      <c r="F328" s="178"/>
      <c r="G328" s="180"/>
      <c r="H328" s="180"/>
      <c r="I328" s="178"/>
    </row>
    <row r="329" spans="3:9" x14ac:dyDescent="0.2">
      <c r="C329" s="178"/>
      <c r="D329" s="178"/>
      <c r="E329" s="178"/>
      <c r="F329" s="178"/>
      <c r="G329" s="180"/>
      <c r="H329" s="180"/>
      <c r="I329" s="178"/>
    </row>
    <row r="330" spans="3:9" x14ac:dyDescent="0.2">
      <c r="C330" s="178"/>
      <c r="D330" s="178"/>
      <c r="E330" s="178"/>
      <c r="F330" s="178"/>
      <c r="G330" s="180"/>
      <c r="H330" s="180"/>
      <c r="I330" s="178"/>
    </row>
    <row r="331" spans="3:9" x14ac:dyDescent="0.2">
      <c r="C331" s="178"/>
      <c r="D331" s="178"/>
      <c r="E331" s="178"/>
      <c r="F331" s="178"/>
      <c r="G331" s="180"/>
      <c r="H331" s="180"/>
      <c r="I331" s="178"/>
    </row>
    <row r="332" spans="3:9" x14ac:dyDescent="0.2">
      <c r="C332" s="178"/>
      <c r="D332" s="178"/>
      <c r="E332" s="178"/>
      <c r="F332" s="178"/>
      <c r="G332" s="180"/>
      <c r="H332" s="180"/>
      <c r="I332" s="178"/>
    </row>
    <row r="333" spans="3:9" x14ac:dyDescent="0.2">
      <c r="C333" s="178"/>
      <c r="D333" s="178"/>
      <c r="E333" s="178"/>
      <c r="F333" s="178"/>
      <c r="G333" s="180"/>
      <c r="H333" s="180"/>
      <c r="I333" s="178"/>
    </row>
    <row r="334" spans="3:9" x14ac:dyDescent="0.2">
      <c r="C334" s="178"/>
      <c r="D334" s="178"/>
      <c r="E334" s="178"/>
      <c r="F334" s="178"/>
      <c r="G334" s="180"/>
      <c r="H334" s="180"/>
      <c r="I334" s="178"/>
    </row>
    <row r="335" spans="3:9" x14ac:dyDescent="0.2">
      <c r="C335" s="178"/>
      <c r="D335" s="178"/>
      <c r="E335" s="178"/>
      <c r="F335" s="178"/>
      <c r="G335" s="180"/>
      <c r="H335" s="180"/>
      <c r="I335" s="178"/>
    </row>
    <row r="336" spans="3:9" x14ac:dyDescent="0.2">
      <c r="C336" s="178"/>
      <c r="D336" s="178"/>
      <c r="E336" s="178"/>
      <c r="F336" s="178"/>
      <c r="G336" s="180"/>
      <c r="H336" s="180"/>
      <c r="I336" s="178"/>
    </row>
    <row r="337" spans="3:9" x14ac:dyDescent="0.2">
      <c r="C337" s="178"/>
      <c r="D337" s="178"/>
      <c r="E337" s="178"/>
      <c r="F337" s="178"/>
      <c r="G337" s="180"/>
      <c r="H337" s="180"/>
      <c r="I337" s="178"/>
    </row>
    <row r="338" spans="3:9" x14ac:dyDescent="0.2">
      <c r="C338" s="178"/>
      <c r="D338" s="178"/>
      <c r="E338" s="178"/>
      <c r="F338" s="178"/>
      <c r="G338" s="180"/>
      <c r="H338" s="180"/>
      <c r="I338" s="178"/>
    </row>
    <row r="339" spans="3:9" x14ac:dyDescent="0.2">
      <c r="C339" s="178"/>
      <c r="D339" s="178"/>
      <c r="E339" s="178"/>
      <c r="F339" s="178"/>
      <c r="G339" s="180"/>
      <c r="H339" s="180"/>
      <c r="I339" s="178"/>
    </row>
    <row r="340" spans="3:9" x14ac:dyDescent="0.2">
      <c r="C340" s="178"/>
      <c r="D340" s="178"/>
      <c r="E340" s="178"/>
      <c r="F340" s="178"/>
      <c r="G340" s="180"/>
      <c r="H340" s="180"/>
      <c r="I340" s="178"/>
    </row>
    <row r="341" spans="3:9" x14ac:dyDescent="0.2">
      <c r="C341" s="178"/>
      <c r="D341" s="178"/>
      <c r="E341" s="178"/>
      <c r="F341" s="178"/>
      <c r="G341" s="180"/>
      <c r="H341" s="180"/>
      <c r="I341" s="178"/>
    </row>
    <row r="342" spans="3:9" x14ac:dyDescent="0.2">
      <c r="C342" s="178"/>
      <c r="D342" s="178"/>
      <c r="E342" s="178"/>
      <c r="F342" s="178"/>
      <c r="G342" s="180"/>
      <c r="H342" s="180"/>
      <c r="I342" s="178"/>
    </row>
    <row r="343" spans="3:9" x14ac:dyDescent="0.2">
      <c r="C343" s="178"/>
      <c r="D343" s="178"/>
      <c r="E343" s="178"/>
      <c r="F343" s="178"/>
      <c r="G343" s="180"/>
      <c r="H343" s="180"/>
      <c r="I343" s="178"/>
    </row>
    <row r="344" spans="3:9" x14ac:dyDescent="0.2">
      <c r="C344" s="178"/>
      <c r="D344" s="178"/>
      <c r="E344" s="178"/>
      <c r="F344" s="178"/>
      <c r="G344" s="180"/>
      <c r="H344" s="180"/>
      <c r="I344" s="178"/>
    </row>
    <row r="345" spans="3:9" x14ac:dyDescent="0.2">
      <c r="C345" s="178"/>
      <c r="D345" s="178"/>
      <c r="E345" s="178"/>
      <c r="F345" s="178"/>
      <c r="G345" s="180"/>
      <c r="H345" s="180"/>
      <c r="I345" s="178"/>
    </row>
    <row r="346" spans="3:9" x14ac:dyDescent="0.2">
      <c r="C346" s="178"/>
      <c r="D346" s="178"/>
      <c r="E346" s="178"/>
      <c r="F346" s="178"/>
      <c r="G346" s="180"/>
      <c r="H346" s="180"/>
      <c r="I346" s="178"/>
    </row>
    <row r="347" spans="3:9" x14ac:dyDescent="0.2">
      <c r="C347" s="178"/>
      <c r="D347" s="178"/>
      <c r="E347" s="178"/>
      <c r="F347" s="178"/>
      <c r="G347" s="180"/>
      <c r="H347" s="180"/>
      <c r="I347" s="178"/>
    </row>
    <row r="348" spans="3:9" x14ac:dyDescent="0.2">
      <c r="C348" s="178"/>
      <c r="D348" s="178"/>
      <c r="E348" s="178"/>
      <c r="F348" s="178"/>
      <c r="G348" s="180"/>
      <c r="H348" s="180"/>
      <c r="I348" s="178"/>
    </row>
    <row r="349" spans="3:9" x14ac:dyDescent="0.2">
      <c r="C349" s="178"/>
      <c r="D349" s="178"/>
      <c r="E349" s="178"/>
      <c r="F349" s="178"/>
      <c r="G349" s="180"/>
      <c r="H349" s="180"/>
      <c r="I349" s="178"/>
    </row>
    <row r="350" spans="3:9" x14ac:dyDescent="0.2">
      <c r="C350" s="178"/>
      <c r="D350" s="178"/>
      <c r="E350" s="178"/>
      <c r="F350" s="178"/>
      <c r="G350" s="180"/>
      <c r="H350" s="180"/>
      <c r="I350" s="178"/>
    </row>
    <row r="351" spans="3:9" x14ac:dyDescent="0.2">
      <c r="C351" s="178"/>
      <c r="D351" s="178"/>
      <c r="E351" s="178"/>
      <c r="F351" s="178"/>
      <c r="G351" s="180"/>
      <c r="H351" s="180"/>
      <c r="I351" s="178"/>
    </row>
    <row r="352" spans="3:9" x14ac:dyDescent="0.2">
      <c r="C352" s="178"/>
      <c r="D352" s="178"/>
      <c r="E352" s="178"/>
      <c r="F352" s="178"/>
      <c r="G352" s="180"/>
      <c r="H352" s="180"/>
      <c r="I352" s="178"/>
    </row>
    <row r="353" spans="3:9" x14ac:dyDescent="0.2">
      <c r="C353" s="178"/>
      <c r="D353" s="178"/>
      <c r="E353" s="178"/>
      <c r="F353" s="178"/>
      <c r="G353" s="180"/>
      <c r="H353" s="180"/>
      <c r="I353" s="178"/>
    </row>
    <row r="354" spans="3:9" x14ac:dyDescent="0.2">
      <c r="C354" s="178"/>
      <c r="D354" s="178"/>
      <c r="E354" s="178"/>
      <c r="F354" s="178"/>
      <c r="G354" s="180"/>
      <c r="H354" s="180"/>
      <c r="I354" s="178"/>
    </row>
    <row r="355" spans="3:9" x14ac:dyDescent="0.2">
      <c r="C355" s="178"/>
      <c r="D355" s="178"/>
      <c r="E355" s="178"/>
      <c r="F355" s="178"/>
      <c r="G355" s="180"/>
      <c r="H355" s="180"/>
      <c r="I355" s="178"/>
    </row>
    <row r="356" spans="3:9" x14ac:dyDescent="0.2">
      <c r="C356" s="178"/>
      <c r="D356" s="178"/>
      <c r="E356" s="178"/>
      <c r="F356" s="178"/>
      <c r="G356" s="180"/>
      <c r="H356" s="180"/>
      <c r="I356" s="178"/>
    </row>
    <row r="357" spans="3:9" x14ac:dyDescent="0.2">
      <c r="C357" s="178"/>
      <c r="D357" s="178"/>
      <c r="E357" s="178"/>
      <c r="F357" s="178"/>
      <c r="G357" s="180"/>
      <c r="H357" s="180"/>
      <c r="I357" s="178"/>
    </row>
    <row r="358" spans="3:9" x14ac:dyDescent="0.2">
      <c r="C358" s="178"/>
      <c r="D358" s="178"/>
      <c r="E358" s="178"/>
      <c r="F358" s="178"/>
      <c r="G358" s="180"/>
      <c r="H358" s="180"/>
      <c r="I358" s="178"/>
    </row>
    <row r="359" spans="3:9" x14ac:dyDescent="0.2">
      <c r="C359" s="178"/>
      <c r="D359" s="178"/>
      <c r="E359" s="178"/>
      <c r="F359" s="178"/>
      <c r="G359" s="180"/>
      <c r="H359" s="180"/>
      <c r="I359" s="178"/>
    </row>
    <row r="360" spans="3:9" x14ac:dyDescent="0.2">
      <c r="C360" s="178"/>
      <c r="D360" s="178"/>
      <c r="E360" s="178"/>
      <c r="F360" s="178"/>
      <c r="G360" s="180"/>
      <c r="H360" s="180"/>
      <c r="I360" s="178"/>
    </row>
    <row r="361" spans="3:9" x14ac:dyDescent="0.2">
      <c r="C361" s="178"/>
      <c r="D361" s="178"/>
      <c r="E361" s="178"/>
      <c r="F361" s="178"/>
      <c r="G361" s="180"/>
      <c r="H361" s="180"/>
      <c r="I361" s="178"/>
    </row>
    <row r="362" spans="3:9" x14ac:dyDescent="0.2">
      <c r="C362" s="178"/>
      <c r="D362" s="178"/>
      <c r="E362" s="178"/>
      <c r="F362" s="178"/>
      <c r="G362" s="180"/>
      <c r="H362" s="180"/>
      <c r="I362" s="178"/>
    </row>
    <row r="363" spans="3:9" x14ac:dyDescent="0.2">
      <c r="C363" s="178"/>
      <c r="D363" s="178"/>
      <c r="E363" s="178"/>
      <c r="F363" s="178"/>
      <c r="G363" s="180"/>
      <c r="H363" s="180"/>
      <c r="I363" s="178"/>
    </row>
    <row r="364" spans="3:9" x14ac:dyDescent="0.2">
      <c r="C364" s="178"/>
      <c r="D364" s="178"/>
      <c r="E364" s="178"/>
      <c r="F364" s="178"/>
      <c r="G364" s="180"/>
      <c r="H364" s="180"/>
      <c r="I364" s="178"/>
    </row>
    <row r="365" spans="3:9" x14ac:dyDescent="0.2">
      <c r="C365" s="178"/>
      <c r="D365" s="178"/>
      <c r="E365" s="178"/>
      <c r="F365" s="178"/>
      <c r="G365" s="180"/>
      <c r="H365" s="180"/>
      <c r="I365" s="178"/>
    </row>
    <row r="366" spans="3:9" x14ac:dyDescent="0.2">
      <c r="C366" s="178"/>
      <c r="D366" s="178"/>
      <c r="E366" s="178"/>
      <c r="F366" s="178"/>
      <c r="G366" s="180"/>
      <c r="H366" s="180"/>
      <c r="I366" s="178"/>
    </row>
    <row r="367" spans="3:9" x14ac:dyDescent="0.2">
      <c r="C367" s="178"/>
      <c r="D367" s="178"/>
      <c r="E367" s="178"/>
      <c r="F367" s="178"/>
      <c r="G367" s="180"/>
      <c r="H367" s="180"/>
      <c r="I367" s="178"/>
    </row>
    <row r="368" spans="3:9" x14ac:dyDescent="0.2">
      <c r="C368" s="178"/>
      <c r="D368" s="178"/>
      <c r="E368" s="178"/>
      <c r="F368" s="178"/>
      <c r="G368" s="180"/>
      <c r="H368" s="180"/>
      <c r="I368" s="178"/>
    </row>
    <row r="369" spans="3:9" x14ac:dyDescent="0.2">
      <c r="C369" s="178"/>
      <c r="D369" s="178"/>
      <c r="E369" s="178"/>
      <c r="F369" s="178"/>
      <c r="G369" s="180"/>
      <c r="H369" s="180"/>
      <c r="I369" s="178"/>
    </row>
    <row r="370" spans="3:9" x14ac:dyDescent="0.2">
      <c r="C370" s="178"/>
      <c r="D370" s="178"/>
      <c r="E370" s="178"/>
      <c r="F370" s="178"/>
      <c r="G370" s="180"/>
      <c r="H370" s="180"/>
      <c r="I370" s="178"/>
    </row>
    <row r="371" spans="3:9" x14ac:dyDescent="0.2">
      <c r="C371" s="178"/>
      <c r="D371" s="178"/>
      <c r="E371" s="178"/>
      <c r="F371" s="178"/>
      <c r="G371" s="180"/>
      <c r="H371" s="180"/>
      <c r="I371" s="178"/>
    </row>
    <row r="372" spans="3:9" x14ac:dyDescent="0.2">
      <c r="C372" s="178"/>
      <c r="D372" s="178"/>
      <c r="E372" s="178"/>
      <c r="F372" s="178"/>
      <c r="G372" s="180"/>
      <c r="H372" s="180"/>
      <c r="I372" s="178"/>
    </row>
    <row r="373" spans="3:9" x14ac:dyDescent="0.2">
      <c r="C373" s="178"/>
      <c r="D373" s="178"/>
      <c r="E373" s="178"/>
      <c r="F373" s="178"/>
      <c r="G373" s="180"/>
      <c r="H373" s="180"/>
      <c r="I373" s="178"/>
    </row>
    <row r="374" spans="3:9" x14ac:dyDescent="0.2">
      <c r="C374" s="178"/>
      <c r="D374" s="178"/>
      <c r="E374" s="178"/>
      <c r="F374" s="178"/>
      <c r="G374" s="180"/>
      <c r="H374" s="180"/>
      <c r="I374" s="178"/>
    </row>
    <row r="375" spans="3:9" x14ac:dyDescent="0.2">
      <c r="C375" s="178"/>
      <c r="D375" s="178"/>
      <c r="E375" s="178"/>
      <c r="F375" s="178"/>
      <c r="G375" s="180"/>
      <c r="H375" s="180"/>
      <c r="I375" s="178"/>
    </row>
    <row r="376" spans="3:9" x14ac:dyDescent="0.2">
      <c r="C376" s="178"/>
      <c r="D376" s="178"/>
      <c r="E376" s="178"/>
      <c r="F376" s="178"/>
      <c r="G376" s="180"/>
      <c r="H376" s="180"/>
      <c r="I376" s="178"/>
    </row>
    <row r="377" spans="3:9" x14ac:dyDescent="0.2">
      <c r="C377" s="178"/>
      <c r="D377" s="178"/>
      <c r="E377" s="178"/>
      <c r="F377" s="178"/>
      <c r="G377" s="180"/>
      <c r="H377" s="180"/>
      <c r="I377" s="178"/>
    </row>
    <row r="378" spans="3:9" x14ac:dyDescent="0.2">
      <c r="C378" s="178"/>
      <c r="D378" s="178"/>
      <c r="E378" s="178"/>
      <c r="F378" s="178"/>
      <c r="G378" s="180"/>
      <c r="H378" s="180"/>
      <c r="I378" s="178"/>
    </row>
    <row r="379" spans="3:9" x14ac:dyDescent="0.2">
      <c r="C379" s="178"/>
      <c r="D379" s="178"/>
      <c r="E379" s="178"/>
      <c r="F379" s="178"/>
      <c r="G379" s="180"/>
      <c r="H379" s="180"/>
      <c r="I379" s="178"/>
    </row>
    <row r="380" spans="3:9" x14ac:dyDescent="0.2">
      <c r="C380" s="178"/>
      <c r="D380" s="178"/>
      <c r="E380" s="178"/>
      <c r="F380" s="178"/>
      <c r="G380" s="180"/>
      <c r="H380" s="180"/>
      <c r="I380" s="178"/>
    </row>
    <row r="381" spans="3:9" x14ac:dyDescent="0.2">
      <c r="C381" s="178"/>
      <c r="D381" s="178"/>
      <c r="E381" s="178"/>
      <c r="F381" s="178"/>
      <c r="G381" s="180"/>
      <c r="H381" s="180"/>
      <c r="I381" s="178"/>
    </row>
    <row r="382" spans="3:9" x14ac:dyDescent="0.2">
      <c r="C382" s="178"/>
      <c r="D382" s="178"/>
      <c r="E382" s="178"/>
      <c r="F382" s="178"/>
      <c r="G382" s="180"/>
      <c r="H382" s="180"/>
      <c r="I382" s="178"/>
    </row>
    <row r="383" spans="3:9" x14ac:dyDescent="0.2">
      <c r="C383" s="178"/>
      <c r="D383" s="178"/>
      <c r="E383" s="178"/>
      <c r="F383" s="178"/>
      <c r="G383" s="180"/>
      <c r="H383" s="180"/>
      <c r="I383" s="178"/>
    </row>
    <row r="384" spans="3:9" x14ac:dyDescent="0.2">
      <c r="C384" s="178"/>
      <c r="D384" s="178"/>
      <c r="E384" s="178"/>
      <c r="F384" s="178"/>
      <c r="G384" s="180"/>
      <c r="H384" s="180"/>
      <c r="I384" s="178"/>
    </row>
    <row r="385" spans="3:9" x14ac:dyDescent="0.2">
      <c r="C385" s="178"/>
      <c r="D385" s="178"/>
      <c r="E385" s="178"/>
      <c r="F385" s="178"/>
      <c r="G385" s="180"/>
      <c r="H385" s="180"/>
      <c r="I385" s="178"/>
    </row>
    <row r="386" spans="3:9" x14ac:dyDescent="0.2">
      <c r="C386" s="178"/>
      <c r="D386" s="178"/>
      <c r="E386" s="178"/>
      <c r="F386" s="178"/>
      <c r="G386" s="180"/>
      <c r="H386" s="180"/>
      <c r="I386" s="178"/>
    </row>
    <row r="387" spans="3:9" x14ac:dyDescent="0.2">
      <c r="C387" s="178"/>
      <c r="D387" s="178"/>
      <c r="E387" s="178"/>
      <c r="F387" s="178"/>
      <c r="G387" s="180"/>
      <c r="H387" s="180"/>
      <c r="I387" s="178"/>
    </row>
    <row r="388" spans="3:9" x14ac:dyDescent="0.2">
      <c r="C388" s="178"/>
      <c r="D388" s="178"/>
      <c r="E388" s="178"/>
      <c r="F388" s="178"/>
      <c r="G388" s="180"/>
      <c r="H388" s="180"/>
      <c r="I388" s="178"/>
    </row>
    <row r="389" spans="3:9" x14ac:dyDescent="0.2">
      <c r="C389" s="178"/>
      <c r="D389" s="178"/>
      <c r="E389" s="178"/>
      <c r="F389" s="178"/>
      <c r="G389" s="180"/>
      <c r="H389" s="180"/>
      <c r="I389" s="178"/>
    </row>
    <row r="390" spans="3:9" x14ac:dyDescent="0.2">
      <c r="C390" s="178"/>
      <c r="D390" s="178"/>
      <c r="E390" s="178"/>
      <c r="F390" s="178"/>
      <c r="G390" s="180"/>
      <c r="H390" s="180"/>
      <c r="I390" s="178"/>
    </row>
    <row r="391" spans="3:9" x14ac:dyDescent="0.2">
      <c r="C391" s="178"/>
      <c r="D391" s="178"/>
      <c r="E391" s="178"/>
      <c r="F391" s="178"/>
      <c r="G391" s="180"/>
      <c r="H391" s="180"/>
      <c r="I391" s="178"/>
    </row>
    <row r="392" spans="3:9" x14ac:dyDescent="0.2">
      <c r="C392" s="178"/>
      <c r="D392" s="178"/>
      <c r="E392" s="178"/>
      <c r="F392" s="178"/>
      <c r="G392" s="180"/>
      <c r="H392" s="180"/>
      <c r="I392" s="178"/>
    </row>
    <row r="393" spans="3:9" x14ac:dyDescent="0.2">
      <c r="C393" s="178"/>
      <c r="D393" s="178"/>
      <c r="E393" s="178"/>
      <c r="F393" s="178"/>
      <c r="G393" s="180"/>
      <c r="H393" s="180"/>
      <c r="I393" s="178"/>
    </row>
    <row r="394" spans="3:9" x14ac:dyDescent="0.2">
      <c r="C394" s="178"/>
      <c r="D394" s="178"/>
      <c r="E394" s="178"/>
      <c r="F394" s="178"/>
      <c r="G394" s="180"/>
      <c r="H394" s="180"/>
      <c r="I394" s="178"/>
    </row>
    <row r="395" spans="3:9" x14ac:dyDescent="0.2">
      <c r="C395" s="178"/>
      <c r="D395" s="178"/>
      <c r="E395" s="178"/>
      <c r="F395" s="178"/>
      <c r="G395" s="180"/>
      <c r="H395" s="180"/>
      <c r="I395" s="178"/>
    </row>
    <row r="396" spans="3:9" x14ac:dyDescent="0.2">
      <c r="C396" s="178"/>
      <c r="D396" s="178"/>
      <c r="E396" s="178"/>
      <c r="F396" s="178"/>
      <c r="G396" s="180"/>
      <c r="H396" s="180"/>
      <c r="I396" s="178"/>
    </row>
    <row r="397" spans="3:9" x14ac:dyDescent="0.2">
      <c r="C397" s="178"/>
      <c r="D397" s="178"/>
      <c r="E397" s="178"/>
      <c r="F397" s="178"/>
      <c r="G397" s="180"/>
      <c r="H397" s="180"/>
      <c r="I397" s="178"/>
    </row>
    <row r="398" spans="3:9" x14ac:dyDescent="0.2">
      <c r="C398" s="178"/>
      <c r="D398" s="178"/>
      <c r="E398" s="178"/>
      <c r="F398" s="178"/>
      <c r="G398" s="180"/>
      <c r="H398" s="180"/>
      <c r="I398" s="178"/>
    </row>
    <row r="399" spans="3:9" x14ac:dyDescent="0.2">
      <c r="C399" s="178"/>
      <c r="D399" s="178"/>
      <c r="E399" s="178"/>
      <c r="F399" s="178"/>
      <c r="G399" s="180"/>
      <c r="H399" s="180"/>
      <c r="I399" s="178"/>
    </row>
    <row r="400" spans="3:9" x14ac:dyDescent="0.2">
      <c r="C400" s="178"/>
      <c r="D400" s="178"/>
      <c r="E400" s="178"/>
      <c r="F400" s="178"/>
      <c r="G400" s="180"/>
      <c r="H400" s="180"/>
      <c r="I400" s="178"/>
    </row>
    <row r="401" spans="3:9" x14ac:dyDescent="0.2">
      <c r="C401" s="178"/>
      <c r="D401" s="178"/>
      <c r="E401" s="178"/>
      <c r="F401" s="178"/>
      <c r="G401" s="180"/>
      <c r="H401" s="180"/>
      <c r="I401" s="178"/>
    </row>
    <row r="402" spans="3:9" x14ac:dyDescent="0.2">
      <c r="C402" s="178"/>
      <c r="D402" s="178"/>
      <c r="E402" s="178"/>
      <c r="F402" s="178"/>
      <c r="G402" s="180"/>
      <c r="H402" s="180"/>
      <c r="I402" s="178"/>
    </row>
    <row r="403" spans="3:9" x14ac:dyDescent="0.2">
      <c r="C403" s="178"/>
      <c r="D403" s="178"/>
      <c r="E403" s="178"/>
      <c r="F403" s="178"/>
      <c r="G403" s="180"/>
      <c r="H403" s="180"/>
      <c r="I403" s="178"/>
    </row>
    <row r="404" spans="3:9" x14ac:dyDescent="0.2">
      <c r="C404" s="178"/>
      <c r="D404" s="178"/>
      <c r="E404" s="178"/>
      <c r="F404" s="178"/>
      <c r="G404" s="180"/>
      <c r="H404" s="180"/>
      <c r="I404" s="178"/>
    </row>
    <row r="405" spans="3:9" x14ac:dyDescent="0.2">
      <c r="C405" s="178"/>
      <c r="D405" s="178"/>
      <c r="E405" s="178"/>
      <c r="F405" s="178"/>
      <c r="G405" s="180"/>
      <c r="H405" s="180"/>
      <c r="I405" s="178"/>
    </row>
    <row r="406" spans="3:9" x14ac:dyDescent="0.2">
      <c r="C406" s="178"/>
      <c r="D406" s="178"/>
      <c r="E406" s="178"/>
      <c r="F406" s="178"/>
      <c r="G406" s="180"/>
      <c r="H406" s="180"/>
      <c r="I406" s="178"/>
    </row>
    <row r="407" spans="3:9" x14ac:dyDescent="0.2">
      <c r="C407" s="178"/>
      <c r="D407" s="178"/>
      <c r="E407" s="178"/>
      <c r="F407" s="178"/>
      <c r="G407" s="180"/>
      <c r="H407" s="180"/>
      <c r="I407" s="178"/>
    </row>
    <row r="408" spans="3:9" x14ac:dyDescent="0.2">
      <c r="C408" s="178"/>
      <c r="D408" s="178"/>
      <c r="E408" s="178"/>
      <c r="F408" s="178"/>
      <c r="G408" s="180"/>
      <c r="H408" s="180"/>
      <c r="I408" s="178"/>
    </row>
    <row r="409" spans="3:9" x14ac:dyDescent="0.2">
      <c r="C409" s="178"/>
      <c r="D409" s="178"/>
      <c r="E409" s="178"/>
      <c r="F409" s="178"/>
      <c r="G409" s="180"/>
      <c r="H409" s="180"/>
      <c r="I409" s="178"/>
    </row>
    <row r="410" spans="3:9" x14ac:dyDescent="0.2">
      <c r="C410" s="178"/>
      <c r="D410" s="178"/>
      <c r="E410" s="178"/>
      <c r="F410" s="178"/>
      <c r="G410" s="180"/>
      <c r="H410" s="180"/>
      <c r="I410" s="178"/>
    </row>
    <row r="411" spans="3:9" x14ac:dyDescent="0.2">
      <c r="C411" s="178"/>
      <c r="D411" s="178"/>
      <c r="E411" s="178"/>
      <c r="F411" s="178"/>
      <c r="G411" s="180"/>
      <c r="H411" s="180"/>
      <c r="I411" s="178"/>
    </row>
    <row r="412" spans="3:9" x14ac:dyDescent="0.2">
      <c r="C412" s="178"/>
      <c r="D412" s="178"/>
      <c r="E412" s="178"/>
      <c r="F412" s="178"/>
      <c r="G412" s="180"/>
      <c r="H412" s="180"/>
      <c r="I412" s="178"/>
    </row>
    <row r="413" spans="3:9" x14ac:dyDescent="0.2">
      <c r="C413" s="178"/>
      <c r="D413" s="178"/>
      <c r="E413" s="178"/>
      <c r="F413" s="178"/>
      <c r="G413" s="180"/>
      <c r="H413" s="180"/>
      <c r="I413" s="178"/>
    </row>
    <row r="414" spans="3:9" x14ac:dyDescent="0.2">
      <c r="C414" s="178"/>
      <c r="D414" s="178"/>
      <c r="E414" s="178"/>
      <c r="F414" s="178"/>
      <c r="G414" s="180"/>
      <c r="H414" s="180"/>
      <c r="I414" s="178"/>
    </row>
    <row r="415" spans="3:9" x14ac:dyDescent="0.2">
      <c r="C415" s="178"/>
      <c r="D415" s="178"/>
      <c r="E415" s="178"/>
      <c r="F415" s="178"/>
      <c r="G415" s="180"/>
      <c r="H415" s="180"/>
      <c r="I415" s="178"/>
    </row>
    <row r="416" spans="3:9" x14ac:dyDescent="0.2">
      <c r="C416" s="178"/>
      <c r="D416" s="178"/>
      <c r="E416" s="178"/>
      <c r="F416" s="178"/>
      <c r="G416" s="180"/>
      <c r="H416" s="180"/>
      <c r="I416" s="178"/>
    </row>
    <row r="417" spans="3:9" x14ac:dyDescent="0.2">
      <c r="C417" s="178"/>
      <c r="D417" s="178"/>
      <c r="E417" s="178"/>
      <c r="F417" s="178"/>
      <c r="G417" s="180"/>
      <c r="H417" s="180"/>
      <c r="I417" s="178"/>
    </row>
    <row r="418" spans="3:9" x14ac:dyDescent="0.2">
      <c r="C418" s="178"/>
      <c r="D418" s="178"/>
      <c r="E418" s="178"/>
      <c r="F418" s="178"/>
      <c r="G418" s="180"/>
      <c r="H418" s="180"/>
      <c r="I418" s="178"/>
    </row>
    <row r="419" spans="3:9" x14ac:dyDescent="0.2">
      <c r="C419" s="178"/>
      <c r="D419" s="178"/>
      <c r="E419" s="178"/>
      <c r="F419" s="178"/>
      <c r="G419" s="180"/>
      <c r="H419" s="180"/>
      <c r="I419" s="178"/>
    </row>
    <row r="420" spans="3:9" x14ac:dyDescent="0.2">
      <c r="C420" s="178"/>
      <c r="D420" s="178"/>
      <c r="E420" s="178"/>
      <c r="F420" s="178"/>
      <c r="G420" s="180"/>
      <c r="H420" s="180"/>
      <c r="I420" s="178"/>
    </row>
    <row r="421" spans="3:9" x14ac:dyDescent="0.2">
      <c r="C421" s="178"/>
      <c r="D421" s="178"/>
      <c r="E421" s="178"/>
      <c r="F421" s="178"/>
      <c r="G421" s="180"/>
      <c r="H421" s="180"/>
      <c r="I421" s="178"/>
    </row>
    <row r="422" spans="3:9" x14ac:dyDescent="0.2">
      <c r="C422" s="178"/>
      <c r="D422" s="178"/>
      <c r="E422" s="178"/>
      <c r="F422" s="178"/>
      <c r="G422" s="180"/>
      <c r="H422" s="180"/>
      <c r="I422" s="178"/>
    </row>
    <row r="423" spans="3:9" x14ac:dyDescent="0.2">
      <c r="C423" s="178"/>
      <c r="D423" s="178"/>
      <c r="E423" s="178"/>
      <c r="F423" s="178"/>
      <c r="G423" s="180"/>
      <c r="H423" s="180"/>
      <c r="I423" s="178"/>
    </row>
    <row r="424" spans="3:9" x14ac:dyDescent="0.2">
      <c r="C424" s="178"/>
      <c r="D424" s="178"/>
      <c r="E424" s="178"/>
      <c r="F424" s="178"/>
      <c r="G424" s="180"/>
      <c r="H424" s="180"/>
      <c r="I424" s="178"/>
    </row>
    <row r="425" spans="3:9" x14ac:dyDescent="0.2">
      <c r="C425" s="178"/>
      <c r="D425" s="178"/>
      <c r="E425" s="178"/>
      <c r="F425" s="178"/>
      <c r="G425" s="180"/>
      <c r="H425" s="180"/>
      <c r="I425" s="178"/>
    </row>
    <row r="426" spans="3:9" x14ac:dyDescent="0.2">
      <c r="C426" s="178"/>
      <c r="D426" s="178"/>
      <c r="E426" s="178"/>
      <c r="F426" s="178"/>
      <c r="G426" s="180"/>
      <c r="H426" s="180"/>
      <c r="I426" s="178"/>
    </row>
    <row r="427" spans="3:9" x14ac:dyDescent="0.2">
      <c r="C427" s="178"/>
      <c r="D427" s="178"/>
      <c r="E427" s="178"/>
      <c r="F427" s="178"/>
      <c r="G427" s="180"/>
      <c r="H427" s="180"/>
      <c r="I427" s="178"/>
    </row>
    <row r="428" spans="3:9" x14ac:dyDescent="0.2">
      <c r="C428" s="178"/>
      <c r="D428" s="178"/>
      <c r="E428" s="178"/>
      <c r="F428" s="178"/>
      <c r="G428" s="180"/>
      <c r="H428" s="180"/>
      <c r="I428" s="178"/>
    </row>
    <row r="429" spans="3:9" x14ac:dyDescent="0.2">
      <c r="C429" s="178"/>
      <c r="D429" s="178"/>
      <c r="E429" s="178"/>
      <c r="F429" s="178"/>
      <c r="G429" s="180"/>
      <c r="H429" s="180"/>
      <c r="I429" s="178"/>
    </row>
    <row r="430" spans="3:9" x14ac:dyDescent="0.2">
      <c r="C430" s="178"/>
      <c r="D430" s="178"/>
      <c r="E430" s="178"/>
      <c r="F430" s="178"/>
      <c r="G430" s="180"/>
      <c r="H430" s="180"/>
      <c r="I430" s="178"/>
    </row>
    <row r="431" spans="3:9" x14ac:dyDescent="0.2">
      <c r="C431" s="178"/>
      <c r="D431" s="178"/>
      <c r="E431" s="178"/>
      <c r="F431" s="178"/>
      <c r="G431" s="180"/>
      <c r="H431" s="180"/>
      <c r="I431" s="178"/>
    </row>
    <row r="432" spans="3:9" x14ac:dyDescent="0.2">
      <c r="C432" s="178"/>
      <c r="D432" s="178"/>
      <c r="E432" s="178"/>
      <c r="F432" s="178"/>
      <c r="G432" s="180"/>
      <c r="H432" s="180"/>
      <c r="I432" s="178"/>
    </row>
    <row r="433" spans="3:9" x14ac:dyDescent="0.2">
      <c r="C433" s="178"/>
      <c r="D433" s="178"/>
      <c r="E433" s="178"/>
      <c r="F433" s="178"/>
      <c r="G433" s="180"/>
      <c r="H433" s="180"/>
      <c r="I433" s="178"/>
    </row>
    <row r="434" spans="3:9" x14ac:dyDescent="0.2">
      <c r="C434" s="178"/>
      <c r="D434" s="178"/>
      <c r="E434" s="178"/>
      <c r="F434" s="178"/>
      <c r="G434" s="180"/>
      <c r="H434" s="180"/>
      <c r="I434" s="178"/>
    </row>
    <row r="435" spans="3:9" x14ac:dyDescent="0.2">
      <c r="C435" s="178"/>
      <c r="D435" s="178"/>
      <c r="E435" s="178"/>
      <c r="F435" s="178"/>
      <c r="G435" s="180"/>
      <c r="H435" s="180"/>
      <c r="I435" s="178"/>
    </row>
    <row r="436" spans="3:9" x14ac:dyDescent="0.2">
      <c r="C436" s="178"/>
      <c r="D436" s="178"/>
      <c r="E436" s="178"/>
      <c r="F436" s="178"/>
      <c r="G436" s="180"/>
      <c r="H436" s="180"/>
      <c r="I436" s="178"/>
    </row>
    <row r="437" spans="3:9" x14ac:dyDescent="0.2">
      <c r="C437" s="178"/>
      <c r="D437" s="178"/>
      <c r="E437" s="178"/>
      <c r="F437" s="178"/>
      <c r="G437" s="180"/>
      <c r="H437" s="180"/>
      <c r="I437" s="178"/>
    </row>
    <row r="438" spans="3:9" x14ac:dyDescent="0.2">
      <c r="C438" s="178"/>
      <c r="D438" s="178"/>
      <c r="E438" s="178"/>
      <c r="F438" s="178"/>
      <c r="G438" s="180"/>
      <c r="H438" s="180"/>
      <c r="I438" s="178"/>
    </row>
    <row r="439" spans="3:9" x14ac:dyDescent="0.2">
      <c r="C439" s="178"/>
      <c r="D439" s="178"/>
      <c r="E439" s="178"/>
      <c r="F439" s="178"/>
      <c r="G439" s="180"/>
      <c r="H439" s="180"/>
      <c r="I439" s="178"/>
    </row>
    <row r="440" spans="3:9" x14ac:dyDescent="0.2">
      <c r="C440" s="178"/>
      <c r="D440" s="178"/>
      <c r="E440" s="178"/>
      <c r="F440" s="178"/>
      <c r="G440" s="180"/>
      <c r="H440" s="180"/>
      <c r="I440" s="178"/>
    </row>
    <row r="441" spans="3:9" x14ac:dyDescent="0.2">
      <c r="C441" s="178"/>
      <c r="D441" s="178"/>
      <c r="E441" s="178"/>
      <c r="F441" s="178"/>
      <c r="G441" s="180"/>
      <c r="H441" s="180"/>
      <c r="I441" s="178"/>
    </row>
    <row r="442" spans="3:9" x14ac:dyDescent="0.2">
      <c r="C442" s="178"/>
      <c r="D442" s="178"/>
      <c r="E442" s="178"/>
      <c r="F442" s="178"/>
      <c r="G442" s="180"/>
      <c r="H442" s="180"/>
      <c r="I442" s="178"/>
    </row>
    <row r="443" spans="3:9" x14ac:dyDescent="0.2">
      <c r="C443" s="178"/>
      <c r="D443" s="178"/>
      <c r="E443" s="178"/>
      <c r="F443" s="178"/>
      <c r="G443" s="180"/>
      <c r="H443" s="180"/>
      <c r="I443" s="178"/>
    </row>
    <row r="444" spans="3:9" x14ac:dyDescent="0.2">
      <c r="C444" s="178"/>
      <c r="D444" s="178"/>
      <c r="E444" s="178"/>
      <c r="F444" s="178"/>
      <c r="G444" s="180"/>
      <c r="H444" s="180"/>
      <c r="I444" s="178"/>
    </row>
    <row r="445" spans="3:9" x14ac:dyDescent="0.2">
      <c r="C445" s="178"/>
      <c r="D445" s="178"/>
      <c r="E445" s="178"/>
      <c r="F445" s="178"/>
      <c r="G445" s="180"/>
      <c r="H445" s="180"/>
      <c r="I445" s="178"/>
    </row>
    <row r="446" spans="3:9" x14ac:dyDescent="0.2">
      <c r="C446" s="178"/>
      <c r="D446" s="178"/>
      <c r="E446" s="178"/>
      <c r="F446" s="178"/>
      <c r="G446" s="180"/>
      <c r="H446" s="180"/>
      <c r="I446" s="178"/>
    </row>
    <row r="447" spans="3:9" x14ac:dyDescent="0.2">
      <c r="C447" s="178"/>
      <c r="D447" s="178"/>
      <c r="E447" s="178"/>
      <c r="F447" s="178"/>
      <c r="G447" s="180"/>
      <c r="H447" s="180"/>
      <c r="I447" s="178"/>
    </row>
    <row r="448" spans="3:9" x14ac:dyDescent="0.2">
      <c r="C448" s="178"/>
      <c r="D448" s="178"/>
      <c r="E448" s="178"/>
      <c r="F448" s="178"/>
      <c r="G448" s="180"/>
      <c r="H448" s="180"/>
      <c r="I448" s="178"/>
    </row>
    <row r="449" spans="3:9" x14ac:dyDescent="0.2">
      <c r="C449" s="178"/>
      <c r="D449" s="178"/>
      <c r="E449" s="178"/>
      <c r="F449" s="178"/>
      <c r="G449" s="180"/>
      <c r="H449" s="180"/>
      <c r="I449" s="178"/>
    </row>
    <row r="450" spans="3:9" x14ac:dyDescent="0.2">
      <c r="C450" s="178"/>
      <c r="D450" s="178"/>
      <c r="E450" s="178"/>
      <c r="F450" s="178"/>
      <c r="G450" s="180"/>
      <c r="H450" s="180"/>
      <c r="I450" s="178"/>
    </row>
    <row r="451" spans="3:9" x14ac:dyDescent="0.2">
      <c r="C451" s="178"/>
      <c r="D451" s="178"/>
      <c r="E451" s="178"/>
      <c r="F451" s="178"/>
      <c r="G451" s="180"/>
      <c r="H451" s="180"/>
      <c r="I451" s="178"/>
    </row>
    <row r="452" spans="3:9" x14ac:dyDescent="0.2">
      <c r="C452" s="178"/>
      <c r="D452" s="178"/>
      <c r="E452" s="178"/>
      <c r="F452" s="178"/>
      <c r="G452" s="180"/>
      <c r="H452" s="180"/>
      <c r="I452" s="178"/>
    </row>
    <row r="453" spans="3:9" x14ac:dyDescent="0.2">
      <c r="C453" s="178"/>
      <c r="D453" s="178"/>
      <c r="E453" s="178"/>
      <c r="F453" s="178"/>
      <c r="G453" s="180"/>
      <c r="H453" s="180"/>
      <c r="I453" s="178"/>
    </row>
    <row r="454" spans="3:9" x14ac:dyDescent="0.2">
      <c r="C454" s="178"/>
      <c r="D454" s="178"/>
      <c r="E454" s="178"/>
      <c r="F454" s="178"/>
      <c r="G454" s="180"/>
      <c r="H454" s="180"/>
      <c r="I454" s="178"/>
    </row>
    <row r="455" spans="3:9" x14ac:dyDescent="0.2">
      <c r="C455" s="178"/>
      <c r="D455" s="178"/>
      <c r="E455" s="178"/>
      <c r="F455" s="178"/>
      <c r="G455" s="180"/>
      <c r="H455" s="180"/>
      <c r="I455" s="178"/>
    </row>
    <row r="456" spans="3:9" x14ac:dyDescent="0.2">
      <c r="C456" s="178"/>
      <c r="D456" s="178"/>
      <c r="E456" s="178"/>
      <c r="F456" s="178"/>
      <c r="G456" s="180"/>
      <c r="H456" s="180"/>
      <c r="I456" s="178"/>
    </row>
    <row r="457" spans="3:9" x14ac:dyDescent="0.2">
      <c r="C457" s="178"/>
      <c r="D457" s="178"/>
      <c r="E457" s="178"/>
      <c r="F457" s="178"/>
      <c r="G457" s="180"/>
      <c r="H457" s="180"/>
      <c r="I457" s="178"/>
    </row>
    <row r="458" spans="3:9" x14ac:dyDescent="0.2">
      <c r="C458" s="178"/>
      <c r="D458" s="178"/>
      <c r="E458" s="178"/>
      <c r="F458" s="178"/>
      <c r="G458" s="180"/>
      <c r="H458" s="180"/>
      <c r="I458" s="178"/>
    </row>
    <row r="459" spans="3:9" x14ac:dyDescent="0.2">
      <c r="C459" s="178"/>
      <c r="D459" s="178"/>
      <c r="E459" s="178"/>
      <c r="F459" s="178"/>
      <c r="G459" s="180"/>
      <c r="H459" s="180"/>
      <c r="I459" s="178"/>
    </row>
    <row r="460" spans="3:9" x14ac:dyDescent="0.2">
      <c r="C460" s="178"/>
      <c r="D460" s="178"/>
      <c r="E460" s="178"/>
      <c r="F460" s="178"/>
      <c r="G460" s="180"/>
      <c r="H460" s="180"/>
      <c r="I460" s="178"/>
    </row>
    <row r="461" spans="3:9" x14ac:dyDescent="0.2">
      <c r="C461" s="178"/>
      <c r="D461" s="178"/>
      <c r="E461" s="178"/>
      <c r="F461" s="178"/>
      <c r="G461" s="180"/>
      <c r="H461" s="180"/>
      <c r="I461" s="178"/>
    </row>
    <row r="462" spans="3:9" x14ac:dyDescent="0.2">
      <c r="C462" s="178"/>
      <c r="D462" s="178"/>
      <c r="E462" s="178"/>
      <c r="F462" s="178"/>
      <c r="G462" s="180"/>
      <c r="H462" s="180"/>
      <c r="I462" s="178"/>
    </row>
    <row r="463" spans="3:9" x14ac:dyDescent="0.2">
      <c r="C463" s="178"/>
      <c r="D463" s="178"/>
      <c r="E463" s="178"/>
      <c r="F463" s="178"/>
      <c r="G463" s="180"/>
      <c r="H463" s="180"/>
      <c r="I463" s="178"/>
    </row>
    <row r="464" spans="3:9" x14ac:dyDescent="0.2">
      <c r="C464" s="178"/>
      <c r="D464" s="178"/>
      <c r="E464" s="178"/>
      <c r="F464" s="178"/>
      <c r="G464" s="180"/>
      <c r="H464" s="180"/>
      <c r="I464" s="178"/>
    </row>
    <row r="465" spans="3:9" x14ac:dyDescent="0.2">
      <c r="C465" s="178"/>
      <c r="D465" s="178"/>
      <c r="E465" s="178"/>
      <c r="F465" s="178"/>
      <c r="G465" s="180"/>
      <c r="H465" s="180"/>
      <c r="I465" s="178"/>
    </row>
    <row r="466" spans="3:9" x14ac:dyDescent="0.2">
      <c r="C466" s="178"/>
      <c r="D466" s="178"/>
      <c r="E466" s="178"/>
      <c r="F466" s="178"/>
      <c r="G466" s="180"/>
      <c r="H466" s="180"/>
      <c r="I466" s="178"/>
    </row>
    <row r="467" spans="3:9" x14ac:dyDescent="0.2">
      <c r="C467" s="178"/>
      <c r="D467" s="178"/>
      <c r="E467" s="178"/>
      <c r="F467" s="178"/>
      <c r="G467" s="180"/>
      <c r="H467" s="180"/>
      <c r="I467" s="178"/>
    </row>
    <row r="468" spans="3:9" x14ac:dyDescent="0.2">
      <c r="C468" s="178"/>
      <c r="D468" s="178"/>
      <c r="E468" s="178"/>
      <c r="F468" s="178"/>
      <c r="G468" s="180"/>
      <c r="H468" s="180"/>
      <c r="I468" s="178"/>
    </row>
    <row r="469" spans="3:9" x14ac:dyDescent="0.2">
      <c r="C469" s="178"/>
      <c r="D469" s="178"/>
      <c r="E469" s="178"/>
      <c r="F469" s="178"/>
      <c r="G469" s="180"/>
      <c r="H469" s="180"/>
      <c r="I469" s="178"/>
    </row>
    <row r="470" spans="3:9" x14ac:dyDescent="0.2">
      <c r="C470" s="178"/>
      <c r="D470" s="178"/>
      <c r="E470" s="178"/>
      <c r="F470" s="178"/>
      <c r="G470" s="180"/>
      <c r="H470" s="180"/>
      <c r="I470" s="178"/>
    </row>
    <row r="471" spans="3:9" x14ac:dyDescent="0.2">
      <c r="C471" s="178"/>
      <c r="D471" s="178"/>
      <c r="E471" s="178"/>
      <c r="F471" s="178"/>
      <c r="G471" s="180"/>
      <c r="H471" s="180"/>
      <c r="I471" s="178"/>
    </row>
    <row r="472" spans="3:9" x14ac:dyDescent="0.2">
      <c r="C472" s="178"/>
      <c r="D472" s="178"/>
      <c r="E472" s="178"/>
      <c r="F472" s="178"/>
      <c r="G472" s="180"/>
      <c r="H472" s="180"/>
      <c r="I472" s="178"/>
    </row>
    <row r="473" spans="3:9" x14ac:dyDescent="0.2">
      <c r="C473" s="178"/>
      <c r="D473" s="178"/>
      <c r="E473" s="178"/>
      <c r="F473" s="178"/>
      <c r="G473" s="180"/>
      <c r="H473" s="180"/>
      <c r="I473" s="178"/>
    </row>
    <row r="474" spans="3:9" x14ac:dyDescent="0.2">
      <c r="C474" s="178"/>
      <c r="D474" s="178"/>
      <c r="E474" s="178"/>
      <c r="F474" s="178"/>
      <c r="G474" s="180"/>
      <c r="H474" s="180"/>
      <c r="I474" s="178"/>
    </row>
    <row r="475" spans="3:9" x14ac:dyDescent="0.2">
      <c r="C475" s="178"/>
      <c r="D475" s="178"/>
      <c r="E475" s="178"/>
      <c r="F475" s="178"/>
      <c r="G475" s="180"/>
      <c r="H475" s="180"/>
      <c r="I475" s="178"/>
    </row>
    <row r="476" spans="3:9" x14ac:dyDescent="0.2">
      <c r="C476" s="178"/>
      <c r="D476" s="178"/>
      <c r="E476" s="178"/>
      <c r="F476" s="178"/>
      <c r="G476" s="180"/>
      <c r="H476" s="180"/>
      <c r="I476" s="178"/>
    </row>
    <row r="477" spans="3:9" x14ac:dyDescent="0.2">
      <c r="C477" s="178"/>
      <c r="D477" s="178"/>
      <c r="E477" s="178"/>
      <c r="F477" s="178"/>
      <c r="G477" s="180"/>
      <c r="H477" s="180"/>
      <c r="I477" s="178"/>
    </row>
    <row r="478" spans="3:9" x14ac:dyDescent="0.2">
      <c r="C478" s="178"/>
      <c r="D478" s="178"/>
      <c r="E478" s="178"/>
      <c r="F478" s="178"/>
      <c r="G478" s="180"/>
      <c r="H478" s="180"/>
      <c r="I478" s="178"/>
    </row>
    <row r="479" spans="3:9" x14ac:dyDescent="0.2">
      <c r="C479" s="178"/>
      <c r="D479" s="178"/>
      <c r="E479" s="178"/>
      <c r="F479" s="178"/>
      <c r="G479" s="180"/>
      <c r="H479" s="180"/>
      <c r="I479" s="178"/>
    </row>
    <row r="480" spans="3:9" x14ac:dyDescent="0.2">
      <c r="C480" s="178"/>
      <c r="D480" s="178"/>
      <c r="E480" s="178"/>
      <c r="F480" s="178"/>
      <c r="G480" s="180"/>
      <c r="H480" s="180"/>
      <c r="I480" s="178"/>
    </row>
    <row r="481" spans="3:9" x14ac:dyDescent="0.2">
      <c r="C481" s="178"/>
      <c r="D481" s="178"/>
      <c r="E481" s="178"/>
      <c r="F481" s="178"/>
      <c r="G481" s="180"/>
      <c r="H481" s="180"/>
      <c r="I481" s="178"/>
    </row>
    <row r="482" spans="3:9" x14ac:dyDescent="0.2">
      <c r="C482" s="178"/>
      <c r="D482" s="178"/>
      <c r="E482" s="178"/>
      <c r="F482" s="178"/>
      <c r="G482" s="180"/>
      <c r="H482" s="180"/>
      <c r="I482" s="178"/>
    </row>
    <row r="483" spans="3:9" x14ac:dyDescent="0.2">
      <c r="C483" s="178"/>
      <c r="D483" s="178"/>
      <c r="E483" s="178"/>
      <c r="F483" s="178"/>
      <c r="G483" s="180"/>
      <c r="H483" s="180"/>
      <c r="I483" s="178"/>
    </row>
    <row r="484" spans="3:9" x14ac:dyDescent="0.2">
      <c r="C484" s="178"/>
      <c r="D484" s="178"/>
      <c r="E484" s="178"/>
      <c r="F484" s="178"/>
      <c r="G484" s="180"/>
      <c r="H484" s="180"/>
      <c r="I484" s="178"/>
    </row>
    <row r="485" spans="3:9" x14ac:dyDescent="0.2">
      <c r="C485" s="178"/>
      <c r="D485" s="178"/>
      <c r="E485" s="178"/>
      <c r="F485" s="178"/>
      <c r="G485" s="180"/>
      <c r="H485" s="180"/>
      <c r="I485" s="178"/>
    </row>
    <row r="486" spans="3:9" x14ac:dyDescent="0.2">
      <c r="C486" s="178"/>
      <c r="D486" s="178"/>
      <c r="E486" s="178"/>
      <c r="F486" s="178"/>
      <c r="G486" s="180"/>
      <c r="H486" s="180"/>
      <c r="I486" s="178"/>
    </row>
    <row r="487" spans="3:9" x14ac:dyDescent="0.2">
      <c r="C487" s="178"/>
      <c r="D487" s="178"/>
      <c r="E487" s="178"/>
      <c r="F487" s="178"/>
      <c r="G487" s="180"/>
      <c r="H487" s="180"/>
      <c r="I487" s="178"/>
    </row>
    <row r="488" spans="3:9" x14ac:dyDescent="0.2">
      <c r="C488" s="178"/>
      <c r="D488" s="178"/>
      <c r="E488" s="178"/>
      <c r="F488" s="178"/>
      <c r="G488" s="180"/>
      <c r="H488" s="180"/>
      <c r="I488" s="178"/>
    </row>
    <row r="489" spans="3:9" x14ac:dyDescent="0.2">
      <c r="C489" s="178"/>
      <c r="D489" s="178"/>
      <c r="E489" s="178"/>
      <c r="F489" s="178"/>
      <c r="G489" s="180"/>
      <c r="H489" s="180"/>
      <c r="I489" s="178"/>
    </row>
    <row r="490" spans="3:9" x14ac:dyDescent="0.2">
      <c r="C490" s="178"/>
      <c r="D490" s="178"/>
      <c r="E490" s="178"/>
      <c r="F490" s="178"/>
      <c r="G490" s="180"/>
      <c r="H490" s="180"/>
      <c r="I490" s="178"/>
    </row>
    <row r="491" spans="3:9" x14ac:dyDescent="0.2">
      <c r="C491" s="178"/>
      <c r="D491" s="178"/>
      <c r="E491" s="178"/>
      <c r="F491" s="178"/>
      <c r="G491" s="180"/>
      <c r="H491" s="180"/>
      <c r="I491" s="178"/>
    </row>
    <row r="492" spans="3:9" x14ac:dyDescent="0.2">
      <c r="C492" s="178"/>
      <c r="D492" s="178"/>
      <c r="E492" s="178"/>
      <c r="F492" s="178"/>
      <c r="G492" s="180"/>
      <c r="H492" s="180"/>
      <c r="I492" s="178"/>
    </row>
    <row r="493" spans="3:9" x14ac:dyDescent="0.2">
      <c r="C493" s="178"/>
      <c r="D493" s="178"/>
      <c r="E493" s="178"/>
      <c r="F493" s="178"/>
      <c r="G493" s="180"/>
      <c r="H493" s="180"/>
      <c r="I493" s="178"/>
    </row>
    <row r="494" spans="3:9" x14ac:dyDescent="0.2">
      <c r="C494" s="178"/>
      <c r="D494" s="178"/>
      <c r="E494" s="178"/>
      <c r="F494" s="178"/>
      <c r="G494" s="180"/>
      <c r="H494" s="180"/>
      <c r="I494" s="178"/>
    </row>
    <row r="495" spans="3:9" x14ac:dyDescent="0.2">
      <c r="C495" s="178"/>
      <c r="D495" s="178"/>
      <c r="E495" s="178"/>
      <c r="F495" s="178"/>
      <c r="G495" s="180"/>
      <c r="H495" s="180"/>
      <c r="I495" s="178"/>
    </row>
    <row r="496" spans="3:9" x14ac:dyDescent="0.2">
      <c r="C496" s="178"/>
      <c r="D496" s="178"/>
      <c r="E496" s="178"/>
      <c r="F496" s="178"/>
      <c r="G496" s="180"/>
      <c r="H496" s="180"/>
      <c r="I496" s="178"/>
    </row>
    <row r="497" spans="3:9" x14ac:dyDescent="0.2">
      <c r="C497" s="178"/>
      <c r="D497" s="178"/>
      <c r="E497" s="178"/>
      <c r="F497" s="178"/>
      <c r="G497" s="180"/>
      <c r="H497" s="180"/>
      <c r="I497" s="178"/>
    </row>
    <row r="498" spans="3:9" x14ac:dyDescent="0.2">
      <c r="C498" s="178"/>
      <c r="D498" s="178"/>
      <c r="E498" s="178"/>
      <c r="F498" s="178"/>
      <c r="G498" s="180"/>
      <c r="H498" s="180"/>
      <c r="I498" s="178"/>
    </row>
    <row r="499" spans="3:9" x14ac:dyDescent="0.2">
      <c r="C499" s="178"/>
      <c r="D499" s="178"/>
      <c r="E499" s="178"/>
      <c r="F499" s="178"/>
      <c r="G499" s="180"/>
      <c r="H499" s="180"/>
      <c r="I499" s="178"/>
    </row>
    <row r="500" spans="3:9" x14ac:dyDescent="0.2">
      <c r="C500" s="178"/>
      <c r="D500" s="178"/>
      <c r="E500" s="178"/>
      <c r="F500" s="178"/>
      <c r="G500" s="180"/>
      <c r="H500" s="180"/>
      <c r="I500" s="178"/>
    </row>
    <row r="501" spans="3:9" x14ac:dyDescent="0.2">
      <c r="C501" s="178"/>
      <c r="D501" s="178"/>
      <c r="E501" s="178"/>
      <c r="F501" s="178"/>
      <c r="G501" s="180"/>
      <c r="H501" s="180"/>
      <c r="I501" s="178"/>
    </row>
    <row r="502" spans="3:9" x14ac:dyDescent="0.2">
      <c r="C502" s="178"/>
      <c r="D502" s="178"/>
      <c r="E502" s="178"/>
      <c r="F502" s="178"/>
      <c r="G502" s="180"/>
      <c r="H502" s="180"/>
      <c r="I502" s="178"/>
    </row>
    <row r="503" spans="3:9" x14ac:dyDescent="0.2">
      <c r="C503" s="178"/>
      <c r="D503" s="178"/>
      <c r="E503" s="178"/>
      <c r="F503" s="178"/>
      <c r="G503" s="180"/>
      <c r="H503" s="180"/>
      <c r="I503" s="178"/>
    </row>
    <row r="504" spans="3:9" x14ac:dyDescent="0.2">
      <c r="C504" s="178"/>
      <c r="D504" s="178"/>
      <c r="E504" s="178"/>
      <c r="F504" s="178"/>
      <c r="G504" s="180"/>
      <c r="H504" s="180"/>
      <c r="I504" s="178"/>
    </row>
    <row r="505" spans="3:9" x14ac:dyDescent="0.2">
      <c r="C505" s="178"/>
      <c r="D505" s="178"/>
      <c r="E505" s="178"/>
      <c r="F505" s="178"/>
      <c r="G505" s="180"/>
      <c r="H505" s="180"/>
      <c r="I505" s="178"/>
    </row>
    <row r="506" spans="3:9" x14ac:dyDescent="0.2">
      <c r="C506" s="178"/>
      <c r="D506" s="178"/>
      <c r="E506" s="178"/>
      <c r="F506" s="178"/>
      <c r="G506" s="180"/>
      <c r="H506" s="180"/>
      <c r="I506" s="178"/>
    </row>
    <row r="507" spans="3:9" x14ac:dyDescent="0.2">
      <c r="C507" s="178"/>
      <c r="D507" s="178"/>
      <c r="E507" s="178"/>
      <c r="F507" s="178"/>
      <c r="G507" s="180"/>
      <c r="H507" s="180"/>
      <c r="I507" s="178"/>
    </row>
    <row r="508" spans="3:9" x14ac:dyDescent="0.2">
      <c r="C508" s="178"/>
      <c r="D508" s="178"/>
      <c r="E508" s="178"/>
      <c r="F508" s="178"/>
      <c r="G508" s="180"/>
      <c r="H508" s="180"/>
      <c r="I508" s="178"/>
    </row>
    <row r="509" spans="3:9" x14ac:dyDescent="0.2">
      <c r="C509" s="178"/>
      <c r="D509" s="178"/>
      <c r="E509" s="178"/>
      <c r="F509" s="178"/>
      <c r="G509" s="180"/>
      <c r="H509" s="180"/>
      <c r="I509" s="178"/>
    </row>
    <row r="510" spans="3:9" x14ac:dyDescent="0.2">
      <c r="C510" s="178"/>
      <c r="D510" s="178"/>
      <c r="E510" s="178"/>
      <c r="F510" s="178"/>
      <c r="G510" s="180"/>
      <c r="H510" s="180"/>
      <c r="I510" s="178"/>
    </row>
    <row r="511" spans="3:9" x14ac:dyDescent="0.2">
      <c r="C511" s="178"/>
      <c r="D511" s="178"/>
      <c r="E511" s="178"/>
      <c r="F511" s="178"/>
      <c r="G511" s="180"/>
      <c r="H511" s="180"/>
      <c r="I511" s="178"/>
    </row>
    <row r="512" spans="3:9" x14ac:dyDescent="0.2">
      <c r="C512" s="178"/>
      <c r="D512" s="178"/>
      <c r="E512" s="178"/>
      <c r="F512" s="178"/>
      <c r="G512" s="180"/>
      <c r="H512" s="180"/>
      <c r="I512" s="178"/>
    </row>
    <row r="513" spans="3:9" x14ac:dyDescent="0.2">
      <c r="C513" s="178"/>
      <c r="D513" s="178"/>
      <c r="E513" s="178"/>
      <c r="F513" s="178"/>
      <c r="G513" s="180"/>
      <c r="H513" s="180"/>
      <c r="I513" s="178"/>
    </row>
    <row r="514" spans="3:9" x14ac:dyDescent="0.2">
      <c r="C514" s="178"/>
      <c r="D514" s="178"/>
      <c r="E514" s="178"/>
      <c r="F514" s="178"/>
      <c r="G514" s="180"/>
      <c r="H514" s="180"/>
      <c r="I514" s="178"/>
    </row>
    <row r="515" spans="3:9" x14ac:dyDescent="0.2">
      <c r="C515" s="178"/>
      <c r="D515" s="178"/>
      <c r="E515" s="178"/>
      <c r="F515" s="178"/>
      <c r="G515" s="180"/>
      <c r="H515" s="180"/>
      <c r="I515" s="178"/>
    </row>
    <row r="516" spans="3:9" x14ac:dyDescent="0.2">
      <c r="C516" s="178"/>
      <c r="D516" s="178"/>
      <c r="E516" s="178"/>
      <c r="F516" s="178"/>
      <c r="G516" s="180"/>
      <c r="H516" s="180"/>
      <c r="I516" s="178"/>
    </row>
    <row r="517" spans="3:9" x14ac:dyDescent="0.2">
      <c r="C517" s="178"/>
      <c r="D517" s="178"/>
      <c r="E517" s="178"/>
      <c r="F517" s="178"/>
      <c r="G517" s="180"/>
      <c r="H517" s="180"/>
      <c r="I517" s="178"/>
    </row>
    <row r="518" spans="3:9" x14ac:dyDescent="0.2">
      <c r="C518" s="178"/>
      <c r="D518" s="178"/>
      <c r="E518" s="178"/>
      <c r="F518" s="178"/>
      <c r="G518" s="180"/>
      <c r="H518" s="180"/>
      <c r="I518" s="178"/>
    </row>
    <row r="519" spans="3:9" x14ac:dyDescent="0.2">
      <c r="C519" s="178"/>
      <c r="D519" s="178"/>
      <c r="E519" s="178"/>
      <c r="F519" s="178"/>
      <c r="G519" s="180"/>
      <c r="H519" s="180"/>
      <c r="I519" s="178"/>
    </row>
    <row r="520" spans="3:9" x14ac:dyDescent="0.2">
      <c r="C520" s="178"/>
      <c r="D520" s="178"/>
      <c r="E520" s="178"/>
      <c r="F520" s="178"/>
      <c r="G520" s="180"/>
      <c r="H520" s="180"/>
      <c r="I520" s="178"/>
    </row>
    <row r="521" spans="3:9" x14ac:dyDescent="0.2">
      <c r="C521" s="178"/>
      <c r="D521" s="178"/>
      <c r="E521" s="178"/>
      <c r="F521" s="178"/>
      <c r="G521" s="180"/>
      <c r="H521" s="180"/>
      <c r="I521" s="178"/>
    </row>
    <row r="522" spans="3:9" x14ac:dyDescent="0.2">
      <c r="C522" s="178"/>
      <c r="D522" s="178"/>
      <c r="E522" s="178"/>
      <c r="F522" s="178"/>
      <c r="G522" s="180"/>
      <c r="H522" s="180"/>
      <c r="I522" s="178"/>
    </row>
    <row r="523" spans="3:9" x14ac:dyDescent="0.2">
      <c r="C523" s="178"/>
      <c r="D523" s="178"/>
      <c r="E523" s="178"/>
      <c r="F523" s="178"/>
      <c r="G523" s="180"/>
      <c r="H523" s="180"/>
      <c r="I523" s="178"/>
    </row>
    <row r="524" spans="3:9" x14ac:dyDescent="0.2">
      <c r="C524" s="178"/>
      <c r="D524" s="178"/>
      <c r="E524" s="178"/>
      <c r="F524" s="178"/>
      <c r="G524" s="180"/>
      <c r="H524" s="180"/>
      <c r="I524" s="178"/>
    </row>
    <row r="525" spans="3:9" x14ac:dyDescent="0.2">
      <c r="C525" s="178"/>
      <c r="D525" s="178"/>
      <c r="E525" s="178"/>
      <c r="F525" s="178"/>
      <c r="G525" s="180"/>
      <c r="H525" s="180"/>
      <c r="I525" s="178"/>
    </row>
    <row r="526" spans="3:9" x14ac:dyDescent="0.2">
      <c r="C526" s="178"/>
      <c r="D526" s="178"/>
      <c r="E526" s="178"/>
      <c r="F526" s="178"/>
      <c r="G526" s="180"/>
      <c r="H526" s="180"/>
      <c r="I526" s="178"/>
    </row>
    <row r="527" spans="3:9" x14ac:dyDescent="0.2">
      <c r="C527" s="178"/>
      <c r="D527" s="178"/>
      <c r="E527" s="178"/>
      <c r="F527" s="178"/>
      <c r="G527" s="180"/>
      <c r="H527" s="180"/>
      <c r="I527" s="178"/>
    </row>
    <row r="528" spans="3:9" x14ac:dyDescent="0.2">
      <c r="C528" s="178"/>
      <c r="D528" s="178"/>
      <c r="E528" s="178"/>
      <c r="F528" s="178"/>
      <c r="G528" s="180"/>
      <c r="H528" s="180"/>
      <c r="I528" s="178"/>
    </row>
    <row r="529" spans="3:9" x14ac:dyDescent="0.2">
      <c r="C529" s="178"/>
      <c r="D529" s="178"/>
      <c r="E529" s="178"/>
      <c r="F529" s="178"/>
      <c r="G529" s="180"/>
      <c r="H529" s="180"/>
      <c r="I529" s="178"/>
    </row>
    <row r="530" spans="3:9" x14ac:dyDescent="0.2">
      <c r="C530" s="178"/>
      <c r="D530" s="178"/>
      <c r="E530" s="178"/>
      <c r="F530" s="178"/>
      <c r="G530" s="180"/>
      <c r="H530" s="180"/>
      <c r="I530" s="178"/>
    </row>
    <row r="531" spans="3:9" x14ac:dyDescent="0.2">
      <c r="C531" s="178"/>
      <c r="D531" s="178"/>
      <c r="E531" s="178"/>
      <c r="F531" s="178"/>
      <c r="G531" s="180"/>
      <c r="H531" s="180"/>
      <c r="I531" s="178"/>
    </row>
    <row r="532" spans="3:9" x14ac:dyDescent="0.2">
      <c r="C532" s="178"/>
      <c r="D532" s="178"/>
      <c r="E532" s="178"/>
      <c r="F532" s="178"/>
      <c r="G532" s="180"/>
      <c r="H532" s="180"/>
      <c r="I532" s="178"/>
    </row>
    <row r="533" spans="3:9" x14ac:dyDescent="0.2">
      <c r="C533" s="178"/>
      <c r="D533" s="178"/>
      <c r="E533" s="178"/>
      <c r="F533" s="178"/>
      <c r="G533" s="180"/>
      <c r="H533" s="180"/>
      <c r="I533" s="178"/>
    </row>
    <row r="534" spans="3:9" x14ac:dyDescent="0.2">
      <c r="C534" s="178"/>
      <c r="D534" s="178"/>
      <c r="E534" s="178"/>
      <c r="F534" s="178"/>
      <c r="G534" s="180"/>
      <c r="H534" s="180"/>
      <c r="I534" s="178"/>
    </row>
    <row r="535" spans="3:9" x14ac:dyDescent="0.2">
      <c r="C535" s="178"/>
      <c r="D535" s="178"/>
      <c r="E535" s="178"/>
      <c r="F535" s="178"/>
      <c r="G535" s="180"/>
      <c r="H535" s="180"/>
      <c r="I535" s="178"/>
    </row>
    <row r="536" spans="3:9" x14ac:dyDescent="0.2">
      <c r="C536" s="178"/>
      <c r="D536" s="178"/>
      <c r="E536" s="178"/>
      <c r="F536" s="178"/>
      <c r="G536" s="180"/>
      <c r="H536" s="180"/>
      <c r="I536" s="178"/>
    </row>
    <row r="537" spans="3:9" x14ac:dyDescent="0.2">
      <c r="C537" s="178"/>
      <c r="D537" s="178"/>
      <c r="E537" s="178"/>
      <c r="F537" s="178"/>
      <c r="G537" s="180"/>
      <c r="H537" s="180"/>
      <c r="I537" s="178"/>
    </row>
    <row r="538" spans="3:9" x14ac:dyDescent="0.2">
      <c r="C538" s="178"/>
      <c r="D538" s="178"/>
      <c r="E538" s="178"/>
      <c r="F538" s="178"/>
      <c r="G538" s="180"/>
      <c r="H538" s="180"/>
      <c r="I538" s="178"/>
    </row>
    <row r="539" spans="3:9" x14ac:dyDescent="0.2">
      <c r="C539" s="178"/>
      <c r="D539" s="178"/>
      <c r="E539" s="178"/>
      <c r="F539" s="178"/>
      <c r="G539" s="180"/>
      <c r="H539" s="180"/>
      <c r="I539" s="178"/>
    </row>
    <row r="540" spans="3:9" x14ac:dyDescent="0.2">
      <c r="C540" s="178"/>
      <c r="D540" s="178"/>
      <c r="E540" s="178"/>
      <c r="F540" s="178"/>
      <c r="G540" s="180"/>
      <c r="H540" s="180"/>
      <c r="I540" s="178"/>
    </row>
    <row r="541" spans="3:9" x14ac:dyDescent="0.2">
      <c r="C541" s="178"/>
      <c r="D541" s="178"/>
      <c r="E541" s="178"/>
      <c r="F541" s="178"/>
      <c r="G541" s="180"/>
      <c r="H541" s="180"/>
      <c r="I541" s="178"/>
    </row>
    <row r="542" spans="3:9" x14ac:dyDescent="0.2">
      <c r="C542" s="178"/>
      <c r="D542" s="178"/>
      <c r="E542" s="178"/>
      <c r="F542" s="178"/>
      <c r="G542" s="180"/>
      <c r="H542" s="180"/>
      <c r="I542" s="178"/>
    </row>
    <row r="543" spans="3:9" x14ac:dyDescent="0.2">
      <c r="C543" s="178"/>
      <c r="D543" s="178"/>
      <c r="E543" s="178"/>
      <c r="F543" s="178"/>
      <c r="G543" s="180"/>
      <c r="H543" s="180"/>
      <c r="I543" s="178"/>
    </row>
    <row r="544" spans="3:9" x14ac:dyDescent="0.2">
      <c r="C544" s="178"/>
      <c r="D544" s="178"/>
      <c r="E544" s="178"/>
      <c r="F544" s="178"/>
      <c r="G544" s="180"/>
      <c r="H544" s="180"/>
      <c r="I544" s="178"/>
    </row>
    <row r="545" spans="3:9" x14ac:dyDescent="0.2">
      <c r="C545" s="178"/>
      <c r="D545" s="178"/>
      <c r="E545" s="178"/>
      <c r="F545" s="178"/>
      <c r="G545" s="180"/>
      <c r="H545" s="180"/>
      <c r="I545" s="178"/>
    </row>
    <row r="546" spans="3:9" x14ac:dyDescent="0.2">
      <c r="C546" s="178"/>
      <c r="D546" s="178"/>
      <c r="E546" s="178"/>
      <c r="F546" s="178"/>
      <c r="G546" s="180"/>
      <c r="H546" s="180"/>
      <c r="I546" s="178"/>
    </row>
    <row r="547" spans="3:9" x14ac:dyDescent="0.2">
      <c r="C547" s="178"/>
      <c r="D547" s="178"/>
      <c r="E547" s="178"/>
      <c r="F547" s="178"/>
      <c r="G547" s="180"/>
      <c r="H547" s="180"/>
      <c r="I547" s="178"/>
    </row>
    <row r="548" spans="3:9" x14ac:dyDescent="0.2">
      <c r="C548" s="178"/>
      <c r="D548" s="178"/>
      <c r="E548" s="178"/>
      <c r="F548" s="178"/>
      <c r="G548" s="180"/>
      <c r="H548" s="180"/>
      <c r="I548" s="178"/>
    </row>
    <row r="549" spans="3:9" x14ac:dyDescent="0.2">
      <c r="C549" s="178"/>
      <c r="D549" s="178"/>
      <c r="E549" s="178"/>
      <c r="F549" s="178"/>
      <c r="G549" s="180"/>
      <c r="H549" s="180"/>
      <c r="I549" s="178"/>
    </row>
    <row r="550" spans="3:9" x14ac:dyDescent="0.2">
      <c r="C550" s="178"/>
      <c r="D550" s="178"/>
      <c r="E550" s="178"/>
      <c r="F550" s="178"/>
      <c r="G550" s="180"/>
      <c r="H550" s="180"/>
      <c r="I550" s="178"/>
    </row>
    <row r="551" spans="3:9" x14ac:dyDescent="0.2">
      <c r="C551" s="178"/>
      <c r="D551" s="178"/>
      <c r="E551" s="178"/>
      <c r="F551" s="178"/>
      <c r="G551" s="180"/>
      <c r="H551" s="180"/>
      <c r="I551" s="178"/>
    </row>
    <row r="552" spans="3:9" x14ac:dyDescent="0.2">
      <c r="C552" s="178"/>
      <c r="D552" s="178"/>
      <c r="E552" s="178"/>
      <c r="F552" s="178"/>
      <c r="G552" s="180"/>
      <c r="H552" s="180"/>
      <c r="I552" s="178"/>
    </row>
    <row r="553" spans="3:9" x14ac:dyDescent="0.2">
      <c r="C553" s="178"/>
      <c r="D553" s="178"/>
      <c r="E553" s="178"/>
      <c r="F553" s="178"/>
      <c r="G553" s="180"/>
      <c r="H553" s="180"/>
      <c r="I553" s="178"/>
    </row>
    <row r="554" spans="3:9" x14ac:dyDescent="0.2">
      <c r="C554" s="178"/>
      <c r="D554" s="178"/>
      <c r="E554" s="178"/>
      <c r="F554" s="178"/>
      <c r="G554" s="180"/>
      <c r="H554" s="180"/>
      <c r="I554" s="178"/>
    </row>
    <row r="555" spans="3:9" x14ac:dyDescent="0.2">
      <c r="C555" s="178"/>
      <c r="D555" s="178"/>
      <c r="E555" s="178"/>
      <c r="F555" s="178"/>
      <c r="G555" s="180"/>
      <c r="H555" s="180"/>
      <c r="I555" s="178"/>
    </row>
    <row r="556" spans="3:9" x14ac:dyDescent="0.2">
      <c r="C556" s="178"/>
      <c r="D556" s="178"/>
      <c r="E556" s="178"/>
      <c r="F556" s="178"/>
      <c r="G556" s="180"/>
      <c r="H556" s="180"/>
      <c r="I556" s="178"/>
    </row>
    <row r="557" spans="3:9" x14ac:dyDescent="0.2">
      <c r="C557" s="178"/>
      <c r="D557" s="178"/>
      <c r="E557" s="178"/>
      <c r="F557" s="178"/>
      <c r="G557" s="180"/>
      <c r="H557" s="180"/>
      <c r="I557" s="178"/>
    </row>
    <row r="558" spans="3:9" x14ac:dyDescent="0.2">
      <c r="C558" s="178"/>
      <c r="D558" s="178"/>
      <c r="E558" s="178"/>
      <c r="F558" s="178"/>
      <c r="G558" s="180"/>
      <c r="H558" s="180"/>
      <c r="I558" s="178"/>
    </row>
    <row r="559" spans="3:9" x14ac:dyDescent="0.2">
      <c r="C559" s="178"/>
      <c r="D559" s="178"/>
      <c r="E559" s="178"/>
      <c r="F559" s="178"/>
      <c r="G559" s="180"/>
      <c r="H559" s="180"/>
      <c r="I559" s="178"/>
    </row>
    <row r="560" spans="3:9" x14ac:dyDescent="0.2">
      <c r="C560" s="178"/>
      <c r="D560" s="178"/>
      <c r="E560" s="178"/>
      <c r="F560" s="178"/>
      <c r="G560" s="180"/>
      <c r="H560" s="180"/>
      <c r="I560" s="178"/>
    </row>
    <row r="561" spans="3:9" x14ac:dyDescent="0.2">
      <c r="C561" s="178"/>
      <c r="D561" s="178"/>
      <c r="E561" s="178"/>
      <c r="F561" s="178"/>
      <c r="G561" s="180"/>
      <c r="H561" s="180"/>
      <c r="I561" s="178"/>
    </row>
    <row r="562" spans="3:9" x14ac:dyDescent="0.2">
      <c r="C562" s="178"/>
      <c r="D562" s="178"/>
      <c r="E562" s="178"/>
      <c r="F562" s="178"/>
      <c r="G562" s="180"/>
      <c r="H562" s="180"/>
      <c r="I562" s="178"/>
    </row>
    <row r="563" spans="3:9" x14ac:dyDescent="0.2">
      <c r="C563" s="178"/>
      <c r="D563" s="178"/>
      <c r="E563" s="178"/>
      <c r="F563" s="178"/>
      <c r="G563" s="180"/>
      <c r="H563" s="180"/>
      <c r="I563" s="178"/>
    </row>
    <row r="564" spans="3:9" x14ac:dyDescent="0.2">
      <c r="C564" s="178"/>
      <c r="D564" s="178"/>
      <c r="E564" s="178"/>
      <c r="F564" s="178"/>
      <c r="G564" s="180"/>
      <c r="H564" s="180"/>
      <c r="I564" s="178"/>
    </row>
    <row r="565" spans="3:9" x14ac:dyDescent="0.2">
      <c r="C565" s="178"/>
      <c r="D565" s="178"/>
      <c r="E565" s="178"/>
      <c r="F565" s="178"/>
      <c r="G565" s="180"/>
      <c r="H565" s="180"/>
      <c r="I565" s="178"/>
    </row>
    <row r="566" spans="3:9" x14ac:dyDescent="0.2">
      <c r="C566" s="178"/>
      <c r="D566" s="178"/>
      <c r="E566" s="178"/>
      <c r="F566" s="178"/>
      <c r="G566" s="180"/>
      <c r="H566" s="180"/>
      <c r="I566" s="178"/>
    </row>
    <row r="567" spans="3:9" x14ac:dyDescent="0.2">
      <c r="C567" s="178"/>
      <c r="D567" s="178"/>
      <c r="E567" s="178"/>
      <c r="F567" s="178"/>
      <c r="G567" s="180"/>
      <c r="H567" s="180"/>
      <c r="I567" s="178"/>
    </row>
    <row r="568" spans="3:9" x14ac:dyDescent="0.2">
      <c r="C568" s="178"/>
      <c r="D568" s="178"/>
      <c r="E568" s="178"/>
      <c r="F568" s="178"/>
      <c r="G568" s="180"/>
      <c r="H568" s="180"/>
      <c r="I568" s="178"/>
    </row>
    <row r="569" spans="3:9" x14ac:dyDescent="0.2">
      <c r="C569" s="178"/>
      <c r="D569" s="178"/>
      <c r="E569" s="178"/>
      <c r="F569" s="178"/>
      <c r="G569" s="180"/>
      <c r="H569" s="180"/>
      <c r="I569" s="178"/>
    </row>
    <row r="570" spans="3:9" x14ac:dyDescent="0.2">
      <c r="C570" s="178"/>
      <c r="D570" s="178"/>
      <c r="E570" s="178"/>
      <c r="F570" s="178"/>
      <c r="G570" s="180"/>
      <c r="H570" s="180"/>
      <c r="I570" s="178"/>
    </row>
    <row r="571" spans="3:9" x14ac:dyDescent="0.2">
      <c r="C571" s="178"/>
      <c r="D571" s="178"/>
      <c r="E571" s="178"/>
      <c r="F571" s="178"/>
      <c r="G571" s="180"/>
      <c r="H571" s="180"/>
      <c r="I571" s="178"/>
    </row>
    <row r="572" spans="3:9" x14ac:dyDescent="0.2">
      <c r="C572" s="178"/>
      <c r="D572" s="178"/>
      <c r="E572" s="178"/>
      <c r="F572" s="178"/>
      <c r="G572" s="180"/>
      <c r="H572" s="180"/>
      <c r="I572" s="178"/>
    </row>
    <row r="573" spans="3:9" x14ac:dyDescent="0.2">
      <c r="C573" s="178"/>
      <c r="D573" s="178"/>
      <c r="E573" s="178"/>
      <c r="F573" s="178"/>
      <c r="G573" s="180"/>
      <c r="H573" s="180"/>
      <c r="I573" s="178"/>
    </row>
    <row r="574" spans="3:9" x14ac:dyDescent="0.2">
      <c r="C574" s="178"/>
      <c r="D574" s="178"/>
      <c r="E574" s="178"/>
      <c r="F574" s="178"/>
      <c r="G574" s="180"/>
      <c r="H574" s="180"/>
      <c r="I574" s="178"/>
    </row>
    <row r="575" spans="3:9" x14ac:dyDescent="0.2">
      <c r="C575" s="178"/>
      <c r="D575" s="178"/>
      <c r="E575" s="178"/>
      <c r="F575" s="178"/>
      <c r="G575" s="180"/>
      <c r="H575" s="180"/>
      <c r="I575" s="178"/>
    </row>
    <row r="576" spans="3:9" x14ac:dyDescent="0.2">
      <c r="C576" s="178"/>
      <c r="D576" s="178"/>
      <c r="E576" s="178"/>
      <c r="F576" s="178"/>
      <c r="G576" s="180"/>
      <c r="H576" s="180"/>
      <c r="I576" s="178"/>
    </row>
    <row r="577" spans="3:9" x14ac:dyDescent="0.2">
      <c r="C577" s="178"/>
      <c r="D577" s="178"/>
      <c r="E577" s="178"/>
      <c r="F577" s="178"/>
      <c r="G577" s="180"/>
      <c r="H577" s="180"/>
      <c r="I577" s="178"/>
    </row>
    <row r="578" spans="3:9" x14ac:dyDescent="0.2">
      <c r="C578" s="178"/>
      <c r="D578" s="178"/>
      <c r="E578" s="178"/>
      <c r="F578" s="178"/>
      <c r="G578" s="180"/>
      <c r="H578" s="180"/>
      <c r="I578" s="178"/>
    </row>
    <row r="579" spans="3:9" x14ac:dyDescent="0.2">
      <c r="C579" s="178"/>
      <c r="D579" s="178"/>
      <c r="E579" s="178"/>
      <c r="F579" s="178"/>
      <c r="G579" s="180"/>
      <c r="H579" s="180"/>
      <c r="I579" s="178"/>
    </row>
    <row r="580" spans="3:9" x14ac:dyDescent="0.2">
      <c r="C580" s="178"/>
      <c r="D580" s="178"/>
      <c r="E580" s="178"/>
      <c r="F580" s="178"/>
      <c r="G580" s="180"/>
      <c r="H580" s="180"/>
      <c r="I580" s="178"/>
    </row>
    <row r="581" spans="3:9" x14ac:dyDescent="0.2">
      <c r="C581" s="178"/>
      <c r="D581" s="178"/>
      <c r="E581" s="178"/>
      <c r="F581" s="178"/>
      <c r="G581" s="180"/>
      <c r="H581" s="180"/>
      <c r="I581" s="178"/>
    </row>
    <row r="582" spans="3:9" x14ac:dyDescent="0.2">
      <c r="C582" s="178"/>
      <c r="D582" s="178"/>
      <c r="E582" s="178"/>
      <c r="F582" s="178"/>
      <c r="G582" s="180"/>
      <c r="H582" s="180"/>
      <c r="I582" s="178"/>
    </row>
    <row r="583" spans="3:9" x14ac:dyDescent="0.2">
      <c r="C583" s="178"/>
      <c r="D583" s="178"/>
      <c r="E583" s="178"/>
      <c r="F583" s="178"/>
      <c r="G583" s="180"/>
      <c r="H583" s="180"/>
      <c r="I583" s="178"/>
    </row>
    <row r="584" spans="3:9" x14ac:dyDescent="0.2">
      <c r="C584" s="178"/>
      <c r="D584" s="178"/>
      <c r="E584" s="178"/>
      <c r="F584" s="178"/>
      <c r="G584" s="180"/>
      <c r="H584" s="180"/>
      <c r="I584" s="178"/>
    </row>
    <row r="585" spans="3:9" x14ac:dyDescent="0.2">
      <c r="C585" s="178"/>
      <c r="D585" s="178"/>
      <c r="E585" s="178"/>
      <c r="F585" s="178"/>
      <c r="G585" s="180"/>
      <c r="H585" s="180"/>
      <c r="I585" s="178"/>
    </row>
    <row r="586" spans="3:9" x14ac:dyDescent="0.2">
      <c r="C586" s="178"/>
      <c r="D586" s="178"/>
      <c r="E586" s="178"/>
      <c r="F586" s="178"/>
      <c r="G586" s="180"/>
      <c r="H586" s="180"/>
      <c r="I586" s="178"/>
    </row>
    <row r="587" spans="3:9" x14ac:dyDescent="0.2">
      <c r="C587" s="178"/>
      <c r="D587" s="178"/>
      <c r="E587" s="178"/>
      <c r="F587" s="178"/>
      <c r="G587" s="180"/>
      <c r="H587" s="180"/>
      <c r="I587" s="178"/>
    </row>
    <row r="588" spans="3:9" x14ac:dyDescent="0.2">
      <c r="C588" s="178"/>
      <c r="D588" s="178"/>
      <c r="E588" s="178"/>
      <c r="F588" s="178"/>
      <c r="G588" s="180"/>
      <c r="H588" s="180"/>
      <c r="I588" s="178"/>
    </row>
    <row r="589" spans="3:9" x14ac:dyDescent="0.2">
      <c r="C589" s="178"/>
      <c r="D589" s="178"/>
      <c r="E589" s="178"/>
      <c r="F589" s="178"/>
      <c r="G589" s="180"/>
      <c r="H589" s="180"/>
      <c r="I589" s="178"/>
    </row>
    <row r="590" spans="3:9" x14ac:dyDescent="0.2">
      <c r="C590" s="178"/>
      <c r="D590" s="178"/>
      <c r="E590" s="178"/>
      <c r="F590" s="178"/>
      <c r="G590" s="180"/>
      <c r="H590" s="180"/>
      <c r="I590" s="178"/>
    </row>
    <row r="591" spans="3:9" x14ac:dyDescent="0.2">
      <c r="C591" s="178"/>
      <c r="D591" s="178"/>
      <c r="E591" s="178"/>
      <c r="F591" s="178"/>
      <c r="G591" s="180"/>
      <c r="H591" s="180"/>
      <c r="I591" s="178"/>
    </row>
    <row r="592" spans="3:9" x14ac:dyDescent="0.2">
      <c r="C592" s="178"/>
      <c r="D592" s="178"/>
      <c r="E592" s="178"/>
      <c r="F592" s="178"/>
      <c r="G592" s="180"/>
      <c r="H592" s="180"/>
      <c r="I592" s="178"/>
    </row>
    <row r="593" spans="3:9" x14ac:dyDescent="0.2">
      <c r="C593" s="178"/>
      <c r="D593" s="178"/>
      <c r="E593" s="178"/>
      <c r="F593" s="178"/>
      <c r="G593" s="180"/>
      <c r="H593" s="180"/>
      <c r="I593" s="178"/>
    </row>
    <row r="594" spans="3:9" x14ac:dyDescent="0.2">
      <c r="C594" s="178"/>
      <c r="D594" s="178"/>
      <c r="E594" s="178"/>
      <c r="F594" s="178"/>
      <c r="G594" s="180"/>
      <c r="H594" s="180"/>
      <c r="I594" s="178"/>
    </row>
    <row r="595" spans="3:9" x14ac:dyDescent="0.2">
      <c r="C595" s="178"/>
      <c r="D595" s="178"/>
      <c r="E595" s="178"/>
      <c r="F595" s="178"/>
      <c r="G595" s="180"/>
      <c r="H595" s="180"/>
      <c r="I595" s="178"/>
    </row>
    <row r="596" spans="3:9" x14ac:dyDescent="0.2">
      <c r="C596" s="178"/>
      <c r="D596" s="178"/>
      <c r="E596" s="178"/>
      <c r="F596" s="178"/>
      <c r="G596" s="180"/>
      <c r="H596" s="180"/>
      <c r="I596" s="178"/>
    </row>
    <row r="597" spans="3:9" x14ac:dyDescent="0.2">
      <c r="C597" s="178"/>
      <c r="D597" s="178"/>
      <c r="E597" s="178"/>
      <c r="F597" s="178"/>
      <c r="G597" s="180"/>
      <c r="H597" s="180"/>
      <c r="I597" s="178"/>
    </row>
    <row r="598" spans="3:9" x14ac:dyDescent="0.2">
      <c r="C598" s="178"/>
      <c r="D598" s="178"/>
      <c r="E598" s="178"/>
      <c r="F598" s="178"/>
      <c r="G598" s="180"/>
      <c r="H598" s="180"/>
      <c r="I598" s="178"/>
    </row>
    <row r="599" spans="3:9" x14ac:dyDescent="0.2">
      <c r="C599" s="178"/>
      <c r="D599" s="178"/>
      <c r="E599" s="178"/>
      <c r="F599" s="178"/>
      <c r="G599" s="180"/>
      <c r="H599" s="180"/>
      <c r="I599" s="178"/>
    </row>
    <row r="600" spans="3:9" x14ac:dyDescent="0.2">
      <c r="C600" s="178"/>
      <c r="D600" s="178"/>
      <c r="E600" s="178"/>
      <c r="F600" s="178"/>
      <c r="G600" s="180"/>
      <c r="H600" s="180"/>
      <c r="I600" s="178"/>
    </row>
    <row r="601" spans="3:9" x14ac:dyDescent="0.2">
      <c r="C601" s="178"/>
      <c r="D601" s="178"/>
      <c r="E601" s="178"/>
      <c r="F601" s="178"/>
      <c r="G601" s="180"/>
      <c r="H601" s="180"/>
      <c r="I601" s="178"/>
    </row>
    <row r="602" spans="3:9" x14ac:dyDescent="0.2">
      <c r="C602" s="178"/>
      <c r="D602" s="178"/>
      <c r="E602" s="178"/>
      <c r="F602" s="178"/>
      <c r="G602" s="180"/>
      <c r="H602" s="180"/>
      <c r="I602" s="178"/>
    </row>
    <row r="603" spans="3:9" x14ac:dyDescent="0.2">
      <c r="C603" s="178"/>
      <c r="D603" s="178"/>
      <c r="E603" s="178"/>
      <c r="F603" s="178"/>
      <c r="G603" s="180"/>
      <c r="H603" s="180"/>
      <c r="I603" s="178"/>
    </row>
    <row r="604" spans="3:9" x14ac:dyDescent="0.2">
      <c r="C604" s="178"/>
      <c r="D604" s="178"/>
      <c r="E604" s="178"/>
      <c r="F604" s="178"/>
      <c r="G604" s="180"/>
      <c r="H604" s="180"/>
      <c r="I604" s="178"/>
    </row>
    <row r="605" spans="3:9" x14ac:dyDescent="0.2">
      <c r="C605" s="178"/>
      <c r="D605" s="178"/>
      <c r="E605" s="178"/>
      <c r="F605" s="178"/>
      <c r="G605" s="180"/>
      <c r="H605" s="180"/>
      <c r="I605" s="178"/>
    </row>
    <row r="606" spans="3:9" x14ac:dyDescent="0.2">
      <c r="C606" s="178"/>
      <c r="D606" s="178"/>
      <c r="E606" s="178"/>
      <c r="F606" s="178"/>
      <c r="G606" s="180"/>
      <c r="H606" s="180"/>
      <c r="I606" s="178"/>
    </row>
    <row r="607" spans="3:9" x14ac:dyDescent="0.2">
      <c r="C607" s="178"/>
      <c r="D607" s="178"/>
      <c r="E607" s="178"/>
      <c r="F607" s="178"/>
      <c r="G607" s="180"/>
      <c r="H607" s="180"/>
      <c r="I607" s="178"/>
    </row>
    <row r="608" spans="3:9" x14ac:dyDescent="0.2">
      <c r="C608" s="178"/>
      <c r="D608" s="178"/>
      <c r="E608" s="178"/>
      <c r="F608" s="178"/>
      <c r="G608" s="180"/>
      <c r="H608" s="180"/>
      <c r="I608" s="178"/>
    </row>
    <row r="609" spans="3:9" x14ac:dyDescent="0.2">
      <c r="C609" s="178"/>
      <c r="D609" s="178"/>
      <c r="E609" s="178"/>
      <c r="F609" s="178"/>
      <c r="G609" s="180"/>
      <c r="H609" s="180"/>
      <c r="I609" s="178"/>
    </row>
    <row r="610" spans="3:9" x14ac:dyDescent="0.2">
      <c r="C610" s="178"/>
      <c r="D610" s="178"/>
      <c r="E610" s="178"/>
      <c r="F610" s="178"/>
      <c r="G610" s="180"/>
      <c r="H610" s="180"/>
      <c r="I610" s="178"/>
    </row>
    <row r="611" spans="3:9" x14ac:dyDescent="0.2">
      <c r="C611" s="178"/>
      <c r="D611" s="178"/>
      <c r="E611" s="178"/>
      <c r="F611" s="178"/>
      <c r="G611" s="180"/>
      <c r="H611" s="180"/>
      <c r="I611" s="178"/>
    </row>
    <row r="612" spans="3:9" x14ac:dyDescent="0.2">
      <c r="C612" s="178"/>
      <c r="D612" s="178"/>
      <c r="E612" s="178"/>
      <c r="F612" s="178"/>
      <c r="G612" s="180"/>
      <c r="H612" s="180"/>
      <c r="I612" s="178"/>
    </row>
    <row r="613" spans="3:9" x14ac:dyDescent="0.2">
      <c r="C613" s="178"/>
      <c r="D613" s="178"/>
      <c r="E613" s="178"/>
      <c r="F613" s="178"/>
      <c r="G613" s="180"/>
      <c r="H613" s="180"/>
      <c r="I613" s="178"/>
    </row>
    <row r="614" spans="3:9" x14ac:dyDescent="0.2">
      <c r="C614" s="178"/>
      <c r="D614" s="178"/>
      <c r="E614" s="178"/>
      <c r="F614" s="178"/>
      <c r="G614" s="180"/>
      <c r="H614" s="180"/>
      <c r="I614" s="178"/>
    </row>
    <row r="615" spans="3:9" x14ac:dyDescent="0.2">
      <c r="C615" s="178"/>
      <c r="D615" s="178"/>
      <c r="E615" s="178"/>
      <c r="F615" s="178"/>
      <c r="G615" s="180"/>
      <c r="H615" s="180"/>
      <c r="I615" s="178"/>
    </row>
    <row r="616" spans="3:9" x14ac:dyDescent="0.2">
      <c r="C616" s="178"/>
      <c r="D616" s="178"/>
      <c r="E616" s="178"/>
      <c r="F616" s="178"/>
      <c r="G616" s="180"/>
      <c r="H616" s="180"/>
      <c r="I616" s="178"/>
    </row>
    <row r="617" spans="3:9" x14ac:dyDescent="0.2">
      <c r="C617" s="178"/>
      <c r="D617" s="178"/>
      <c r="E617" s="178"/>
      <c r="F617" s="178"/>
      <c r="G617" s="180"/>
      <c r="H617" s="180"/>
      <c r="I617" s="178"/>
    </row>
    <row r="618" spans="3:9" x14ac:dyDescent="0.2">
      <c r="C618" s="178"/>
      <c r="D618" s="178"/>
      <c r="E618" s="178"/>
      <c r="F618" s="178"/>
      <c r="G618" s="180"/>
      <c r="H618" s="180"/>
      <c r="I618" s="178"/>
    </row>
    <row r="619" spans="3:9" x14ac:dyDescent="0.2">
      <c r="C619" s="178"/>
      <c r="D619" s="178"/>
      <c r="E619" s="178"/>
      <c r="F619" s="178"/>
      <c r="G619" s="180"/>
      <c r="H619" s="180"/>
      <c r="I619" s="178"/>
    </row>
    <row r="620" spans="3:9" x14ac:dyDescent="0.2">
      <c r="C620" s="178"/>
      <c r="D620" s="178"/>
      <c r="E620" s="178"/>
      <c r="F620" s="178"/>
      <c r="G620" s="180"/>
      <c r="H620" s="180"/>
      <c r="I620" s="178"/>
    </row>
    <row r="621" spans="3:9" x14ac:dyDescent="0.2">
      <c r="C621" s="178"/>
      <c r="D621" s="178"/>
      <c r="E621" s="178"/>
      <c r="F621" s="178"/>
      <c r="G621" s="180"/>
      <c r="H621" s="180"/>
      <c r="I621" s="178"/>
    </row>
    <row r="622" spans="3:9" x14ac:dyDescent="0.2">
      <c r="C622" s="178"/>
      <c r="D622" s="178"/>
      <c r="E622" s="178"/>
      <c r="F622" s="178"/>
      <c r="G622" s="180"/>
      <c r="H622" s="180"/>
      <c r="I622" s="178"/>
    </row>
    <row r="623" spans="3:9" x14ac:dyDescent="0.2">
      <c r="C623" s="178"/>
      <c r="D623" s="178"/>
      <c r="E623" s="178"/>
      <c r="F623" s="178"/>
      <c r="G623" s="180"/>
      <c r="H623" s="180"/>
      <c r="I623" s="178"/>
    </row>
    <row r="624" spans="3:9" x14ac:dyDescent="0.2">
      <c r="C624" s="178"/>
      <c r="D624" s="178"/>
      <c r="E624" s="178"/>
      <c r="F624" s="178"/>
      <c r="G624" s="180"/>
      <c r="H624" s="180"/>
      <c r="I624" s="178"/>
    </row>
    <row r="625" spans="3:9" x14ac:dyDescent="0.2">
      <c r="C625" s="178"/>
      <c r="D625" s="178"/>
      <c r="E625" s="178"/>
      <c r="F625" s="178"/>
      <c r="G625" s="180"/>
      <c r="H625" s="180"/>
      <c r="I625" s="178"/>
    </row>
    <row r="626" spans="3:9" x14ac:dyDescent="0.2">
      <c r="C626" s="178"/>
      <c r="D626" s="178"/>
      <c r="E626" s="178"/>
      <c r="F626" s="178"/>
      <c r="G626" s="180"/>
      <c r="H626" s="180"/>
      <c r="I626" s="178"/>
    </row>
    <row r="627" spans="3:9" x14ac:dyDescent="0.2">
      <c r="C627" s="178"/>
      <c r="D627" s="178"/>
      <c r="E627" s="178"/>
      <c r="F627" s="178"/>
      <c r="G627" s="180"/>
      <c r="H627" s="180"/>
      <c r="I627" s="178"/>
    </row>
    <row r="628" spans="3:9" x14ac:dyDescent="0.2">
      <c r="C628" s="178"/>
      <c r="D628" s="178"/>
      <c r="E628" s="178"/>
      <c r="F628" s="178"/>
      <c r="G628" s="180"/>
      <c r="H628" s="180"/>
      <c r="I628" s="178"/>
    </row>
    <row r="629" spans="3:9" x14ac:dyDescent="0.2">
      <c r="C629" s="178"/>
      <c r="D629" s="178"/>
      <c r="E629" s="178"/>
      <c r="F629" s="178"/>
      <c r="G629" s="180"/>
      <c r="H629" s="180"/>
      <c r="I629" s="178"/>
    </row>
    <row r="630" spans="3:9" x14ac:dyDescent="0.2">
      <c r="C630" s="178"/>
      <c r="D630" s="178"/>
      <c r="E630" s="178"/>
      <c r="F630" s="178"/>
      <c r="G630" s="180"/>
      <c r="H630" s="180"/>
      <c r="I630" s="178"/>
    </row>
    <row r="631" spans="3:9" x14ac:dyDescent="0.2">
      <c r="C631" s="178"/>
      <c r="D631" s="178"/>
      <c r="E631" s="178"/>
      <c r="F631" s="178"/>
      <c r="G631" s="180"/>
      <c r="H631" s="180"/>
      <c r="I631" s="178"/>
    </row>
    <row r="632" spans="3:9" x14ac:dyDescent="0.2">
      <c r="C632" s="178"/>
      <c r="D632" s="178"/>
      <c r="E632" s="178"/>
      <c r="F632" s="178"/>
      <c r="G632" s="180"/>
      <c r="H632" s="180"/>
      <c r="I632" s="178"/>
    </row>
    <row r="633" spans="3:9" x14ac:dyDescent="0.2">
      <c r="C633" s="178"/>
      <c r="D633" s="178"/>
      <c r="E633" s="178"/>
      <c r="F633" s="178"/>
      <c r="G633" s="180"/>
      <c r="H633" s="180"/>
      <c r="I633" s="178"/>
    </row>
    <row r="634" spans="3:9" x14ac:dyDescent="0.2">
      <c r="C634" s="178"/>
      <c r="D634" s="178"/>
      <c r="E634" s="178"/>
      <c r="F634" s="178"/>
      <c r="G634" s="180"/>
      <c r="H634" s="180"/>
      <c r="I634" s="178"/>
    </row>
    <row r="635" spans="3:9" x14ac:dyDescent="0.2">
      <c r="C635" s="178"/>
      <c r="D635" s="178"/>
      <c r="E635" s="178"/>
      <c r="F635" s="178"/>
      <c r="G635" s="180"/>
      <c r="H635" s="180"/>
      <c r="I635" s="178"/>
    </row>
    <row r="636" spans="3:9" x14ac:dyDescent="0.2">
      <c r="C636" s="178"/>
      <c r="D636" s="178"/>
      <c r="E636" s="178"/>
      <c r="F636" s="178"/>
      <c r="G636" s="180"/>
      <c r="H636" s="180"/>
      <c r="I636" s="178"/>
    </row>
    <row r="637" spans="3:9" x14ac:dyDescent="0.2">
      <c r="C637" s="178"/>
      <c r="D637" s="178"/>
      <c r="E637" s="178"/>
      <c r="F637" s="178"/>
      <c r="G637" s="180"/>
      <c r="H637" s="180"/>
      <c r="I637" s="178"/>
    </row>
    <row r="638" spans="3:9" x14ac:dyDescent="0.2">
      <c r="C638" s="178"/>
      <c r="D638" s="178"/>
      <c r="E638" s="178"/>
      <c r="F638" s="178"/>
      <c r="G638" s="180"/>
      <c r="H638" s="180"/>
      <c r="I638" s="178"/>
    </row>
    <row r="639" spans="3:9" x14ac:dyDescent="0.2">
      <c r="C639" s="178"/>
      <c r="D639" s="178"/>
      <c r="E639" s="178"/>
      <c r="F639" s="178"/>
      <c r="G639" s="180"/>
      <c r="H639" s="180"/>
      <c r="I639" s="178"/>
    </row>
    <row r="640" spans="3:9" x14ac:dyDescent="0.2">
      <c r="C640" s="178"/>
      <c r="D640" s="178"/>
      <c r="E640" s="178"/>
      <c r="F640" s="178"/>
      <c r="G640" s="180"/>
      <c r="H640" s="180"/>
      <c r="I640" s="178"/>
    </row>
    <row r="641" spans="3:9" x14ac:dyDescent="0.2">
      <c r="C641" s="178"/>
      <c r="D641" s="178"/>
      <c r="E641" s="178"/>
      <c r="F641" s="178"/>
      <c r="G641" s="180"/>
      <c r="H641" s="180"/>
      <c r="I641" s="178"/>
    </row>
    <row r="642" spans="3:9" x14ac:dyDescent="0.2">
      <c r="C642" s="178"/>
      <c r="D642" s="178"/>
      <c r="E642" s="178"/>
      <c r="F642" s="178"/>
      <c r="G642" s="180"/>
      <c r="H642" s="180"/>
      <c r="I642" s="178"/>
    </row>
    <row r="643" spans="3:9" x14ac:dyDescent="0.2">
      <c r="C643" s="178"/>
      <c r="D643" s="178"/>
      <c r="E643" s="178"/>
      <c r="F643" s="178"/>
      <c r="G643" s="180"/>
      <c r="H643" s="180"/>
      <c r="I643" s="178"/>
    </row>
    <row r="644" spans="3:9" x14ac:dyDescent="0.2">
      <c r="C644" s="178"/>
      <c r="D644" s="178"/>
      <c r="E644" s="178"/>
      <c r="F644" s="178"/>
      <c r="G644" s="180"/>
      <c r="H644" s="180"/>
      <c r="I644" s="178"/>
    </row>
    <row r="645" spans="3:9" x14ac:dyDescent="0.2">
      <c r="C645" s="178"/>
      <c r="D645" s="178"/>
      <c r="E645" s="178"/>
      <c r="F645" s="178"/>
      <c r="G645" s="180"/>
      <c r="H645" s="180"/>
      <c r="I645" s="178"/>
    </row>
    <row r="646" spans="3:9" x14ac:dyDescent="0.2">
      <c r="C646" s="178"/>
      <c r="D646" s="178"/>
      <c r="E646" s="178"/>
      <c r="F646" s="178"/>
      <c r="G646" s="180"/>
      <c r="H646" s="180"/>
      <c r="I646" s="178"/>
    </row>
    <row r="647" spans="3:9" x14ac:dyDescent="0.2">
      <c r="C647" s="178"/>
      <c r="D647" s="178"/>
      <c r="E647" s="178"/>
      <c r="F647" s="178"/>
      <c r="G647" s="180"/>
      <c r="H647" s="180"/>
      <c r="I647" s="178"/>
    </row>
    <row r="648" spans="3:9" x14ac:dyDescent="0.2">
      <c r="C648" s="178"/>
      <c r="D648" s="178"/>
      <c r="E648" s="178"/>
      <c r="F648" s="178"/>
      <c r="G648" s="180"/>
      <c r="H648" s="180"/>
      <c r="I648" s="178"/>
    </row>
    <row r="649" spans="3:9" x14ac:dyDescent="0.2">
      <c r="C649" s="178"/>
      <c r="D649" s="178"/>
      <c r="E649" s="178"/>
      <c r="F649" s="178"/>
      <c r="G649" s="180"/>
      <c r="H649" s="180"/>
      <c r="I649" s="178"/>
    </row>
    <row r="650" spans="3:9" x14ac:dyDescent="0.2">
      <c r="C650" s="178"/>
      <c r="D650" s="178"/>
      <c r="E650" s="178"/>
      <c r="F650" s="178"/>
      <c r="G650" s="180"/>
      <c r="H650" s="180"/>
      <c r="I650" s="178"/>
    </row>
    <row r="651" spans="3:9" x14ac:dyDescent="0.2">
      <c r="C651" s="178"/>
      <c r="D651" s="178"/>
      <c r="E651" s="178"/>
      <c r="F651" s="178"/>
      <c r="G651" s="180"/>
      <c r="H651" s="180"/>
      <c r="I651" s="178"/>
    </row>
    <row r="652" spans="3:9" x14ac:dyDescent="0.2">
      <c r="C652" s="178"/>
      <c r="D652" s="178"/>
      <c r="E652" s="178"/>
      <c r="F652" s="178"/>
      <c r="G652" s="180"/>
      <c r="H652" s="180"/>
      <c r="I652" s="178"/>
    </row>
    <row r="653" spans="3:9" x14ac:dyDescent="0.2">
      <c r="C653" s="178"/>
      <c r="D653" s="178"/>
      <c r="E653" s="178"/>
      <c r="F653" s="178"/>
      <c r="G653" s="180"/>
      <c r="H653" s="180"/>
      <c r="I653" s="178"/>
    </row>
    <row r="654" spans="3:9" x14ac:dyDescent="0.2">
      <c r="C654" s="178"/>
      <c r="D654" s="178"/>
      <c r="E654" s="178"/>
      <c r="F654" s="178"/>
      <c r="G654" s="180"/>
      <c r="H654" s="180"/>
      <c r="I654" s="178"/>
    </row>
    <row r="655" spans="3:9" x14ac:dyDescent="0.2">
      <c r="C655" s="178"/>
      <c r="D655" s="178"/>
      <c r="E655" s="178"/>
      <c r="F655" s="178"/>
      <c r="G655" s="180"/>
      <c r="H655" s="180"/>
      <c r="I655" s="178"/>
    </row>
    <row r="656" spans="3:9" x14ac:dyDescent="0.2">
      <c r="C656" s="178"/>
      <c r="D656" s="178"/>
      <c r="E656" s="178"/>
      <c r="F656" s="178"/>
      <c r="G656" s="180"/>
      <c r="H656" s="180"/>
      <c r="I656" s="178"/>
    </row>
    <row r="657" spans="3:9" x14ac:dyDescent="0.2">
      <c r="C657" s="178"/>
      <c r="D657" s="178"/>
      <c r="E657" s="178"/>
      <c r="F657" s="178"/>
      <c r="G657" s="180"/>
      <c r="H657" s="180"/>
      <c r="I657" s="178"/>
    </row>
    <row r="658" spans="3:9" x14ac:dyDescent="0.2">
      <c r="C658" s="178"/>
      <c r="D658" s="178"/>
      <c r="E658" s="178"/>
      <c r="F658" s="178"/>
      <c r="G658" s="180"/>
      <c r="H658" s="180"/>
      <c r="I658" s="178"/>
    </row>
    <row r="659" spans="3:9" x14ac:dyDescent="0.2">
      <c r="C659" s="178"/>
      <c r="D659" s="178"/>
      <c r="E659" s="178"/>
      <c r="F659" s="178"/>
      <c r="G659" s="180"/>
      <c r="H659" s="180"/>
      <c r="I659" s="178"/>
    </row>
    <row r="660" spans="3:9" x14ac:dyDescent="0.2">
      <c r="C660" s="178"/>
      <c r="D660" s="178"/>
      <c r="E660" s="178"/>
      <c r="F660" s="178"/>
      <c r="G660" s="180"/>
      <c r="H660" s="180"/>
      <c r="I660" s="178"/>
    </row>
    <row r="661" spans="3:9" x14ac:dyDescent="0.2">
      <c r="C661" s="178"/>
      <c r="D661" s="178"/>
      <c r="E661" s="178"/>
      <c r="F661" s="178"/>
      <c r="G661" s="180"/>
      <c r="H661" s="180"/>
      <c r="I661" s="178"/>
    </row>
    <row r="662" spans="3:9" x14ac:dyDescent="0.2">
      <c r="C662" s="178"/>
      <c r="D662" s="178"/>
      <c r="E662" s="178"/>
      <c r="F662" s="178"/>
      <c r="G662" s="180"/>
      <c r="H662" s="180"/>
      <c r="I662" s="178"/>
    </row>
    <row r="663" spans="3:9" x14ac:dyDescent="0.2">
      <c r="C663" s="178"/>
      <c r="D663" s="178"/>
      <c r="E663" s="178"/>
      <c r="F663" s="178"/>
      <c r="G663" s="180"/>
      <c r="H663" s="180"/>
      <c r="I663" s="178"/>
    </row>
    <row r="664" spans="3:9" x14ac:dyDescent="0.2">
      <c r="C664" s="178"/>
      <c r="D664" s="178"/>
      <c r="E664" s="178"/>
      <c r="F664" s="178"/>
      <c r="G664" s="180"/>
      <c r="H664" s="180"/>
      <c r="I664" s="178"/>
    </row>
    <row r="665" spans="3:9" x14ac:dyDescent="0.2">
      <c r="C665" s="178"/>
      <c r="D665" s="178"/>
      <c r="E665" s="178"/>
      <c r="F665" s="178"/>
      <c r="G665" s="180"/>
      <c r="H665" s="180"/>
      <c r="I665" s="178"/>
    </row>
    <row r="666" spans="3:9" x14ac:dyDescent="0.2">
      <c r="C666" s="178"/>
      <c r="D666" s="178"/>
      <c r="E666" s="178"/>
      <c r="F666" s="178"/>
      <c r="G666" s="180"/>
      <c r="H666" s="180"/>
      <c r="I666" s="178"/>
    </row>
    <row r="667" spans="3:9" x14ac:dyDescent="0.2">
      <c r="C667" s="178"/>
      <c r="D667" s="178"/>
      <c r="E667" s="178"/>
      <c r="F667" s="178"/>
      <c r="G667" s="180"/>
      <c r="H667" s="180"/>
      <c r="I667" s="178"/>
    </row>
    <row r="668" spans="3:9" x14ac:dyDescent="0.2">
      <c r="C668" s="178"/>
      <c r="D668" s="178"/>
      <c r="E668" s="178"/>
      <c r="F668" s="178"/>
      <c r="G668" s="180"/>
      <c r="H668" s="180"/>
      <c r="I668" s="178"/>
    </row>
    <row r="669" spans="3:9" x14ac:dyDescent="0.2">
      <c r="C669" s="178"/>
      <c r="D669" s="178"/>
      <c r="E669" s="178"/>
      <c r="F669" s="178"/>
      <c r="G669" s="180"/>
      <c r="H669" s="180"/>
      <c r="I669" s="178"/>
    </row>
    <row r="670" spans="3:9" x14ac:dyDescent="0.2">
      <c r="C670" s="178"/>
      <c r="D670" s="178"/>
      <c r="E670" s="178"/>
      <c r="F670" s="178"/>
      <c r="G670" s="180"/>
      <c r="H670" s="180"/>
      <c r="I670" s="178"/>
    </row>
    <row r="671" spans="3:9" x14ac:dyDescent="0.2">
      <c r="C671" s="178"/>
      <c r="D671" s="178"/>
      <c r="E671" s="178"/>
      <c r="F671" s="178"/>
      <c r="G671" s="180"/>
      <c r="H671" s="180"/>
      <c r="I671" s="178"/>
    </row>
    <row r="672" spans="3:9" x14ac:dyDescent="0.2">
      <c r="C672" s="178"/>
      <c r="D672" s="178"/>
      <c r="E672" s="178"/>
      <c r="F672" s="178"/>
      <c r="G672" s="180"/>
      <c r="H672" s="180"/>
      <c r="I672" s="178"/>
    </row>
    <row r="673" spans="3:9" x14ac:dyDescent="0.2">
      <c r="C673" s="178"/>
      <c r="D673" s="178"/>
      <c r="E673" s="178"/>
      <c r="F673" s="178"/>
      <c r="G673" s="180"/>
      <c r="H673" s="180"/>
      <c r="I673" s="178"/>
    </row>
    <row r="674" spans="3:9" x14ac:dyDescent="0.2">
      <c r="C674" s="178"/>
      <c r="D674" s="178"/>
      <c r="E674" s="178"/>
      <c r="F674" s="178"/>
      <c r="G674" s="180"/>
      <c r="H674" s="180"/>
      <c r="I674" s="178"/>
    </row>
    <row r="675" spans="3:9" x14ac:dyDescent="0.2">
      <c r="C675" s="178"/>
      <c r="D675" s="178"/>
      <c r="E675" s="178"/>
      <c r="F675" s="178"/>
      <c r="G675" s="180"/>
      <c r="H675" s="180"/>
      <c r="I675" s="178"/>
    </row>
    <row r="676" spans="3:9" x14ac:dyDescent="0.2">
      <c r="C676" s="178"/>
      <c r="D676" s="178"/>
      <c r="E676" s="178"/>
      <c r="F676" s="178"/>
      <c r="G676" s="180"/>
      <c r="H676" s="180"/>
      <c r="I676" s="178"/>
    </row>
    <row r="677" spans="3:9" x14ac:dyDescent="0.2">
      <c r="C677" s="178"/>
      <c r="D677" s="178"/>
      <c r="E677" s="178"/>
      <c r="F677" s="178"/>
      <c r="G677" s="180"/>
      <c r="H677" s="180"/>
      <c r="I677" s="178"/>
    </row>
    <row r="678" spans="3:9" x14ac:dyDescent="0.2">
      <c r="C678" s="178"/>
      <c r="D678" s="178"/>
      <c r="E678" s="178"/>
      <c r="F678" s="178"/>
      <c r="G678" s="180"/>
      <c r="H678" s="180"/>
      <c r="I678" s="178"/>
    </row>
    <row r="679" spans="3:9" x14ac:dyDescent="0.2">
      <c r="C679" s="178"/>
      <c r="D679" s="178"/>
      <c r="E679" s="178"/>
      <c r="F679" s="178"/>
      <c r="G679" s="180"/>
      <c r="H679" s="180"/>
      <c r="I679" s="178"/>
    </row>
    <row r="680" spans="3:9" x14ac:dyDescent="0.2">
      <c r="C680" s="178"/>
      <c r="D680" s="178"/>
      <c r="E680" s="178"/>
      <c r="F680" s="178"/>
      <c r="G680" s="180"/>
      <c r="H680" s="180"/>
      <c r="I680" s="178"/>
    </row>
    <row r="681" spans="3:9" x14ac:dyDescent="0.2">
      <c r="C681" s="178"/>
      <c r="D681" s="178"/>
      <c r="E681" s="178"/>
      <c r="F681" s="178"/>
      <c r="G681" s="180"/>
      <c r="H681" s="180"/>
      <c r="I681" s="178"/>
    </row>
    <row r="682" spans="3:9" x14ac:dyDescent="0.2">
      <c r="C682" s="178"/>
      <c r="D682" s="178"/>
      <c r="E682" s="178"/>
      <c r="F682" s="178"/>
      <c r="G682" s="180"/>
      <c r="H682" s="180"/>
      <c r="I682" s="178"/>
    </row>
    <row r="683" spans="3:9" x14ac:dyDescent="0.2">
      <c r="C683" s="178"/>
      <c r="D683" s="178"/>
      <c r="E683" s="178"/>
      <c r="F683" s="178"/>
      <c r="G683" s="180"/>
      <c r="H683" s="180"/>
      <c r="I683" s="178"/>
    </row>
    <row r="684" spans="3:9" x14ac:dyDescent="0.2">
      <c r="C684" s="178"/>
      <c r="D684" s="178"/>
      <c r="E684" s="178"/>
      <c r="F684" s="178"/>
      <c r="G684" s="180"/>
      <c r="H684" s="180"/>
      <c r="I684" s="178"/>
    </row>
    <row r="685" spans="3:9" x14ac:dyDescent="0.2">
      <c r="C685" s="178"/>
      <c r="D685" s="178"/>
      <c r="E685" s="178"/>
      <c r="F685" s="178"/>
      <c r="G685" s="180"/>
      <c r="H685" s="180"/>
      <c r="I685" s="178"/>
    </row>
    <row r="686" spans="3:9" x14ac:dyDescent="0.2">
      <c r="C686" s="178"/>
      <c r="D686" s="178"/>
      <c r="E686" s="178"/>
      <c r="F686" s="178"/>
      <c r="G686" s="180"/>
      <c r="H686" s="180"/>
      <c r="I686" s="178"/>
    </row>
    <row r="687" spans="3:9" x14ac:dyDescent="0.2">
      <c r="C687" s="178"/>
      <c r="D687" s="178"/>
      <c r="E687" s="178"/>
      <c r="F687" s="178"/>
      <c r="G687" s="180"/>
      <c r="H687" s="180"/>
      <c r="I687" s="178"/>
    </row>
    <row r="688" spans="3:9" x14ac:dyDescent="0.2">
      <c r="C688" s="178"/>
      <c r="D688" s="178"/>
      <c r="E688" s="178"/>
      <c r="F688" s="178"/>
      <c r="G688" s="180"/>
      <c r="H688" s="180"/>
      <c r="I688" s="178"/>
    </row>
    <row r="689" spans="3:9" x14ac:dyDescent="0.2">
      <c r="C689" s="178"/>
      <c r="D689" s="178"/>
      <c r="E689" s="178"/>
      <c r="F689" s="178"/>
      <c r="G689" s="180"/>
      <c r="H689" s="180"/>
      <c r="I689" s="178"/>
    </row>
    <row r="690" spans="3:9" x14ac:dyDescent="0.2">
      <c r="C690" s="178"/>
      <c r="D690" s="178"/>
      <c r="E690" s="178"/>
      <c r="F690" s="178"/>
      <c r="G690" s="180"/>
      <c r="H690" s="180"/>
      <c r="I690" s="178"/>
    </row>
    <row r="691" spans="3:9" x14ac:dyDescent="0.2">
      <c r="C691" s="178"/>
      <c r="D691" s="178"/>
      <c r="E691" s="178"/>
      <c r="F691" s="178"/>
      <c r="G691" s="180"/>
      <c r="H691" s="180"/>
      <c r="I691" s="178"/>
    </row>
    <row r="692" spans="3:9" x14ac:dyDescent="0.2">
      <c r="C692" s="178"/>
      <c r="D692" s="178"/>
      <c r="E692" s="178"/>
      <c r="F692" s="178"/>
      <c r="G692" s="180"/>
      <c r="H692" s="180"/>
      <c r="I692" s="178"/>
    </row>
    <row r="693" spans="3:9" x14ac:dyDescent="0.2">
      <c r="C693" s="178"/>
      <c r="D693" s="178"/>
      <c r="E693" s="178"/>
      <c r="F693" s="178"/>
      <c r="G693" s="180"/>
      <c r="H693" s="180"/>
      <c r="I693" s="178"/>
    </row>
    <row r="694" spans="3:9" x14ac:dyDescent="0.2">
      <c r="C694" s="178"/>
      <c r="D694" s="178"/>
      <c r="E694" s="178"/>
      <c r="F694" s="178"/>
      <c r="G694" s="180"/>
      <c r="H694" s="180"/>
      <c r="I694" s="178"/>
    </row>
    <row r="695" spans="3:9" x14ac:dyDescent="0.2">
      <c r="C695" s="178"/>
      <c r="D695" s="178"/>
      <c r="E695" s="178"/>
      <c r="F695" s="178"/>
      <c r="G695" s="180"/>
      <c r="H695" s="180"/>
      <c r="I695" s="178"/>
    </row>
    <row r="696" spans="3:9" x14ac:dyDescent="0.2">
      <c r="C696" s="178"/>
      <c r="D696" s="178"/>
      <c r="E696" s="178"/>
      <c r="F696" s="178"/>
      <c r="G696" s="180"/>
      <c r="H696" s="180"/>
      <c r="I696" s="178"/>
    </row>
    <row r="697" spans="3:9" x14ac:dyDescent="0.2">
      <c r="C697" s="178"/>
      <c r="D697" s="178"/>
      <c r="E697" s="178"/>
      <c r="F697" s="178"/>
      <c r="G697" s="180"/>
      <c r="H697" s="180"/>
      <c r="I697" s="178"/>
    </row>
    <row r="698" spans="3:9" x14ac:dyDescent="0.2">
      <c r="C698" s="178"/>
      <c r="D698" s="178"/>
      <c r="E698" s="178"/>
      <c r="F698" s="178"/>
      <c r="G698" s="180"/>
      <c r="H698" s="180"/>
      <c r="I698" s="178"/>
    </row>
    <row r="699" spans="3:9" x14ac:dyDescent="0.2">
      <c r="C699" s="178"/>
      <c r="D699" s="178"/>
      <c r="E699" s="178"/>
      <c r="F699" s="178"/>
      <c r="G699" s="180"/>
      <c r="H699" s="180"/>
      <c r="I699" s="178"/>
    </row>
    <row r="700" spans="3:9" x14ac:dyDescent="0.2">
      <c r="C700" s="178"/>
      <c r="D700" s="178"/>
      <c r="E700" s="178"/>
      <c r="F700" s="178"/>
      <c r="G700" s="180"/>
      <c r="H700" s="180"/>
      <c r="I700" s="178"/>
    </row>
    <row r="701" spans="3:9" x14ac:dyDescent="0.2">
      <c r="C701" s="178"/>
      <c r="D701" s="178"/>
      <c r="E701" s="178"/>
      <c r="F701" s="178"/>
      <c r="G701" s="180"/>
      <c r="H701" s="180"/>
      <c r="I701" s="178"/>
    </row>
    <row r="702" spans="3:9" x14ac:dyDescent="0.2">
      <c r="C702" s="178"/>
      <c r="D702" s="178"/>
      <c r="E702" s="178"/>
      <c r="F702" s="178"/>
      <c r="G702" s="180"/>
      <c r="H702" s="180"/>
      <c r="I702" s="178"/>
    </row>
    <row r="703" spans="3:9" x14ac:dyDescent="0.2">
      <c r="C703" s="178"/>
      <c r="D703" s="178"/>
      <c r="E703" s="178"/>
      <c r="F703" s="178"/>
      <c r="G703" s="180"/>
      <c r="H703" s="180"/>
      <c r="I703" s="178"/>
    </row>
    <row r="704" spans="3:9" x14ac:dyDescent="0.2">
      <c r="C704" s="178"/>
      <c r="D704" s="178"/>
      <c r="E704" s="178"/>
      <c r="F704" s="178"/>
      <c r="G704" s="180"/>
      <c r="H704" s="180"/>
      <c r="I704" s="178"/>
    </row>
    <row r="705" spans="3:9" x14ac:dyDescent="0.2">
      <c r="C705" s="178"/>
      <c r="D705" s="178"/>
      <c r="E705" s="178"/>
      <c r="F705" s="178"/>
      <c r="G705" s="180"/>
      <c r="H705" s="180"/>
      <c r="I705" s="178"/>
    </row>
    <row r="706" spans="3:9" x14ac:dyDescent="0.2">
      <c r="C706" s="178"/>
      <c r="D706" s="178"/>
      <c r="E706" s="178"/>
      <c r="F706" s="178"/>
      <c r="G706" s="180"/>
      <c r="H706" s="180"/>
      <c r="I706" s="178"/>
    </row>
    <row r="707" spans="3:9" x14ac:dyDescent="0.2">
      <c r="C707" s="178"/>
      <c r="D707" s="178"/>
      <c r="E707" s="178"/>
      <c r="F707" s="178"/>
      <c r="G707" s="180"/>
      <c r="H707" s="180"/>
      <c r="I707" s="178"/>
    </row>
    <row r="708" spans="3:9" x14ac:dyDescent="0.2">
      <c r="C708" s="178"/>
      <c r="D708" s="178"/>
      <c r="E708" s="178"/>
      <c r="F708" s="178"/>
      <c r="G708" s="180"/>
      <c r="H708" s="180"/>
      <c r="I708" s="178"/>
    </row>
    <row r="709" spans="3:9" x14ac:dyDescent="0.2">
      <c r="C709" s="178"/>
      <c r="D709" s="178"/>
      <c r="E709" s="178"/>
      <c r="F709" s="178"/>
      <c r="G709" s="180"/>
      <c r="H709" s="180"/>
      <c r="I709" s="178"/>
    </row>
    <row r="710" spans="3:9" x14ac:dyDescent="0.2">
      <c r="C710" s="178"/>
      <c r="D710" s="178"/>
      <c r="E710" s="178"/>
      <c r="F710" s="178"/>
      <c r="G710" s="180"/>
      <c r="H710" s="180"/>
      <c r="I710" s="178"/>
    </row>
    <row r="711" spans="3:9" x14ac:dyDescent="0.2">
      <c r="C711" s="178"/>
      <c r="D711" s="178"/>
      <c r="E711" s="178"/>
      <c r="F711" s="178"/>
      <c r="G711" s="180"/>
      <c r="H711" s="180"/>
      <c r="I711" s="178"/>
    </row>
    <row r="712" spans="3:9" x14ac:dyDescent="0.2">
      <c r="C712" s="178"/>
      <c r="D712" s="178"/>
      <c r="E712" s="178"/>
      <c r="F712" s="178"/>
      <c r="G712" s="180"/>
      <c r="H712" s="180"/>
      <c r="I712" s="178"/>
    </row>
    <row r="713" spans="3:9" x14ac:dyDescent="0.2">
      <c r="C713" s="178"/>
      <c r="D713" s="178"/>
      <c r="E713" s="178"/>
      <c r="F713" s="178"/>
      <c r="G713" s="180"/>
      <c r="H713" s="180"/>
      <c r="I713" s="178"/>
    </row>
    <row r="714" spans="3:9" x14ac:dyDescent="0.2">
      <c r="C714" s="178"/>
      <c r="D714" s="178"/>
      <c r="E714" s="178"/>
      <c r="F714" s="178"/>
      <c r="G714" s="180"/>
      <c r="H714" s="180"/>
      <c r="I714" s="178"/>
    </row>
    <row r="715" spans="3:9" x14ac:dyDescent="0.2">
      <c r="C715" s="178"/>
      <c r="D715" s="178"/>
      <c r="E715" s="178"/>
      <c r="F715" s="178"/>
      <c r="G715" s="180"/>
      <c r="H715" s="180"/>
      <c r="I715" s="178"/>
    </row>
    <row r="716" spans="3:9" x14ac:dyDescent="0.2">
      <c r="C716" s="178"/>
      <c r="D716" s="178"/>
      <c r="E716" s="178"/>
      <c r="F716" s="178"/>
      <c r="G716" s="180"/>
      <c r="H716" s="180"/>
      <c r="I716" s="178"/>
    </row>
    <row r="717" spans="3:9" x14ac:dyDescent="0.2">
      <c r="C717" s="178"/>
      <c r="D717" s="178"/>
      <c r="E717" s="178"/>
      <c r="F717" s="178"/>
      <c r="G717" s="180"/>
      <c r="H717" s="180"/>
      <c r="I717" s="178"/>
    </row>
    <row r="718" spans="3:9" x14ac:dyDescent="0.2">
      <c r="C718" s="178"/>
      <c r="D718" s="178"/>
      <c r="E718" s="178"/>
      <c r="F718" s="178"/>
      <c r="G718" s="180"/>
      <c r="H718" s="180"/>
      <c r="I718" s="178"/>
    </row>
    <row r="719" spans="3:9" x14ac:dyDescent="0.2">
      <c r="C719" s="178"/>
      <c r="D719" s="178"/>
      <c r="E719" s="178"/>
      <c r="F719" s="178"/>
      <c r="G719" s="180"/>
      <c r="H719" s="180"/>
      <c r="I719" s="178"/>
    </row>
    <row r="720" spans="3:9" x14ac:dyDescent="0.2">
      <c r="C720" s="178"/>
      <c r="D720" s="178"/>
      <c r="E720" s="178"/>
      <c r="F720" s="178"/>
      <c r="G720" s="180"/>
      <c r="H720" s="180"/>
      <c r="I720" s="178"/>
    </row>
    <row r="721" spans="3:9" x14ac:dyDescent="0.2">
      <c r="C721" s="178"/>
      <c r="D721" s="178"/>
      <c r="E721" s="178"/>
      <c r="F721" s="178"/>
      <c r="G721" s="180"/>
      <c r="H721" s="180"/>
      <c r="I721" s="178"/>
    </row>
    <row r="722" spans="3:9" x14ac:dyDescent="0.2">
      <c r="C722" s="178"/>
      <c r="D722" s="178"/>
      <c r="E722" s="178"/>
      <c r="F722" s="178"/>
      <c r="G722" s="180"/>
      <c r="H722" s="180"/>
      <c r="I722" s="178"/>
    </row>
    <row r="723" spans="3:9" x14ac:dyDescent="0.2">
      <c r="C723" s="178"/>
      <c r="D723" s="178"/>
      <c r="E723" s="178"/>
      <c r="F723" s="178"/>
      <c r="G723" s="180"/>
      <c r="H723" s="180"/>
      <c r="I723" s="178"/>
    </row>
    <row r="724" spans="3:9" x14ac:dyDescent="0.2">
      <c r="C724" s="178"/>
      <c r="D724" s="178"/>
      <c r="E724" s="178"/>
      <c r="F724" s="178"/>
      <c r="G724" s="180"/>
      <c r="H724" s="180"/>
      <c r="I724" s="178"/>
    </row>
    <row r="725" spans="3:9" x14ac:dyDescent="0.2">
      <c r="C725" s="178"/>
      <c r="D725" s="178"/>
      <c r="E725" s="178"/>
      <c r="F725" s="178"/>
      <c r="G725" s="180"/>
      <c r="H725" s="180"/>
      <c r="I725" s="178"/>
    </row>
    <row r="726" spans="3:9" x14ac:dyDescent="0.2">
      <c r="C726" s="178"/>
      <c r="D726" s="178"/>
      <c r="E726" s="178"/>
      <c r="F726" s="178"/>
      <c r="G726" s="180"/>
      <c r="H726" s="180"/>
      <c r="I726" s="178"/>
    </row>
    <row r="727" spans="3:9" x14ac:dyDescent="0.2">
      <c r="C727" s="178"/>
      <c r="D727" s="178"/>
      <c r="E727" s="178"/>
      <c r="F727" s="178"/>
      <c r="G727" s="180"/>
      <c r="H727" s="180"/>
      <c r="I727" s="178"/>
    </row>
    <row r="728" spans="3:9" x14ac:dyDescent="0.2">
      <c r="C728" s="178"/>
      <c r="D728" s="178"/>
      <c r="E728" s="178"/>
      <c r="F728" s="178"/>
      <c r="G728" s="180"/>
      <c r="H728" s="180"/>
      <c r="I728" s="178"/>
    </row>
    <row r="729" spans="3:9" x14ac:dyDescent="0.2">
      <c r="C729" s="178"/>
      <c r="D729" s="178"/>
      <c r="E729" s="178"/>
      <c r="F729" s="178"/>
      <c r="G729" s="180"/>
      <c r="H729" s="180"/>
      <c r="I729" s="178"/>
    </row>
    <row r="730" spans="3:9" x14ac:dyDescent="0.2">
      <c r="C730" s="178"/>
      <c r="D730" s="178"/>
      <c r="E730" s="178"/>
      <c r="F730" s="178"/>
      <c r="G730" s="180"/>
      <c r="H730" s="180"/>
      <c r="I730" s="178"/>
    </row>
    <row r="731" spans="3:9" x14ac:dyDescent="0.2">
      <c r="C731" s="178"/>
      <c r="D731" s="178"/>
      <c r="E731" s="178"/>
      <c r="F731" s="178"/>
      <c r="G731" s="180"/>
      <c r="H731" s="180"/>
      <c r="I731" s="178"/>
    </row>
    <row r="732" spans="3:9" x14ac:dyDescent="0.2">
      <c r="C732" s="178"/>
      <c r="D732" s="178"/>
      <c r="E732" s="178"/>
      <c r="F732" s="178"/>
      <c r="G732" s="180"/>
      <c r="H732" s="180"/>
      <c r="I732" s="178"/>
    </row>
    <row r="733" spans="3:9" x14ac:dyDescent="0.2">
      <c r="C733" s="178"/>
      <c r="D733" s="178"/>
      <c r="E733" s="178"/>
      <c r="F733" s="178"/>
      <c r="G733" s="180"/>
      <c r="H733" s="180"/>
      <c r="I733" s="178"/>
    </row>
    <row r="734" spans="3:9" x14ac:dyDescent="0.2">
      <c r="C734" s="178"/>
      <c r="D734" s="178"/>
      <c r="E734" s="178"/>
      <c r="F734" s="178"/>
      <c r="G734" s="180"/>
      <c r="H734" s="180"/>
      <c r="I734" s="178"/>
    </row>
    <row r="735" spans="3:9" x14ac:dyDescent="0.2">
      <c r="C735" s="178"/>
      <c r="D735" s="178"/>
      <c r="E735" s="178"/>
      <c r="F735" s="178"/>
      <c r="G735" s="180"/>
      <c r="H735" s="180"/>
      <c r="I735" s="178"/>
    </row>
    <row r="736" spans="3:9" x14ac:dyDescent="0.2">
      <c r="C736" s="178"/>
      <c r="D736" s="178"/>
      <c r="E736" s="178"/>
      <c r="F736" s="178"/>
      <c r="G736" s="180"/>
      <c r="H736" s="180"/>
      <c r="I736" s="178"/>
    </row>
    <row r="737" spans="3:9" x14ac:dyDescent="0.2">
      <c r="C737" s="178"/>
      <c r="D737" s="178"/>
      <c r="E737" s="178"/>
      <c r="F737" s="178"/>
      <c r="G737" s="180"/>
      <c r="H737" s="180"/>
      <c r="I737" s="178"/>
    </row>
    <row r="738" spans="3:9" x14ac:dyDescent="0.2">
      <c r="C738" s="178"/>
      <c r="D738" s="178"/>
      <c r="E738" s="178"/>
      <c r="F738" s="178"/>
      <c r="G738" s="180"/>
      <c r="H738" s="180"/>
      <c r="I738" s="178"/>
    </row>
    <row r="739" spans="3:9" x14ac:dyDescent="0.2">
      <c r="C739" s="178"/>
      <c r="D739" s="178"/>
      <c r="E739" s="178"/>
      <c r="F739" s="178"/>
      <c r="G739" s="180"/>
      <c r="H739" s="180"/>
      <c r="I739" s="178"/>
    </row>
    <row r="740" spans="3:9" x14ac:dyDescent="0.2">
      <c r="C740" s="178"/>
      <c r="D740" s="178"/>
      <c r="E740" s="178"/>
      <c r="F740" s="178"/>
      <c r="G740" s="180"/>
      <c r="H740" s="180"/>
      <c r="I740" s="178"/>
    </row>
    <row r="741" spans="3:9" x14ac:dyDescent="0.2">
      <c r="C741" s="178"/>
      <c r="D741" s="178"/>
      <c r="E741" s="178"/>
      <c r="F741" s="178"/>
      <c r="G741" s="180"/>
      <c r="H741" s="180"/>
      <c r="I741" s="178"/>
    </row>
    <row r="742" spans="3:9" x14ac:dyDescent="0.2">
      <c r="C742" s="178"/>
      <c r="D742" s="178"/>
      <c r="E742" s="178"/>
      <c r="F742" s="178"/>
      <c r="G742" s="180"/>
      <c r="H742" s="180"/>
      <c r="I742" s="178"/>
    </row>
    <row r="743" spans="3:9" x14ac:dyDescent="0.2">
      <c r="C743" s="178"/>
      <c r="D743" s="178"/>
      <c r="E743" s="178"/>
      <c r="F743" s="178"/>
      <c r="G743" s="180"/>
      <c r="H743" s="180"/>
      <c r="I743" s="178"/>
    </row>
    <row r="744" spans="3:9" x14ac:dyDescent="0.2">
      <c r="C744" s="178"/>
      <c r="D744" s="178"/>
      <c r="E744" s="178"/>
      <c r="F744" s="178"/>
      <c r="G744" s="180"/>
      <c r="H744" s="180"/>
      <c r="I744" s="178"/>
    </row>
    <row r="745" spans="3:9" x14ac:dyDescent="0.2">
      <c r="C745" s="178"/>
      <c r="D745" s="178"/>
      <c r="E745" s="178"/>
      <c r="F745" s="178"/>
      <c r="G745" s="180"/>
      <c r="H745" s="180"/>
      <c r="I745" s="178"/>
    </row>
    <row r="746" spans="3:9" x14ac:dyDescent="0.2">
      <c r="C746" s="178"/>
      <c r="D746" s="178"/>
      <c r="E746" s="178"/>
      <c r="F746" s="178"/>
      <c r="G746" s="180"/>
      <c r="H746" s="180"/>
      <c r="I746" s="178"/>
    </row>
    <row r="747" spans="3:9" x14ac:dyDescent="0.2">
      <c r="C747" s="178"/>
      <c r="D747" s="178"/>
      <c r="E747" s="178"/>
      <c r="F747" s="178"/>
      <c r="G747" s="180"/>
      <c r="H747" s="180"/>
      <c r="I747" s="178"/>
    </row>
    <row r="748" spans="3:9" x14ac:dyDescent="0.2">
      <c r="C748" s="178"/>
      <c r="D748" s="178"/>
      <c r="E748" s="178"/>
      <c r="F748" s="178"/>
      <c r="G748" s="180"/>
      <c r="H748" s="180"/>
      <c r="I748" s="178"/>
    </row>
    <row r="749" spans="3:9" x14ac:dyDescent="0.2">
      <c r="C749" s="178"/>
      <c r="D749" s="178"/>
      <c r="E749" s="178"/>
      <c r="F749" s="178"/>
      <c r="G749" s="180"/>
      <c r="H749" s="180"/>
      <c r="I749" s="178"/>
    </row>
    <row r="750" spans="3:9" x14ac:dyDescent="0.2">
      <c r="C750" s="178"/>
      <c r="D750" s="178"/>
      <c r="E750" s="178"/>
      <c r="F750" s="178"/>
      <c r="G750" s="180"/>
      <c r="H750" s="180"/>
      <c r="I750" s="178"/>
    </row>
    <row r="751" spans="3:9" x14ac:dyDescent="0.2">
      <c r="C751" s="178"/>
      <c r="D751" s="178"/>
      <c r="E751" s="178"/>
      <c r="F751" s="178"/>
      <c r="G751" s="180"/>
      <c r="H751" s="180"/>
      <c r="I751" s="178"/>
    </row>
    <row r="752" spans="3:9" x14ac:dyDescent="0.2">
      <c r="C752" s="178"/>
      <c r="D752" s="178"/>
      <c r="E752" s="178"/>
      <c r="F752" s="178"/>
      <c r="G752" s="180"/>
      <c r="H752" s="180"/>
      <c r="I752" s="178"/>
    </row>
    <row r="753" spans="3:9" x14ac:dyDescent="0.2">
      <c r="C753" s="178"/>
      <c r="D753" s="178"/>
      <c r="E753" s="178"/>
      <c r="F753" s="178"/>
      <c r="G753" s="180"/>
      <c r="H753" s="180"/>
      <c r="I753" s="178"/>
    </row>
    <row r="754" spans="3:9" x14ac:dyDescent="0.2">
      <c r="C754" s="178"/>
      <c r="D754" s="178"/>
      <c r="E754" s="178"/>
      <c r="F754" s="178"/>
      <c r="G754" s="180"/>
      <c r="H754" s="180"/>
      <c r="I754" s="178"/>
    </row>
    <row r="755" spans="3:9" x14ac:dyDescent="0.2">
      <c r="C755" s="178"/>
      <c r="D755" s="178"/>
      <c r="E755" s="178"/>
      <c r="F755" s="178"/>
      <c r="G755" s="180"/>
      <c r="H755" s="180"/>
      <c r="I755" s="178"/>
    </row>
    <row r="756" spans="3:9" x14ac:dyDescent="0.2">
      <c r="C756" s="178"/>
      <c r="D756" s="178"/>
      <c r="E756" s="178"/>
      <c r="F756" s="178"/>
      <c r="G756" s="180"/>
      <c r="H756" s="180"/>
      <c r="I756" s="178"/>
    </row>
    <row r="757" spans="3:9" x14ac:dyDescent="0.2">
      <c r="C757" s="178"/>
      <c r="D757" s="178"/>
      <c r="E757" s="178"/>
      <c r="F757" s="178"/>
      <c r="G757" s="180"/>
      <c r="H757" s="180"/>
      <c r="I757" s="178"/>
    </row>
    <row r="758" spans="3:9" x14ac:dyDescent="0.2">
      <c r="C758" s="178"/>
      <c r="D758" s="178"/>
      <c r="E758" s="178"/>
      <c r="F758" s="178"/>
      <c r="G758" s="180"/>
      <c r="H758" s="180"/>
      <c r="I758" s="178"/>
    </row>
    <row r="759" spans="3:9" x14ac:dyDescent="0.2">
      <c r="C759" s="178"/>
      <c r="D759" s="178"/>
      <c r="E759" s="178"/>
      <c r="F759" s="178"/>
      <c r="G759" s="180"/>
      <c r="H759" s="180"/>
      <c r="I759" s="178"/>
    </row>
    <row r="760" spans="3:9" x14ac:dyDescent="0.2">
      <c r="C760" s="178"/>
      <c r="D760" s="178"/>
      <c r="E760" s="178"/>
      <c r="F760" s="178"/>
      <c r="G760" s="180"/>
      <c r="H760" s="180"/>
      <c r="I760" s="178"/>
    </row>
    <row r="761" spans="3:9" x14ac:dyDescent="0.2">
      <c r="C761" s="178"/>
      <c r="D761" s="178"/>
      <c r="E761" s="178"/>
      <c r="F761" s="178"/>
      <c r="G761" s="180"/>
      <c r="H761" s="180"/>
      <c r="I761" s="178"/>
    </row>
    <row r="762" spans="3:9" x14ac:dyDescent="0.2">
      <c r="C762" s="178"/>
      <c r="D762" s="178"/>
      <c r="E762" s="178"/>
      <c r="F762" s="178"/>
      <c r="G762" s="180"/>
      <c r="H762" s="180"/>
      <c r="I762" s="178"/>
    </row>
    <row r="763" spans="3:9" x14ac:dyDescent="0.2">
      <c r="C763" s="178"/>
      <c r="D763" s="178"/>
      <c r="E763" s="178"/>
      <c r="F763" s="178"/>
      <c r="G763" s="180"/>
      <c r="H763" s="180"/>
      <c r="I763" s="178"/>
    </row>
    <row r="764" spans="3:9" x14ac:dyDescent="0.2">
      <c r="C764" s="178"/>
      <c r="D764" s="178"/>
      <c r="E764" s="178"/>
      <c r="F764" s="178"/>
      <c r="G764" s="180"/>
      <c r="H764" s="180"/>
      <c r="I764" s="178"/>
    </row>
    <row r="765" spans="3:9" x14ac:dyDescent="0.2">
      <c r="C765" s="178"/>
      <c r="D765" s="178"/>
      <c r="E765" s="178"/>
      <c r="F765" s="178"/>
      <c r="G765" s="180"/>
      <c r="H765" s="180"/>
      <c r="I765" s="178"/>
    </row>
    <row r="766" spans="3:9" x14ac:dyDescent="0.2">
      <c r="C766" s="178"/>
      <c r="D766" s="178"/>
      <c r="E766" s="178"/>
      <c r="F766" s="178"/>
      <c r="G766" s="180"/>
      <c r="H766" s="180"/>
      <c r="I766" s="178"/>
    </row>
    <row r="767" spans="3:9" x14ac:dyDescent="0.2">
      <c r="C767" s="178"/>
      <c r="D767" s="178"/>
      <c r="E767" s="178"/>
      <c r="F767" s="178"/>
      <c r="G767" s="180"/>
      <c r="H767" s="180"/>
      <c r="I767" s="178"/>
    </row>
    <row r="768" spans="3:9" x14ac:dyDescent="0.2">
      <c r="C768" s="178"/>
      <c r="D768" s="178"/>
      <c r="E768" s="178"/>
      <c r="F768" s="178"/>
      <c r="G768" s="180"/>
      <c r="H768" s="180"/>
      <c r="I768" s="178"/>
    </row>
    <row r="769" spans="3:9" x14ac:dyDescent="0.2">
      <c r="C769" s="178"/>
      <c r="D769" s="178"/>
      <c r="E769" s="178"/>
      <c r="F769" s="178"/>
      <c r="G769" s="180"/>
      <c r="H769" s="180"/>
      <c r="I769" s="178"/>
    </row>
    <row r="770" spans="3:9" x14ac:dyDescent="0.2">
      <c r="C770" s="178"/>
      <c r="D770" s="178"/>
      <c r="E770" s="178"/>
      <c r="F770" s="178"/>
      <c r="G770" s="180"/>
      <c r="H770" s="180"/>
      <c r="I770" s="178"/>
    </row>
    <row r="771" spans="3:9" x14ac:dyDescent="0.2">
      <c r="C771" s="178"/>
      <c r="D771" s="178"/>
      <c r="E771" s="178"/>
      <c r="F771" s="178"/>
      <c r="G771" s="180"/>
      <c r="H771" s="180"/>
      <c r="I771" s="178"/>
    </row>
    <row r="772" spans="3:9" x14ac:dyDescent="0.2">
      <c r="C772" s="178"/>
      <c r="D772" s="178"/>
      <c r="E772" s="178"/>
      <c r="F772" s="178"/>
      <c r="G772" s="180"/>
      <c r="H772" s="180"/>
      <c r="I772" s="178"/>
    </row>
    <row r="773" spans="3:9" x14ac:dyDescent="0.2">
      <c r="C773" s="178"/>
      <c r="D773" s="178"/>
      <c r="E773" s="178"/>
      <c r="F773" s="178"/>
      <c r="G773" s="180"/>
      <c r="H773" s="180"/>
      <c r="I773" s="178"/>
    </row>
    <row r="774" spans="3:9" x14ac:dyDescent="0.2">
      <c r="C774" s="178"/>
      <c r="D774" s="178"/>
      <c r="E774" s="178"/>
      <c r="F774" s="178"/>
      <c r="G774" s="180"/>
      <c r="H774" s="180"/>
      <c r="I774" s="178"/>
    </row>
    <row r="775" spans="3:9" x14ac:dyDescent="0.2">
      <c r="C775" s="178"/>
      <c r="D775" s="178"/>
      <c r="E775" s="178"/>
      <c r="F775" s="178"/>
      <c r="G775" s="180"/>
      <c r="H775" s="180"/>
      <c r="I775" s="178"/>
    </row>
    <row r="776" spans="3:9" x14ac:dyDescent="0.2">
      <c r="C776" s="178"/>
      <c r="D776" s="178"/>
      <c r="E776" s="178"/>
      <c r="F776" s="178"/>
      <c r="G776" s="180"/>
      <c r="H776" s="180"/>
      <c r="I776" s="178"/>
    </row>
    <row r="777" spans="3:9" x14ac:dyDescent="0.2">
      <c r="C777" s="178"/>
      <c r="D777" s="178"/>
      <c r="E777" s="178"/>
      <c r="F777" s="178"/>
      <c r="G777" s="180"/>
      <c r="H777" s="180"/>
      <c r="I777" s="178"/>
    </row>
    <row r="778" spans="3:9" x14ac:dyDescent="0.2">
      <c r="C778" s="178"/>
      <c r="D778" s="178"/>
      <c r="E778" s="178"/>
      <c r="F778" s="178"/>
      <c r="G778" s="180"/>
      <c r="H778" s="180"/>
      <c r="I778" s="178"/>
    </row>
    <row r="779" spans="3:9" x14ac:dyDescent="0.2">
      <c r="C779" s="178"/>
      <c r="D779" s="178"/>
      <c r="E779" s="178"/>
      <c r="F779" s="178"/>
      <c r="G779" s="180"/>
      <c r="H779" s="180"/>
      <c r="I779" s="178"/>
    </row>
    <row r="780" spans="3:9" x14ac:dyDescent="0.2">
      <c r="C780" s="178"/>
      <c r="D780" s="178"/>
      <c r="E780" s="178"/>
      <c r="F780" s="178"/>
      <c r="G780" s="180"/>
      <c r="H780" s="180"/>
      <c r="I780" s="178"/>
    </row>
    <row r="781" spans="3:9" x14ac:dyDescent="0.2">
      <c r="C781" s="178"/>
      <c r="D781" s="178"/>
      <c r="E781" s="178"/>
      <c r="F781" s="178"/>
      <c r="G781" s="180"/>
      <c r="H781" s="180"/>
      <c r="I781" s="178"/>
    </row>
    <row r="782" spans="3:9" x14ac:dyDescent="0.2">
      <c r="C782" s="178"/>
      <c r="D782" s="178"/>
      <c r="E782" s="178"/>
      <c r="F782" s="178"/>
      <c r="G782" s="180"/>
      <c r="H782" s="180"/>
      <c r="I782" s="178"/>
    </row>
    <row r="783" spans="3:9" x14ac:dyDescent="0.2">
      <c r="C783" s="178"/>
      <c r="D783" s="178"/>
      <c r="E783" s="178"/>
      <c r="F783" s="178"/>
      <c r="G783" s="180"/>
      <c r="H783" s="180"/>
      <c r="I783" s="178"/>
    </row>
    <row r="784" spans="3:9" x14ac:dyDescent="0.2">
      <c r="C784" s="178"/>
      <c r="D784" s="178"/>
      <c r="E784" s="178"/>
      <c r="F784" s="178"/>
      <c r="G784" s="180"/>
      <c r="H784" s="180"/>
      <c r="I784" s="178"/>
    </row>
    <row r="785" spans="3:9" x14ac:dyDescent="0.2">
      <c r="C785" s="178"/>
      <c r="D785" s="178"/>
      <c r="E785" s="178"/>
      <c r="F785" s="178"/>
      <c r="G785" s="180"/>
      <c r="H785" s="180"/>
      <c r="I785" s="178"/>
    </row>
    <row r="786" spans="3:9" x14ac:dyDescent="0.2">
      <c r="C786" s="178"/>
      <c r="D786" s="178"/>
      <c r="E786" s="178"/>
      <c r="F786" s="178"/>
      <c r="G786" s="180"/>
      <c r="H786" s="180"/>
      <c r="I786" s="178"/>
    </row>
    <row r="787" spans="3:9" x14ac:dyDescent="0.2">
      <c r="C787" s="178"/>
      <c r="D787" s="178"/>
      <c r="E787" s="178"/>
      <c r="F787" s="178"/>
      <c r="G787" s="180"/>
      <c r="H787" s="180"/>
      <c r="I787" s="178"/>
    </row>
    <row r="788" spans="3:9" x14ac:dyDescent="0.2">
      <c r="C788" s="178"/>
      <c r="D788" s="178"/>
      <c r="E788" s="178"/>
      <c r="F788" s="178"/>
      <c r="G788" s="180"/>
      <c r="H788" s="180"/>
      <c r="I788" s="178"/>
    </row>
    <row r="789" spans="3:9" x14ac:dyDescent="0.2">
      <c r="C789" s="178"/>
      <c r="D789" s="178"/>
      <c r="E789" s="178"/>
      <c r="F789" s="178"/>
      <c r="G789" s="180"/>
      <c r="H789" s="180"/>
      <c r="I789" s="178"/>
    </row>
    <row r="790" spans="3:9" x14ac:dyDescent="0.2">
      <c r="C790" s="178"/>
      <c r="D790" s="178"/>
      <c r="E790" s="178"/>
      <c r="F790" s="178"/>
      <c r="G790" s="180"/>
      <c r="H790" s="180"/>
      <c r="I790" s="178"/>
    </row>
    <row r="791" spans="3:9" x14ac:dyDescent="0.2">
      <c r="C791" s="178"/>
      <c r="D791" s="178"/>
      <c r="E791" s="178"/>
      <c r="F791" s="178"/>
      <c r="G791" s="180"/>
      <c r="H791" s="180"/>
      <c r="I791" s="178"/>
    </row>
    <row r="792" spans="3:9" x14ac:dyDescent="0.2">
      <c r="C792" s="178"/>
      <c r="D792" s="178"/>
      <c r="E792" s="178"/>
      <c r="F792" s="178"/>
      <c r="G792" s="180"/>
      <c r="H792" s="180"/>
      <c r="I792" s="178"/>
    </row>
    <row r="793" spans="3:9" x14ac:dyDescent="0.2">
      <c r="C793" s="178"/>
      <c r="D793" s="178"/>
      <c r="E793" s="178"/>
      <c r="F793" s="178"/>
      <c r="G793" s="180"/>
      <c r="H793" s="180"/>
      <c r="I793" s="178"/>
    </row>
    <row r="794" spans="3:9" x14ac:dyDescent="0.2">
      <c r="C794" s="178"/>
      <c r="D794" s="178"/>
      <c r="E794" s="178"/>
      <c r="F794" s="178"/>
      <c r="G794" s="180"/>
      <c r="H794" s="180"/>
      <c r="I794" s="178"/>
    </row>
    <row r="795" spans="3:9" x14ac:dyDescent="0.2">
      <c r="C795" s="178"/>
      <c r="D795" s="178"/>
      <c r="E795" s="178"/>
      <c r="F795" s="178"/>
      <c r="G795" s="180"/>
      <c r="H795" s="180"/>
      <c r="I795" s="178"/>
    </row>
    <row r="796" spans="3:9" x14ac:dyDescent="0.2">
      <c r="C796" s="178"/>
      <c r="D796" s="178"/>
      <c r="E796" s="178"/>
      <c r="F796" s="178"/>
      <c r="G796" s="180"/>
      <c r="H796" s="180"/>
      <c r="I796" s="178"/>
    </row>
    <row r="797" spans="3:9" x14ac:dyDescent="0.2">
      <c r="C797" s="178"/>
      <c r="D797" s="178"/>
      <c r="E797" s="178"/>
      <c r="F797" s="178"/>
      <c r="G797" s="180"/>
      <c r="H797" s="180"/>
      <c r="I797" s="178"/>
    </row>
    <row r="798" spans="3:9" x14ac:dyDescent="0.2">
      <c r="C798" s="178"/>
      <c r="D798" s="178"/>
      <c r="E798" s="178"/>
      <c r="F798" s="178"/>
      <c r="G798" s="180"/>
      <c r="H798" s="180"/>
      <c r="I798" s="178"/>
    </row>
    <row r="799" spans="3:9" x14ac:dyDescent="0.2">
      <c r="C799" s="178"/>
      <c r="D799" s="178"/>
      <c r="E799" s="178"/>
      <c r="F799" s="178"/>
      <c r="G799" s="180"/>
      <c r="H799" s="180"/>
      <c r="I799" s="178"/>
    </row>
    <row r="800" spans="3:9" x14ac:dyDescent="0.2">
      <c r="C800" s="178"/>
      <c r="D800" s="178"/>
      <c r="E800" s="178"/>
      <c r="F800" s="178"/>
      <c r="G800" s="180"/>
      <c r="H800" s="180"/>
      <c r="I800" s="178"/>
    </row>
    <row r="801" spans="3:9" x14ac:dyDescent="0.2">
      <c r="C801" s="178"/>
      <c r="D801" s="178"/>
      <c r="E801" s="178"/>
      <c r="F801" s="178"/>
      <c r="G801" s="180"/>
      <c r="H801" s="180"/>
      <c r="I801" s="178"/>
    </row>
    <row r="802" spans="3:9" x14ac:dyDescent="0.2">
      <c r="C802" s="178"/>
      <c r="D802" s="178"/>
      <c r="E802" s="178"/>
      <c r="F802" s="178"/>
      <c r="G802" s="180"/>
      <c r="H802" s="180"/>
      <c r="I802" s="178"/>
    </row>
    <row r="803" spans="3:9" x14ac:dyDescent="0.2">
      <c r="C803" s="178"/>
      <c r="D803" s="178"/>
      <c r="E803" s="178"/>
      <c r="F803" s="178"/>
      <c r="G803" s="180"/>
      <c r="H803" s="180"/>
      <c r="I803" s="178"/>
    </row>
    <row r="804" spans="3:9" x14ac:dyDescent="0.2">
      <c r="C804" s="178"/>
      <c r="D804" s="178"/>
      <c r="E804" s="178"/>
      <c r="F804" s="178"/>
      <c r="G804" s="180"/>
      <c r="H804" s="180"/>
      <c r="I804" s="178"/>
    </row>
    <row r="805" spans="3:9" x14ac:dyDescent="0.2">
      <c r="C805" s="178"/>
      <c r="D805" s="178"/>
      <c r="E805" s="178"/>
      <c r="F805" s="178"/>
      <c r="G805" s="180"/>
      <c r="H805" s="180"/>
      <c r="I805" s="178"/>
    </row>
    <row r="806" spans="3:9" x14ac:dyDescent="0.2">
      <c r="C806" s="178"/>
      <c r="D806" s="178"/>
      <c r="E806" s="178"/>
      <c r="F806" s="178"/>
      <c r="G806" s="180"/>
      <c r="H806" s="180"/>
      <c r="I806" s="178"/>
    </row>
    <row r="807" spans="3:9" x14ac:dyDescent="0.2">
      <c r="C807" s="178"/>
      <c r="D807" s="178"/>
      <c r="E807" s="178"/>
      <c r="F807" s="178"/>
      <c r="G807" s="180"/>
      <c r="H807" s="180"/>
      <c r="I807" s="178"/>
    </row>
    <row r="808" spans="3:9" x14ac:dyDescent="0.2">
      <c r="C808" s="178"/>
      <c r="D808" s="178"/>
      <c r="E808" s="178"/>
      <c r="F808" s="178"/>
      <c r="G808" s="180"/>
      <c r="H808" s="180"/>
      <c r="I808" s="178"/>
    </row>
    <row r="809" spans="3:9" x14ac:dyDescent="0.2">
      <c r="C809" s="178"/>
      <c r="D809" s="178"/>
      <c r="E809" s="178"/>
      <c r="F809" s="178"/>
      <c r="G809" s="180"/>
      <c r="H809" s="180"/>
      <c r="I809" s="178"/>
    </row>
    <row r="810" spans="3:9" x14ac:dyDescent="0.2">
      <c r="C810" s="178"/>
      <c r="D810" s="178"/>
      <c r="E810" s="178"/>
      <c r="F810" s="178"/>
      <c r="G810" s="180"/>
      <c r="H810" s="180"/>
      <c r="I810" s="178"/>
    </row>
    <row r="811" spans="3:9" x14ac:dyDescent="0.2">
      <c r="C811" s="178"/>
      <c r="D811" s="178"/>
      <c r="E811" s="178"/>
      <c r="F811" s="178"/>
      <c r="G811" s="180"/>
      <c r="H811" s="180"/>
      <c r="I811" s="178"/>
    </row>
    <row r="812" spans="3:9" x14ac:dyDescent="0.2">
      <c r="C812" s="178"/>
      <c r="D812" s="178"/>
      <c r="E812" s="178"/>
      <c r="F812" s="178"/>
      <c r="G812" s="180"/>
      <c r="H812" s="180"/>
      <c r="I812" s="178"/>
    </row>
    <row r="813" spans="3:9" x14ac:dyDescent="0.2">
      <c r="C813" s="178"/>
      <c r="D813" s="178"/>
      <c r="E813" s="178"/>
      <c r="F813" s="178"/>
      <c r="G813" s="180"/>
      <c r="H813" s="180"/>
      <c r="I813" s="178"/>
    </row>
    <row r="814" spans="3:9" x14ac:dyDescent="0.2">
      <c r="C814" s="178"/>
      <c r="D814" s="178"/>
      <c r="E814" s="178"/>
      <c r="F814" s="178"/>
      <c r="G814" s="180"/>
      <c r="H814" s="180"/>
      <c r="I814" s="178"/>
    </row>
    <row r="815" spans="3:9" x14ac:dyDescent="0.2">
      <c r="C815" s="178"/>
      <c r="D815" s="178"/>
      <c r="E815" s="178"/>
      <c r="F815" s="178"/>
      <c r="G815" s="180"/>
      <c r="H815" s="180"/>
      <c r="I815" s="178"/>
    </row>
    <row r="816" spans="3:9" x14ac:dyDescent="0.2">
      <c r="C816" s="178"/>
      <c r="D816" s="178"/>
      <c r="E816" s="178"/>
      <c r="F816" s="178"/>
      <c r="G816" s="180"/>
      <c r="H816" s="180"/>
      <c r="I816" s="178"/>
    </row>
    <row r="817" spans="3:9" x14ac:dyDescent="0.2">
      <c r="C817" s="178"/>
      <c r="D817" s="178"/>
      <c r="E817" s="178"/>
      <c r="F817" s="178"/>
      <c r="G817" s="180"/>
      <c r="H817" s="180"/>
      <c r="I817" s="178"/>
    </row>
    <row r="818" spans="3:9" x14ac:dyDescent="0.2">
      <c r="C818" s="178"/>
      <c r="D818" s="178"/>
      <c r="E818" s="178"/>
      <c r="F818" s="178"/>
      <c r="G818" s="180"/>
      <c r="H818" s="180"/>
      <c r="I818" s="178"/>
    </row>
    <row r="819" spans="3:9" x14ac:dyDescent="0.2">
      <c r="C819" s="178"/>
      <c r="D819" s="178"/>
      <c r="E819" s="178"/>
      <c r="F819" s="178"/>
      <c r="G819" s="180"/>
      <c r="H819" s="180"/>
      <c r="I819" s="178"/>
    </row>
    <row r="820" spans="3:9" x14ac:dyDescent="0.2">
      <c r="C820" s="178"/>
      <c r="D820" s="178"/>
      <c r="E820" s="178"/>
      <c r="F820" s="178"/>
      <c r="G820" s="180"/>
      <c r="H820" s="180"/>
      <c r="I820" s="178"/>
    </row>
    <row r="821" spans="3:9" x14ac:dyDescent="0.2">
      <c r="C821" s="178"/>
      <c r="D821" s="178"/>
      <c r="E821" s="178"/>
      <c r="F821" s="178"/>
      <c r="G821" s="180"/>
      <c r="H821" s="180"/>
      <c r="I821" s="178"/>
    </row>
    <row r="822" spans="3:9" x14ac:dyDescent="0.2">
      <c r="C822" s="178"/>
      <c r="D822" s="178"/>
      <c r="E822" s="178"/>
      <c r="F822" s="178"/>
      <c r="G822" s="180"/>
      <c r="H822" s="180"/>
      <c r="I822" s="178"/>
    </row>
    <row r="823" spans="3:9" x14ac:dyDescent="0.2">
      <c r="C823" s="178"/>
      <c r="D823" s="178"/>
      <c r="E823" s="178"/>
      <c r="F823" s="178"/>
      <c r="G823" s="180"/>
      <c r="H823" s="180"/>
      <c r="I823" s="178"/>
    </row>
    <row r="824" spans="3:9" x14ac:dyDescent="0.2">
      <c r="C824" s="178"/>
      <c r="D824" s="178"/>
      <c r="E824" s="178"/>
      <c r="F824" s="178"/>
      <c r="G824" s="180"/>
      <c r="H824" s="180"/>
      <c r="I824" s="178"/>
    </row>
    <row r="825" spans="3:9" x14ac:dyDescent="0.2">
      <c r="C825" s="178"/>
      <c r="D825" s="178"/>
      <c r="E825" s="178"/>
      <c r="F825" s="178"/>
      <c r="G825" s="180"/>
      <c r="H825" s="180"/>
      <c r="I825" s="178"/>
    </row>
    <row r="826" spans="3:9" x14ac:dyDescent="0.2">
      <c r="C826" s="178"/>
      <c r="D826" s="178"/>
      <c r="E826" s="178"/>
      <c r="F826" s="178"/>
      <c r="G826" s="180"/>
      <c r="H826" s="180"/>
      <c r="I826" s="178"/>
    </row>
    <row r="827" spans="3:9" x14ac:dyDescent="0.2">
      <c r="C827" s="178"/>
      <c r="D827" s="178"/>
      <c r="E827" s="178"/>
      <c r="F827" s="178"/>
      <c r="G827" s="180"/>
      <c r="H827" s="180"/>
      <c r="I827" s="178"/>
    </row>
    <row r="828" spans="3:9" x14ac:dyDescent="0.2">
      <c r="C828" s="178"/>
      <c r="D828" s="178"/>
      <c r="E828" s="178"/>
      <c r="F828" s="178"/>
      <c r="G828" s="180"/>
      <c r="H828" s="180"/>
      <c r="I828" s="178"/>
    </row>
    <row r="829" spans="3:9" x14ac:dyDescent="0.2">
      <c r="C829" s="178"/>
      <c r="D829" s="178"/>
      <c r="E829" s="178"/>
      <c r="F829" s="178"/>
      <c r="G829" s="180"/>
      <c r="H829" s="180"/>
      <c r="I829" s="178"/>
    </row>
    <row r="830" spans="3:9" x14ac:dyDescent="0.2">
      <c r="C830" s="178"/>
      <c r="D830" s="178"/>
      <c r="E830" s="178"/>
      <c r="F830" s="178"/>
      <c r="G830" s="180"/>
      <c r="H830" s="180"/>
      <c r="I830" s="178"/>
    </row>
    <row r="831" spans="3:9" x14ac:dyDescent="0.2">
      <c r="C831" s="178"/>
      <c r="D831" s="178"/>
      <c r="E831" s="178"/>
      <c r="F831" s="178"/>
      <c r="G831" s="180"/>
      <c r="H831" s="180"/>
      <c r="I831" s="178"/>
    </row>
    <row r="832" spans="3:9" x14ac:dyDescent="0.2">
      <c r="C832" s="178"/>
      <c r="D832" s="178"/>
      <c r="E832" s="178"/>
      <c r="F832" s="178"/>
      <c r="G832" s="180"/>
      <c r="H832" s="180"/>
      <c r="I832" s="178"/>
    </row>
    <row r="833" spans="3:9" x14ac:dyDescent="0.2">
      <c r="C833" s="178"/>
      <c r="D833" s="178"/>
      <c r="E833" s="178"/>
      <c r="F833" s="178"/>
      <c r="G833" s="180"/>
      <c r="H833" s="180"/>
      <c r="I833" s="178"/>
    </row>
    <row r="834" spans="3:9" x14ac:dyDescent="0.2">
      <c r="C834" s="178"/>
      <c r="D834" s="178"/>
      <c r="E834" s="178"/>
      <c r="F834" s="178"/>
      <c r="G834" s="180"/>
      <c r="H834" s="180"/>
      <c r="I834" s="178"/>
    </row>
    <row r="835" spans="3:9" x14ac:dyDescent="0.2">
      <c r="C835" s="178"/>
      <c r="D835" s="178"/>
      <c r="E835" s="178"/>
      <c r="F835" s="178"/>
      <c r="G835" s="180"/>
      <c r="H835" s="180"/>
      <c r="I835" s="178"/>
    </row>
    <row r="836" spans="3:9" x14ac:dyDescent="0.2">
      <c r="C836" s="178"/>
      <c r="D836" s="178"/>
      <c r="E836" s="178"/>
      <c r="F836" s="178"/>
      <c r="G836" s="180"/>
      <c r="H836" s="180"/>
      <c r="I836" s="178"/>
    </row>
    <row r="837" spans="3:9" x14ac:dyDescent="0.2">
      <c r="C837" s="178"/>
      <c r="D837" s="178"/>
      <c r="E837" s="178"/>
      <c r="F837" s="178"/>
      <c r="G837" s="180"/>
      <c r="H837" s="180"/>
      <c r="I837" s="178"/>
    </row>
    <row r="838" spans="3:9" x14ac:dyDescent="0.2">
      <c r="C838" s="178"/>
      <c r="D838" s="178"/>
      <c r="E838" s="178"/>
      <c r="F838" s="178"/>
      <c r="G838" s="180"/>
      <c r="H838" s="180"/>
      <c r="I838" s="178"/>
    </row>
    <row r="839" spans="3:9" x14ac:dyDescent="0.2">
      <c r="C839" s="178"/>
      <c r="D839" s="178"/>
      <c r="E839" s="178"/>
      <c r="F839" s="178"/>
      <c r="G839" s="180"/>
      <c r="H839" s="180"/>
      <c r="I839" s="178"/>
    </row>
    <row r="840" spans="3:9" x14ac:dyDescent="0.2">
      <c r="C840" s="178"/>
      <c r="D840" s="178"/>
      <c r="E840" s="178"/>
      <c r="F840" s="178"/>
      <c r="G840" s="180"/>
      <c r="H840" s="180"/>
      <c r="I840" s="178"/>
    </row>
    <row r="841" spans="3:9" x14ac:dyDescent="0.2">
      <c r="C841" s="178"/>
      <c r="D841" s="178"/>
      <c r="E841" s="178"/>
      <c r="F841" s="178"/>
      <c r="G841" s="180"/>
      <c r="H841" s="180"/>
      <c r="I841" s="178"/>
    </row>
    <row r="842" spans="3:9" x14ac:dyDescent="0.2">
      <c r="C842" s="178"/>
      <c r="D842" s="178"/>
      <c r="E842" s="178"/>
      <c r="F842" s="178"/>
      <c r="G842" s="180"/>
      <c r="H842" s="180"/>
      <c r="I842" s="178"/>
    </row>
    <row r="843" spans="3:9" x14ac:dyDescent="0.2">
      <c r="C843" s="178"/>
      <c r="D843" s="178"/>
      <c r="E843" s="178"/>
      <c r="F843" s="178"/>
      <c r="G843" s="180"/>
      <c r="H843" s="180"/>
      <c r="I843" s="178"/>
    </row>
    <row r="844" spans="3:9" x14ac:dyDescent="0.2">
      <c r="C844" s="178"/>
      <c r="D844" s="178"/>
      <c r="E844" s="178"/>
      <c r="F844" s="178"/>
      <c r="G844" s="180"/>
      <c r="H844" s="180"/>
      <c r="I844" s="178"/>
    </row>
    <row r="845" spans="3:9" x14ac:dyDescent="0.2">
      <c r="C845" s="178"/>
      <c r="D845" s="178"/>
      <c r="E845" s="178"/>
      <c r="F845" s="178"/>
      <c r="G845" s="180"/>
      <c r="H845" s="180"/>
      <c r="I845" s="178"/>
    </row>
    <row r="846" spans="3:9" x14ac:dyDescent="0.2">
      <c r="C846" s="178"/>
      <c r="D846" s="178"/>
      <c r="E846" s="178"/>
      <c r="F846" s="178"/>
      <c r="G846" s="180"/>
      <c r="H846" s="180"/>
      <c r="I846" s="178"/>
    </row>
    <row r="847" spans="3:9" x14ac:dyDescent="0.2">
      <c r="C847" s="178"/>
      <c r="D847" s="178"/>
      <c r="E847" s="178"/>
      <c r="F847" s="178"/>
      <c r="G847" s="180"/>
      <c r="H847" s="180"/>
      <c r="I847" s="178"/>
    </row>
    <row r="848" spans="3:9" x14ac:dyDescent="0.2">
      <c r="C848" s="178"/>
      <c r="D848" s="178"/>
      <c r="E848" s="178"/>
      <c r="F848" s="178"/>
      <c r="G848" s="180"/>
      <c r="H848" s="180"/>
      <c r="I848" s="178"/>
    </row>
    <row r="849" spans="3:9" x14ac:dyDescent="0.2">
      <c r="C849" s="178"/>
      <c r="D849" s="178"/>
      <c r="E849" s="178"/>
      <c r="F849" s="178"/>
      <c r="G849" s="180"/>
      <c r="H849" s="180"/>
      <c r="I849" s="178"/>
    </row>
    <row r="850" spans="3:9" x14ac:dyDescent="0.2">
      <c r="C850" s="178"/>
      <c r="D850" s="178"/>
      <c r="E850" s="178"/>
      <c r="F850" s="178"/>
      <c r="G850" s="180"/>
      <c r="H850" s="180"/>
      <c r="I850" s="178"/>
    </row>
    <row r="851" spans="3:9" x14ac:dyDescent="0.2">
      <c r="C851" s="178"/>
      <c r="D851" s="178"/>
      <c r="E851" s="178"/>
      <c r="F851" s="178"/>
      <c r="G851" s="180"/>
      <c r="H851" s="180"/>
      <c r="I851" s="178"/>
    </row>
    <row r="852" spans="3:9" x14ac:dyDescent="0.2">
      <c r="C852" s="178"/>
      <c r="D852" s="178"/>
      <c r="E852" s="178"/>
      <c r="F852" s="178"/>
      <c r="G852" s="180"/>
      <c r="H852" s="180"/>
      <c r="I852" s="178"/>
    </row>
    <row r="853" spans="3:9" x14ac:dyDescent="0.2">
      <c r="C853" s="178"/>
      <c r="D853" s="178"/>
      <c r="E853" s="178"/>
      <c r="F853" s="178"/>
      <c r="G853" s="180"/>
      <c r="H853" s="180"/>
      <c r="I853" s="178"/>
    </row>
    <row r="854" spans="3:9" x14ac:dyDescent="0.2">
      <c r="C854" s="178"/>
      <c r="D854" s="178"/>
      <c r="E854" s="178"/>
      <c r="F854" s="178"/>
      <c r="G854" s="180"/>
      <c r="H854" s="180"/>
      <c r="I854" s="178"/>
    </row>
    <row r="855" spans="3:9" x14ac:dyDescent="0.2">
      <c r="C855" s="178"/>
      <c r="D855" s="178"/>
      <c r="E855" s="178"/>
      <c r="F855" s="178"/>
      <c r="G855" s="180"/>
      <c r="H855" s="180"/>
      <c r="I855" s="178"/>
    </row>
    <row r="856" spans="3:9" x14ac:dyDescent="0.2">
      <c r="C856" s="178"/>
      <c r="D856" s="178"/>
      <c r="E856" s="178"/>
      <c r="F856" s="178"/>
      <c r="G856" s="180"/>
      <c r="H856" s="180"/>
      <c r="I856" s="178"/>
    </row>
    <row r="857" spans="3:9" x14ac:dyDescent="0.2">
      <c r="C857" s="178"/>
      <c r="D857" s="178"/>
      <c r="E857" s="178"/>
      <c r="F857" s="178"/>
      <c r="G857" s="180"/>
      <c r="H857" s="180"/>
      <c r="I857" s="178"/>
    </row>
    <row r="858" spans="3:9" x14ac:dyDescent="0.2">
      <c r="C858" s="178"/>
      <c r="D858" s="178"/>
      <c r="E858" s="178"/>
      <c r="F858" s="178"/>
      <c r="G858" s="180"/>
      <c r="H858" s="180"/>
      <c r="I858" s="178"/>
    </row>
    <row r="859" spans="3:9" x14ac:dyDescent="0.2">
      <c r="C859" s="178"/>
      <c r="D859" s="178"/>
      <c r="E859" s="178"/>
      <c r="F859" s="178"/>
      <c r="G859" s="180"/>
      <c r="H859" s="180"/>
      <c r="I859" s="178"/>
    </row>
    <row r="860" spans="3:9" x14ac:dyDescent="0.2">
      <c r="C860" s="178"/>
      <c r="D860" s="178"/>
      <c r="E860" s="178"/>
      <c r="F860" s="178"/>
      <c r="G860" s="180"/>
      <c r="H860" s="180"/>
      <c r="I860" s="178"/>
    </row>
    <row r="861" spans="3:9" x14ac:dyDescent="0.2">
      <c r="C861" s="178"/>
      <c r="D861" s="178"/>
      <c r="E861" s="178"/>
      <c r="F861" s="178"/>
      <c r="G861" s="180"/>
      <c r="H861" s="180"/>
      <c r="I861" s="178"/>
    </row>
    <row r="862" spans="3:9" x14ac:dyDescent="0.2">
      <c r="C862" s="178"/>
      <c r="D862" s="178"/>
      <c r="E862" s="178"/>
      <c r="F862" s="178"/>
      <c r="G862" s="180"/>
      <c r="H862" s="180"/>
      <c r="I862" s="178"/>
    </row>
    <row r="863" spans="3:9" x14ac:dyDescent="0.2">
      <c r="C863" s="178"/>
      <c r="D863" s="178"/>
      <c r="E863" s="178"/>
      <c r="F863" s="178"/>
      <c r="G863" s="180"/>
      <c r="H863" s="180"/>
      <c r="I863" s="178"/>
    </row>
    <row r="864" spans="3:9" x14ac:dyDescent="0.2">
      <c r="C864" s="178"/>
      <c r="D864" s="178"/>
      <c r="E864" s="178"/>
      <c r="F864" s="178"/>
      <c r="G864" s="180"/>
      <c r="H864" s="180"/>
      <c r="I864" s="178"/>
    </row>
    <row r="865" spans="3:9" x14ac:dyDescent="0.2">
      <c r="C865" s="178"/>
      <c r="D865" s="178"/>
      <c r="E865" s="178"/>
      <c r="F865" s="178"/>
      <c r="G865" s="180"/>
      <c r="H865" s="180"/>
      <c r="I865" s="178"/>
    </row>
    <row r="866" spans="3:9" x14ac:dyDescent="0.2">
      <c r="C866" s="178"/>
      <c r="D866" s="178"/>
      <c r="E866" s="178"/>
      <c r="F866" s="178"/>
      <c r="G866" s="180"/>
      <c r="H866" s="180"/>
      <c r="I866" s="178"/>
    </row>
    <row r="867" spans="3:9" x14ac:dyDescent="0.2">
      <c r="C867" s="178"/>
      <c r="D867" s="178"/>
      <c r="E867" s="178"/>
      <c r="F867" s="178"/>
      <c r="G867" s="180"/>
      <c r="H867" s="180"/>
      <c r="I867" s="178"/>
    </row>
    <row r="868" spans="3:9" x14ac:dyDescent="0.2">
      <c r="C868" s="178"/>
      <c r="D868" s="178"/>
      <c r="E868" s="178"/>
      <c r="F868" s="178"/>
      <c r="G868" s="180"/>
      <c r="H868" s="180"/>
      <c r="I868" s="178"/>
    </row>
    <row r="869" spans="3:9" x14ac:dyDescent="0.2">
      <c r="C869" s="178"/>
      <c r="D869" s="178"/>
      <c r="E869" s="178"/>
      <c r="F869" s="178"/>
      <c r="G869" s="180"/>
      <c r="H869" s="180"/>
      <c r="I869" s="178"/>
    </row>
    <row r="870" spans="3:9" x14ac:dyDescent="0.2">
      <c r="C870" s="178"/>
      <c r="D870" s="178"/>
      <c r="E870" s="178"/>
      <c r="F870" s="178"/>
      <c r="G870" s="180"/>
      <c r="H870" s="180"/>
      <c r="I870" s="178"/>
    </row>
    <row r="871" spans="3:9" x14ac:dyDescent="0.2">
      <c r="C871" s="178"/>
      <c r="D871" s="178"/>
      <c r="E871" s="178"/>
      <c r="F871" s="178"/>
      <c r="G871" s="180"/>
      <c r="H871" s="180"/>
      <c r="I871" s="178"/>
    </row>
    <row r="872" spans="3:9" x14ac:dyDescent="0.2">
      <c r="C872" s="178"/>
      <c r="D872" s="178"/>
      <c r="E872" s="178"/>
      <c r="F872" s="178"/>
      <c r="G872" s="180"/>
      <c r="H872" s="180"/>
      <c r="I872" s="178"/>
    </row>
    <row r="873" spans="3:9" x14ac:dyDescent="0.2">
      <c r="C873" s="178"/>
      <c r="D873" s="178"/>
      <c r="E873" s="178"/>
      <c r="F873" s="178"/>
      <c r="G873" s="180"/>
      <c r="H873" s="180"/>
      <c r="I873" s="178"/>
    </row>
    <row r="874" spans="3:9" x14ac:dyDescent="0.2">
      <c r="C874" s="178"/>
      <c r="D874" s="178"/>
      <c r="E874" s="178"/>
      <c r="F874" s="178"/>
      <c r="G874" s="180"/>
      <c r="H874" s="180"/>
      <c r="I874" s="178"/>
    </row>
    <row r="875" spans="3:9" x14ac:dyDescent="0.2">
      <c r="C875" s="178"/>
      <c r="D875" s="178"/>
      <c r="E875" s="178"/>
      <c r="F875" s="178"/>
      <c r="G875" s="180"/>
      <c r="H875" s="180"/>
      <c r="I875" s="178"/>
    </row>
    <row r="876" spans="3:9" x14ac:dyDescent="0.2">
      <c r="C876" s="178"/>
      <c r="D876" s="178"/>
      <c r="E876" s="178"/>
      <c r="F876" s="178"/>
      <c r="G876" s="180"/>
      <c r="H876" s="180"/>
      <c r="I876" s="178"/>
    </row>
    <row r="877" spans="3:9" x14ac:dyDescent="0.2">
      <c r="C877" s="178"/>
      <c r="D877" s="178"/>
      <c r="E877" s="178"/>
      <c r="F877" s="178"/>
      <c r="G877" s="180"/>
      <c r="H877" s="180"/>
      <c r="I877" s="178"/>
    </row>
    <row r="878" spans="3:9" x14ac:dyDescent="0.2">
      <c r="C878" s="178"/>
      <c r="D878" s="178"/>
      <c r="E878" s="178"/>
      <c r="F878" s="178"/>
      <c r="G878" s="180"/>
      <c r="H878" s="180"/>
      <c r="I878" s="178"/>
    </row>
    <row r="879" spans="3:9" x14ac:dyDescent="0.2">
      <c r="C879" s="178"/>
      <c r="D879" s="178"/>
      <c r="E879" s="178"/>
      <c r="F879" s="178"/>
      <c r="G879" s="180"/>
      <c r="H879" s="180"/>
      <c r="I879" s="178"/>
    </row>
    <row r="880" spans="3:9" x14ac:dyDescent="0.2">
      <c r="C880" s="178"/>
      <c r="D880" s="178"/>
      <c r="E880" s="178"/>
      <c r="F880" s="178"/>
      <c r="G880" s="180"/>
      <c r="H880" s="180"/>
      <c r="I880" s="178"/>
    </row>
    <row r="881" spans="3:9" x14ac:dyDescent="0.2">
      <c r="C881" s="178"/>
      <c r="D881" s="178"/>
      <c r="E881" s="178"/>
      <c r="F881" s="178"/>
      <c r="G881" s="180"/>
      <c r="H881" s="180"/>
      <c r="I881" s="178"/>
    </row>
    <row r="882" spans="3:9" x14ac:dyDescent="0.2">
      <c r="C882" s="178"/>
      <c r="D882" s="178"/>
      <c r="E882" s="178"/>
      <c r="F882" s="178"/>
      <c r="G882" s="180"/>
      <c r="H882" s="180"/>
      <c r="I882" s="178"/>
    </row>
    <row r="883" spans="3:9" x14ac:dyDescent="0.2">
      <c r="C883" s="178"/>
      <c r="D883" s="178"/>
      <c r="E883" s="178"/>
      <c r="F883" s="178"/>
      <c r="G883" s="180"/>
      <c r="H883" s="180"/>
      <c r="I883" s="178"/>
    </row>
    <row r="884" spans="3:9" x14ac:dyDescent="0.2">
      <c r="C884" s="178"/>
      <c r="D884" s="178"/>
      <c r="E884" s="178"/>
      <c r="F884" s="178"/>
      <c r="G884" s="180"/>
      <c r="H884" s="180"/>
      <c r="I884" s="178"/>
    </row>
    <row r="885" spans="3:9" x14ac:dyDescent="0.2">
      <c r="C885" s="178"/>
      <c r="D885" s="178"/>
      <c r="E885" s="178"/>
      <c r="F885" s="178"/>
      <c r="G885" s="180"/>
      <c r="H885" s="180"/>
      <c r="I885" s="178"/>
    </row>
    <row r="886" spans="3:9" x14ac:dyDescent="0.2">
      <c r="C886" s="178"/>
      <c r="D886" s="178"/>
      <c r="E886" s="178"/>
      <c r="F886" s="178"/>
      <c r="G886" s="180"/>
      <c r="H886" s="180"/>
      <c r="I886" s="178"/>
    </row>
    <row r="887" spans="3:9" x14ac:dyDescent="0.2">
      <c r="C887" s="178"/>
      <c r="D887" s="178"/>
      <c r="E887" s="178"/>
      <c r="F887" s="178"/>
      <c r="G887" s="180"/>
      <c r="H887" s="180"/>
      <c r="I887" s="178"/>
    </row>
    <row r="888" spans="3:9" x14ac:dyDescent="0.2">
      <c r="C888" s="178"/>
      <c r="D888" s="178"/>
      <c r="E888" s="178"/>
      <c r="F888" s="178"/>
      <c r="G888" s="180"/>
      <c r="H888" s="180"/>
      <c r="I888" s="178"/>
    </row>
    <row r="889" spans="3:9" x14ac:dyDescent="0.2">
      <c r="C889" s="178"/>
      <c r="D889" s="178"/>
      <c r="E889" s="178"/>
      <c r="F889" s="178"/>
      <c r="G889" s="180"/>
      <c r="H889" s="180"/>
      <c r="I889" s="178"/>
    </row>
    <row r="890" spans="3:9" x14ac:dyDescent="0.2">
      <c r="C890" s="178"/>
      <c r="D890" s="178"/>
      <c r="E890" s="178"/>
      <c r="F890" s="178"/>
      <c r="G890" s="180"/>
      <c r="H890" s="180"/>
      <c r="I890" s="178"/>
    </row>
    <row r="891" spans="3:9" x14ac:dyDescent="0.2">
      <c r="C891" s="178"/>
      <c r="D891" s="178"/>
      <c r="E891" s="178"/>
      <c r="F891" s="178"/>
      <c r="G891" s="180"/>
      <c r="H891" s="180"/>
      <c r="I891" s="178"/>
    </row>
    <row r="892" spans="3:9" x14ac:dyDescent="0.2">
      <c r="C892" s="178"/>
      <c r="D892" s="178"/>
      <c r="E892" s="178"/>
      <c r="F892" s="178"/>
      <c r="G892" s="180"/>
      <c r="H892" s="180"/>
      <c r="I892" s="178"/>
    </row>
    <row r="893" spans="3:9" x14ac:dyDescent="0.2">
      <c r="C893" s="178"/>
      <c r="D893" s="178"/>
      <c r="E893" s="178"/>
      <c r="F893" s="178"/>
      <c r="G893" s="180"/>
      <c r="H893" s="180"/>
      <c r="I893" s="178"/>
    </row>
    <row r="894" spans="3:9" x14ac:dyDescent="0.2">
      <c r="C894" s="178"/>
      <c r="D894" s="178"/>
      <c r="E894" s="178"/>
      <c r="F894" s="178"/>
      <c r="G894" s="180"/>
      <c r="H894" s="180"/>
      <c r="I894" s="178"/>
    </row>
    <row r="895" spans="3:9" x14ac:dyDescent="0.2">
      <c r="C895" s="178"/>
      <c r="D895" s="178"/>
      <c r="E895" s="178"/>
      <c r="F895" s="178"/>
      <c r="G895" s="180"/>
      <c r="H895" s="180"/>
      <c r="I895" s="178"/>
    </row>
    <row r="896" spans="3:9" x14ac:dyDescent="0.2">
      <c r="C896" s="178"/>
      <c r="D896" s="178"/>
      <c r="E896" s="178"/>
      <c r="F896" s="178"/>
      <c r="G896" s="180"/>
      <c r="H896" s="180"/>
      <c r="I896" s="178"/>
    </row>
    <row r="897" spans="3:9" x14ac:dyDescent="0.2">
      <c r="C897" s="178"/>
      <c r="D897" s="178"/>
      <c r="E897" s="178"/>
      <c r="F897" s="178"/>
      <c r="G897" s="180"/>
      <c r="H897" s="180"/>
      <c r="I897" s="178"/>
    </row>
    <row r="898" spans="3:9" x14ac:dyDescent="0.2">
      <c r="C898" s="178"/>
      <c r="D898" s="178"/>
      <c r="E898" s="178"/>
      <c r="F898" s="178"/>
      <c r="G898" s="180"/>
      <c r="H898" s="180"/>
      <c r="I898" s="178"/>
    </row>
    <row r="899" spans="3:9" x14ac:dyDescent="0.2">
      <c r="C899" s="178"/>
      <c r="D899" s="178"/>
      <c r="E899" s="178"/>
      <c r="F899" s="178"/>
      <c r="G899" s="180"/>
      <c r="H899" s="180"/>
      <c r="I899" s="178"/>
    </row>
    <row r="900" spans="3:9" x14ac:dyDescent="0.2">
      <c r="C900" s="178"/>
      <c r="D900" s="178"/>
      <c r="E900" s="178"/>
      <c r="F900" s="178"/>
      <c r="G900" s="180"/>
      <c r="H900" s="180"/>
      <c r="I900" s="178"/>
    </row>
    <row r="901" spans="3:9" x14ac:dyDescent="0.2">
      <c r="C901" s="178"/>
      <c r="D901" s="178"/>
      <c r="E901" s="178"/>
      <c r="F901" s="178"/>
      <c r="G901" s="180"/>
      <c r="H901" s="180"/>
      <c r="I901" s="178"/>
    </row>
    <row r="902" spans="3:9" x14ac:dyDescent="0.2">
      <c r="C902" s="178"/>
      <c r="D902" s="178"/>
      <c r="E902" s="178"/>
      <c r="F902" s="178"/>
      <c r="G902" s="180"/>
      <c r="H902" s="180"/>
      <c r="I902" s="178"/>
    </row>
    <row r="903" spans="3:9" x14ac:dyDescent="0.2">
      <c r="C903" s="178"/>
      <c r="D903" s="178"/>
      <c r="E903" s="178"/>
      <c r="F903" s="178"/>
      <c r="G903" s="180"/>
      <c r="H903" s="180"/>
      <c r="I903" s="178"/>
    </row>
    <row r="904" spans="3:9" x14ac:dyDescent="0.2">
      <c r="C904" s="178"/>
      <c r="D904" s="178"/>
      <c r="E904" s="178"/>
      <c r="F904" s="178"/>
      <c r="G904" s="180"/>
      <c r="H904" s="180"/>
      <c r="I904" s="178"/>
    </row>
    <row r="905" spans="3:9" x14ac:dyDescent="0.2">
      <c r="C905" s="178"/>
      <c r="D905" s="178"/>
      <c r="E905" s="178"/>
      <c r="F905" s="178"/>
      <c r="G905" s="180"/>
      <c r="H905" s="180"/>
      <c r="I905" s="178"/>
    </row>
    <row r="906" spans="3:9" x14ac:dyDescent="0.2">
      <c r="C906" s="178"/>
      <c r="D906" s="178"/>
      <c r="E906" s="178"/>
      <c r="F906" s="178"/>
      <c r="G906" s="180"/>
      <c r="H906" s="180"/>
      <c r="I906" s="178"/>
    </row>
    <row r="907" spans="3:9" x14ac:dyDescent="0.2">
      <c r="C907" s="178"/>
      <c r="D907" s="178"/>
      <c r="E907" s="178"/>
      <c r="F907" s="178"/>
      <c r="G907" s="180"/>
      <c r="H907" s="180"/>
      <c r="I907" s="178"/>
    </row>
    <row r="908" spans="3:9" x14ac:dyDescent="0.2">
      <c r="C908" s="178"/>
      <c r="D908" s="178"/>
      <c r="E908" s="178"/>
      <c r="F908" s="178"/>
      <c r="G908" s="180"/>
      <c r="H908" s="180"/>
      <c r="I908" s="178"/>
    </row>
    <row r="909" spans="3:9" x14ac:dyDescent="0.2">
      <c r="C909" s="178"/>
      <c r="D909" s="178"/>
      <c r="E909" s="178"/>
      <c r="F909" s="178"/>
      <c r="G909" s="180"/>
      <c r="H909" s="180"/>
      <c r="I909" s="178"/>
    </row>
    <row r="910" spans="3:9" x14ac:dyDescent="0.2">
      <c r="C910" s="178"/>
      <c r="D910" s="178"/>
      <c r="E910" s="178"/>
      <c r="F910" s="178"/>
      <c r="G910" s="180"/>
      <c r="H910" s="180"/>
      <c r="I910" s="178"/>
    </row>
    <row r="911" spans="3:9" x14ac:dyDescent="0.2">
      <c r="C911" s="178"/>
      <c r="D911" s="178"/>
      <c r="E911" s="178"/>
      <c r="F911" s="178"/>
      <c r="G911" s="180"/>
      <c r="H911" s="180"/>
      <c r="I911" s="178"/>
    </row>
    <row r="912" spans="3:9" x14ac:dyDescent="0.2">
      <c r="C912" s="178"/>
      <c r="D912" s="178"/>
      <c r="E912" s="178"/>
      <c r="F912" s="178"/>
      <c r="G912" s="180"/>
      <c r="H912" s="180"/>
      <c r="I912" s="178"/>
    </row>
    <row r="913" spans="3:9" x14ac:dyDescent="0.2">
      <c r="C913" s="178"/>
      <c r="D913" s="178"/>
      <c r="E913" s="178"/>
      <c r="F913" s="178"/>
      <c r="G913" s="180"/>
      <c r="H913" s="180"/>
      <c r="I913" s="178"/>
    </row>
    <row r="914" spans="3:9" x14ac:dyDescent="0.2">
      <c r="C914" s="178"/>
      <c r="D914" s="178"/>
      <c r="E914" s="178"/>
      <c r="F914" s="178"/>
      <c r="G914" s="180"/>
      <c r="H914" s="180"/>
      <c r="I914" s="178"/>
    </row>
    <row r="915" spans="3:9" x14ac:dyDescent="0.2">
      <c r="C915" s="178"/>
      <c r="D915" s="178"/>
      <c r="E915" s="178"/>
      <c r="F915" s="178"/>
      <c r="G915" s="180"/>
      <c r="H915" s="180"/>
      <c r="I915" s="178"/>
    </row>
    <row r="916" spans="3:9" x14ac:dyDescent="0.2">
      <c r="C916" s="178"/>
      <c r="D916" s="178"/>
      <c r="E916" s="178"/>
      <c r="F916" s="178"/>
      <c r="G916" s="180"/>
      <c r="H916" s="180"/>
      <c r="I916" s="178"/>
    </row>
    <row r="917" spans="3:9" x14ac:dyDescent="0.2">
      <c r="C917" s="178"/>
      <c r="D917" s="178"/>
      <c r="E917" s="178"/>
      <c r="F917" s="178"/>
      <c r="G917" s="180"/>
      <c r="H917" s="180"/>
      <c r="I917" s="178"/>
    </row>
    <row r="918" spans="3:9" x14ac:dyDescent="0.2">
      <c r="C918" s="178"/>
      <c r="D918" s="178"/>
      <c r="E918" s="178"/>
      <c r="F918" s="178"/>
      <c r="G918" s="180"/>
      <c r="H918" s="180"/>
      <c r="I918" s="178"/>
    </row>
    <row r="919" spans="3:9" x14ac:dyDescent="0.2">
      <c r="C919" s="178"/>
      <c r="D919" s="178"/>
      <c r="E919" s="178"/>
      <c r="F919" s="178"/>
      <c r="G919" s="180"/>
      <c r="H919" s="180"/>
      <c r="I919" s="178"/>
    </row>
    <row r="920" spans="3:9" x14ac:dyDescent="0.2">
      <c r="C920" s="178"/>
      <c r="D920" s="178"/>
      <c r="E920" s="178"/>
      <c r="F920" s="178"/>
      <c r="G920" s="180"/>
      <c r="H920" s="180"/>
      <c r="I920" s="178"/>
    </row>
    <row r="921" spans="3:9" x14ac:dyDescent="0.2">
      <c r="C921" s="178"/>
      <c r="D921" s="178"/>
      <c r="E921" s="178"/>
      <c r="F921" s="178"/>
      <c r="G921" s="180"/>
      <c r="H921" s="180"/>
      <c r="I921" s="178"/>
    </row>
    <row r="922" spans="3:9" x14ac:dyDescent="0.2">
      <c r="C922" s="178"/>
      <c r="D922" s="178"/>
      <c r="E922" s="178"/>
      <c r="F922" s="178"/>
      <c r="G922" s="180"/>
      <c r="H922" s="180"/>
      <c r="I922" s="178"/>
    </row>
    <row r="923" spans="3:9" x14ac:dyDescent="0.2">
      <c r="C923" s="178"/>
      <c r="D923" s="178"/>
      <c r="E923" s="178"/>
      <c r="F923" s="178"/>
      <c r="G923" s="180"/>
      <c r="H923" s="180"/>
      <c r="I923" s="178"/>
    </row>
    <row r="924" spans="3:9" x14ac:dyDescent="0.2">
      <c r="C924" s="178"/>
      <c r="D924" s="178"/>
      <c r="E924" s="178"/>
      <c r="F924" s="178"/>
      <c r="G924" s="180"/>
      <c r="H924" s="180"/>
      <c r="I924" s="178"/>
    </row>
    <row r="925" spans="3:9" x14ac:dyDescent="0.2">
      <c r="C925" s="178"/>
      <c r="D925" s="178"/>
      <c r="E925" s="178"/>
      <c r="F925" s="178"/>
      <c r="G925" s="180"/>
      <c r="H925" s="180"/>
      <c r="I925" s="178"/>
    </row>
    <row r="926" spans="3:9" x14ac:dyDescent="0.2">
      <c r="C926" s="178"/>
      <c r="D926" s="178"/>
      <c r="E926" s="178"/>
      <c r="F926" s="178"/>
      <c r="G926" s="180"/>
      <c r="H926" s="180"/>
      <c r="I926" s="178"/>
    </row>
    <row r="927" spans="3:9" x14ac:dyDescent="0.2">
      <c r="C927" s="178"/>
      <c r="D927" s="178"/>
      <c r="E927" s="178"/>
      <c r="F927" s="178"/>
      <c r="G927" s="180"/>
      <c r="H927" s="180"/>
      <c r="I927" s="178"/>
    </row>
    <row r="928" spans="3:9" x14ac:dyDescent="0.2">
      <c r="C928" s="178"/>
      <c r="D928" s="178"/>
      <c r="E928" s="178"/>
      <c r="F928" s="178"/>
      <c r="G928" s="180"/>
      <c r="H928" s="180"/>
      <c r="I928" s="178"/>
    </row>
    <row r="929" spans="3:9" x14ac:dyDescent="0.2">
      <c r="C929" s="178"/>
      <c r="D929" s="178"/>
      <c r="E929" s="178"/>
      <c r="F929" s="178"/>
      <c r="G929" s="180"/>
      <c r="H929" s="180"/>
      <c r="I929" s="178"/>
    </row>
    <row r="930" spans="3:9" x14ac:dyDescent="0.2">
      <c r="C930" s="178"/>
      <c r="D930" s="178"/>
      <c r="E930" s="178"/>
      <c r="F930" s="178"/>
      <c r="G930" s="180"/>
      <c r="H930" s="180"/>
      <c r="I930" s="178"/>
    </row>
    <row r="931" spans="3:9" x14ac:dyDescent="0.2">
      <c r="C931" s="178"/>
      <c r="D931" s="178"/>
      <c r="E931" s="178"/>
      <c r="F931" s="178"/>
      <c r="G931" s="180"/>
      <c r="H931" s="180"/>
      <c r="I931" s="178"/>
    </row>
    <row r="932" spans="3:9" x14ac:dyDescent="0.2">
      <c r="C932" s="178"/>
      <c r="D932" s="178"/>
      <c r="E932" s="178"/>
      <c r="F932" s="178"/>
      <c r="G932" s="180"/>
      <c r="H932" s="180"/>
      <c r="I932" s="178"/>
    </row>
    <row r="933" spans="3:9" x14ac:dyDescent="0.2">
      <c r="C933" s="178"/>
      <c r="D933" s="178"/>
      <c r="E933" s="178"/>
      <c r="F933" s="178"/>
      <c r="G933" s="180"/>
      <c r="H933" s="180"/>
      <c r="I933" s="178"/>
    </row>
    <row r="934" spans="3:9" x14ac:dyDescent="0.2">
      <c r="C934" s="178"/>
      <c r="D934" s="178"/>
      <c r="E934" s="178"/>
      <c r="F934" s="178"/>
      <c r="G934" s="180"/>
      <c r="H934" s="180"/>
      <c r="I934" s="178"/>
    </row>
    <row r="935" spans="3:9" x14ac:dyDescent="0.2">
      <c r="C935" s="178"/>
      <c r="D935" s="178"/>
      <c r="E935" s="178"/>
      <c r="F935" s="178"/>
      <c r="G935" s="180"/>
      <c r="H935" s="180"/>
      <c r="I935" s="178"/>
    </row>
    <row r="936" spans="3:9" x14ac:dyDescent="0.2">
      <c r="C936" s="178"/>
      <c r="D936" s="178"/>
      <c r="E936" s="178"/>
      <c r="F936" s="178"/>
      <c r="G936" s="180"/>
      <c r="H936" s="180"/>
      <c r="I936" s="178"/>
    </row>
    <row r="937" spans="3:9" x14ac:dyDescent="0.2">
      <c r="C937" s="178"/>
      <c r="D937" s="178"/>
      <c r="E937" s="178"/>
      <c r="F937" s="178"/>
      <c r="G937" s="180"/>
      <c r="H937" s="180"/>
      <c r="I937" s="178"/>
    </row>
    <row r="938" spans="3:9" x14ac:dyDescent="0.2">
      <c r="C938" s="178"/>
      <c r="D938" s="178"/>
      <c r="E938" s="178"/>
      <c r="F938" s="178"/>
      <c r="G938" s="180"/>
      <c r="H938" s="180"/>
      <c r="I938" s="178"/>
    </row>
    <row r="939" spans="3:9" x14ac:dyDescent="0.2">
      <c r="C939" s="178"/>
      <c r="D939" s="178"/>
      <c r="E939" s="178"/>
      <c r="F939" s="178"/>
      <c r="G939" s="180"/>
      <c r="H939" s="180"/>
      <c r="I939" s="178"/>
    </row>
    <row r="940" spans="3:9" x14ac:dyDescent="0.2">
      <c r="C940" s="178"/>
      <c r="D940" s="178"/>
      <c r="E940" s="178"/>
      <c r="F940" s="178"/>
      <c r="G940" s="180"/>
      <c r="H940" s="180"/>
      <c r="I940" s="178"/>
    </row>
    <row r="941" spans="3:9" x14ac:dyDescent="0.2">
      <c r="C941" s="178"/>
      <c r="D941" s="178"/>
      <c r="E941" s="178"/>
      <c r="F941" s="178"/>
      <c r="G941" s="180"/>
      <c r="H941" s="180"/>
      <c r="I941" s="178"/>
    </row>
    <row r="942" spans="3:9" x14ac:dyDescent="0.2">
      <c r="C942" s="178"/>
      <c r="D942" s="178"/>
      <c r="E942" s="178"/>
      <c r="F942" s="178"/>
      <c r="G942" s="180"/>
      <c r="H942" s="180"/>
      <c r="I942" s="178"/>
    </row>
    <row r="943" spans="3:9" x14ac:dyDescent="0.2">
      <c r="C943" s="178"/>
      <c r="D943" s="178"/>
      <c r="E943" s="178"/>
      <c r="F943" s="178"/>
      <c r="G943" s="180"/>
      <c r="H943" s="180"/>
      <c r="I943" s="178"/>
    </row>
    <row r="944" spans="3:9" x14ac:dyDescent="0.2">
      <c r="C944" s="178"/>
      <c r="D944" s="178"/>
      <c r="E944" s="178"/>
      <c r="F944" s="178"/>
      <c r="G944" s="180"/>
      <c r="H944" s="180"/>
      <c r="I944" s="178"/>
    </row>
    <row r="945" spans="3:9" x14ac:dyDescent="0.2">
      <c r="C945" s="178"/>
      <c r="D945" s="178"/>
      <c r="E945" s="178"/>
      <c r="F945" s="178"/>
      <c r="G945" s="180"/>
      <c r="H945" s="180"/>
      <c r="I945" s="178"/>
    </row>
    <row r="946" spans="3:9" x14ac:dyDescent="0.2">
      <c r="C946" s="178"/>
      <c r="D946" s="178"/>
      <c r="E946" s="178"/>
      <c r="F946" s="178"/>
      <c r="G946" s="180"/>
      <c r="H946" s="180"/>
      <c r="I946" s="178"/>
    </row>
    <row r="947" spans="3:9" x14ac:dyDescent="0.2">
      <c r="C947" s="178"/>
      <c r="D947" s="178"/>
      <c r="E947" s="178"/>
      <c r="F947" s="178"/>
      <c r="G947" s="180"/>
      <c r="H947" s="180"/>
      <c r="I947" s="178"/>
    </row>
    <row r="948" spans="3:9" x14ac:dyDescent="0.2">
      <c r="C948" s="178"/>
      <c r="D948" s="178"/>
      <c r="E948" s="178"/>
      <c r="F948" s="178"/>
      <c r="G948" s="180"/>
      <c r="H948" s="180"/>
      <c r="I948" s="178"/>
    </row>
    <row r="949" spans="3:9" x14ac:dyDescent="0.2">
      <c r="C949" s="178"/>
      <c r="D949" s="178"/>
      <c r="E949" s="178"/>
      <c r="F949" s="178"/>
      <c r="G949" s="180"/>
      <c r="H949" s="180"/>
      <c r="I949" s="178"/>
    </row>
    <row r="950" spans="3:9" x14ac:dyDescent="0.2">
      <c r="C950" s="178"/>
      <c r="D950" s="178"/>
      <c r="E950" s="178"/>
      <c r="F950" s="178"/>
      <c r="G950" s="180"/>
      <c r="H950" s="180"/>
      <c r="I950" s="178"/>
    </row>
    <row r="951" spans="3:9" x14ac:dyDescent="0.2">
      <c r="C951" s="178"/>
      <c r="D951" s="178"/>
      <c r="E951" s="178"/>
      <c r="F951" s="178"/>
      <c r="G951" s="180"/>
      <c r="H951" s="180"/>
      <c r="I951" s="178"/>
    </row>
    <row r="952" spans="3:9" x14ac:dyDescent="0.2">
      <c r="C952" s="178"/>
      <c r="D952" s="178"/>
      <c r="E952" s="178"/>
      <c r="F952" s="178"/>
      <c r="G952" s="180"/>
      <c r="H952" s="180"/>
      <c r="I952" s="178"/>
    </row>
    <row r="953" spans="3:9" x14ac:dyDescent="0.2">
      <c r="C953" s="178"/>
      <c r="D953" s="178"/>
      <c r="E953" s="178"/>
      <c r="F953" s="178"/>
      <c r="G953" s="180"/>
      <c r="H953" s="180"/>
      <c r="I953" s="178"/>
    </row>
    <row r="954" spans="3:9" x14ac:dyDescent="0.2">
      <c r="C954" s="178"/>
      <c r="D954" s="178"/>
      <c r="E954" s="178"/>
      <c r="F954" s="178"/>
      <c r="G954" s="180"/>
      <c r="H954" s="180"/>
      <c r="I954" s="178"/>
    </row>
    <row r="955" spans="3:9" x14ac:dyDescent="0.2">
      <c r="C955" s="178"/>
      <c r="D955" s="178"/>
      <c r="E955" s="178"/>
      <c r="F955" s="178"/>
      <c r="G955" s="180"/>
      <c r="H955" s="180"/>
      <c r="I955" s="178"/>
    </row>
    <row r="956" spans="3:9" x14ac:dyDescent="0.2">
      <c r="C956" s="178"/>
      <c r="D956" s="178"/>
      <c r="E956" s="178"/>
      <c r="F956" s="178"/>
      <c r="G956" s="180"/>
      <c r="H956" s="180"/>
      <c r="I956" s="178"/>
    </row>
    <row r="957" spans="3:9" x14ac:dyDescent="0.2">
      <c r="C957" s="178"/>
      <c r="D957" s="178"/>
      <c r="E957" s="178"/>
      <c r="F957" s="178"/>
      <c r="G957" s="180"/>
      <c r="H957" s="180"/>
      <c r="I957" s="178"/>
    </row>
    <row r="958" spans="3:9" x14ac:dyDescent="0.2">
      <c r="C958" s="178"/>
      <c r="D958" s="178"/>
      <c r="E958" s="178"/>
      <c r="F958" s="178"/>
      <c r="G958" s="180"/>
      <c r="H958" s="180"/>
      <c r="I958" s="178"/>
    </row>
    <row r="959" spans="3:9" x14ac:dyDescent="0.2">
      <c r="C959" s="178"/>
      <c r="D959" s="178"/>
      <c r="E959" s="178"/>
      <c r="F959" s="178"/>
      <c r="G959" s="180"/>
      <c r="H959" s="180"/>
      <c r="I959" s="178"/>
    </row>
    <row r="960" spans="3:9" x14ac:dyDescent="0.2">
      <c r="C960" s="178"/>
      <c r="D960" s="178"/>
      <c r="E960" s="178"/>
      <c r="F960" s="178"/>
      <c r="G960" s="180"/>
      <c r="H960" s="180"/>
      <c r="I960" s="178"/>
    </row>
    <row r="961" spans="3:9" x14ac:dyDescent="0.2">
      <c r="C961" s="178"/>
      <c r="D961" s="178"/>
      <c r="E961" s="178"/>
      <c r="F961" s="178"/>
      <c r="G961" s="180"/>
      <c r="H961" s="180"/>
      <c r="I961" s="178"/>
    </row>
    <row r="962" spans="3:9" x14ac:dyDescent="0.2">
      <c r="C962" s="178"/>
      <c r="D962" s="178"/>
      <c r="E962" s="178"/>
      <c r="F962" s="178"/>
      <c r="G962" s="180"/>
      <c r="H962" s="180"/>
      <c r="I962" s="178"/>
    </row>
    <row r="963" spans="3:9" x14ac:dyDescent="0.2">
      <c r="C963" s="178"/>
      <c r="D963" s="178"/>
      <c r="E963" s="178"/>
      <c r="F963" s="178"/>
      <c r="G963" s="180"/>
      <c r="H963" s="180"/>
      <c r="I963" s="178"/>
    </row>
    <row r="964" spans="3:9" x14ac:dyDescent="0.2">
      <c r="C964" s="178"/>
      <c r="D964" s="178"/>
      <c r="E964" s="178"/>
      <c r="F964" s="178"/>
      <c r="G964" s="180"/>
      <c r="H964" s="180"/>
      <c r="I964" s="178"/>
    </row>
    <row r="965" spans="3:9" x14ac:dyDescent="0.2">
      <c r="C965" s="178"/>
      <c r="D965" s="178"/>
      <c r="E965" s="178"/>
      <c r="F965" s="178"/>
      <c r="G965" s="180"/>
      <c r="H965" s="180"/>
      <c r="I965" s="178"/>
    </row>
    <row r="966" spans="3:9" x14ac:dyDescent="0.2">
      <c r="C966" s="178"/>
      <c r="D966" s="178"/>
      <c r="E966" s="178"/>
      <c r="F966" s="178"/>
      <c r="G966" s="180"/>
      <c r="H966" s="180"/>
      <c r="I966" s="178"/>
    </row>
    <row r="967" spans="3:9" x14ac:dyDescent="0.2">
      <c r="C967" s="178"/>
      <c r="D967" s="178"/>
      <c r="E967" s="178"/>
      <c r="F967" s="178"/>
      <c r="G967" s="180"/>
      <c r="H967" s="180"/>
      <c r="I967" s="178"/>
    </row>
    <row r="968" spans="3:9" x14ac:dyDescent="0.2">
      <c r="C968" s="178"/>
      <c r="D968" s="178"/>
      <c r="E968" s="178"/>
      <c r="F968" s="178"/>
      <c r="G968" s="180"/>
      <c r="H968" s="180"/>
      <c r="I968" s="178"/>
    </row>
    <row r="969" spans="3:9" x14ac:dyDescent="0.2">
      <c r="C969" s="178"/>
      <c r="D969" s="178"/>
      <c r="E969" s="178"/>
      <c r="F969" s="178"/>
      <c r="G969" s="180"/>
      <c r="H969" s="180"/>
      <c r="I969" s="178"/>
    </row>
    <row r="970" spans="3:9" x14ac:dyDescent="0.2">
      <c r="C970" s="178"/>
      <c r="D970" s="178"/>
      <c r="E970" s="178"/>
      <c r="F970" s="178"/>
      <c r="G970" s="180"/>
      <c r="H970" s="180"/>
      <c r="I970" s="178"/>
    </row>
    <row r="971" spans="3:9" x14ac:dyDescent="0.2">
      <c r="C971" s="178"/>
      <c r="D971" s="178"/>
      <c r="E971" s="178"/>
      <c r="F971" s="178"/>
      <c r="G971" s="180"/>
      <c r="H971" s="180"/>
      <c r="I971" s="178"/>
    </row>
    <row r="972" spans="3:9" x14ac:dyDescent="0.2">
      <c r="C972" s="178"/>
      <c r="D972" s="178"/>
      <c r="E972" s="178"/>
      <c r="F972" s="178"/>
      <c r="G972" s="180"/>
      <c r="H972" s="180"/>
      <c r="I972" s="178"/>
    </row>
    <row r="973" spans="3:9" x14ac:dyDescent="0.2">
      <c r="C973" s="178"/>
      <c r="D973" s="178"/>
      <c r="E973" s="178"/>
      <c r="F973" s="178"/>
      <c r="G973" s="180"/>
      <c r="H973" s="180"/>
      <c r="I973" s="178"/>
    </row>
    <row r="974" spans="3:9" x14ac:dyDescent="0.2">
      <c r="C974" s="178"/>
      <c r="D974" s="178"/>
      <c r="E974" s="178"/>
      <c r="F974" s="178"/>
      <c r="G974" s="180"/>
      <c r="H974" s="180"/>
      <c r="I974" s="178"/>
    </row>
    <row r="975" spans="3:9" x14ac:dyDescent="0.2">
      <c r="C975" s="178"/>
      <c r="D975" s="178"/>
      <c r="E975" s="178"/>
      <c r="F975" s="178"/>
      <c r="G975" s="180"/>
      <c r="H975" s="180"/>
      <c r="I975" s="178"/>
    </row>
    <row r="976" spans="3:9" x14ac:dyDescent="0.2">
      <c r="C976" s="178"/>
      <c r="D976" s="178"/>
      <c r="E976" s="178"/>
      <c r="F976" s="178"/>
      <c r="G976" s="180"/>
      <c r="H976" s="180"/>
      <c r="I976" s="178"/>
    </row>
    <row r="977" spans="3:9" x14ac:dyDescent="0.2">
      <c r="C977" s="178"/>
      <c r="D977" s="178"/>
      <c r="E977" s="178"/>
      <c r="F977" s="178"/>
      <c r="G977" s="180"/>
      <c r="H977" s="180"/>
      <c r="I977" s="178"/>
    </row>
    <row r="978" spans="3:9" x14ac:dyDescent="0.2">
      <c r="C978" s="178"/>
      <c r="D978" s="178"/>
      <c r="E978" s="178"/>
      <c r="F978" s="178"/>
      <c r="G978" s="180"/>
      <c r="H978" s="180"/>
      <c r="I978" s="178"/>
    </row>
    <row r="979" spans="3:9" x14ac:dyDescent="0.2">
      <c r="C979" s="178"/>
      <c r="D979" s="178"/>
      <c r="E979" s="178"/>
      <c r="F979" s="178"/>
      <c r="G979" s="180"/>
      <c r="H979" s="180"/>
      <c r="I979" s="178"/>
    </row>
    <row r="980" spans="3:9" x14ac:dyDescent="0.2">
      <c r="C980" s="178"/>
      <c r="D980" s="178"/>
      <c r="E980" s="178"/>
      <c r="F980" s="178"/>
      <c r="G980" s="180"/>
      <c r="H980" s="180"/>
      <c r="I980" s="178"/>
    </row>
    <row r="981" spans="3:9" x14ac:dyDescent="0.2">
      <c r="C981" s="178"/>
      <c r="D981" s="178"/>
      <c r="E981" s="178"/>
      <c r="F981" s="178"/>
      <c r="G981" s="180"/>
      <c r="H981" s="180"/>
      <c r="I981" s="178"/>
    </row>
    <row r="982" spans="3:9" x14ac:dyDescent="0.2">
      <c r="C982" s="178"/>
      <c r="D982" s="178"/>
      <c r="E982" s="178"/>
      <c r="F982" s="178"/>
      <c r="G982" s="180"/>
      <c r="H982" s="180"/>
      <c r="I982" s="178"/>
    </row>
    <row r="983" spans="3:9" x14ac:dyDescent="0.2">
      <c r="C983" s="178"/>
      <c r="D983" s="178"/>
      <c r="E983" s="178"/>
      <c r="F983" s="178"/>
      <c r="G983" s="180"/>
      <c r="H983" s="180"/>
      <c r="I983" s="178"/>
    </row>
    <row r="984" spans="3:9" x14ac:dyDescent="0.2">
      <c r="C984" s="178"/>
      <c r="D984" s="178"/>
      <c r="E984" s="178"/>
      <c r="F984" s="178"/>
      <c r="G984" s="180"/>
      <c r="H984" s="180"/>
      <c r="I984" s="178"/>
    </row>
    <row r="985" spans="3:9" x14ac:dyDescent="0.2">
      <c r="C985" s="178"/>
      <c r="D985" s="178"/>
      <c r="E985" s="178"/>
      <c r="F985" s="178"/>
      <c r="G985" s="180"/>
      <c r="H985" s="180"/>
      <c r="I985" s="178"/>
    </row>
    <row r="986" spans="3:9" x14ac:dyDescent="0.2">
      <c r="C986" s="178"/>
      <c r="D986" s="178"/>
      <c r="E986" s="178"/>
      <c r="F986" s="178"/>
      <c r="G986" s="180"/>
      <c r="H986" s="180"/>
      <c r="I986" s="178"/>
    </row>
    <row r="987" spans="3:9" x14ac:dyDescent="0.2">
      <c r="C987" s="178"/>
      <c r="D987" s="178"/>
      <c r="E987" s="178"/>
      <c r="F987" s="178"/>
      <c r="G987" s="180"/>
      <c r="H987" s="180"/>
      <c r="I987" s="178"/>
    </row>
    <row r="988" spans="3:9" x14ac:dyDescent="0.2">
      <c r="C988" s="178"/>
      <c r="D988" s="178"/>
      <c r="E988" s="178"/>
      <c r="F988" s="178"/>
      <c r="G988" s="180"/>
      <c r="H988" s="180"/>
      <c r="I988" s="178"/>
    </row>
    <row r="989" spans="3:9" x14ac:dyDescent="0.2">
      <c r="C989" s="178"/>
      <c r="D989" s="178"/>
      <c r="E989" s="178"/>
      <c r="F989" s="178"/>
      <c r="G989" s="180"/>
      <c r="H989" s="180"/>
      <c r="I989" s="178"/>
    </row>
    <row r="990" spans="3:9" x14ac:dyDescent="0.2">
      <c r="C990" s="178"/>
      <c r="D990" s="178"/>
      <c r="E990" s="178"/>
      <c r="F990" s="178"/>
      <c r="G990" s="180"/>
      <c r="H990" s="180"/>
      <c r="I990" s="178"/>
    </row>
    <row r="991" spans="3:9" x14ac:dyDescent="0.2">
      <c r="C991" s="178"/>
      <c r="D991" s="178"/>
      <c r="E991" s="178"/>
      <c r="F991" s="178"/>
      <c r="G991" s="180"/>
      <c r="H991" s="180"/>
      <c r="I991" s="178"/>
    </row>
    <row r="992" spans="3:9" x14ac:dyDescent="0.2">
      <c r="C992" s="178"/>
      <c r="D992" s="178"/>
      <c r="E992" s="178"/>
      <c r="F992" s="178"/>
      <c r="G992" s="180"/>
      <c r="H992" s="180"/>
      <c r="I992" s="178"/>
    </row>
    <row r="993" spans="3:9" x14ac:dyDescent="0.2">
      <c r="C993" s="178"/>
      <c r="D993" s="178"/>
      <c r="E993" s="178"/>
      <c r="F993" s="178"/>
      <c r="G993" s="180"/>
      <c r="H993" s="180"/>
      <c r="I993" s="178"/>
    </row>
    <row r="994" spans="3:9" x14ac:dyDescent="0.2">
      <c r="C994" s="178"/>
      <c r="D994" s="178"/>
      <c r="E994" s="178"/>
      <c r="F994" s="178"/>
      <c r="G994" s="180"/>
      <c r="H994" s="180"/>
      <c r="I994" s="178"/>
    </row>
    <row r="995" spans="3:9" x14ac:dyDescent="0.2">
      <c r="C995" s="178"/>
      <c r="D995" s="178"/>
      <c r="E995" s="178"/>
      <c r="F995" s="178"/>
      <c r="G995" s="180"/>
      <c r="H995" s="180"/>
      <c r="I995" s="178"/>
    </row>
    <row r="996" spans="3:9" x14ac:dyDescent="0.2">
      <c r="C996" s="178"/>
      <c r="D996" s="178"/>
      <c r="E996" s="178"/>
      <c r="F996" s="178"/>
      <c r="G996" s="180"/>
      <c r="H996" s="180"/>
      <c r="I996" s="178"/>
    </row>
    <row r="997" spans="3:9" x14ac:dyDescent="0.2">
      <c r="C997" s="178"/>
      <c r="D997" s="178"/>
      <c r="E997" s="178"/>
      <c r="F997" s="178"/>
      <c r="G997" s="180"/>
      <c r="H997" s="180"/>
      <c r="I997" s="178"/>
    </row>
    <row r="998" spans="3:9" x14ac:dyDescent="0.2">
      <c r="C998" s="178"/>
      <c r="D998" s="178"/>
      <c r="E998" s="178"/>
      <c r="F998" s="178"/>
      <c r="G998" s="180"/>
      <c r="H998" s="180"/>
      <c r="I998" s="178"/>
    </row>
    <row r="999" spans="3:9" x14ac:dyDescent="0.2">
      <c r="C999" s="178"/>
      <c r="D999" s="178"/>
      <c r="E999" s="178"/>
      <c r="F999" s="178"/>
      <c r="G999" s="180"/>
      <c r="H999" s="180"/>
      <c r="I999" s="178"/>
    </row>
    <row r="1000" spans="3:9" x14ac:dyDescent="0.2">
      <c r="C1000" s="178"/>
      <c r="D1000" s="178"/>
      <c r="E1000" s="178"/>
      <c r="F1000" s="178"/>
      <c r="G1000" s="180"/>
      <c r="H1000" s="180"/>
      <c r="I1000" s="178"/>
    </row>
    <row r="1001" spans="3:9" x14ac:dyDescent="0.2">
      <c r="C1001" s="178"/>
      <c r="D1001" s="178"/>
      <c r="E1001" s="178"/>
      <c r="F1001" s="178"/>
      <c r="G1001" s="180"/>
      <c r="H1001" s="180"/>
      <c r="I1001" s="178"/>
    </row>
    <row r="1002" spans="3:9" x14ac:dyDescent="0.2">
      <c r="C1002" s="178"/>
      <c r="D1002" s="178"/>
      <c r="E1002" s="178"/>
      <c r="F1002" s="178"/>
      <c r="G1002" s="180"/>
      <c r="H1002" s="180"/>
      <c r="I1002" s="178"/>
    </row>
    <row r="1003" spans="3:9" x14ac:dyDescent="0.2">
      <c r="C1003" s="178"/>
      <c r="D1003" s="178"/>
      <c r="E1003" s="178"/>
      <c r="F1003" s="178"/>
      <c r="G1003" s="180"/>
      <c r="H1003" s="180"/>
      <c r="I1003" s="178"/>
    </row>
    <row r="1004" spans="3:9" x14ac:dyDescent="0.2">
      <c r="C1004" s="178"/>
      <c r="D1004" s="178"/>
      <c r="E1004" s="178"/>
      <c r="F1004" s="178"/>
      <c r="G1004" s="180"/>
      <c r="H1004" s="180"/>
      <c r="I1004" s="178"/>
    </row>
    <row r="1005" spans="3:9" x14ac:dyDescent="0.2">
      <c r="C1005" s="178"/>
      <c r="D1005" s="178"/>
      <c r="E1005" s="178"/>
      <c r="F1005" s="178"/>
      <c r="G1005" s="180"/>
      <c r="H1005" s="180"/>
      <c r="I1005" s="178"/>
    </row>
    <row r="1006" spans="3:9" x14ac:dyDescent="0.2">
      <c r="C1006" s="178"/>
      <c r="D1006" s="178"/>
      <c r="E1006" s="178"/>
      <c r="F1006" s="178"/>
      <c r="G1006" s="180"/>
      <c r="H1006" s="180"/>
      <c r="I1006" s="178"/>
    </row>
    <row r="1007" spans="3:9" x14ac:dyDescent="0.2">
      <c r="C1007" s="178"/>
      <c r="D1007" s="178"/>
      <c r="E1007" s="178"/>
      <c r="F1007" s="178"/>
      <c r="G1007" s="180"/>
      <c r="H1007" s="180"/>
      <c r="I1007" s="178"/>
    </row>
    <row r="1008" spans="3:9" x14ac:dyDescent="0.2">
      <c r="C1008" s="178"/>
      <c r="D1008" s="178"/>
      <c r="E1008" s="178"/>
      <c r="F1008" s="178"/>
      <c r="G1008" s="180"/>
      <c r="H1008" s="180"/>
      <c r="I1008" s="178"/>
    </row>
    <row r="1009" spans="3:9" x14ac:dyDescent="0.2">
      <c r="C1009" s="178"/>
      <c r="D1009" s="178"/>
      <c r="E1009" s="178"/>
      <c r="F1009" s="178"/>
      <c r="G1009" s="180"/>
      <c r="H1009" s="180"/>
      <c r="I1009" s="178"/>
    </row>
    <row r="1010" spans="3:9" x14ac:dyDescent="0.2">
      <c r="C1010" s="178"/>
      <c r="D1010" s="178"/>
      <c r="E1010" s="178"/>
      <c r="F1010" s="178"/>
      <c r="G1010" s="180"/>
      <c r="H1010" s="180"/>
      <c r="I1010" s="178"/>
    </row>
    <row r="1011" spans="3:9" x14ac:dyDescent="0.2">
      <c r="C1011" s="178"/>
      <c r="D1011" s="178"/>
      <c r="E1011" s="178"/>
      <c r="F1011" s="178"/>
      <c r="G1011" s="180"/>
      <c r="H1011" s="180"/>
      <c r="I1011" s="178"/>
    </row>
    <row r="1012" spans="3:9" x14ac:dyDescent="0.2">
      <c r="C1012" s="178"/>
      <c r="D1012" s="178"/>
      <c r="E1012" s="178"/>
      <c r="F1012" s="178"/>
      <c r="G1012" s="180"/>
      <c r="H1012" s="180"/>
      <c r="I1012" s="178"/>
    </row>
    <row r="1013" spans="3:9" x14ac:dyDescent="0.2">
      <c r="C1013" s="178"/>
      <c r="D1013" s="178"/>
      <c r="E1013" s="178"/>
      <c r="F1013" s="178"/>
      <c r="G1013" s="180"/>
      <c r="H1013" s="180"/>
      <c r="I1013" s="178"/>
    </row>
    <row r="1014" spans="3:9" x14ac:dyDescent="0.2">
      <c r="C1014" s="178"/>
      <c r="D1014" s="178"/>
      <c r="E1014" s="178"/>
      <c r="F1014" s="178"/>
      <c r="G1014" s="180"/>
      <c r="H1014" s="180"/>
      <c r="I1014" s="178"/>
    </row>
    <row r="1015" spans="3:9" x14ac:dyDescent="0.2">
      <c r="C1015" s="178"/>
      <c r="D1015" s="178"/>
      <c r="E1015" s="178"/>
      <c r="F1015" s="178"/>
      <c r="G1015" s="180"/>
      <c r="H1015" s="180"/>
      <c r="I1015" s="178"/>
    </row>
    <row r="1016" spans="3:9" x14ac:dyDescent="0.2">
      <c r="C1016" s="178"/>
      <c r="D1016" s="178"/>
      <c r="E1016" s="178"/>
      <c r="F1016" s="178"/>
      <c r="G1016" s="180"/>
      <c r="H1016" s="180"/>
      <c r="I1016" s="178"/>
    </row>
    <row r="1017" spans="3:9" x14ac:dyDescent="0.2">
      <c r="C1017" s="178"/>
      <c r="D1017" s="178"/>
      <c r="E1017" s="178"/>
      <c r="F1017" s="178"/>
      <c r="G1017" s="180"/>
      <c r="H1017" s="180"/>
      <c r="I1017" s="178"/>
    </row>
    <row r="1018" spans="3:9" x14ac:dyDescent="0.2">
      <c r="C1018" s="178"/>
      <c r="D1018" s="178"/>
      <c r="E1018" s="178"/>
      <c r="F1018" s="178"/>
      <c r="G1018" s="180"/>
      <c r="H1018" s="180"/>
      <c r="I1018" s="178"/>
    </row>
    <row r="1019" spans="3:9" x14ac:dyDescent="0.2">
      <c r="C1019" s="178"/>
      <c r="D1019" s="178"/>
      <c r="E1019" s="178"/>
      <c r="F1019" s="178"/>
      <c r="G1019" s="180"/>
      <c r="H1019" s="180"/>
      <c r="I1019" s="178"/>
    </row>
    <row r="1020" spans="3:9" x14ac:dyDescent="0.2">
      <c r="C1020" s="178"/>
      <c r="D1020" s="178"/>
      <c r="E1020" s="178"/>
      <c r="F1020" s="178"/>
      <c r="G1020" s="180"/>
      <c r="H1020" s="180"/>
      <c r="I1020" s="178"/>
    </row>
    <row r="1021" spans="3:9" x14ac:dyDescent="0.2">
      <c r="C1021" s="178"/>
      <c r="D1021" s="178"/>
      <c r="E1021" s="178"/>
      <c r="F1021" s="178"/>
      <c r="G1021" s="180"/>
      <c r="H1021" s="180"/>
      <c r="I1021" s="178"/>
    </row>
    <row r="1022" spans="3:9" x14ac:dyDescent="0.2">
      <c r="C1022" s="178"/>
      <c r="D1022" s="178"/>
      <c r="E1022" s="178"/>
      <c r="F1022" s="178"/>
      <c r="G1022" s="180"/>
      <c r="H1022" s="180"/>
      <c r="I1022" s="178"/>
    </row>
    <row r="1023" spans="3:9" x14ac:dyDescent="0.2">
      <c r="C1023" s="178"/>
      <c r="D1023" s="178"/>
      <c r="E1023" s="178"/>
      <c r="F1023" s="178"/>
      <c r="G1023" s="180"/>
      <c r="H1023" s="180"/>
      <c r="I1023" s="178"/>
    </row>
    <row r="1024" spans="3:9" x14ac:dyDescent="0.2">
      <c r="C1024" s="178"/>
      <c r="D1024" s="178"/>
      <c r="E1024" s="178"/>
      <c r="F1024" s="178"/>
      <c r="G1024" s="180"/>
      <c r="H1024" s="180"/>
      <c r="I1024" s="178"/>
    </row>
    <row r="1025" spans="3:9" x14ac:dyDescent="0.2">
      <c r="C1025" s="178"/>
      <c r="D1025" s="178"/>
      <c r="E1025" s="178"/>
      <c r="F1025" s="178"/>
      <c r="G1025" s="180"/>
      <c r="H1025" s="180"/>
      <c r="I1025" s="178"/>
    </row>
    <row r="1026" spans="3:9" x14ac:dyDescent="0.2">
      <c r="C1026" s="178"/>
      <c r="D1026" s="178"/>
      <c r="E1026" s="178"/>
      <c r="F1026" s="178"/>
      <c r="G1026" s="180"/>
      <c r="H1026" s="180"/>
      <c r="I1026" s="178"/>
    </row>
    <row r="1027" spans="3:9" x14ac:dyDescent="0.2">
      <c r="C1027" s="178"/>
      <c r="D1027" s="178"/>
      <c r="E1027" s="178"/>
      <c r="F1027" s="178"/>
      <c r="G1027" s="180"/>
      <c r="H1027" s="180"/>
      <c r="I1027" s="178"/>
    </row>
    <row r="1028" spans="3:9" x14ac:dyDescent="0.2">
      <c r="C1028" s="178"/>
      <c r="D1028" s="178"/>
      <c r="E1028" s="178"/>
      <c r="F1028" s="178"/>
      <c r="G1028" s="180"/>
      <c r="H1028" s="180"/>
      <c r="I1028" s="178"/>
    </row>
    <row r="1029" spans="3:9" x14ac:dyDescent="0.2">
      <c r="C1029" s="178"/>
      <c r="D1029" s="178"/>
      <c r="E1029" s="178"/>
      <c r="F1029" s="178"/>
      <c r="G1029" s="180"/>
      <c r="H1029" s="180"/>
      <c r="I1029" s="178"/>
    </row>
    <row r="1030" spans="3:9" x14ac:dyDescent="0.2">
      <c r="C1030" s="178"/>
      <c r="D1030" s="178"/>
      <c r="E1030" s="178"/>
      <c r="F1030" s="178"/>
      <c r="G1030" s="180"/>
      <c r="H1030" s="180"/>
      <c r="I1030" s="178"/>
    </row>
    <row r="1031" spans="3:9" x14ac:dyDescent="0.2">
      <c r="C1031" s="178"/>
      <c r="D1031" s="178"/>
      <c r="E1031" s="178"/>
      <c r="F1031" s="178"/>
      <c r="G1031" s="180"/>
      <c r="H1031" s="180"/>
      <c r="I1031" s="178"/>
    </row>
    <row r="1032" spans="3:9" x14ac:dyDescent="0.2">
      <c r="C1032" s="178"/>
      <c r="D1032" s="178"/>
      <c r="E1032" s="178"/>
      <c r="F1032" s="178"/>
      <c r="G1032" s="180"/>
      <c r="H1032" s="180"/>
      <c r="I1032" s="178"/>
    </row>
    <row r="1033" spans="3:9" x14ac:dyDescent="0.2">
      <c r="C1033" s="178"/>
      <c r="D1033" s="178"/>
      <c r="E1033" s="178"/>
      <c r="F1033" s="178"/>
      <c r="G1033" s="180"/>
      <c r="H1033" s="180"/>
      <c r="I1033" s="178"/>
    </row>
    <row r="1034" spans="3:9" x14ac:dyDescent="0.2">
      <c r="C1034" s="178"/>
      <c r="D1034" s="178"/>
      <c r="E1034" s="178"/>
      <c r="F1034" s="178"/>
      <c r="G1034" s="180"/>
      <c r="H1034" s="180"/>
      <c r="I1034" s="178"/>
    </row>
    <row r="1035" spans="3:9" x14ac:dyDescent="0.2">
      <c r="C1035" s="178"/>
      <c r="D1035" s="178"/>
      <c r="E1035" s="178"/>
      <c r="F1035" s="178"/>
      <c r="G1035" s="180"/>
      <c r="H1035" s="180"/>
      <c r="I1035" s="178"/>
    </row>
    <row r="1036" spans="3:9" x14ac:dyDescent="0.2">
      <c r="C1036" s="178"/>
      <c r="D1036" s="178"/>
      <c r="E1036" s="178"/>
      <c r="F1036" s="178"/>
      <c r="G1036" s="180"/>
      <c r="H1036" s="180"/>
      <c r="I1036" s="178"/>
    </row>
    <row r="1037" spans="3:9" x14ac:dyDescent="0.2">
      <c r="C1037" s="178"/>
      <c r="D1037" s="178"/>
      <c r="E1037" s="178"/>
      <c r="F1037" s="178"/>
      <c r="G1037" s="180"/>
      <c r="H1037" s="180"/>
      <c r="I1037" s="178"/>
    </row>
    <row r="1038" spans="3:9" x14ac:dyDescent="0.2">
      <c r="C1038" s="178"/>
      <c r="D1038" s="178"/>
      <c r="E1038" s="178"/>
      <c r="F1038" s="178"/>
      <c r="G1038" s="180"/>
      <c r="H1038" s="180"/>
      <c r="I1038" s="178"/>
    </row>
    <row r="1039" spans="3:9" x14ac:dyDescent="0.2">
      <c r="C1039" s="178"/>
      <c r="D1039" s="178"/>
      <c r="E1039" s="178"/>
      <c r="F1039" s="178"/>
      <c r="G1039" s="180"/>
      <c r="H1039" s="180"/>
      <c r="I1039" s="178"/>
    </row>
    <row r="1040" spans="3:9" x14ac:dyDescent="0.2">
      <c r="C1040" s="178"/>
      <c r="D1040" s="178"/>
      <c r="E1040" s="178"/>
      <c r="F1040" s="178"/>
      <c r="G1040" s="180"/>
      <c r="H1040" s="180"/>
      <c r="I1040" s="178"/>
    </row>
    <row r="1041" spans="3:9" x14ac:dyDescent="0.2">
      <c r="C1041" s="178"/>
      <c r="D1041" s="178"/>
      <c r="E1041" s="178"/>
      <c r="F1041" s="178"/>
      <c r="G1041" s="180"/>
      <c r="H1041" s="180"/>
      <c r="I1041" s="178"/>
    </row>
    <row r="1042" spans="3:9" x14ac:dyDescent="0.2">
      <c r="C1042" s="178"/>
      <c r="D1042" s="178"/>
      <c r="E1042" s="178"/>
      <c r="F1042" s="178"/>
      <c r="G1042" s="180"/>
      <c r="H1042" s="180"/>
      <c r="I1042" s="178"/>
    </row>
    <row r="1043" spans="3:9" x14ac:dyDescent="0.2">
      <c r="C1043" s="178"/>
      <c r="D1043" s="178"/>
      <c r="E1043" s="178"/>
      <c r="F1043" s="178"/>
      <c r="G1043" s="180"/>
      <c r="H1043" s="180"/>
      <c r="I1043" s="178"/>
    </row>
    <row r="1044" spans="3:9" x14ac:dyDescent="0.2">
      <c r="C1044" s="178"/>
      <c r="D1044" s="178"/>
      <c r="E1044" s="178"/>
      <c r="F1044" s="178"/>
      <c r="G1044" s="180"/>
      <c r="H1044" s="180"/>
      <c r="I1044" s="178"/>
    </row>
    <row r="1045" spans="3:9" x14ac:dyDescent="0.2">
      <c r="C1045" s="178"/>
      <c r="D1045" s="178"/>
      <c r="E1045" s="178"/>
      <c r="F1045" s="178"/>
      <c r="G1045" s="180"/>
      <c r="H1045" s="180"/>
      <c r="I1045" s="178"/>
    </row>
    <row r="1046" spans="3:9" x14ac:dyDescent="0.2">
      <c r="C1046" s="178"/>
      <c r="D1046" s="178"/>
      <c r="E1046" s="178"/>
      <c r="F1046" s="178"/>
      <c r="G1046" s="180"/>
      <c r="H1046" s="180"/>
      <c r="I1046" s="178"/>
    </row>
    <row r="1047" spans="3:9" x14ac:dyDescent="0.2">
      <c r="C1047" s="178"/>
      <c r="D1047" s="178"/>
      <c r="E1047" s="178"/>
      <c r="F1047" s="178"/>
      <c r="G1047" s="180"/>
      <c r="H1047" s="180"/>
      <c r="I1047" s="178"/>
    </row>
    <row r="1048" spans="3:9" x14ac:dyDescent="0.2">
      <c r="C1048" s="178"/>
      <c r="D1048" s="178"/>
      <c r="E1048" s="178"/>
      <c r="F1048" s="178"/>
      <c r="G1048" s="180"/>
      <c r="H1048" s="180"/>
      <c r="I1048" s="178"/>
    </row>
    <row r="1049" spans="3:9" x14ac:dyDescent="0.2">
      <c r="C1049" s="178"/>
      <c r="D1049" s="178"/>
      <c r="E1049" s="178"/>
      <c r="F1049" s="178"/>
      <c r="G1049" s="180"/>
      <c r="H1049" s="180"/>
      <c r="I1049" s="178"/>
    </row>
    <row r="1050" spans="3:9" x14ac:dyDescent="0.2">
      <c r="C1050" s="178"/>
      <c r="D1050" s="178"/>
      <c r="E1050" s="178"/>
      <c r="F1050" s="178"/>
      <c r="G1050" s="180"/>
      <c r="H1050" s="180"/>
      <c r="I1050" s="178"/>
    </row>
    <row r="1051" spans="3:9" x14ac:dyDescent="0.2">
      <c r="C1051" s="178"/>
      <c r="D1051" s="178"/>
      <c r="E1051" s="178"/>
      <c r="F1051" s="178"/>
      <c r="G1051" s="180"/>
      <c r="H1051" s="180"/>
      <c r="I1051" s="178"/>
    </row>
    <row r="1052" spans="3:9" x14ac:dyDescent="0.2">
      <c r="C1052" s="178"/>
      <c r="D1052" s="178"/>
      <c r="E1052" s="178"/>
      <c r="F1052" s="178"/>
      <c r="G1052" s="180"/>
      <c r="H1052" s="180"/>
      <c r="I1052" s="178"/>
    </row>
    <row r="1053" spans="3:9" x14ac:dyDescent="0.2">
      <c r="C1053" s="178"/>
      <c r="D1053" s="178"/>
      <c r="E1053" s="178"/>
      <c r="F1053" s="178"/>
      <c r="G1053" s="180"/>
      <c r="H1053" s="180"/>
      <c r="I1053" s="178"/>
    </row>
    <row r="1054" spans="3:9" x14ac:dyDescent="0.2">
      <c r="C1054" s="178"/>
      <c r="D1054" s="178"/>
      <c r="E1054" s="178"/>
      <c r="F1054" s="178"/>
      <c r="G1054" s="180"/>
      <c r="H1054" s="180"/>
      <c r="I1054" s="178"/>
    </row>
    <row r="1055" spans="3:9" x14ac:dyDescent="0.2">
      <c r="C1055" s="178"/>
      <c r="D1055" s="178"/>
      <c r="E1055" s="178"/>
      <c r="F1055" s="178"/>
      <c r="G1055" s="180"/>
      <c r="H1055" s="180"/>
      <c r="I1055" s="178"/>
    </row>
    <row r="1056" spans="3:9" x14ac:dyDescent="0.2">
      <c r="C1056" s="178"/>
      <c r="D1056" s="178"/>
      <c r="E1056" s="178"/>
      <c r="F1056" s="178"/>
      <c r="G1056" s="180"/>
      <c r="H1056" s="180"/>
      <c r="I1056" s="178"/>
    </row>
    <row r="1057" spans="3:9" x14ac:dyDescent="0.2">
      <c r="C1057" s="178"/>
      <c r="D1057" s="178"/>
      <c r="E1057" s="178"/>
      <c r="F1057" s="178"/>
      <c r="G1057" s="180"/>
      <c r="H1057" s="180"/>
      <c r="I1057" s="178"/>
    </row>
    <row r="1058" spans="3:9" x14ac:dyDescent="0.2">
      <c r="C1058" s="178"/>
      <c r="D1058" s="178"/>
      <c r="E1058" s="178"/>
      <c r="F1058" s="178"/>
      <c r="G1058" s="180"/>
      <c r="H1058" s="180"/>
      <c r="I1058" s="178"/>
    </row>
    <row r="1059" spans="3:9" x14ac:dyDescent="0.2">
      <c r="C1059" s="178"/>
      <c r="D1059" s="178"/>
      <c r="E1059" s="178"/>
      <c r="F1059" s="178"/>
      <c r="G1059" s="180"/>
      <c r="H1059" s="180"/>
      <c r="I1059" s="178"/>
    </row>
    <row r="1060" spans="3:9" x14ac:dyDescent="0.2">
      <c r="C1060" s="178"/>
      <c r="D1060" s="178"/>
      <c r="E1060" s="178"/>
      <c r="F1060" s="178"/>
      <c r="G1060" s="180"/>
      <c r="H1060" s="180"/>
      <c r="I1060" s="178"/>
    </row>
    <row r="1061" spans="3:9" x14ac:dyDescent="0.2">
      <c r="C1061" s="178"/>
      <c r="D1061" s="178"/>
      <c r="E1061" s="178"/>
      <c r="F1061" s="178"/>
      <c r="G1061" s="180"/>
      <c r="H1061" s="180"/>
      <c r="I1061" s="178"/>
    </row>
    <row r="1062" spans="3:9" x14ac:dyDescent="0.2">
      <c r="C1062" s="178"/>
      <c r="D1062" s="178"/>
      <c r="E1062" s="178"/>
      <c r="F1062" s="178"/>
      <c r="G1062" s="180"/>
      <c r="H1062" s="180"/>
      <c r="I1062" s="178"/>
    </row>
    <row r="1063" spans="3:9" x14ac:dyDescent="0.2">
      <c r="C1063" s="178"/>
      <c r="D1063" s="178"/>
      <c r="E1063" s="178"/>
      <c r="F1063" s="178"/>
      <c r="G1063" s="180"/>
      <c r="H1063" s="180"/>
      <c r="I1063" s="178"/>
    </row>
    <row r="1064" spans="3:9" x14ac:dyDescent="0.2">
      <c r="C1064" s="178"/>
      <c r="D1064" s="178"/>
      <c r="E1064" s="178"/>
      <c r="F1064" s="178"/>
      <c r="G1064" s="180"/>
      <c r="H1064" s="180"/>
      <c r="I1064" s="178"/>
    </row>
    <row r="1065" spans="3:9" x14ac:dyDescent="0.2">
      <c r="C1065" s="178"/>
      <c r="D1065" s="178"/>
      <c r="E1065" s="178"/>
      <c r="F1065" s="178"/>
      <c r="G1065" s="180"/>
      <c r="H1065" s="180"/>
      <c r="I1065" s="178"/>
    </row>
    <row r="1066" spans="3:9" x14ac:dyDescent="0.2">
      <c r="C1066" s="178"/>
      <c r="D1066" s="178"/>
      <c r="E1066" s="178"/>
      <c r="F1066" s="178"/>
      <c r="G1066" s="180"/>
      <c r="H1066" s="180"/>
      <c r="I1066" s="178"/>
    </row>
    <row r="1067" spans="3:9" x14ac:dyDescent="0.2">
      <c r="C1067" s="178"/>
      <c r="D1067" s="178"/>
      <c r="E1067" s="178"/>
      <c r="F1067" s="178"/>
      <c r="G1067" s="180"/>
      <c r="H1067" s="180"/>
      <c r="I1067" s="178"/>
    </row>
    <row r="1068" spans="3:9" x14ac:dyDescent="0.2">
      <c r="C1068" s="178"/>
      <c r="D1068" s="178"/>
      <c r="E1068" s="178"/>
      <c r="F1068" s="178"/>
      <c r="G1068" s="180"/>
      <c r="H1068" s="180"/>
      <c r="I1068" s="178"/>
    </row>
    <row r="1069" spans="3:9" x14ac:dyDescent="0.2">
      <c r="C1069" s="178"/>
      <c r="D1069" s="178"/>
      <c r="E1069" s="178"/>
      <c r="F1069" s="178"/>
      <c r="G1069" s="180"/>
      <c r="H1069" s="180"/>
      <c r="I1069" s="178"/>
    </row>
    <row r="1070" spans="3:9" x14ac:dyDescent="0.2">
      <c r="C1070" s="178"/>
      <c r="D1070" s="178"/>
      <c r="E1070" s="178"/>
      <c r="F1070" s="178"/>
      <c r="G1070" s="180"/>
      <c r="H1070" s="180"/>
      <c r="I1070" s="178"/>
    </row>
    <row r="1071" spans="3:9" x14ac:dyDescent="0.2">
      <c r="C1071" s="178"/>
      <c r="D1071" s="178"/>
      <c r="E1071" s="178"/>
      <c r="F1071" s="178"/>
      <c r="G1071" s="180"/>
      <c r="H1071" s="180"/>
      <c r="I1071" s="178"/>
    </row>
    <row r="1072" spans="3:9" x14ac:dyDescent="0.2">
      <c r="C1072" s="178"/>
      <c r="D1072" s="178"/>
      <c r="E1072" s="178"/>
      <c r="F1072" s="178"/>
      <c r="G1072" s="180"/>
      <c r="H1072" s="180"/>
      <c r="I1072" s="178"/>
    </row>
    <row r="1073" spans="3:9" x14ac:dyDescent="0.2">
      <c r="C1073" s="178"/>
      <c r="D1073" s="178"/>
      <c r="E1073" s="178"/>
      <c r="F1073" s="178"/>
      <c r="G1073" s="180"/>
      <c r="H1073" s="180"/>
      <c r="I1073" s="178"/>
    </row>
    <row r="1074" spans="3:9" x14ac:dyDescent="0.2">
      <c r="C1074" s="178"/>
      <c r="D1074" s="178"/>
      <c r="E1074" s="178"/>
      <c r="F1074" s="178"/>
      <c r="G1074" s="180"/>
      <c r="H1074" s="180"/>
      <c r="I1074" s="178"/>
    </row>
    <row r="1075" spans="3:9" x14ac:dyDescent="0.2">
      <c r="C1075" s="178"/>
      <c r="D1075" s="178"/>
      <c r="E1075" s="178"/>
      <c r="F1075" s="178"/>
      <c r="G1075" s="180"/>
      <c r="H1075" s="180"/>
      <c r="I1075" s="178"/>
    </row>
    <row r="1076" spans="3:9" x14ac:dyDescent="0.2">
      <c r="C1076" s="178"/>
      <c r="D1076" s="178"/>
      <c r="E1076" s="178"/>
      <c r="F1076" s="178"/>
      <c r="G1076" s="180"/>
      <c r="H1076" s="180"/>
      <c r="I1076" s="178"/>
    </row>
    <row r="1077" spans="3:9" x14ac:dyDescent="0.2">
      <c r="C1077" s="178"/>
      <c r="D1077" s="178"/>
      <c r="E1077" s="178"/>
      <c r="F1077" s="178"/>
      <c r="G1077" s="180"/>
      <c r="H1077" s="180"/>
      <c r="I1077" s="178"/>
    </row>
    <row r="1078" spans="3:9" x14ac:dyDescent="0.2">
      <c r="C1078" s="178"/>
      <c r="D1078" s="178"/>
      <c r="E1078" s="178"/>
      <c r="F1078" s="178"/>
      <c r="G1078" s="180"/>
      <c r="H1078" s="180"/>
      <c r="I1078" s="178"/>
    </row>
    <row r="1079" spans="3:9" x14ac:dyDescent="0.2">
      <c r="C1079" s="178"/>
      <c r="D1079" s="178"/>
      <c r="E1079" s="178"/>
      <c r="F1079" s="178"/>
      <c r="G1079" s="180"/>
      <c r="H1079" s="180"/>
      <c r="I1079" s="178"/>
    </row>
    <row r="1080" spans="3:9" x14ac:dyDescent="0.2">
      <c r="C1080" s="178"/>
      <c r="D1080" s="178"/>
      <c r="E1080" s="178"/>
      <c r="F1080" s="178"/>
      <c r="G1080" s="180"/>
      <c r="H1080" s="180"/>
      <c r="I1080" s="178"/>
    </row>
    <row r="1081" spans="3:9" x14ac:dyDescent="0.2">
      <c r="C1081" s="178"/>
      <c r="D1081" s="178"/>
      <c r="E1081" s="178"/>
      <c r="F1081" s="178"/>
      <c r="G1081" s="180"/>
      <c r="H1081" s="180"/>
      <c r="I1081" s="178"/>
    </row>
    <row r="1082" spans="3:9" x14ac:dyDescent="0.2">
      <c r="C1082" s="178"/>
      <c r="D1082" s="178"/>
      <c r="E1082" s="178"/>
      <c r="F1082" s="178"/>
      <c r="G1082" s="180"/>
      <c r="H1082" s="180"/>
      <c r="I1082" s="178"/>
    </row>
    <row r="1083" spans="3:9" x14ac:dyDescent="0.2">
      <c r="C1083" s="178"/>
      <c r="D1083" s="178"/>
      <c r="E1083" s="178"/>
      <c r="F1083" s="178"/>
      <c r="G1083" s="180"/>
      <c r="H1083" s="180"/>
      <c r="I1083" s="178"/>
    </row>
    <row r="1084" spans="3:9" x14ac:dyDescent="0.2">
      <c r="C1084" s="178"/>
      <c r="D1084" s="178"/>
      <c r="E1084" s="178"/>
      <c r="F1084" s="178"/>
      <c r="G1084" s="180"/>
      <c r="H1084" s="180"/>
      <c r="I1084" s="178"/>
    </row>
    <row r="1085" spans="3:9" x14ac:dyDescent="0.2">
      <c r="C1085" s="178"/>
      <c r="D1085" s="178"/>
      <c r="E1085" s="178"/>
      <c r="F1085" s="178"/>
      <c r="G1085" s="180"/>
      <c r="H1085" s="180"/>
      <c r="I1085" s="178"/>
    </row>
    <row r="1086" spans="3:9" x14ac:dyDescent="0.2">
      <c r="C1086" s="178"/>
      <c r="D1086" s="178"/>
      <c r="E1086" s="178"/>
      <c r="F1086" s="178"/>
      <c r="G1086" s="180"/>
      <c r="H1086" s="180"/>
      <c r="I1086" s="178"/>
    </row>
    <row r="1087" spans="3:9" x14ac:dyDescent="0.2">
      <c r="C1087" s="178"/>
      <c r="D1087" s="178"/>
      <c r="E1087" s="178"/>
      <c r="F1087" s="178"/>
      <c r="G1087" s="180"/>
      <c r="H1087" s="180"/>
      <c r="I1087" s="178"/>
    </row>
    <row r="1088" spans="3:9" x14ac:dyDescent="0.2">
      <c r="C1088" s="178"/>
      <c r="D1088" s="178"/>
      <c r="E1088" s="178"/>
      <c r="F1088" s="178"/>
      <c r="G1088" s="180"/>
      <c r="H1088" s="180"/>
      <c r="I1088" s="178"/>
    </row>
    <row r="1089" spans="3:9" x14ac:dyDescent="0.2">
      <c r="C1089" s="178"/>
      <c r="D1089" s="178"/>
      <c r="E1089" s="178"/>
      <c r="F1089" s="178"/>
      <c r="G1089" s="180"/>
      <c r="H1089" s="180"/>
      <c r="I1089" s="178"/>
    </row>
    <row r="1090" spans="3:9" x14ac:dyDescent="0.2">
      <c r="C1090" s="178"/>
      <c r="D1090" s="178"/>
      <c r="E1090" s="178"/>
      <c r="F1090" s="178"/>
      <c r="G1090" s="180"/>
      <c r="H1090" s="180"/>
      <c r="I1090" s="178"/>
    </row>
    <row r="1091" spans="3:9" x14ac:dyDescent="0.2">
      <c r="C1091" s="178"/>
      <c r="D1091" s="178"/>
      <c r="E1091" s="178"/>
      <c r="F1091" s="178"/>
      <c r="G1091" s="180"/>
      <c r="H1091" s="180"/>
      <c r="I1091" s="178"/>
    </row>
    <row r="1092" spans="3:9" x14ac:dyDescent="0.2">
      <c r="C1092" s="178"/>
      <c r="D1092" s="178"/>
      <c r="E1092" s="178"/>
      <c r="F1092" s="178"/>
      <c r="G1092" s="180"/>
      <c r="H1092" s="180"/>
      <c r="I1092" s="178"/>
    </row>
    <row r="1093" spans="3:9" x14ac:dyDescent="0.2">
      <c r="C1093" s="178"/>
      <c r="D1093" s="178"/>
      <c r="E1093" s="178"/>
      <c r="F1093" s="178"/>
      <c r="G1093" s="180"/>
      <c r="H1093" s="180"/>
      <c r="I1093" s="178"/>
    </row>
    <row r="1094" spans="3:9" x14ac:dyDescent="0.2">
      <c r="C1094" s="178"/>
      <c r="D1094" s="178"/>
      <c r="E1094" s="178"/>
      <c r="F1094" s="178"/>
      <c r="G1094" s="180"/>
      <c r="H1094" s="180"/>
      <c r="I1094" s="178"/>
    </row>
    <row r="1095" spans="3:9" x14ac:dyDescent="0.2">
      <c r="C1095" s="178"/>
      <c r="D1095" s="178"/>
      <c r="E1095" s="178"/>
      <c r="F1095" s="178"/>
      <c r="G1095" s="180"/>
      <c r="H1095" s="180"/>
      <c r="I1095" s="178"/>
    </row>
    <row r="1096" spans="3:9" x14ac:dyDescent="0.2">
      <c r="C1096" s="178"/>
      <c r="D1096" s="178"/>
      <c r="E1096" s="178"/>
      <c r="F1096" s="178"/>
      <c r="G1096" s="180"/>
      <c r="H1096" s="180"/>
      <c r="I1096" s="178"/>
    </row>
    <row r="1097" spans="3:9" x14ac:dyDescent="0.2">
      <c r="C1097" s="178"/>
      <c r="D1097" s="178"/>
      <c r="E1097" s="178"/>
      <c r="F1097" s="178"/>
      <c r="G1097" s="180"/>
      <c r="H1097" s="180"/>
      <c r="I1097" s="178"/>
    </row>
    <row r="1098" spans="3:9" x14ac:dyDescent="0.2">
      <c r="C1098" s="178"/>
      <c r="D1098" s="178"/>
      <c r="E1098" s="178"/>
      <c r="F1098" s="178"/>
      <c r="G1098" s="180"/>
      <c r="H1098" s="180"/>
      <c r="I1098" s="178"/>
    </row>
    <row r="1099" spans="3:9" x14ac:dyDescent="0.2">
      <c r="C1099" s="178"/>
      <c r="D1099" s="178"/>
      <c r="E1099" s="178"/>
      <c r="F1099" s="178"/>
      <c r="G1099" s="180"/>
      <c r="H1099" s="180"/>
      <c r="I1099" s="178"/>
    </row>
    <row r="1100" spans="3:9" x14ac:dyDescent="0.2">
      <c r="C1100" s="178"/>
      <c r="D1100" s="178"/>
      <c r="E1100" s="178"/>
      <c r="F1100" s="178"/>
      <c r="G1100" s="180"/>
      <c r="H1100" s="180"/>
      <c r="I1100" s="178"/>
    </row>
    <row r="1101" spans="3:9" x14ac:dyDescent="0.2">
      <c r="C1101" s="178"/>
      <c r="D1101" s="178"/>
      <c r="E1101" s="178"/>
      <c r="F1101" s="178"/>
      <c r="G1101" s="180"/>
      <c r="H1101" s="180"/>
      <c r="I1101" s="178"/>
    </row>
    <row r="1102" spans="3:9" x14ac:dyDescent="0.2">
      <c r="C1102" s="178"/>
      <c r="D1102" s="178"/>
      <c r="E1102" s="178"/>
      <c r="F1102" s="178"/>
      <c r="G1102" s="180"/>
      <c r="H1102" s="180"/>
      <c r="I1102" s="178"/>
    </row>
    <row r="1103" spans="3:9" x14ac:dyDescent="0.2">
      <c r="C1103" s="178"/>
      <c r="D1103" s="178"/>
      <c r="E1103" s="178"/>
      <c r="F1103" s="178"/>
      <c r="G1103" s="180"/>
      <c r="H1103" s="180"/>
      <c r="I1103" s="178"/>
    </row>
    <row r="1104" spans="3:9" x14ac:dyDescent="0.2">
      <c r="C1104" s="178"/>
      <c r="D1104" s="178"/>
      <c r="E1104" s="178"/>
      <c r="F1104" s="178"/>
      <c r="G1104" s="180"/>
      <c r="H1104" s="180"/>
      <c r="I1104" s="178"/>
    </row>
    <row r="1105" spans="3:9" x14ac:dyDescent="0.2">
      <c r="C1105" s="178"/>
      <c r="D1105" s="178"/>
      <c r="E1105" s="178"/>
      <c r="F1105" s="178"/>
      <c r="G1105" s="180"/>
      <c r="H1105" s="180"/>
      <c r="I1105" s="178"/>
    </row>
    <row r="1106" spans="3:9" x14ac:dyDescent="0.2">
      <c r="C1106" s="178"/>
      <c r="D1106" s="178"/>
      <c r="E1106" s="178"/>
      <c r="F1106" s="178"/>
      <c r="G1106" s="180"/>
      <c r="H1106" s="180"/>
      <c r="I1106" s="178"/>
    </row>
    <row r="1107" spans="3:9" x14ac:dyDescent="0.2">
      <c r="C1107" s="178"/>
      <c r="D1107" s="178"/>
      <c r="E1107" s="178"/>
      <c r="F1107" s="178"/>
      <c r="G1107" s="180"/>
      <c r="H1107" s="180"/>
      <c r="I1107" s="178"/>
    </row>
    <row r="1108" spans="3:9" x14ac:dyDescent="0.2">
      <c r="C1108" s="178"/>
      <c r="D1108" s="178"/>
      <c r="E1108" s="178"/>
      <c r="F1108" s="178"/>
      <c r="G1108" s="180"/>
      <c r="H1108" s="180"/>
      <c r="I1108" s="178"/>
    </row>
    <row r="1109" spans="3:9" x14ac:dyDescent="0.2">
      <c r="C1109" s="178"/>
      <c r="D1109" s="178"/>
      <c r="E1109" s="178"/>
      <c r="F1109" s="178"/>
      <c r="G1109" s="180"/>
      <c r="H1109" s="180"/>
      <c r="I1109" s="178"/>
    </row>
    <row r="1110" spans="3:9" x14ac:dyDescent="0.2">
      <c r="C1110" s="178"/>
      <c r="D1110" s="178"/>
      <c r="E1110" s="178"/>
      <c r="F1110" s="178"/>
      <c r="G1110" s="180"/>
      <c r="H1110" s="180"/>
      <c r="I1110" s="178"/>
    </row>
    <row r="1111" spans="3:9" x14ac:dyDescent="0.2">
      <c r="C1111" s="178"/>
      <c r="D1111" s="178"/>
      <c r="E1111" s="178"/>
      <c r="F1111" s="178"/>
      <c r="G1111" s="180"/>
      <c r="H1111" s="180"/>
      <c r="I1111" s="178"/>
    </row>
    <row r="1112" spans="3:9" x14ac:dyDescent="0.2">
      <c r="C1112" s="178"/>
      <c r="D1112" s="178"/>
      <c r="E1112" s="178"/>
      <c r="F1112" s="178"/>
      <c r="G1112" s="180"/>
      <c r="H1112" s="180"/>
      <c r="I1112" s="178"/>
    </row>
    <row r="1113" spans="3:9" x14ac:dyDescent="0.2">
      <c r="C1113" s="178"/>
      <c r="D1113" s="178"/>
      <c r="E1113" s="178"/>
      <c r="F1113" s="178"/>
      <c r="G1113" s="180"/>
      <c r="H1113" s="180"/>
      <c r="I1113" s="178"/>
    </row>
    <row r="1114" spans="3:9" x14ac:dyDescent="0.2">
      <c r="C1114" s="178"/>
      <c r="D1114" s="178"/>
      <c r="E1114" s="178"/>
      <c r="F1114" s="178"/>
      <c r="G1114" s="180"/>
      <c r="H1114" s="180"/>
      <c r="I1114" s="178"/>
    </row>
    <row r="1115" spans="3:9" x14ac:dyDescent="0.2">
      <c r="C1115" s="178"/>
      <c r="D1115" s="178"/>
      <c r="E1115" s="178"/>
      <c r="F1115" s="178"/>
      <c r="G1115" s="180"/>
      <c r="H1115" s="180"/>
      <c r="I1115" s="178"/>
    </row>
    <row r="1116" spans="3:9" x14ac:dyDescent="0.2">
      <c r="C1116" s="178"/>
      <c r="D1116" s="178"/>
      <c r="E1116" s="178"/>
      <c r="F1116" s="178"/>
      <c r="G1116" s="180"/>
      <c r="H1116" s="180"/>
      <c r="I1116" s="178"/>
    </row>
    <row r="1117" spans="3:9" x14ac:dyDescent="0.2">
      <c r="C1117" s="178"/>
      <c r="D1117" s="178"/>
      <c r="E1117" s="178"/>
      <c r="F1117" s="178"/>
      <c r="G1117" s="180"/>
      <c r="H1117" s="180"/>
      <c r="I1117" s="178"/>
    </row>
    <row r="1118" spans="3:9" x14ac:dyDescent="0.2">
      <c r="C1118" s="178"/>
      <c r="D1118" s="178"/>
      <c r="E1118" s="178"/>
      <c r="F1118" s="178"/>
      <c r="G1118" s="180"/>
      <c r="H1118" s="180"/>
      <c r="I1118" s="178"/>
    </row>
    <row r="1119" spans="3:9" x14ac:dyDescent="0.2">
      <c r="C1119" s="178"/>
      <c r="D1119" s="178"/>
      <c r="E1119" s="178"/>
      <c r="F1119" s="178"/>
      <c r="G1119" s="180"/>
      <c r="H1119" s="180"/>
      <c r="I1119" s="178"/>
    </row>
    <row r="1120" spans="3:9" x14ac:dyDescent="0.2">
      <c r="C1120" s="178"/>
      <c r="D1120" s="178"/>
      <c r="E1120" s="178"/>
      <c r="F1120" s="178"/>
      <c r="G1120" s="180"/>
      <c r="H1120" s="180"/>
      <c r="I1120" s="178"/>
    </row>
    <row r="1121" spans="3:9" x14ac:dyDescent="0.2">
      <c r="C1121" s="178"/>
      <c r="D1121" s="178"/>
      <c r="E1121" s="178"/>
      <c r="F1121" s="178"/>
      <c r="G1121" s="180"/>
      <c r="H1121" s="180"/>
      <c r="I1121" s="178"/>
    </row>
    <row r="1122" spans="3:9" x14ac:dyDescent="0.2">
      <c r="C1122" s="178"/>
      <c r="D1122" s="178"/>
      <c r="E1122" s="178"/>
      <c r="F1122" s="178"/>
      <c r="G1122" s="180"/>
      <c r="H1122" s="180"/>
      <c r="I1122" s="178"/>
    </row>
    <row r="1123" spans="3:9" x14ac:dyDescent="0.2">
      <c r="C1123" s="178"/>
      <c r="D1123" s="178"/>
      <c r="E1123" s="178"/>
      <c r="F1123" s="178"/>
      <c r="G1123" s="180"/>
      <c r="H1123" s="180"/>
      <c r="I1123" s="178"/>
    </row>
    <row r="1124" spans="3:9" x14ac:dyDescent="0.2">
      <c r="C1124" s="178"/>
      <c r="D1124" s="178"/>
      <c r="E1124" s="178"/>
      <c r="F1124" s="178"/>
      <c r="G1124" s="180"/>
      <c r="H1124" s="180"/>
      <c r="I1124" s="178"/>
    </row>
    <row r="1125" spans="3:9" x14ac:dyDescent="0.2">
      <c r="C1125" s="178"/>
      <c r="D1125" s="178"/>
      <c r="E1125" s="178"/>
      <c r="F1125" s="178"/>
      <c r="G1125" s="180"/>
      <c r="H1125" s="180"/>
      <c r="I1125" s="178"/>
    </row>
    <row r="1126" spans="3:9" x14ac:dyDescent="0.2">
      <c r="C1126" s="178"/>
      <c r="D1126" s="178"/>
      <c r="E1126" s="178"/>
      <c r="F1126" s="178"/>
      <c r="G1126" s="180"/>
      <c r="H1126" s="180"/>
      <c r="I1126" s="178"/>
    </row>
    <row r="1127" spans="3:9" x14ac:dyDescent="0.2">
      <c r="C1127" s="178"/>
      <c r="D1127" s="178"/>
      <c r="E1127" s="178"/>
      <c r="F1127" s="178"/>
      <c r="G1127" s="180"/>
      <c r="H1127" s="180"/>
      <c r="I1127" s="178"/>
    </row>
    <row r="1128" spans="3:9" x14ac:dyDescent="0.2">
      <c r="C1128" s="178"/>
      <c r="D1128" s="178"/>
      <c r="E1128" s="178"/>
      <c r="F1128" s="178"/>
      <c r="G1128" s="180"/>
      <c r="H1128" s="180"/>
      <c r="I1128" s="178"/>
    </row>
    <row r="1129" spans="3:9" x14ac:dyDescent="0.2">
      <c r="C1129" s="178"/>
      <c r="D1129" s="178"/>
      <c r="E1129" s="178"/>
      <c r="F1129" s="178"/>
      <c r="G1129" s="180"/>
      <c r="H1129" s="180"/>
      <c r="I1129" s="178"/>
    </row>
    <row r="1130" spans="3:9" x14ac:dyDescent="0.2">
      <c r="C1130" s="178"/>
      <c r="D1130" s="178"/>
      <c r="E1130" s="178"/>
      <c r="F1130" s="178"/>
      <c r="G1130" s="180"/>
      <c r="H1130" s="180"/>
      <c r="I1130" s="178"/>
    </row>
    <row r="1131" spans="3:9" x14ac:dyDescent="0.2">
      <c r="C1131" s="178"/>
      <c r="D1131" s="178"/>
      <c r="E1131" s="178"/>
      <c r="F1131" s="178"/>
      <c r="G1131" s="180"/>
      <c r="H1131" s="180"/>
      <c r="I1131" s="178"/>
    </row>
    <row r="1132" spans="3:9" x14ac:dyDescent="0.2">
      <c r="C1132" s="178"/>
      <c r="D1132" s="178"/>
      <c r="E1132" s="178"/>
      <c r="F1132" s="178"/>
      <c r="G1132" s="180"/>
      <c r="H1132" s="180"/>
      <c r="I1132" s="178"/>
    </row>
    <row r="1133" spans="3:9" x14ac:dyDescent="0.2">
      <c r="C1133" s="178"/>
      <c r="D1133" s="178"/>
      <c r="E1133" s="178"/>
      <c r="F1133" s="178"/>
      <c r="G1133" s="180"/>
      <c r="H1133" s="180"/>
      <c r="I1133" s="178"/>
    </row>
    <row r="1134" spans="3:9" x14ac:dyDescent="0.2">
      <c r="C1134" s="178"/>
      <c r="D1134" s="178"/>
      <c r="E1134" s="178"/>
      <c r="F1134" s="178"/>
      <c r="G1134" s="180"/>
      <c r="H1134" s="180"/>
      <c r="I1134" s="178"/>
    </row>
    <row r="1135" spans="3:9" x14ac:dyDescent="0.2">
      <c r="C1135" s="178"/>
      <c r="D1135" s="178"/>
      <c r="E1135" s="178"/>
      <c r="F1135" s="178"/>
      <c r="G1135" s="180"/>
      <c r="H1135" s="180"/>
      <c r="I1135" s="178"/>
    </row>
    <row r="1136" spans="3:9" x14ac:dyDescent="0.2">
      <c r="C1136" s="178"/>
      <c r="D1136" s="178"/>
      <c r="E1136" s="178"/>
      <c r="F1136" s="178"/>
      <c r="G1136" s="180"/>
      <c r="H1136" s="180"/>
      <c r="I1136" s="178"/>
    </row>
    <row r="1137" spans="3:9" x14ac:dyDescent="0.2">
      <c r="C1137" s="178"/>
      <c r="D1137" s="178"/>
      <c r="E1137" s="178"/>
      <c r="F1137" s="178"/>
      <c r="G1137" s="180"/>
      <c r="H1137" s="180"/>
      <c r="I1137" s="178"/>
    </row>
    <row r="1138" spans="3:9" x14ac:dyDescent="0.2">
      <c r="C1138" s="178"/>
      <c r="D1138" s="178"/>
      <c r="E1138" s="178"/>
      <c r="F1138" s="178"/>
      <c r="G1138" s="180"/>
      <c r="H1138" s="180"/>
      <c r="I1138" s="178"/>
    </row>
    <row r="1139" spans="3:9" x14ac:dyDescent="0.2">
      <c r="C1139" s="178"/>
      <c r="D1139" s="178"/>
      <c r="E1139" s="178"/>
      <c r="F1139" s="178"/>
      <c r="G1139" s="180"/>
      <c r="H1139" s="180"/>
      <c r="I1139" s="178"/>
    </row>
    <row r="1140" spans="3:9" x14ac:dyDescent="0.2">
      <c r="C1140" s="178"/>
      <c r="D1140" s="178"/>
      <c r="E1140" s="178"/>
      <c r="F1140" s="178"/>
      <c r="G1140" s="180"/>
      <c r="H1140" s="180"/>
      <c r="I1140" s="178"/>
    </row>
    <row r="1141" spans="3:9" x14ac:dyDescent="0.2">
      <c r="C1141" s="178"/>
      <c r="D1141" s="178"/>
      <c r="E1141" s="178"/>
      <c r="F1141" s="178"/>
      <c r="G1141" s="180"/>
      <c r="H1141" s="180"/>
      <c r="I1141" s="178"/>
    </row>
    <row r="1142" spans="3:9" x14ac:dyDescent="0.2">
      <c r="C1142" s="178"/>
      <c r="D1142" s="178"/>
      <c r="E1142" s="178"/>
      <c r="F1142" s="178"/>
      <c r="G1142" s="180"/>
      <c r="H1142" s="180"/>
      <c r="I1142" s="178"/>
    </row>
    <row r="1143" spans="3:9" x14ac:dyDescent="0.2">
      <c r="C1143" s="178"/>
      <c r="D1143" s="178"/>
      <c r="E1143" s="178"/>
      <c r="F1143" s="178"/>
      <c r="G1143" s="180"/>
      <c r="H1143" s="180"/>
      <c r="I1143" s="178"/>
    </row>
    <row r="1144" spans="3:9" x14ac:dyDescent="0.2">
      <c r="C1144" s="178"/>
      <c r="D1144" s="178"/>
      <c r="E1144" s="178"/>
      <c r="F1144" s="178"/>
      <c r="G1144" s="180"/>
      <c r="H1144" s="180"/>
      <c r="I1144" s="178"/>
    </row>
    <row r="1145" spans="3:9" x14ac:dyDescent="0.2">
      <c r="C1145" s="178"/>
      <c r="D1145" s="178"/>
      <c r="E1145" s="178"/>
      <c r="F1145" s="178"/>
      <c r="G1145" s="180"/>
      <c r="H1145" s="180"/>
      <c r="I1145" s="178"/>
    </row>
    <row r="1146" spans="3:9" x14ac:dyDescent="0.2">
      <c r="C1146" s="178"/>
      <c r="D1146" s="178"/>
      <c r="E1146" s="178"/>
      <c r="F1146" s="178"/>
      <c r="G1146" s="180"/>
      <c r="H1146" s="180"/>
      <c r="I1146" s="178"/>
    </row>
    <row r="1147" spans="3:9" x14ac:dyDescent="0.2">
      <c r="C1147" s="178"/>
      <c r="D1147" s="178"/>
      <c r="E1147" s="178"/>
      <c r="F1147" s="178"/>
      <c r="G1147" s="180"/>
      <c r="H1147" s="180"/>
      <c r="I1147" s="178"/>
    </row>
    <row r="1148" spans="3:9" x14ac:dyDescent="0.2">
      <c r="C1148" s="178"/>
      <c r="D1148" s="178"/>
      <c r="E1148" s="178"/>
      <c r="F1148" s="178"/>
      <c r="G1148" s="180"/>
      <c r="H1148" s="180"/>
      <c r="I1148" s="178"/>
    </row>
    <row r="1149" spans="3:9" x14ac:dyDescent="0.2">
      <c r="C1149" s="178"/>
      <c r="D1149" s="178"/>
      <c r="E1149" s="178"/>
      <c r="F1149" s="178"/>
      <c r="G1149" s="180"/>
      <c r="H1149" s="180"/>
      <c r="I1149" s="178"/>
    </row>
    <row r="1150" spans="3:9" x14ac:dyDescent="0.2">
      <c r="C1150" s="178"/>
      <c r="D1150" s="178"/>
      <c r="E1150" s="178"/>
      <c r="F1150" s="178"/>
      <c r="G1150" s="180"/>
      <c r="H1150" s="180"/>
      <c r="I1150" s="178"/>
    </row>
    <row r="1151" spans="3:9" x14ac:dyDescent="0.2">
      <c r="C1151" s="178"/>
      <c r="D1151" s="178"/>
      <c r="E1151" s="178"/>
      <c r="F1151" s="178"/>
      <c r="G1151" s="180"/>
      <c r="H1151" s="180"/>
      <c r="I1151" s="178"/>
    </row>
    <row r="1152" spans="3:9" x14ac:dyDescent="0.2">
      <c r="C1152" s="178"/>
      <c r="D1152" s="178"/>
      <c r="E1152" s="178"/>
      <c r="F1152" s="178"/>
      <c r="G1152" s="180"/>
      <c r="H1152" s="180"/>
      <c r="I1152" s="178"/>
    </row>
    <row r="1153" spans="3:9" x14ac:dyDescent="0.2">
      <c r="C1153" s="178"/>
      <c r="D1153" s="178"/>
      <c r="E1153" s="178"/>
      <c r="F1153" s="178"/>
      <c r="G1153" s="180"/>
      <c r="H1153" s="180"/>
      <c r="I1153" s="178"/>
    </row>
    <row r="1154" spans="3:9" x14ac:dyDescent="0.2">
      <c r="C1154" s="178"/>
      <c r="D1154" s="178"/>
      <c r="E1154" s="178"/>
      <c r="F1154" s="178"/>
      <c r="G1154" s="180"/>
      <c r="H1154" s="180"/>
      <c r="I1154" s="178"/>
    </row>
    <row r="1155" spans="3:9" x14ac:dyDescent="0.2">
      <c r="C1155" s="178"/>
      <c r="D1155" s="178"/>
      <c r="E1155" s="178"/>
      <c r="F1155" s="178"/>
      <c r="G1155" s="180"/>
      <c r="H1155" s="180"/>
      <c r="I1155" s="178"/>
    </row>
    <row r="1156" spans="3:9" x14ac:dyDescent="0.2">
      <c r="C1156" s="178"/>
      <c r="D1156" s="178"/>
      <c r="E1156" s="178"/>
      <c r="F1156" s="178"/>
      <c r="G1156" s="180"/>
      <c r="H1156" s="180"/>
      <c r="I1156" s="178"/>
    </row>
    <row r="1157" spans="3:9" x14ac:dyDescent="0.2">
      <c r="C1157" s="178"/>
      <c r="D1157" s="178"/>
      <c r="E1157" s="178"/>
      <c r="F1157" s="178"/>
      <c r="G1157" s="180"/>
      <c r="H1157" s="180"/>
      <c r="I1157" s="178"/>
    </row>
    <row r="1158" spans="3:9" x14ac:dyDescent="0.2">
      <c r="C1158" s="178"/>
      <c r="D1158" s="178"/>
      <c r="E1158" s="178"/>
      <c r="F1158" s="178"/>
      <c r="G1158" s="180"/>
      <c r="H1158" s="180"/>
      <c r="I1158" s="178"/>
    </row>
    <row r="1159" spans="3:9" x14ac:dyDescent="0.2">
      <c r="C1159" s="178"/>
      <c r="D1159" s="178"/>
      <c r="E1159" s="178"/>
      <c r="F1159" s="178"/>
      <c r="G1159" s="180"/>
      <c r="H1159" s="180"/>
      <c r="I1159" s="178"/>
    </row>
    <row r="1160" spans="3:9" x14ac:dyDescent="0.2">
      <c r="C1160" s="178"/>
      <c r="D1160" s="178"/>
      <c r="E1160" s="178"/>
      <c r="F1160" s="178"/>
      <c r="G1160" s="180"/>
      <c r="H1160" s="180"/>
      <c r="I1160" s="178"/>
    </row>
    <row r="1161" spans="3:9" x14ac:dyDescent="0.2">
      <c r="C1161" s="178"/>
      <c r="D1161" s="178"/>
      <c r="E1161" s="178"/>
      <c r="F1161" s="178"/>
      <c r="G1161" s="180"/>
      <c r="H1161" s="180"/>
      <c r="I1161" s="178"/>
    </row>
    <row r="1162" spans="3:9" x14ac:dyDescent="0.2">
      <c r="C1162" s="178"/>
      <c r="D1162" s="178"/>
      <c r="E1162" s="178"/>
      <c r="F1162" s="178"/>
      <c r="G1162" s="180"/>
      <c r="H1162" s="180"/>
      <c r="I1162" s="178"/>
    </row>
    <row r="1163" spans="3:9" x14ac:dyDescent="0.2">
      <c r="C1163" s="178"/>
      <c r="D1163" s="178"/>
      <c r="E1163" s="178"/>
      <c r="F1163" s="178"/>
      <c r="G1163" s="180"/>
      <c r="H1163" s="180"/>
      <c r="I1163" s="178"/>
    </row>
    <row r="1164" spans="3:9" x14ac:dyDescent="0.2">
      <c r="C1164" s="178"/>
      <c r="D1164" s="178"/>
      <c r="E1164" s="178"/>
      <c r="F1164" s="178"/>
      <c r="G1164" s="180"/>
      <c r="H1164" s="180"/>
      <c r="I1164" s="178"/>
    </row>
    <row r="1165" spans="3:9" x14ac:dyDescent="0.2">
      <c r="C1165" s="178"/>
      <c r="D1165" s="178"/>
      <c r="E1165" s="178"/>
      <c r="F1165" s="178"/>
      <c r="G1165" s="180"/>
      <c r="H1165" s="180"/>
      <c r="I1165" s="178"/>
    </row>
    <row r="1166" spans="3:9" x14ac:dyDescent="0.2">
      <c r="C1166" s="178"/>
      <c r="D1166" s="178"/>
      <c r="E1166" s="178"/>
      <c r="F1166" s="178"/>
      <c r="G1166" s="180"/>
      <c r="H1166" s="180"/>
      <c r="I1166" s="178"/>
    </row>
    <row r="1167" spans="3:9" x14ac:dyDescent="0.2">
      <c r="C1167" s="178"/>
      <c r="D1167" s="178"/>
      <c r="E1167" s="178"/>
      <c r="F1167" s="178"/>
      <c r="G1167" s="180"/>
      <c r="H1167" s="180"/>
      <c r="I1167" s="178"/>
    </row>
    <row r="1168" spans="3:9" x14ac:dyDescent="0.2">
      <c r="C1168" s="178"/>
      <c r="D1168" s="178"/>
      <c r="E1168" s="178"/>
      <c r="F1168" s="178"/>
      <c r="G1168" s="180"/>
      <c r="H1168" s="180"/>
      <c r="I1168" s="178"/>
    </row>
    <row r="1169" spans="3:9" x14ac:dyDescent="0.2">
      <c r="C1169" s="178"/>
      <c r="D1169" s="178"/>
      <c r="E1169" s="178"/>
      <c r="F1169" s="178"/>
      <c r="G1169" s="180"/>
      <c r="H1169" s="180"/>
      <c r="I1169" s="178"/>
    </row>
    <row r="1170" spans="3:9" x14ac:dyDescent="0.2">
      <c r="C1170" s="178"/>
      <c r="D1170" s="178"/>
      <c r="E1170" s="178"/>
      <c r="F1170" s="178"/>
      <c r="G1170" s="180"/>
      <c r="H1170" s="180"/>
      <c r="I1170" s="178"/>
    </row>
    <row r="1171" spans="3:9" x14ac:dyDescent="0.2">
      <c r="C1171" s="178"/>
      <c r="D1171" s="178"/>
      <c r="E1171" s="178"/>
      <c r="F1171" s="178"/>
      <c r="G1171" s="180"/>
      <c r="H1171" s="180"/>
      <c r="I1171" s="178"/>
    </row>
    <row r="1172" spans="3:9" x14ac:dyDescent="0.2">
      <c r="C1172" s="178"/>
      <c r="D1172" s="178"/>
      <c r="E1172" s="178"/>
      <c r="F1172" s="178"/>
      <c r="G1172" s="180"/>
      <c r="H1172" s="180"/>
      <c r="I1172" s="178"/>
    </row>
    <row r="1173" spans="3:9" x14ac:dyDescent="0.2">
      <c r="C1173" s="178"/>
      <c r="D1173" s="178"/>
      <c r="E1173" s="178"/>
      <c r="F1173" s="178"/>
      <c r="G1173" s="180"/>
      <c r="H1173" s="180"/>
      <c r="I1173" s="178"/>
    </row>
    <row r="1174" spans="3:9" x14ac:dyDescent="0.2">
      <c r="C1174" s="178"/>
      <c r="D1174" s="178"/>
      <c r="E1174" s="178"/>
      <c r="F1174" s="178"/>
      <c r="G1174" s="180"/>
      <c r="H1174" s="180"/>
      <c r="I1174" s="178"/>
    </row>
    <row r="1175" spans="3:9" x14ac:dyDescent="0.2">
      <c r="C1175" s="178"/>
      <c r="D1175" s="178"/>
      <c r="E1175" s="178"/>
      <c r="F1175" s="178"/>
      <c r="G1175" s="180"/>
      <c r="H1175" s="180"/>
      <c r="I1175" s="178"/>
    </row>
    <row r="1176" spans="3:9" x14ac:dyDescent="0.2">
      <c r="C1176" s="178"/>
      <c r="D1176" s="178"/>
      <c r="E1176" s="178"/>
      <c r="F1176" s="178"/>
      <c r="G1176" s="180"/>
      <c r="H1176" s="180"/>
      <c r="I1176" s="178"/>
    </row>
    <row r="1177" spans="3:9" x14ac:dyDescent="0.2">
      <c r="C1177" s="178"/>
      <c r="D1177" s="178"/>
      <c r="E1177" s="178"/>
      <c r="F1177" s="178"/>
      <c r="G1177" s="180"/>
      <c r="H1177" s="180"/>
      <c r="I1177" s="178"/>
    </row>
    <row r="1178" spans="3:9" x14ac:dyDescent="0.2">
      <c r="C1178" s="178"/>
      <c r="D1178" s="178"/>
      <c r="E1178" s="178"/>
      <c r="F1178" s="178"/>
      <c r="G1178" s="180"/>
      <c r="H1178" s="180"/>
      <c r="I1178" s="178"/>
    </row>
    <row r="1179" spans="3:9" x14ac:dyDescent="0.2">
      <c r="C1179" s="178"/>
      <c r="D1179" s="178"/>
      <c r="E1179" s="178"/>
      <c r="F1179" s="178"/>
      <c r="G1179" s="180"/>
      <c r="H1179" s="180"/>
      <c r="I1179" s="178"/>
    </row>
    <row r="1180" spans="3:9" x14ac:dyDescent="0.2">
      <c r="C1180" s="178"/>
      <c r="D1180" s="178"/>
      <c r="E1180" s="178"/>
      <c r="F1180" s="178"/>
      <c r="G1180" s="180"/>
      <c r="H1180" s="180"/>
      <c r="I1180" s="178"/>
    </row>
    <row r="1181" spans="3:9" x14ac:dyDescent="0.2">
      <c r="C1181" s="178"/>
      <c r="D1181" s="178"/>
      <c r="E1181" s="178"/>
      <c r="F1181" s="178"/>
      <c r="G1181" s="180"/>
      <c r="H1181" s="180"/>
      <c r="I1181" s="178"/>
    </row>
    <row r="1182" spans="3:9" x14ac:dyDescent="0.2">
      <c r="C1182" s="178"/>
      <c r="D1182" s="178"/>
      <c r="E1182" s="178"/>
      <c r="F1182" s="178"/>
      <c r="G1182" s="180"/>
      <c r="H1182" s="180"/>
      <c r="I1182" s="178"/>
    </row>
    <row r="1183" spans="3:9" x14ac:dyDescent="0.2">
      <c r="C1183" s="178"/>
      <c r="D1183" s="178"/>
      <c r="E1183" s="178"/>
      <c r="F1183" s="178"/>
      <c r="G1183" s="180"/>
      <c r="H1183" s="180"/>
      <c r="I1183" s="178"/>
    </row>
    <row r="1184" spans="3:9" x14ac:dyDescent="0.2">
      <c r="C1184" s="178"/>
      <c r="D1184" s="178"/>
      <c r="E1184" s="178"/>
      <c r="F1184" s="178"/>
      <c r="G1184" s="180"/>
      <c r="H1184" s="180"/>
      <c r="I1184" s="178"/>
    </row>
    <row r="1185" spans="3:9" x14ac:dyDescent="0.2">
      <c r="C1185" s="178"/>
      <c r="D1185" s="178"/>
      <c r="E1185" s="178"/>
      <c r="F1185" s="178"/>
      <c r="G1185" s="180"/>
      <c r="H1185" s="180"/>
      <c r="I1185" s="178"/>
    </row>
    <row r="1186" spans="3:9" x14ac:dyDescent="0.2">
      <c r="C1186" s="178"/>
      <c r="D1186" s="178"/>
      <c r="E1186" s="178"/>
      <c r="F1186" s="178"/>
      <c r="G1186" s="180"/>
      <c r="H1186" s="180"/>
      <c r="I1186" s="178"/>
    </row>
    <row r="1187" spans="3:9" x14ac:dyDescent="0.2">
      <c r="C1187" s="178"/>
      <c r="D1187" s="178"/>
      <c r="E1187" s="178"/>
      <c r="F1187" s="178"/>
      <c r="G1187" s="180"/>
      <c r="H1187" s="180"/>
      <c r="I1187" s="178"/>
    </row>
    <row r="1188" spans="3:9" x14ac:dyDescent="0.2">
      <c r="C1188" s="178"/>
      <c r="D1188" s="178"/>
      <c r="E1188" s="178"/>
      <c r="F1188" s="178"/>
      <c r="G1188" s="180"/>
      <c r="H1188" s="180"/>
      <c r="I1188" s="178"/>
    </row>
    <row r="1189" spans="3:9" x14ac:dyDescent="0.2">
      <c r="C1189" s="178"/>
      <c r="D1189" s="178"/>
      <c r="E1189" s="178"/>
      <c r="F1189" s="178"/>
      <c r="G1189" s="180"/>
      <c r="H1189" s="180"/>
      <c r="I1189" s="178"/>
    </row>
    <row r="1190" spans="3:9" x14ac:dyDescent="0.2">
      <c r="C1190" s="178"/>
      <c r="D1190" s="178"/>
      <c r="E1190" s="178"/>
      <c r="F1190" s="178"/>
      <c r="G1190" s="180"/>
      <c r="H1190" s="180"/>
      <c r="I1190" s="178"/>
    </row>
    <row r="1191" spans="3:9" x14ac:dyDescent="0.2">
      <c r="C1191" s="178"/>
      <c r="D1191" s="178"/>
      <c r="E1191" s="178"/>
      <c r="F1191" s="178"/>
      <c r="G1191" s="180"/>
      <c r="H1191" s="180"/>
      <c r="I1191" s="178"/>
    </row>
    <row r="1192" spans="3:9" x14ac:dyDescent="0.2">
      <c r="C1192" s="178"/>
      <c r="D1192" s="178"/>
      <c r="E1192" s="178"/>
      <c r="F1192" s="178"/>
      <c r="G1192" s="180"/>
      <c r="H1192" s="180"/>
      <c r="I1192" s="178"/>
    </row>
    <row r="1193" spans="3:9" x14ac:dyDescent="0.2">
      <c r="C1193" s="178"/>
      <c r="D1193" s="178"/>
      <c r="E1193" s="178"/>
      <c r="F1193" s="178"/>
      <c r="G1193" s="180"/>
      <c r="H1193" s="180"/>
      <c r="I1193" s="178"/>
    </row>
    <row r="1194" spans="3:9" x14ac:dyDescent="0.2">
      <c r="C1194" s="178"/>
      <c r="D1194" s="178"/>
      <c r="E1194" s="178"/>
      <c r="F1194" s="178"/>
      <c r="G1194" s="180"/>
      <c r="H1194" s="180"/>
      <c r="I1194" s="178"/>
    </row>
    <row r="1195" spans="3:9" x14ac:dyDescent="0.2">
      <c r="C1195" s="178"/>
      <c r="D1195" s="178"/>
      <c r="E1195" s="178"/>
      <c r="F1195" s="178"/>
      <c r="G1195" s="180"/>
      <c r="H1195" s="180"/>
      <c r="I1195" s="178"/>
    </row>
    <row r="1196" spans="3:9" x14ac:dyDescent="0.2">
      <c r="C1196" s="178"/>
      <c r="D1196" s="178"/>
      <c r="E1196" s="178"/>
      <c r="F1196" s="178"/>
      <c r="G1196" s="180"/>
      <c r="H1196" s="180"/>
      <c r="I1196" s="178"/>
    </row>
    <row r="1197" spans="3:9" x14ac:dyDescent="0.2">
      <c r="C1197" s="178"/>
      <c r="D1197" s="178"/>
      <c r="E1197" s="178"/>
      <c r="F1197" s="178"/>
      <c r="G1197" s="180"/>
      <c r="H1197" s="180"/>
      <c r="I1197" s="178"/>
    </row>
    <row r="1198" spans="3:9" x14ac:dyDescent="0.2">
      <c r="C1198" s="178"/>
      <c r="D1198" s="178"/>
      <c r="E1198" s="178"/>
      <c r="F1198" s="178"/>
      <c r="G1198" s="180"/>
      <c r="H1198" s="180"/>
      <c r="I1198" s="178"/>
    </row>
    <row r="1199" spans="3:9" x14ac:dyDescent="0.2">
      <c r="C1199" s="178"/>
      <c r="D1199" s="178"/>
      <c r="E1199" s="178"/>
      <c r="F1199" s="178"/>
      <c r="G1199" s="180"/>
      <c r="H1199" s="180"/>
      <c r="I1199" s="178"/>
    </row>
    <row r="1200" spans="3:9" x14ac:dyDescent="0.2">
      <c r="C1200" s="178"/>
      <c r="D1200" s="178"/>
      <c r="E1200" s="178"/>
      <c r="F1200" s="178"/>
      <c r="G1200" s="180"/>
      <c r="H1200" s="180"/>
      <c r="I1200" s="178"/>
    </row>
    <row r="1201" spans="3:9" x14ac:dyDescent="0.2">
      <c r="C1201" s="178"/>
      <c r="D1201" s="178"/>
      <c r="E1201" s="178"/>
      <c r="F1201" s="178"/>
      <c r="G1201" s="180"/>
      <c r="H1201" s="180"/>
      <c r="I1201" s="178"/>
    </row>
    <row r="1202" spans="3:9" x14ac:dyDescent="0.2">
      <c r="C1202" s="178"/>
      <c r="D1202" s="178"/>
      <c r="E1202" s="178"/>
      <c r="F1202" s="178"/>
      <c r="G1202" s="180"/>
      <c r="H1202" s="180"/>
      <c r="I1202" s="178"/>
    </row>
    <row r="1203" spans="3:9" x14ac:dyDescent="0.2">
      <c r="C1203" s="178"/>
      <c r="D1203" s="178"/>
      <c r="E1203" s="178"/>
      <c r="F1203" s="178"/>
      <c r="G1203" s="180"/>
      <c r="H1203" s="180"/>
      <c r="I1203" s="178"/>
    </row>
    <row r="1204" spans="3:9" x14ac:dyDescent="0.2">
      <c r="C1204" s="178"/>
      <c r="D1204" s="178"/>
      <c r="E1204" s="178"/>
      <c r="F1204" s="178"/>
      <c r="G1204" s="180"/>
      <c r="H1204" s="180"/>
      <c r="I1204" s="178"/>
    </row>
    <row r="1205" spans="3:9" x14ac:dyDescent="0.2">
      <c r="C1205" s="178"/>
      <c r="D1205" s="178"/>
      <c r="E1205" s="178"/>
      <c r="F1205" s="178"/>
      <c r="G1205" s="180"/>
      <c r="H1205" s="180"/>
      <c r="I1205" s="178"/>
    </row>
    <row r="1206" spans="3:9" x14ac:dyDescent="0.2">
      <c r="C1206" s="178"/>
      <c r="D1206" s="178"/>
      <c r="E1206" s="178"/>
      <c r="F1206" s="178"/>
      <c r="G1206" s="180"/>
      <c r="H1206" s="180"/>
      <c r="I1206" s="178"/>
    </row>
    <row r="1207" spans="3:9" x14ac:dyDescent="0.2">
      <c r="C1207" s="178"/>
      <c r="D1207" s="178"/>
      <c r="E1207" s="178"/>
      <c r="F1207" s="178"/>
      <c r="G1207" s="180"/>
      <c r="H1207" s="180"/>
      <c r="I1207" s="178"/>
    </row>
    <row r="1208" spans="3:9" x14ac:dyDescent="0.2">
      <c r="C1208" s="178"/>
      <c r="D1208" s="178"/>
      <c r="E1208" s="178"/>
      <c r="F1208" s="178"/>
      <c r="G1208" s="180"/>
      <c r="H1208" s="180"/>
      <c r="I1208" s="178"/>
    </row>
    <row r="1209" spans="3:9" x14ac:dyDescent="0.2">
      <c r="C1209" s="178"/>
      <c r="D1209" s="178"/>
      <c r="E1209" s="178"/>
      <c r="F1209" s="178"/>
      <c r="G1209" s="180"/>
      <c r="H1209" s="180"/>
      <c r="I1209" s="178"/>
    </row>
    <row r="1210" spans="3:9" x14ac:dyDescent="0.2">
      <c r="C1210" s="178"/>
      <c r="D1210" s="178"/>
      <c r="E1210" s="178"/>
      <c r="F1210" s="178"/>
      <c r="G1210" s="180"/>
      <c r="H1210" s="180"/>
      <c r="I1210" s="178"/>
    </row>
    <row r="1211" spans="3:9" x14ac:dyDescent="0.2">
      <c r="C1211" s="178"/>
      <c r="D1211" s="178"/>
      <c r="E1211" s="178"/>
      <c r="F1211" s="178"/>
      <c r="G1211" s="180"/>
      <c r="H1211" s="180"/>
      <c r="I1211" s="178"/>
    </row>
    <row r="1212" spans="3:9" x14ac:dyDescent="0.2">
      <c r="C1212" s="178"/>
      <c r="D1212" s="178"/>
      <c r="E1212" s="178"/>
      <c r="F1212" s="178"/>
      <c r="G1212" s="180"/>
      <c r="H1212" s="180"/>
      <c r="I1212" s="178"/>
    </row>
    <row r="1213" spans="3:9" x14ac:dyDescent="0.2">
      <c r="C1213" s="178"/>
      <c r="D1213" s="178"/>
      <c r="E1213" s="178"/>
      <c r="F1213" s="178"/>
      <c r="G1213" s="180"/>
      <c r="H1213" s="180"/>
      <c r="I1213" s="178"/>
    </row>
    <row r="1214" spans="3:9" x14ac:dyDescent="0.2">
      <c r="C1214" s="178"/>
      <c r="D1214" s="178"/>
      <c r="E1214" s="178"/>
      <c r="F1214" s="178"/>
      <c r="G1214" s="180"/>
      <c r="H1214" s="180"/>
      <c r="I1214" s="178"/>
    </row>
    <row r="1215" spans="3:9" x14ac:dyDescent="0.2">
      <c r="C1215" s="178"/>
      <c r="D1215" s="178"/>
      <c r="E1215" s="178"/>
      <c r="F1215" s="178"/>
      <c r="G1215" s="180"/>
      <c r="H1215" s="180"/>
      <c r="I1215" s="178"/>
    </row>
    <row r="1216" spans="3:9" x14ac:dyDescent="0.2">
      <c r="C1216" s="178"/>
      <c r="D1216" s="178"/>
      <c r="E1216" s="178"/>
      <c r="F1216" s="178"/>
      <c r="G1216" s="180"/>
      <c r="H1216" s="180"/>
      <c r="I1216" s="178"/>
    </row>
    <row r="1217" spans="3:9" x14ac:dyDescent="0.2">
      <c r="C1217" s="178"/>
      <c r="D1217" s="178"/>
      <c r="E1217" s="178"/>
      <c r="F1217" s="178"/>
      <c r="G1217" s="180"/>
      <c r="H1217" s="180"/>
      <c r="I1217" s="178"/>
    </row>
    <row r="1218" spans="3:9" x14ac:dyDescent="0.2">
      <c r="C1218" s="178"/>
      <c r="D1218" s="178"/>
      <c r="E1218" s="178"/>
      <c r="F1218" s="178"/>
      <c r="G1218" s="180"/>
      <c r="H1218" s="180"/>
      <c r="I1218" s="178"/>
    </row>
    <row r="1219" spans="3:9" x14ac:dyDescent="0.2">
      <c r="C1219" s="178"/>
      <c r="D1219" s="178"/>
      <c r="E1219" s="178"/>
      <c r="F1219" s="178"/>
      <c r="G1219" s="180"/>
      <c r="H1219" s="180"/>
      <c r="I1219" s="178"/>
    </row>
    <row r="1220" spans="3:9" x14ac:dyDescent="0.2">
      <c r="C1220" s="178"/>
      <c r="D1220" s="178"/>
      <c r="E1220" s="178"/>
      <c r="F1220" s="178"/>
      <c r="G1220" s="180"/>
      <c r="H1220" s="180"/>
      <c r="I1220" s="178"/>
    </row>
    <row r="1221" spans="3:9" x14ac:dyDescent="0.2">
      <c r="C1221" s="178"/>
      <c r="D1221" s="178"/>
      <c r="E1221" s="178"/>
      <c r="F1221" s="178"/>
      <c r="G1221" s="180"/>
      <c r="H1221" s="180"/>
      <c r="I1221" s="178"/>
    </row>
    <row r="1222" spans="3:9" x14ac:dyDescent="0.2">
      <c r="C1222" s="178"/>
      <c r="D1222" s="178"/>
      <c r="E1222" s="178"/>
      <c r="F1222" s="178"/>
      <c r="G1222" s="180"/>
      <c r="H1222" s="180"/>
      <c r="I1222" s="178"/>
    </row>
    <row r="1223" spans="3:9" x14ac:dyDescent="0.2">
      <c r="C1223" s="178"/>
      <c r="D1223" s="178"/>
      <c r="E1223" s="178"/>
      <c r="F1223" s="178"/>
      <c r="G1223" s="180"/>
      <c r="H1223" s="180"/>
      <c r="I1223" s="178"/>
    </row>
    <row r="1224" spans="3:9" x14ac:dyDescent="0.2">
      <c r="C1224" s="178"/>
      <c r="D1224" s="178"/>
      <c r="E1224" s="178"/>
      <c r="F1224" s="178"/>
      <c r="G1224" s="180"/>
      <c r="H1224" s="180"/>
      <c r="I1224" s="178"/>
    </row>
    <row r="1225" spans="3:9" x14ac:dyDescent="0.2">
      <c r="C1225" s="178"/>
      <c r="D1225" s="178"/>
      <c r="E1225" s="178"/>
      <c r="F1225" s="178"/>
      <c r="G1225" s="180"/>
      <c r="H1225" s="180"/>
      <c r="I1225" s="178"/>
    </row>
    <row r="1226" spans="3:9" x14ac:dyDescent="0.2">
      <c r="C1226" s="178"/>
      <c r="D1226" s="178"/>
      <c r="E1226" s="178"/>
      <c r="F1226" s="178"/>
      <c r="G1226" s="180"/>
      <c r="H1226" s="180"/>
      <c r="I1226" s="178"/>
    </row>
    <row r="1227" spans="3:9" x14ac:dyDescent="0.2">
      <c r="C1227" s="178"/>
      <c r="D1227" s="178"/>
      <c r="E1227" s="178"/>
      <c r="F1227" s="178"/>
      <c r="G1227" s="180"/>
      <c r="H1227" s="180"/>
      <c r="I1227" s="178"/>
    </row>
    <row r="1228" spans="3:9" x14ac:dyDescent="0.2">
      <c r="C1228" s="178"/>
      <c r="D1228" s="178"/>
      <c r="E1228" s="178"/>
      <c r="F1228" s="178"/>
      <c r="G1228" s="180"/>
      <c r="H1228" s="180"/>
      <c r="I1228" s="178"/>
    </row>
    <row r="1229" spans="3:9" x14ac:dyDescent="0.2">
      <c r="C1229" s="178"/>
      <c r="D1229" s="178"/>
      <c r="E1229" s="178"/>
      <c r="F1229" s="178"/>
      <c r="G1229" s="180"/>
      <c r="H1229" s="180"/>
      <c r="I1229" s="178"/>
    </row>
    <row r="1230" spans="3:9" x14ac:dyDescent="0.2">
      <c r="C1230" s="178"/>
      <c r="D1230" s="178"/>
      <c r="E1230" s="178"/>
      <c r="F1230" s="178"/>
      <c r="G1230" s="180"/>
      <c r="H1230" s="180"/>
      <c r="I1230" s="178"/>
    </row>
    <row r="1231" spans="3:9" x14ac:dyDescent="0.2">
      <c r="C1231" s="178"/>
      <c r="D1231" s="178"/>
      <c r="E1231" s="178"/>
      <c r="F1231" s="178"/>
      <c r="G1231" s="180"/>
      <c r="H1231" s="180"/>
      <c r="I1231" s="178"/>
    </row>
    <row r="1232" spans="3:9" x14ac:dyDescent="0.2">
      <c r="C1232" s="178"/>
      <c r="D1232" s="178"/>
      <c r="E1232" s="178"/>
      <c r="F1232" s="178"/>
      <c r="G1232" s="180"/>
      <c r="H1232" s="180"/>
      <c r="I1232" s="178"/>
    </row>
    <row r="1233" spans="3:9" x14ac:dyDescent="0.2">
      <c r="C1233" s="178"/>
      <c r="D1233" s="178"/>
      <c r="E1233" s="178"/>
      <c r="F1233" s="178"/>
      <c r="G1233" s="180"/>
      <c r="H1233" s="180"/>
      <c r="I1233" s="178"/>
    </row>
    <row r="1234" spans="3:9" x14ac:dyDescent="0.2">
      <c r="C1234" s="178"/>
      <c r="D1234" s="178"/>
      <c r="E1234" s="178"/>
      <c r="F1234" s="178"/>
      <c r="G1234" s="180"/>
      <c r="H1234" s="180"/>
      <c r="I1234" s="178"/>
    </row>
    <row r="1235" spans="3:9" x14ac:dyDescent="0.2">
      <c r="C1235" s="178"/>
      <c r="D1235" s="178"/>
      <c r="E1235" s="178"/>
      <c r="F1235" s="178"/>
      <c r="G1235" s="180"/>
      <c r="H1235" s="180"/>
      <c r="I1235" s="178"/>
    </row>
    <row r="1236" spans="3:9" x14ac:dyDescent="0.2">
      <c r="C1236" s="178"/>
      <c r="D1236" s="178"/>
      <c r="E1236" s="178"/>
      <c r="F1236" s="178"/>
      <c r="G1236" s="180"/>
      <c r="H1236" s="180"/>
      <c r="I1236" s="178"/>
    </row>
    <row r="1237" spans="3:9" x14ac:dyDescent="0.2">
      <c r="C1237" s="178"/>
      <c r="D1237" s="178"/>
      <c r="E1237" s="178"/>
      <c r="F1237" s="178"/>
      <c r="G1237" s="180"/>
      <c r="H1237" s="180"/>
      <c r="I1237" s="178"/>
    </row>
    <row r="1238" spans="3:9" x14ac:dyDescent="0.2">
      <c r="C1238" s="178"/>
      <c r="D1238" s="178"/>
      <c r="E1238" s="178"/>
      <c r="F1238" s="178"/>
      <c r="G1238" s="180"/>
      <c r="H1238" s="180"/>
      <c r="I1238" s="178"/>
    </row>
    <row r="1239" spans="3:9" x14ac:dyDescent="0.2">
      <c r="C1239" s="178"/>
      <c r="D1239" s="178"/>
      <c r="E1239" s="178"/>
      <c r="F1239" s="178"/>
      <c r="G1239" s="180"/>
      <c r="H1239" s="180"/>
      <c r="I1239" s="178"/>
    </row>
    <row r="1240" spans="3:9" x14ac:dyDescent="0.2">
      <c r="C1240" s="178"/>
      <c r="D1240" s="178"/>
      <c r="E1240" s="178"/>
      <c r="F1240" s="178"/>
      <c r="G1240" s="180"/>
      <c r="H1240" s="180"/>
      <c r="I1240" s="178"/>
    </row>
    <row r="1241" spans="3:9" x14ac:dyDescent="0.2">
      <c r="C1241" s="178"/>
      <c r="D1241" s="178"/>
      <c r="E1241" s="178"/>
      <c r="F1241" s="178"/>
      <c r="G1241" s="180"/>
      <c r="H1241" s="180"/>
      <c r="I1241" s="178"/>
    </row>
    <row r="1242" spans="3:9" x14ac:dyDescent="0.2">
      <c r="C1242" s="178"/>
      <c r="D1242" s="178"/>
      <c r="E1242" s="178"/>
      <c r="F1242" s="178"/>
      <c r="G1242" s="180"/>
      <c r="H1242" s="180"/>
      <c r="I1242" s="178"/>
    </row>
    <row r="1243" spans="3:9" x14ac:dyDescent="0.2">
      <c r="C1243" s="178"/>
      <c r="D1243" s="178"/>
      <c r="E1243" s="178"/>
      <c r="F1243" s="178"/>
      <c r="G1243" s="180"/>
      <c r="H1243" s="180"/>
      <c r="I1243" s="178"/>
    </row>
    <row r="1244" spans="3:9" x14ac:dyDescent="0.2">
      <c r="C1244" s="178"/>
      <c r="D1244" s="178"/>
      <c r="E1244" s="178"/>
      <c r="F1244" s="178"/>
      <c r="G1244" s="180"/>
      <c r="H1244" s="180"/>
      <c r="I1244" s="178"/>
    </row>
    <row r="1245" spans="3:9" x14ac:dyDescent="0.2">
      <c r="C1245" s="178"/>
      <c r="D1245" s="178"/>
      <c r="E1245" s="178"/>
      <c r="F1245" s="178"/>
      <c r="G1245" s="180"/>
      <c r="H1245" s="180"/>
      <c r="I1245" s="178"/>
    </row>
    <row r="1246" spans="3:9" x14ac:dyDescent="0.2">
      <c r="C1246" s="178"/>
      <c r="D1246" s="178"/>
      <c r="E1246" s="178"/>
      <c r="F1246" s="178"/>
      <c r="G1246" s="180"/>
      <c r="H1246" s="180"/>
      <c r="I1246" s="178"/>
    </row>
    <row r="1247" spans="3:9" x14ac:dyDescent="0.2">
      <c r="C1247" s="178"/>
      <c r="D1247" s="178"/>
      <c r="E1247" s="178"/>
      <c r="F1247" s="178"/>
      <c r="G1247" s="180"/>
      <c r="H1247" s="180"/>
      <c r="I1247" s="178"/>
    </row>
    <row r="1248" spans="3:9" x14ac:dyDescent="0.2">
      <c r="C1248" s="178"/>
      <c r="D1248" s="178"/>
      <c r="E1248" s="178"/>
      <c r="F1248" s="178"/>
      <c r="G1248" s="180"/>
      <c r="H1248" s="180"/>
      <c r="I1248" s="178"/>
    </row>
    <row r="1249" spans="3:9" x14ac:dyDescent="0.2">
      <c r="C1249" s="178"/>
      <c r="D1249" s="178"/>
      <c r="E1249" s="178"/>
      <c r="F1249" s="178"/>
      <c r="G1249" s="180"/>
      <c r="H1249" s="180"/>
      <c r="I1249" s="178"/>
    </row>
    <row r="1250" spans="3:9" x14ac:dyDescent="0.2">
      <c r="C1250" s="178"/>
      <c r="D1250" s="178"/>
      <c r="E1250" s="178"/>
      <c r="F1250" s="178"/>
      <c r="G1250" s="180"/>
      <c r="H1250" s="180"/>
      <c r="I1250" s="178"/>
    </row>
    <row r="1251" spans="3:9" x14ac:dyDescent="0.2">
      <c r="C1251" s="178"/>
      <c r="D1251" s="178"/>
      <c r="E1251" s="178"/>
      <c r="F1251" s="178"/>
      <c r="G1251" s="180"/>
      <c r="H1251" s="180"/>
      <c r="I1251" s="178"/>
    </row>
    <row r="1252" spans="3:9" x14ac:dyDescent="0.2">
      <c r="C1252" s="178"/>
      <c r="D1252" s="178"/>
      <c r="E1252" s="178"/>
      <c r="F1252" s="178"/>
      <c r="G1252" s="180"/>
      <c r="H1252" s="180"/>
      <c r="I1252" s="178"/>
    </row>
    <row r="1253" spans="3:9" x14ac:dyDescent="0.2">
      <c r="C1253" s="178"/>
      <c r="D1253" s="178"/>
      <c r="E1253" s="178"/>
      <c r="F1253" s="178"/>
      <c r="G1253" s="180"/>
      <c r="H1253" s="180"/>
      <c r="I1253" s="178"/>
    </row>
    <row r="1254" spans="3:9" x14ac:dyDescent="0.2">
      <c r="C1254" s="178"/>
      <c r="D1254" s="178"/>
      <c r="E1254" s="178"/>
      <c r="F1254" s="178"/>
      <c r="G1254" s="180"/>
      <c r="H1254" s="180"/>
      <c r="I1254" s="178"/>
    </row>
    <row r="1255" spans="3:9" x14ac:dyDescent="0.2">
      <c r="C1255" s="178"/>
      <c r="D1255" s="178"/>
      <c r="E1255" s="178"/>
      <c r="F1255" s="178"/>
      <c r="G1255" s="180"/>
      <c r="H1255" s="180"/>
      <c r="I1255" s="178"/>
    </row>
    <row r="1256" spans="3:9" x14ac:dyDescent="0.2">
      <c r="C1256" s="178"/>
      <c r="D1256" s="178"/>
      <c r="E1256" s="178"/>
      <c r="F1256" s="178"/>
      <c r="G1256" s="180"/>
      <c r="H1256" s="180"/>
      <c r="I1256" s="178"/>
    </row>
    <row r="1257" spans="3:9" x14ac:dyDescent="0.2">
      <c r="C1257" s="178"/>
      <c r="D1257" s="178"/>
      <c r="E1257" s="178"/>
      <c r="F1257" s="178"/>
      <c r="G1257" s="180"/>
      <c r="H1257" s="180"/>
      <c r="I1257" s="178"/>
    </row>
    <row r="1258" spans="3:9" x14ac:dyDescent="0.2">
      <c r="C1258" s="178"/>
      <c r="D1258" s="178"/>
      <c r="E1258" s="178"/>
      <c r="F1258" s="178"/>
      <c r="G1258" s="180"/>
      <c r="H1258" s="180"/>
      <c r="I1258" s="178"/>
    </row>
    <row r="1259" spans="3:9" x14ac:dyDescent="0.2">
      <c r="C1259" s="178"/>
      <c r="D1259" s="178"/>
      <c r="E1259" s="178"/>
      <c r="F1259" s="178"/>
      <c r="G1259" s="180"/>
      <c r="H1259" s="180"/>
      <c r="I1259" s="178"/>
    </row>
    <row r="1260" spans="3:9" x14ac:dyDescent="0.2">
      <c r="C1260" s="178"/>
      <c r="D1260" s="178"/>
      <c r="E1260" s="178"/>
      <c r="F1260" s="178"/>
      <c r="G1260" s="180"/>
      <c r="H1260" s="180"/>
      <c r="I1260" s="178"/>
    </row>
    <row r="1261" spans="3:9" x14ac:dyDescent="0.2">
      <c r="C1261" s="178"/>
      <c r="D1261" s="178"/>
      <c r="E1261" s="178"/>
      <c r="F1261" s="178"/>
      <c r="G1261" s="180"/>
      <c r="H1261" s="180"/>
      <c r="I1261" s="178"/>
    </row>
    <row r="1262" spans="3:9" x14ac:dyDescent="0.2">
      <c r="C1262" s="178"/>
      <c r="D1262" s="178"/>
      <c r="E1262" s="178"/>
      <c r="F1262" s="178"/>
      <c r="G1262" s="180"/>
      <c r="H1262" s="180"/>
      <c r="I1262" s="178"/>
    </row>
    <row r="1263" spans="3:9" x14ac:dyDescent="0.2">
      <c r="C1263" s="178"/>
      <c r="D1263" s="178"/>
      <c r="E1263" s="178"/>
      <c r="F1263" s="178"/>
      <c r="G1263" s="180"/>
      <c r="H1263" s="180"/>
      <c r="I1263" s="178"/>
    </row>
    <row r="1264" spans="3:9" x14ac:dyDescent="0.2">
      <c r="C1264" s="178"/>
      <c r="D1264" s="178"/>
      <c r="E1264" s="178"/>
      <c r="F1264" s="178"/>
      <c r="G1264" s="180"/>
      <c r="H1264" s="180"/>
      <c r="I1264" s="178"/>
    </row>
    <row r="1265" spans="3:9" x14ac:dyDescent="0.2">
      <c r="C1265" s="178"/>
      <c r="D1265" s="178"/>
      <c r="E1265" s="178"/>
      <c r="F1265" s="178"/>
      <c r="G1265" s="180"/>
      <c r="H1265" s="180"/>
      <c r="I1265" s="178"/>
    </row>
    <row r="1266" spans="3:9" x14ac:dyDescent="0.2">
      <c r="C1266" s="178"/>
      <c r="D1266" s="178"/>
      <c r="E1266" s="178"/>
      <c r="F1266" s="178"/>
      <c r="G1266" s="180"/>
      <c r="H1266" s="180"/>
      <c r="I1266" s="178"/>
    </row>
    <row r="1267" spans="3:9" x14ac:dyDescent="0.2">
      <c r="C1267" s="178"/>
      <c r="D1267" s="178"/>
      <c r="E1267" s="178"/>
      <c r="F1267" s="178"/>
      <c r="G1267" s="180"/>
      <c r="H1267" s="180"/>
      <c r="I1267" s="178"/>
    </row>
    <row r="1268" spans="3:9" x14ac:dyDescent="0.2">
      <c r="C1268" s="178"/>
      <c r="D1268" s="178"/>
      <c r="E1268" s="178"/>
      <c r="F1268" s="178"/>
      <c r="G1268" s="180"/>
      <c r="H1268" s="180"/>
      <c r="I1268" s="178"/>
    </row>
    <row r="1269" spans="3:9" x14ac:dyDescent="0.2">
      <c r="C1269" s="178"/>
      <c r="D1269" s="178"/>
      <c r="E1269" s="178"/>
      <c r="F1269" s="178"/>
      <c r="G1269" s="180"/>
      <c r="H1269" s="180"/>
      <c r="I1269" s="178"/>
    </row>
    <row r="1270" spans="3:9" x14ac:dyDescent="0.2">
      <c r="C1270" s="178"/>
      <c r="D1270" s="178"/>
      <c r="E1270" s="178"/>
      <c r="F1270" s="178"/>
      <c r="G1270" s="180"/>
      <c r="H1270" s="180"/>
      <c r="I1270" s="178"/>
    </row>
    <row r="1271" spans="3:9" x14ac:dyDescent="0.2">
      <c r="C1271" s="178"/>
      <c r="D1271" s="178"/>
      <c r="E1271" s="178"/>
      <c r="F1271" s="178"/>
      <c r="G1271" s="180"/>
      <c r="H1271" s="180"/>
      <c r="I1271" s="178"/>
    </row>
    <row r="1272" spans="3:9" x14ac:dyDescent="0.2">
      <c r="C1272" s="178"/>
      <c r="D1272" s="178"/>
      <c r="E1272" s="178"/>
      <c r="F1272" s="178"/>
      <c r="G1272" s="180"/>
      <c r="H1272" s="180"/>
      <c r="I1272" s="178"/>
    </row>
    <row r="1273" spans="3:9" x14ac:dyDescent="0.2">
      <c r="C1273" s="178"/>
      <c r="D1273" s="178"/>
      <c r="E1273" s="178"/>
      <c r="F1273" s="178"/>
      <c r="G1273" s="180"/>
      <c r="H1273" s="180"/>
      <c r="I1273" s="178"/>
    </row>
    <row r="1274" spans="3:9" x14ac:dyDescent="0.2">
      <c r="C1274" s="178"/>
      <c r="D1274" s="178"/>
      <c r="E1274" s="178"/>
      <c r="F1274" s="178"/>
      <c r="G1274" s="180"/>
      <c r="H1274" s="180"/>
      <c r="I1274" s="178"/>
    </row>
    <row r="1275" spans="3:9" x14ac:dyDescent="0.2">
      <c r="C1275" s="178"/>
      <c r="D1275" s="178"/>
      <c r="E1275" s="178"/>
      <c r="F1275" s="178"/>
      <c r="G1275" s="180"/>
      <c r="H1275" s="180"/>
      <c r="I1275" s="178"/>
    </row>
    <row r="1276" spans="3:9" x14ac:dyDescent="0.2">
      <c r="C1276" s="178"/>
      <c r="D1276" s="178"/>
      <c r="E1276" s="178"/>
      <c r="F1276" s="178"/>
      <c r="G1276" s="180"/>
      <c r="H1276" s="180"/>
      <c r="I1276" s="178"/>
    </row>
    <row r="1277" spans="3:9" x14ac:dyDescent="0.2">
      <c r="C1277" s="178"/>
      <c r="D1277" s="178"/>
      <c r="E1277" s="178"/>
      <c r="F1277" s="178"/>
      <c r="G1277" s="180"/>
      <c r="H1277" s="180"/>
      <c r="I1277" s="178"/>
    </row>
    <row r="1278" spans="3:9" x14ac:dyDescent="0.2">
      <c r="C1278" s="178"/>
      <c r="D1278" s="178"/>
      <c r="E1278" s="178"/>
      <c r="F1278" s="178"/>
      <c r="G1278" s="180"/>
      <c r="H1278" s="180"/>
      <c r="I1278" s="178"/>
    </row>
    <row r="1279" spans="3:9" x14ac:dyDescent="0.2">
      <c r="C1279" s="178"/>
      <c r="D1279" s="178"/>
      <c r="E1279" s="178"/>
      <c r="F1279" s="178"/>
      <c r="G1279" s="180"/>
      <c r="H1279" s="180"/>
      <c r="I1279" s="178"/>
    </row>
    <row r="1280" spans="3:9" x14ac:dyDescent="0.2">
      <c r="C1280" s="178"/>
      <c r="D1280" s="178"/>
      <c r="E1280" s="178"/>
      <c r="F1280" s="178"/>
      <c r="G1280" s="180"/>
      <c r="H1280" s="180"/>
      <c r="I1280" s="178"/>
    </row>
    <row r="1281" spans="3:9" x14ac:dyDescent="0.2">
      <c r="C1281" s="178"/>
      <c r="D1281" s="178"/>
      <c r="E1281" s="178"/>
      <c r="F1281" s="178"/>
      <c r="G1281" s="180"/>
      <c r="H1281" s="180"/>
      <c r="I1281" s="178"/>
    </row>
    <row r="1282" spans="3:9" x14ac:dyDescent="0.2">
      <c r="C1282" s="178"/>
      <c r="D1282" s="178"/>
      <c r="E1282" s="178"/>
      <c r="F1282" s="178"/>
      <c r="G1282" s="180"/>
      <c r="H1282" s="180"/>
      <c r="I1282" s="178"/>
    </row>
    <row r="1283" spans="3:9" x14ac:dyDescent="0.2">
      <c r="C1283" s="178"/>
      <c r="D1283" s="178"/>
      <c r="E1283" s="178"/>
      <c r="F1283" s="178"/>
      <c r="G1283" s="180"/>
      <c r="H1283" s="180"/>
      <c r="I1283" s="178"/>
    </row>
    <row r="1284" spans="3:9" x14ac:dyDescent="0.2">
      <c r="C1284" s="178"/>
      <c r="D1284" s="178"/>
      <c r="E1284" s="178"/>
      <c r="F1284" s="178"/>
      <c r="G1284" s="180"/>
      <c r="H1284" s="180"/>
      <c r="I1284" s="178"/>
    </row>
    <row r="1285" spans="3:9" x14ac:dyDescent="0.2">
      <c r="C1285" s="178"/>
      <c r="D1285" s="178"/>
      <c r="E1285" s="178"/>
      <c r="F1285" s="178"/>
      <c r="G1285" s="180"/>
      <c r="H1285" s="180"/>
      <c r="I1285" s="178"/>
    </row>
    <row r="1286" spans="3:9" x14ac:dyDescent="0.2">
      <c r="C1286" s="178"/>
      <c r="D1286" s="178"/>
      <c r="E1286" s="178"/>
      <c r="F1286" s="178"/>
      <c r="G1286" s="180"/>
      <c r="H1286" s="180"/>
      <c r="I1286" s="178"/>
    </row>
    <row r="1287" spans="3:9" x14ac:dyDescent="0.2">
      <c r="C1287" s="178"/>
      <c r="D1287" s="178"/>
      <c r="E1287" s="178"/>
      <c r="F1287" s="178"/>
      <c r="G1287" s="180"/>
      <c r="H1287" s="180"/>
      <c r="I1287" s="178"/>
    </row>
    <row r="1288" spans="3:9" x14ac:dyDescent="0.2">
      <c r="C1288" s="178"/>
      <c r="D1288" s="178"/>
      <c r="E1288" s="178"/>
      <c r="F1288" s="178"/>
      <c r="G1288" s="180"/>
      <c r="H1288" s="180"/>
      <c r="I1288" s="178"/>
    </row>
    <row r="1289" spans="3:9" x14ac:dyDescent="0.2">
      <c r="C1289" s="178"/>
      <c r="D1289" s="178"/>
      <c r="E1289" s="178"/>
      <c r="F1289" s="178"/>
      <c r="G1289" s="180"/>
      <c r="H1289" s="180"/>
      <c r="I1289" s="178"/>
    </row>
    <row r="1290" spans="3:9" x14ac:dyDescent="0.2">
      <c r="C1290" s="178"/>
      <c r="D1290" s="178"/>
      <c r="E1290" s="178"/>
      <c r="F1290" s="178"/>
      <c r="G1290" s="180"/>
      <c r="H1290" s="180"/>
      <c r="I1290" s="178"/>
    </row>
    <row r="1291" spans="3:9" x14ac:dyDescent="0.2">
      <c r="C1291" s="178"/>
      <c r="D1291" s="178"/>
      <c r="E1291" s="178"/>
      <c r="F1291" s="178"/>
      <c r="G1291" s="180"/>
      <c r="H1291" s="180"/>
      <c r="I1291" s="178"/>
    </row>
    <row r="1292" spans="3:9" x14ac:dyDescent="0.2">
      <c r="C1292" s="178"/>
      <c r="D1292" s="178"/>
      <c r="E1292" s="178"/>
      <c r="F1292" s="178"/>
      <c r="G1292" s="180"/>
      <c r="H1292" s="180"/>
      <c r="I1292" s="178"/>
    </row>
    <row r="1293" spans="3:9" x14ac:dyDescent="0.2">
      <c r="C1293" s="178"/>
      <c r="D1293" s="178"/>
      <c r="E1293" s="178"/>
      <c r="F1293" s="178"/>
      <c r="G1293" s="180"/>
      <c r="H1293" s="180"/>
      <c r="I1293" s="178"/>
    </row>
    <row r="1294" spans="3:9" x14ac:dyDescent="0.2">
      <c r="C1294" s="178"/>
      <c r="D1294" s="178"/>
      <c r="E1294" s="178"/>
      <c r="F1294" s="178"/>
      <c r="G1294" s="180"/>
      <c r="H1294" s="180"/>
      <c r="I1294" s="178"/>
    </row>
    <row r="1295" spans="3:9" x14ac:dyDescent="0.2">
      <c r="C1295" s="178"/>
      <c r="D1295" s="178"/>
      <c r="E1295" s="178"/>
      <c r="F1295" s="178"/>
      <c r="G1295" s="180"/>
      <c r="H1295" s="180"/>
      <c r="I1295" s="178"/>
    </row>
    <row r="1296" spans="3:9" x14ac:dyDescent="0.2">
      <c r="C1296" s="178"/>
      <c r="D1296" s="178"/>
      <c r="E1296" s="178"/>
      <c r="F1296" s="178"/>
      <c r="G1296" s="180"/>
      <c r="H1296" s="180"/>
      <c r="I1296" s="178"/>
    </row>
    <row r="1297" spans="3:9" x14ac:dyDescent="0.2">
      <c r="C1297" s="178"/>
      <c r="D1297" s="178"/>
      <c r="E1297" s="178"/>
      <c r="F1297" s="178"/>
      <c r="G1297" s="180"/>
      <c r="H1297" s="180"/>
      <c r="I1297" s="178"/>
    </row>
    <row r="1298" spans="3:9" x14ac:dyDescent="0.2">
      <c r="C1298" s="178"/>
      <c r="D1298" s="178"/>
      <c r="E1298" s="178"/>
      <c r="F1298" s="178"/>
      <c r="G1298" s="180"/>
      <c r="H1298" s="180"/>
      <c r="I1298" s="178"/>
    </row>
    <row r="1299" spans="3:9" x14ac:dyDescent="0.2">
      <c r="C1299" s="178"/>
      <c r="D1299" s="178"/>
      <c r="E1299" s="178"/>
      <c r="F1299" s="178"/>
      <c r="G1299" s="180"/>
      <c r="H1299" s="180"/>
      <c r="I1299" s="178"/>
    </row>
    <row r="1300" spans="3:9" x14ac:dyDescent="0.2">
      <c r="C1300" s="178"/>
      <c r="D1300" s="178"/>
      <c r="E1300" s="178"/>
      <c r="F1300" s="178"/>
      <c r="G1300" s="180"/>
      <c r="H1300" s="180"/>
      <c r="I1300" s="178"/>
    </row>
    <row r="1301" spans="3:9" x14ac:dyDescent="0.2">
      <c r="C1301" s="178"/>
      <c r="D1301" s="178"/>
      <c r="E1301" s="178"/>
      <c r="F1301" s="178"/>
      <c r="G1301" s="180"/>
      <c r="H1301" s="180"/>
      <c r="I1301" s="178"/>
    </row>
    <row r="1302" spans="3:9" x14ac:dyDescent="0.2">
      <c r="C1302" s="178"/>
      <c r="D1302" s="178"/>
      <c r="E1302" s="178"/>
      <c r="F1302" s="178"/>
      <c r="G1302" s="180"/>
      <c r="H1302" s="180"/>
      <c r="I1302" s="178"/>
    </row>
    <row r="1303" spans="3:9" x14ac:dyDescent="0.2">
      <c r="C1303" s="178"/>
      <c r="D1303" s="178"/>
      <c r="E1303" s="178"/>
      <c r="F1303" s="178"/>
      <c r="G1303" s="180"/>
      <c r="H1303" s="180"/>
      <c r="I1303" s="178"/>
    </row>
    <row r="1304" spans="3:9" x14ac:dyDescent="0.2">
      <c r="C1304" s="178"/>
      <c r="D1304" s="178"/>
      <c r="E1304" s="178"/>
      <c r="F1304" s="178"/>
      <c r="G1304" s="180"/>
      <c r="H1304" s="180"/>
      <c r="I1304" s="178"/>
    </row>
    <row r="1305" spans="3:9" x14ac:dyDescent="0.2">
      <c r="C1305" s="178"/>
      <c r="D1305" s="178"/>
      <c r="E1305" s="178"/>
      <c r="F1305" s="178"/>
      <c r="G1305" s="180"/>
      <c r="H1305" s="180"/>
      <c r="I1305" s="178"/>
    </row>
    <row r="1306" spans="3:9" x14ac:dyDescent="0.2">
      <c r="C1306" s="178"/>
      <c r="D1306" s="178"/>
      <c r="E1306" s="178"/>
      <c r="F1306" s="178"/>
      <c r="G1306" s="180"/>
      <c r="H1306" s="180"/>
      <c r="I1306" s="178"/>
    </row>
    <row r="1307" spans="3:9" x14ac:dyDescent="0.2">
      <c r="C1307" s="178"/>
      <c r="D1307" s="178"/>
      <c r="E1307" s="178"/>
      <c r="F1307" s="178"/>
      <c r="G1307" s="180"/>
      <c r="H1307" s="180"/>
      <c r="I1307" s="178"/>
    </row>
    <row r="1308" spans="3:9" x14ac:dyDescent="0.2">
      <c r="C1308" s="178"/>
      <c r="D1308" s="178"/>
      <c r="E1308" s="178"/>
      <c r="F1308" s="178"/>
      <c r="G1308" s="180"/>
      <c r="H1308" s="180"/>
      <c r="I1308" s="178"/>
    </row>
    <row r="1309" spans="3:9" x14ac:dyDescent="0.2">
      <c r="C1309" s="178"/>
      <c r="D1309" s="178"/>
      <c r="E1309" s="178"/>
      <c r="F1309" s="178"/>
      <c r="G1309" s="180"/>
      <c r="H1309" s="180"/>
      <c r="I1309" s="178"/>
    </row>
    <row r="1310" spans="3:9" x14ac:dyDescent="0.2">
      <c r="C1310" s="178"/>
      <c r="D1310" s="178"/>
      <c r="E1310" s="178"/>
      <c r="F1310" s="178"/>
      <c r="G1310" s="180"/>
      <c r="H1310" s="180"/>
      <c r="I1310" s="178"/>
    </row>
    <row r="1311" spans="3:9" x14ac:dyDescent="0.2">
      <c r="C1311" s="178"/>
      <c r="D1311" s="178"/>
      <c r="E1311" s="178"/>
      <c r="F1311" s="178"/>
      <c r="G1311" s="180"/>
      <c r="H1311" s="180"/>
      <c r="I1311" s="178"/>
    </row>
    <row r="1312" spans="3:9" x14ac:dyDescent="0.2">
      <c r="C1312" s="178"/>
      <c r="D1312" s="178"/>
      <c r="E1312" s="178"/>
      <c r="F1312" s="178"/>
      <c r="G1312" s="180"/>
      <c r="H1312" s="180"/>
      <c r="I1312" s="178"/>
    </row>
    <row r="1313" spans="3:9" x14ac:dyDescent="0.2">
      <c r="C1313" s="178"/>
      <c r="D1313" s="178"/>
      <c r="E1313" s="178"/>
      <c r="F1313" s="178"/>
      <c r="G1313" s="180"/>
      <c r="H1313" s="180"/>
      <c r="I1313" s="178"/>
    </row>
    <row r="1314" spans="3:9" x14ac:dyDescent="0.2">
      <c r="C1314" s="178"/>
      <c r="D1314" s="178"/>
      <c r="E1314" s="178"/>
      <c r="F1314" s="178"/>
      <c r="G1314" s="180"/>
      <c r="H1314" s="180"/>
      <c r="I1314" s="178"/>
    </row>
    <row r="1315" spans="3:9" x14ac:dyDescent="0.2">
      <c r="C1315" s="178"/>
      <c r="D1315" s="178"/>
      <c r="E1315" s="178"/>
      <c r="F1315" s="178"/>
      <c r="G1315" s="180"/>
      <c r="H1315" s="180"/>
      <c r="I1315" s="178"/>
    </row>
    <row r="1316" spans="3:9" x14ac:dyDescent="0.2">
      <c r="C1316" s="178"/>
      <c r="D1316" s="178"/>
      <c r="E1316" s="178"/>
      <c r="F1316" s="178"/>
      <c r="G1316" s="180"/>
      <c r="H1316" s="180"/>
      <c r="I1316" s="178"/>
    </row>
    <row r="1317" spans="3:9" x14ac:dyDescent="0.2">
      <c r="C1317" s="178"/>
      <c r="D1317" s="178"/>
      <c r="E1317" s="178"/>
      <c r="F1317" s="178"/>
      <c r="G1317" s="180"/>
      <c r="H1317" s="180"/>
      <c r="I1317" s="178"/>
    </row>
    <row r="1318" spans="3:9" x14ac:dyDescent="0.2">
      <c r="C1318" s="178"/>
      <c r="D1318" s="178"/>
      <c r="E1318" s="178"/>
      <c r="F1318" s="178"/>
      <c r="G1318" s="180"/>
      <c r="H1318" s="180"/>
      <c r="I1318" s="178"/>
    </row>
    <row r="1319" spans="3:9" x14ac:dyDescent="0.2">
      <c r="C1319" s="178"/>
      <c r="D1319" s="178"/>
      <c r="E1319" s="178"/>
      <c r="F1319" s="178"/>
      <c r="G1319" s="180"/>
      <c r="H1319" s="180"/>
      <c r="I1319" s="178"/>
    </row>
    <row r="1320" spans="3:9" x14ac:dyDescent="0.2">
      <c r="C1320" s="178"/>
      <c r="D1320" s="178"/>
      <c r="E1320" s="178"/>
      <c r="F1320" s="178"/>
      <c r="G1320" s="180"/>
      <c r="H1320" s="180"/>
      <c r="I1320" s="178"/>
    </row>
    <row r="1321" spans="3:9" x14ac:dyDescent="0.2">
      <c r="C1321" s="178"/>
      <c r="D1321" s="178"/>
      <c r="E1321" s="178"/>
      <c r="F1321" s="178"/>
      <c r="G1321" s="180"/>
      <c r="H1321" s="180"/>
      <c r="I1321" s="178"/>
    </row>
    <row r="1322" spans="3:9" x14ac:dyDescent="0.2">
      <c r="C1322" s="178"/>
      <c r="D1322" s="178"/>
      <c r="E1322" s="178"/>
      <c r="F1322" s="178"/>
      <c r="G1322" s="180"/>
      <c r="H1322" s="180"/>
      <c r="I1322" s="178"/>
    </row>
    <row r="1323" spans="3:9" x14ac:dyDescent="0.2">
      <c r="C1323" s="178"/>
      <c r="D1323" s="178"/>
      <c r="E1323" s="178"/>
      <c r="F1323" s="178"/>
      <c r="G1323" s="180"/>
      <c r="H1323" s="180"/>
      <c r="I1323" s="178"/>
    </row>
    <row r="1324" spans="3:9" x14ac:dyDescent="0.2">
      <c r="C1324" s="178"/>
      <c r="D1324" s="178"/>
      <c r="E1324" s="178"/>
      <c r="F1324" s="178"/>
      <c r="G1324" s="180"/>
      <c r="H1324" s="180"/>
      <c r="I1324" s="178"/>
    </row>
    <row r="1325" spans="3:9" x14ac:dyDescent="0.2">
      <c r="C1325" s="178"/>
      <c r="D1325" s="178"/>
      <c r="E1325" s="178"/>
      <c r="F1325" s="178"/>
      <c r="G1325" s="180"/>
      <c r="H1325" s="180"/>
      <c r="I1325" s="178"/>
    </row>
    <row r="1326" spans="3:9" x14ac:dyDescent="0.2">
      <c r="C1326" s="178"/>
      <c r="D1326" s="178"/>
      <c r="E1326" s="178"/>
      <c r="F1326" s="178"/>
      <c r="G1326" s="180"/>
      <c r="H1326" s="180"/>
      <c r="I1326" s="178"/>
    </row>
    <row r="1327" spans="3:9" x14ac:dyDescent="0.2">
      <c r="C1327" s="178"/>
      <c r="D1327" s="178"/>
      <c r="E1327" s="178"/>
      <c r="F1327" s="178"/>
      <c r="G1327" s="180"/>
      <c r="H1327" s="180"/>
      <c r="I1327" s="178"/>
    </row>
    <row r="1328" spans="3:9" x14ac:dyDescent="0.2">
      <c r="C1328" s="178"/>
      <c r="D1328" s="178"/>
      <c r="E1328" s="178"/>
      <c r="F1328" s="178"/>
      <c r="G1328" s="180"/>
      <c r="H1328" s="180"/>
      <c r="I1328" s="178"/>
    </row>
    <row r="1329" spans="3:9" x14ac:dyDescent="0.2">
      <c r="C1329" s="178"/>
      <c r="D1329" s="178"/>
      <c r="E1329" s="178"/>
      <c r="F1329" s="178"/>
      <c r="G1329" s="180"/>
      <c r="H1329" s="180"/>
      <c r="I1329" s="178"/>
    </row>
    <row r="1330" spans="3:9" x14ac:dyDescent="0.2">
      <c r="C1330" s="178"/>
      <c r="D1330" s="178"/>
      <c r="E1330" s="178"/>
      <c r="F1330" s="178"/>
      <c r="G1330" s="180"/>
      <c r="H1330" s="180"/>
      <c r="I1330" s="178"/>
    </row>
    <row r="1331" spans="3:9" x14ac:dyDescent="0.2">
      <c r="C1331" s="178"/>
      <c r="D1331" s="178"/>
      <c r="E1331" s="178"/>
      <c r="F1331" s="178"/>
      <c r="G1331" s="180"/>
      <c r="H1331" s="180"/>
      <c r="I1331" s="178"/>
    </row>
    <row r="1332" spans="3:9" x14ac:dyDescent="0.2">
      <c r="C1332" s="178"/>
      <c r="D1332" s="178"/>
      <c r="E1332" s="178"/>
      <c r="F1332" s="178"/>
      <c r="G1332" s="180"/>
      <c r="H1332" s="180"/>
      <c r="I1332" s="178"/>
    </row>
    <row r="1333" spans="3:9" x14ac:dyDescent="0.2">
      <c r="C1333" s="178"/>
      <c r="D1333" s="178"/>
      <c r="E1333" s="178"/>
      <c r="F1333" s="178"/>
      <c r="G1333" s="180"/>
      <c r="H1333" s="180"/>
      <c r="I1333" s="178"/>
    </row>
    <row r="1334" spans="3:9" x14ac:dyDescent="0.2">
      <c r="C1334" s="178"/>
      <c r="D1334" s="178"/>
      <c r="E1334" s="178"/>
      <c r="F1334" s="178"/>
      <c r="G1334" s="180"/>
      <c r="H1334" s="180"/>
      <c r="I1334" s="178"/>
    </row>
    <row r="1335" spans="3:9" x14ac:dyDescent="0.2">
      <c r="C1335" s="178"/>
      <c r="D1335" s="178"/>
      <c r="E1335" s="178"/>
      <c r="F1335" s="178"/>
      <c r="G1335" s="180"/>
      <c r="H1335" s="180"/>
      <c r="I1335" s="178"/>
    </row>
    <row r="1336" spans="3:9" x14ac:dyDescent="0.2">
      <c r="C1336" s="178"/>
      <c r="D1336" s="178"/>
      <c r="E1336" s="178"/>
      <c r="F1336" s="178"/>
      <c r="G1336" s="180"/>
      <c r="H1336" s="180"/>
      <c r="I1336" s="178"/>
    </row>
    <row r="1337" spans="3:9" x14ac:dyDescent="0.2">
      <c r="C1337" s="178"/>
      <c r="D1337" s="178"/>
      <c r="E1337" s="178"/>
      <c r="F1337" s="178"/>
      <c r="G1337" s="180"/>
      <c r="H1337" s="180"/>
      <c r="I1337" s="178"/>
    </row>
    <row r="1338" spans="3:9" x14ac:dyDescent="0.2">
      <c r="C1338" s="178"/>
      <c r="D1338" s="178"/>
      <c r="E1338" s="178"/>
      <c r="F1338" s="178"/>
      <c r="G1338" s="180"/>
      <c r="H1338" s="180"/>
      <c r="I1338" s="178"/>
    </row>
    <row r="1339" spans="3:9" x14ac:dyDescent="0.2">
      <c r="C1339" s="178"/>
      <c r="D1339" s="178"/>
      <c r="E1339" s="178"/>
      <c r="F1339" s="178"/>
      <c r="G1339" s="180"/>
      <c r="H1339" s="180"/>
      <c r="I1339" s="178"/>
    </row>
    <row r="1340" spans="3:9" x14ac:dyDescent="0.2">
      <c r="C1340" s="178"/>
      <c r="D1340" s="178"/>
      <c r="E1340" s="178"/>
      <c r="F1340" s="178"/>
      <c r="G1340" s="180"/>
      <c r="H1340" s="180"/>
      <c r="I1340" s="178"/>
    </row>
    <row r="1341" spans="3:9" x14ac:dyDescent="0.2">
      <c r="C1341" s="178"/>
      <c r="D1341" s="178"/>
      <c r="E1341" s="178"/>
      <c r="F1341" s="178"/>
      <c r="G1341" s="180"/>
      <c r="H1341" s="180"/>
      <c r="I1341" s="178"/>
    </row>
    <row r="1342" spans="3:9" x14ac:dyDescent="0.2">
      <c r="C1342" s="178"/>
      <c r="D1342" s="178"/>
      <c r="E1342" s="178"/>
      <c r="F1342" s="178"/>
      <c r="G1342" s="180"/>
      <c r="H1342" s="180"/>
      <c r="I1342" s="178"/>
    </row>
    <row r="1343" spans="3:9" x14ac:dyDescent="0.2">
      <c r="C1343" s="178"/>
      <c r="D1343" s="178"/>
      <c r="E1343" s="178"/>
      <c r="F1343" s="178"/>
      <c r="G1343" s="180"/>
      <c r="H1343" s="180"/>
      <c r="I1343" s="178"/>
    </row>
    <row r="1344" spans="3:9" x14ac:dyDescent="0.2">
      <c r="C1344" s="178"/>
      <c r="D1344" s="178"/>
      <c r="E1344" s="178"/>
      <c r="F1344" s="178"/>
      <c r="G1344" s="180"/>
      <c r="H1344" s="180"/>
      <c r="I1344" s="178"/>
    </row>
    <row r="1345" spans="3:9" x14ac:dyDescent="0.2">
      <c r="C1345" s="178"/>
      <c r="D1345" s="178"/>
      <c r="E1345" s="178"/>
      <c r="F1345" s="178"/>
      <c r="G1345" s="180"/>
      <c r="H1345" s="180"/>
      <c r="I1345" s="178"/>
    </row>
    <row r="1346" spans="3:9" x14ac:dyDescent="0.2">
      <c r="C1346" s="178"/>
      <c r="D1346" s="178"/>
      <c r="E1346" s="178"/>
      <c r="F1346" s="178"/>
      <c r="G1346" s="180"/>
      <c r="H1346" s="180"/>
      <c r="I1346" s="178"/>
    </row>
    <row r="1347" spans="3:9" x14ac:dyDescent="0.2">
      <c r="C1347" s="178"/>
      <c r="D1347" s="178"/>
      <c r="E1347" s="178"/>
      <c r="F1347" s="178"/>
      <c r="G1347" s="180"/>
      <c r="H1347" s="180"/>
      <c r="I1347" s="178"/>
    </row>
    <row r="1348" spans="3:9" x14ac:dyDescent="0.2">
      <c r="C1348" s="178"/>
      <c r="D1348" s="178"/>
      <c r="E1348" s="178"/>
      <c r="F1348" s="178"/>
      <c r="G1348" s="180"/>
      <c r="H1348" s="180"/>
      <c r="I1348" s="178"/>
    </row>
    <row r="1349" spans="3:9" x14ac:dyDescent="0.2">
      <c r="C1349" s="178"/>
      <c r="D1349" s="178"/>
      <c r="E1349" s="178"/>
      <c r="F1349" s="178"/>
      <c r="G1349" s="180"/>
      <c r="H1349" s="180"/>
      <c r="I1349" s="178"/>
    </row>
    <row r="1350" spans="3:9" x14ac:dyDescent="0.2">
      <c r="C1350" s="178"/>
      <c r="D1350" s="178"/>
      <c r="E1350" s="178"/>
      <c r="F1350" s="178"/>
      <c r="G1350" s="180"/>
      <c r="H1350" s="180"/>
      <c r="I1350" s="178"/>
    </row>
    <row r="1351" spans="3:9" x14ac:dyDescent="0.2">
      <c r="C1351" s="178"/>
      <c r="D1351" s="178"/>
      <c r="E1351" s="178"/>
      <c r="F1351" s="178"/>
      <c r="G1351" s="180"/>
      <c r="H1351" s="180"/>
      <c r="I1351" s="178"/>
    </row>
    <row r="1352" spans="3:9" x14ac:dyDescent="0.2">
      <c r="C1352" s="178"/>
      <c r="D1352" s="178"/>
      <c r="E1352" s="178"/>
      <c r="F1352" s="178"/>
      <c r="G1352" s="180"/>
      <c r="H1352" s="180"/>
      <c r="I1352" s="178"/>
    </row>
    <row r="1353" spans="3:9" x14ac:dyDescent="0.2">
      <c r="C1353" s="178"/>
      <c r="D1353" s="178"/>
      <c r="E1353" s="178"/>
      <c r="F1353" s="178"/>
      <c r="G1353" s="180"/>
      <c r="H1353" s="180"/>
      <c r="I1353" s="178"/>
    </row>
    <row r="1354" spans="3:9" x14ac:dyDescent="0.2">
      <c r="C1354" s="178"/>
      <c r="D1354" s="178"/>
      <c r="E1354" s="178"/>
      <c r="F1354" s="178"/>
      <c r="G1354" s="180"/>
      <c r="H1354" s="180"/>
      <c r="I1354" s="178"/>
    </row>
    <row r="1355" spans="3:9" x14ac:dyDescent="0.2">
      <c r="C1355" s="178"/>
      <c r="D1355" s="178"/>
      <c r="E1355" s="178"/>
      <c r="F1355" s="178"/>
      <c r="G1355" s="180"/>
      <c r="H1355" s="180"/>
      <c r="I1355" s="178"/>
    </row>
    <row r="1356" spans="3:9" x14ac:dyDescent="0.2">
      <c r="C1356" s="178"/>
      <c r="D1356" s="178"/>
      <c r="E1356" s="178"/>
      <c r="F1356" s="178"/>
      <c r="G1356" s="180"/>
      <c r="H1356" s="180"/>
      <c r="I1356" s="178"/>
    </row>
    <row r="1357" spans="3:9" x14ac:dyDescent="0.2">
      <c r="C1357" s="178"/>
      <c r="D1357" s="178"/>
      <c r="E1357" s="178"/>
      <c r="F1357" s="178"/>
      <c r="G1357" s="180"/>
      <c r="H1357" s="180"/>
      <c r="I1357" s="178"/>
    </row>
    <row r="1358" spans="3:9" x14ac:dyDescent="0.2">
      <c r="C1358" s="178"/>
      <c r="D1358" s="178"/>
      <c r="E1358" s="178"/>
      <c r="F1358" s="178"/>
      <c r="G1358" s="180"/>
      <c r="H1358" s="180"/>
      <c r="I1358" s="178"/>
    </row>
    <row r="1359" spans="3:9" x14ac:dyDescent="0.2">
      <c r="C1359" s="178"/>
      <c r="D1359" s="178"/>
      <c r="E1359" s="178"/>
      <c r="F1359" s="178"/>
      <c r="G1359" s="180"/>
      <c r="H1359" s="180"/>
      <c r="I1359" s="178"/>
    </row>
    <row r="1360" spans="3:9" x14ac:dyDescent="0.2">
      <c r="C1360" s="178"/>
      <c r="D1360" s="178"/>
      <c r="E1360" s="178"/>
      <c r="F1360" s="178"/>
      <c r="G1360" s="180"/>
      <c r="H1360" s="180"/>
      <c r="I1360" s="178"/>
    </row>
    <row r="1361" spans="3:9" x14ac:dyDescent="0.2">
      <c r="C1361" s="178"/>
      <c r="D1361" s="178"/>
      <c r="E1361" s="178"/>
      <c r="F1361" s="178"/>
      <c r="G1361" s="180"/>
      <c r="H1361" s="180"/>
      <c r="I1361" s="178"/>
    </row>
    <row r="1362" spans="3:9" x14ac:dyDescent="0.2">
      <c r="C1362" s="178"/>
      <c r="D1362" s="178"/>
      <c r="E1362" s="178"/>
      <c r="F1362" s="178"/>
      <c r="G1362" s="180"/>
      <c r="H1362" s="180"/>
      <c r="I1362" s="178"/>
    </row>
    <row r="1363" spans="3:9" x14ac:dyDescent="0.2">
      <c r="C1363" s="178"/>
      <c r="D1363" s="178"/>
      <c r="E1363" s="178"/>
      <c r="F1363" s="178"/>
      <c r="G1363" s="180"/>
      <c r="H1363" s="180"/>
      <c r="I1363" s="178"/>
    </row>
    <row r="1364" spans="3:9" x14ac:dyDescent="0.2">
      <c r="C1364" s="178"/>
      <c r="D1364" s="178"/>
      <c r="E1364" s="178"/>
      <c r="F1364" s="178"/>
      <c r="G1364" s="180"/>
      <c r="H1364" s="180"/>
      <c r="I1364" s="178"/>
    </row>
    <row r="1365" spans="3:9" x14ac:dyDescent="0.2">
      <c r="C1365" s="178"/>
      <c r="D1365" s="178"/>
      <c r="E1365" s="178"/>
      <c r="F1365" s="178"/>
      <c r="G1365" s="180"/>
      <c r="H1365" s="180"/>
      <c r="I1365" s="178"/>
    </row>
    <row r="1366" spans="3:9" x14ac:dyDescent="0.2">
      <c r="C1366" s="178"/>
      <c r="D1366" s="178"/>
      <c r="E1366" s="178"/>
      <c r="F1366" s="178"/>
      <c r="G1366" s="180"/>
      <c r="H1366" s="180"/>
      <c r="I1366" s="178"/>
    </row>
    <row r="1367" spans="3:9" x14ac:dyDescent="0.2">
      <c r="C1367" s="178"/>
      <c r="D1367" s="178"/>
      <c r="E1367" s="178"/>
      <c r="F1367" s="178"/>
      <c r="G1367" s="180"/>
      <c r="H1367" s="180"/>
      <c r="I1367" s="178"/>
    </row>
    <row r="1368" spans="3:9" x14ac:dyDescent="0.2">
      <c r="C1368" s="178"/>
      <c r="D1368" s="178"/>
      <c r="E1368" s="178"/>
      <c r="F1368" s="178"/>
      <c r="G1368" s="180"/>
      <c r="H1368" s="180"/>
      <c r="I1368" s="178"/>
    </row>
    <row r="1369" spans="3:9" x14ac:dyDescent="0.2">
      <c r="C1369" s="178"/>
      <c r="D1369" s="178"/>
      <c r="E1369" s="178"/>
      <c r="F1369" s="178"/>
      <c r="G1369" s="180"/>
      <c r="H1369" s="180"/>
      <c r="I1369" s="178"/>
    </row>
    <row r="1370" spans="3:9" x14ac:dyDescent="0.2">
      <c r="C1370" s="178"/>
      <c r="D1370" s="178"/>
      <c r="E1370" s="178"/>
      <c r="F1370" s="178"/>
      <c r="G1370" s="180"/>
      <c r="H1370" s="180"/>
      <c r="I1370" s="178"/>
    </row>
    <row r="1371" spans="3:9" x14ac:dyDescent="0.2">
      <c r="C1371" s="178"/>
      <c r="D1371" s="178"/>
      <c r="E1371" s="178"/>
      <c r="F1371" s="178"/>
      <c r="G1371" s="180"/>
      <c r="H1371" s="180"/>
      <c r="I1371" s="178"/>
    </row>
    <row r="1372" spans="3:9" x14ac:dyDescent="0.2">
      <c r="C1372" s="178"/>
      <c r="D1372" s="178"/>
      <c r="E1372" s="178"/>
      <c r="F1372" s="178"/>
      <c r="G1372" s="180"/>
      <c r="H1372" s="180"/>
      <c r="I1372" s="178"/>
    </row>
    <row r="1373" spans="3:9" x14ac:dyDescent="0.2">
      <c r="C1373" s="178"/>
      <c r="D1373" s="178"/>
      <c r="E1373" s="178"/>
      <c r="F1373" s="178"/>
      <c r="G1373" s="180"/>
      <c r="H1373" s="180"/>
      <c r="I1373" s="178"/>
    </row>
    <row r="1374" spans="3:9" x14ac:dyDescent="0.2">
      <c r="C1374" s="178"/>
      <c r="D1374" s="178"/>
      <c r="E1374" s="178"/>
      <c r="F1374" s="178"/>
      <c r="G1374" s="180"/>
      <c r="H1374" s="180"/>
      <c r="I1374" s="178"/>
    </row>
    <row r="1375" spans="3:9" x14ac:dyDescent="0.2">
      <c r="C1375" s="178"/>
      <c r="D1375" s="178"/>
      <c r="E1375" s="178"/>
      <c r="F1375" s="178"/>
      <c r="G1375" s="180"/>
      <c r="H1375" s="180"/>
      <c r="I1375" s="178"/>
    </row>
    <row r="1376" spans="3:9" x14ac:dyDescent="0.2">
      <c r="C1376" s="178"/>
      <c r="D1376" s="178"/>
      <c r="E1376" s="178"/>
      <c r="F1376" s="178"/>
      <c r="G1376" s="180"/>
      <c r="H1376" s="180"/>
      <c r="I1376" s="178"/>
    </row>
    <row r="1377" spans="3:9" x14ac:dyDescent="0.2">
      <c r="C1377" s="178"/>
      <c r="D1377" s="178"/>
      <c r="E1377" s="178"/>
      <c r="F1377" s="178"/>
      <c r="G1377" s="180"/>
      <c r="H1377" s="180"/>
      <c r="I1377" s="178"/>
    </row>
    <row r="1378" spans="3:9" x14ac:dyDescent="0.2">
      <c r="C1378" s="178"/>
      <c r="D1378" s="178"/>
      <c r="E1378" s="178"/>
      <c r="F1378" s="178"/>
      <c r="G1378" s="180"/>
      <c r="H1378" s="180"/>
      <c r="I1378" s="178"/>
    </row>
    <row r="1379" spans="3:9" x14ac:dyDescent="0.2">
      <c r="C1379" s="178"/>
      <c r="D1379" s="178"/>
      <c r="E1379" s="178"/>
      <c r="F1379" s="178"/>
      <c r="G1379" s="180"/>
      <c r="H1379" s="180"/>
      <c r="I1379" s="178"/>
    </row>
    <row r="1380" spans="3:9" x14ac:dyDescent="0.2">
      <c r="C1380" s="178"/>
      <c r="D1380" s="178"/>
      <c r="E1380" s="178"/>
      <c r="F1380" s="178"/>
      <c r="G1380" s="180"/>
      <c r="H1380" s="180"/>
      <c r="I1380" s="178"/>
    </row>
    <row r="1381" spans="3:9" x14ac:dyDescent="0.2">
      <c r="C1381" s="178"/>
      <c r="D1381" s="178"/>
      <c r="E1381" s="178"/>
      <c r="F1381" s="178"/>
      <c r="G1381" s="180"/>
      <c r="H1381" s="180"/>
      <c r="I1381" s="178"/>
    </row>
    <row r="1382" spans="3:9" x14ac:dyDescent="0.2">
      <c r="C1382" s="178"/>
      <c r="D1382" s="178"/>
      <c r="E1382" s="178"/>
      <c r="F1382" s="178"/>
      <c r="G1382" s="180"/>
      <c r="H1382" s="180"/>
      <c r="I1382" s="178"/>
    </row>
    <row r="1383" spans="3:9" x14ac:dyDescent="0.2">
      <c r="C1383" s="178"/>
      <c r="D1383" s="178"/>
      <c r="E1383" s="178"/>
      <c r="F1383" s="178"/>
      <c r="G1383" s="180"/>
      <c r="H1383" s="180"/>
      <c r="I1383" s="178"/>
    </row>
    <row r="1384" spans="3:9" x14ac:dyDescent="0.2">
      <c r="C1384" s="178"/>
      <c r="D1384" s="178"/>
      <c r="E1384" s="178"/>
      <c r="F1384" s="178"/>
      <c r="G1384" s="180"/>
      <c r="H1384" s="180"/>
      <c r="I1384" s="178"/>
    </row>
    <row r="1385" spans="3:9" x14ac:dyDescent="0.2">
      <c r="C1385" s="178"/>
      <c r="D1385" s="178"/>
      <c r="E1385" s="178"/>
      <c r="F1385" s="178"/>
      <c r="G1385" s="180"/>
      <c r="H1385" s="180"/>
      <c r="I1385" s="178"/>
    </row>
    <row r="1386" spans="3:9" x14ac:dyDescent="0.2">
      <c r="C1386" s="178"/>
      <c r="D1386" s="178"/>
      <c r="E1386" s="178"/>
      <c r="F1386" s="178"/>
      <c r="G1386" s="180"/>
      <c r="H1386" s="180"/>
      <c r="I1386" s="178"/>
    </row>
    <row r="1387" spans="3:9" x14ac:dyDescent="0.2">
      <c r="C1387" s="178"/>
      <c r="D1387" s="178"/>
      <c r="E1387" s="178"/>
      <c r="F1387" s="178"/>
      <c r="G1387" s="180"/>
      <c r="H1387" s="180"/>
      <c r="I1387" s="178"/>
    </row>
    <row r="1388" spans="3:9" x14ac:dyDescent="0.2">
      <c r="C1388" s="178"/>
      <c r="D1388" s="178"/>
      <c r="E1388" s="178"/>
      <c r="F1388" s="178"/>
      <c r="G1388" s="180"/>
      <c r="H1388" s="180"/>
      <c r="I1388" s="178"/>
    </row>
    <row r="1389" spans="3:9" x14ac:dyDescent="0.2">
      <c r="C1389" s="178"/>
      <c r="D1389" s="178"/>
      <c r="E1389" s="178"/>
      <c r="F1389" s="178"/>
      <c r="G1389" s="180"/>
      <c r="H1389" s="180"/>
      <c r="I1389" s="178"/>
    </row>
    <row r="1390" spans="3:9" x14ac:dyDescent="0.2">
      <c r="C1390" s="178"/>
      <c r="D1390" s="178"/>
      <c r="E1390" s="178"/>
      <c r="F1390" s="178"/>
      <c r="G1390" s="180"/>
      <c r="H1390" s="180"/>
      <c r="I1390" s="178"/>
    </row>
    <row r="1391" spans="3:9" x14ac:dyDescent="0.2">
      <c r="C1391" s="178"/>
      <c r="D1391" s="178"/>
      <c r="E1391" s="178"/>
      <c r="F1391" s="178"/>
      <c r="G1391" s="180"/>
      <c r="H1391" s="180"/>
      <c r="I1391" s="178"/>
    </row>
    <row r="1392" spans="3:9" x14ac:dyDescent="0.2">
      <c r="C1392" s="178"/>
      <c r="D1392" s="178"/>
      <c r="E1392" s="178"/>
      <c r="F1392" s="178"/>
      <c r="G1392" s="180"/>
      <c r="H1392" s="180"/>
      <c r="I1392" s="178"/>
    </row>
    <row r="1393" spans="3:9" x14ac:dyDescent="0.2">
      <c r="C1393" s="178"/>
      <c r="D1393" s="178"/>
      <c r="E1393" s="178"/>
      <c r="F1393" s="178"/>
      <c r="G1393" s="180"/>
      <c r="H1393" s="180"/>
      <c r="I1393" s="178"/>
    </row>
    <row r="1394" spans="3:9" x14ac:dyDescent="0.2">
      <c r="C1394" s="178"/>
      <c r="D1394" s="178"/>
      <c r="E1394" s="178"/>
      <c r="F1394" s="178"/>
      <c r="G1394" s="180"/>
      <c r="H1394" s="180"/>
      <c r="I1394" s="178"/>
    </row>
    <row r="1395" spans="3:9" x14ac:dyDescent="0.2">
      <c r="C1395" s="178"/>
      <c r="D1395" s="178"/>
      <c r="E1395" s="178"/>
      <c r="F1395" s="178"/>
      <c r="G1395" s="180"/>
      <c r="H1395" s="180"/>
      <c r="I1395" s="178"/>
    </row>
    <row r="1396" spans="3:9" x14ac:dyDescent="0.2">
      <c r="C1396" s="178"/>
      <c r="D1396" s="178"/>
      <c r="E1396" s="178"/>
      <c r="F1396" s="178"/>
      <c r="G1396" s="180"/>
      <c r="H1396" s="180"/>
      <c r="I1396" s="178"/>
    </row>
    <row r="1397" spans="3:9" x14ac:dyDescent="0.2">
      <c r="C1397" s="178"/>
      <c r="D1397" s="178"/>
      <c r="E1397" s="178"/>
      <c r="F1397" s="178"/>
      <c r="G1397" s="180"/>
      <c r="H1397" s="180"/>
      <c r="I1397" s="178"/>
    </row>
    <row r="1398" spans="3:9" x14ac:dyDescent="0.2">
      <c r="C1398" s="178"/>
      <c r="D1398" s="178"/>
      <c r="E1398" s="178"/>
      <c r="F1398" s="178"/>
      <c r="G1398" s="180"/>
      <c r="H1398" s="180"/>
      <c r="I1398" s="178"/>
    </row>
    <row r="1399" spans="3:9" x14ac:dyDescent="0.2">
      <c r="C1399" s="178"/>
      <c r="D1399" s="178"/>
      <c r="E1399" s="178"/>
      <c r="F1399" s="178"/>
      <c r="G1399" s="180"/>
      <c r="H1399" s="180"/>
      <c r="I1399" s="178"/>
    </row>
    <row r="1400" spans="3:9" x14ac:dyDescent="0.2">
      <c r="C1400" s="178"/>
      <c r="D1400" s="178"/>
      <c r="E1400" s="178"/>
      <c r="F1400" s="178"/>
      <c r="G1400" s="180"/>
      <c r="H1400" s="180"/>
      <c r="I1400" s="178"/>
    </row>
    <row r="1401" spans="3:9" x14ac:dyDescent="0.2">
      <c r="C1401" s="178"/>
      <c r="D1401" s="178"/>
      <c r="E1401" s="178"/>
      <c r="F1401" s="178"/>
      <c r="G1401" s="180"/>
      <c r="H1401" s="180"/>
      <c r="I1401" s="178"/>
    </row>
    <row r="1402" spans="3:9" x14ac:dyDescent="0.2">
      <c r="C1402" s="178"/>
      <c r="D1402" s="178"/>
      <c r="E1402" s="178"/>
      <c r="F1402" s="178"/>
      <c r="G1402" s="180"/>
      <c r="H1402" s="180"/>
      <c r="I1402" s="178"/>
    </row>
    <row r="1403" spans="3:9" x14ac:dyDescent="0.2">
      <c r="C1403" s="178"/>
      <c r="D1403" s="178"/>
      <c r="E1403" s="178"/>
      <c r="F1403" s="178"/>
      <c r="G1403" s="180"/>
      <c r="H1403" s="180"/>
      <c r="I1403" s="178"/>
    </row>
    <row r="1404" spans="3:9" x14ac:dyDescent="0.2">
      <c r="C1404" s="178"/>
      <c r="D1404" s="178"/>
      <c r="E1404" s="178"/>
      <c r="F1404" s="178"/>
      <c r="G1404" s="180"/>
      <c r="H1404" s="180"/>
      <c r="I1404" s="178"/>
    </row>
    <row r="1405" spans="3:9" x14ac:dyDescent="0.2">
      <c r="C1405" s="178"/>
      <c r="D1405" s="178"/>
      <c r="E1405" s="178"/>
      <c r="F1405" s="178"/>
      <c r="G1405" s="180"/>
      <c r="H1405" s="180"/>
      <c r="I1405" s="178"/>
    </row>
    <row r="1406" spans="3:9" x14ac:dyDescent="0.2">
      <c r="C1406" s="178"/>
      <c r="D1406" s="178"/>
      <c r="E1406" s="178"/>
      <c r="F1406" s="178"/>
      <c r="G1406" s="180"/>
      <c r="H1406" s="180"/>
      <c r="I1406" s="178"/>
    </row>
    <row r="1407" spans="3:9" x14ac:dyDescent="0.2">
      <c r="C1407" s="178"/>
      <c r="D1407" s="178"/>
      <c r="E1407" s="178"/>
      <c r="F1407" s="178"/>
      <c r="G1407" s="180"/>
      <c r="H1407" s="180"/>
      <c r="I1407" s="178"/>
    </row>
    <row r="1408" spans="3:9" x14ac:dyDescent="0.2">
      <c r="C1408" s="178"/>
      <c r="D1408" s="178"/>
      <c r="E1408" s="178"/>
      <c r="F1408" s="178"/>
      <c r="G1408" s="180"/>
      <c r="H1408" s="180"/>
      <c r="I1408" s="178"/>
    </row>
    <row r="1409" spans="3:9" x14ac:dyDescent="0.2">
      <c r="C1409" s="178"/>
      <c r="D1409" s="178"/>
      <c r="E1409" s="178"/>
      <c r="F1409" s="178"/>
      <c r="G1409" s="180"/>
      <c r="H1409" s="180"/>
      <c r="I1409" s="178"/>
    </row>
    <row r="1410" spans="3:9" x14ac:dyDescent="0.2">
      <c r="C1410" s="178"/>
      <c r="D1410" s="178"/>
      <c r="E1410" s="178"/>
      <c r="F1410" s="178"/>
      <c r="G1410" s="180"/>
      <c r="H1410" s="180"/>
      <c r="I1410" s="178"/>
    </row>
    <row r="1411" spans="3:9" x14ac:dyDescent="0.2">
      <c r="C1411" s="178"/>
      <c r="D1411" s="178"/>
      <c r="E1411" s="178"/>
      <c r="F1411" s="178"/>
      <c r="G1411" s="180"/>
      <c r="H1411" s="180"/>
      <c r="I1411" s="178"/>
    </row>
    <row r="1412" spans="3:9" x14ac:dyDescent="0.2">
      <c r="C1412" s="178"/>
      <c r="D1412" s="178"/>
      <c r="E1412" s="178"/>
      <c r="F1412" s="178"/>
      <c r="G1412" s="180"/>
      <c r="H1412" s="180"/>
      <c r="I1412" s="178"/>
    </row>
    <row r="1413" spans="3:9" x14ac:dyDescent="0.2">
      <c r="C1413" s="178"/>
      <c r="D1413" s="178"/>
      <c r="E1413" s="178"/>
      <c r="F1413" s="178"/>
      <c r="G1413" s="180"/>
      <c r="H1413" s="180"/>
      <c r="I1413" s="178"/>
    </row>
    <row r="1414" spans="3:9" x14ac:dyDescent="0.2">
      <c r="C1414" s="178"/>
      <c r="D1414" s="178"/>
      <c r="E1414" s="178"/>
      <c r="F1414" s="178"/>
      <c r="G1414" s="180"/>
      <c r="H1414" s="180"/>
      <c r="I1414" s="178"/>
    </row>
    <row r="1415" spans="3:9" x14ac:dyDescent="0.2">
      <c r="C1415" s="178"/>
      <c r="D1415" s="178"/>
      <c r="E1415" s="178"/>
      <c r="F1415" s="178"/>
      <c r="G1415" s="180"/>
      <c r="H1415" s="180"/>
      <c r="I1415" s="178"/>
    </row>
    <row r="1416" spans="3:9" x14ac:dyDescent="0.2">
      <c r="C1416" s="178"/>
      <c r="D1416" s="178"/>
      <c r="E1416" s="178"/>
      <c r="F1416" s="178"/>
      <c r="G1416" s="180"/>
      <c r="H1416" s="180"/>
      <c r="I1416" s="178"/>
    </row>
    <row r="1417" spans="3:9" x14ac:dyDescent="0.2">
      <c r="C1417" s="178"/>
      <c r="D1417" s="178"/>
      <c r="E1417" s="178"/>
      <c r="F1417" s="178"/>
      <c r="G1417" s="180"/>
      <c r="H1417" s="180"/>
      <c r="I1417" s="178"/>
    </row>
    <row r="1418" spans="3:9" x14ac:dyDescent="0.2">
      <c r="C1418" s="178"/>
      <c r="D1418" s="178"/>
      <c r="E1418" s="178"/>
      <c r="F1418" s="178"/>
      <c r="G1418" s="180"/>
      <c r="H1418" s="180"/>
      <c r="I1418" s="178"/>
    </row>
    <row r="1419" spans="3:9" x14ac:dyDescent="0.2">
      <c r="C1419" s="178"/>
      <c r="D1419" s="178"/>
      <c r="E1419" s="178"/>
      <c r="F1419" s="178"/>
      <c r="G1419" s="180"/>
      <c r="H1419" s="180"/>
      <c r="I1419" s="178"/>
    </row>
    <row r="1420" spans="3:9" x14ac:dyDescent="0.2">
      <c r="C1420" s="178"/>
      <c r="D1420" s="178"/>
      <c r="E1420" s="178"/>
      <c r="F1420" s="178"/>
      <c r="G1420" s="180"/>
      <c r="H1420" s="180"/>
      <c r="I1420" s="178"/>
    </row>
    <row r="1421" spans="3:9" x14ac:dyDescent="0.2">
      <c r="C1421" s="178"/>
      <c r="D1421" s="178"/>
      <c r="E1421" s="178"/>
      <c r="F1421" s="178"/>
      <c r="G1421" s="180"/>
      <c r="H1421" s="180"/>
      <c r="I1421" s="178"/>
    </row>
    <row r="1422" spans="3:9" x14ac:dyDescent="0.2">
      <c r="C1422" s="178"/>
      <c r="D1422" s="178"/>
      <c r="E1422" s="178"/>
      <c r="F1422" s="178"/>
      <c r="G1422" s="180"/>
      <c r="H1422" s="180"/>
      <c r="I1422" s="178"/>
    </row>
    <row r="1423" spans="3:9" x14ac:dyDescent="0.2">
      <c r="C1423" s="178"/>
      <c r="D1423" s="178"/>
      <c r="E1423" s="178"/>
      <c r="F1423" s="178"/>
      <c r="G1423" s="180"/>
      <c r="H1423" s="180"/>
      <c r="I1423" s="178"/>
    </row>
    <row r="1424" spans="3:9" x14ac:dyDescent="0.2">
      <c r="C1424" s="178"/>
      <c r="D1424" s="178"/>
      <c r="E1424" s="178"/>
      <c r="F1424" s="178"/>
      <c r="G1424" s="180"/>
      <c r="H1424" s="180"/>
      <c r="I1424" s="178"/>
    </row>
    <row r="1425" spans="3:9" x14ac:dyDescent="0.2">
      <c r="C1425" s="178"/>
      <c r="D1425" s="178"/>
      <c r="E1425" s="178"/>
      <c r="F1425" s="178"/>
      <c r="G1425" s="180"/>
      <c r="H1425" s="180"/>
      <c r="I1425" s="178"/>
    </row>
    <row r="1426" spans="3:9" x14ac:dyDescent="0.2">
      <c r="C1426" s="178"/>
      <c r="D1426" s="178"/>
      <c r="E1426" s="178"/>
      <c r="F1426" s="178"/>
      <c r="G1426" s="180"/>
      <c r="H1426" s="180"/>
      <c r="I1426" s="178"/>
    </row>
    <row r="1427" spans="3:9" x14ac:dyDescent="0.2">
      <c r="C1427" s="178"/>
      <c r="D1427" s="178"/>
      <c r="E1427" s="178"/>
      <c r="F1427" s="178"/>
      <c r="G1427" s="180"/>
      <c r="H1427" s="180"/>
      <c r="I1427" s="178"/>
    </row>
    <row r="1428" spans="3:9" x14ac:dyDescent="0.2">
      <c r="C1428" s="178"/>
      <c r="D1428" s="178"/>
      <c r="E1428" s="178"/>
      <c r="F1428" s="178"/>
      <c r="G1428" s="180"/>
      <c r="H1428" s="180"/>
      <c r="I1428" s="178"/>
    </row>
    <row r="1429" spans="3:9" x14ac:dyDescent="0.2">
      <c r="C1429" s="178"/>
      <c r="D1429" s="178"/>
      <c r="E1429" s="178"/>
      <c r="F1429" s="178"/>
      <c r="G1429" s="180"/>
      <c r="H1429" s="180"/>
      <c r="I1429" s="178"/>
    </row>
    <row r="1430" spans="3:9" x14ac:dyDescent="0.2">
      <c r="C1430" s="178"/>
      <c r="D1430" s="178"/>
      <c r="E1430" s="178"/>
      <c r="F1430" s="178"/>
      <c r="G1430" s="180"/>
      <c r="H1430" s="180"/>
      <c r="I1430" s="178"/>
    </row>
    <row r="1431" spans="3:9" x14ac:dyDescent="0.2">
      <c r="C1431" s="178"/>
      <c r="D1431" s="178"/>
      <c r="E1431" s="178"/>
      <c r="F1431" s="178"/>
      <c r="G1431" s="180"/>
      <c r="H1431" s="180"/>
      <c r="I1431" s="178"/>
    </row>
    <row r="1432" spans="3:9" x14ac:dyDescent="0.2">
      <c r="C1432" s="178"/>
      <c r="D1432" s="178"/>
      <c r="E1432" s="178"/>
      <c r="F1432" s="178"/>
      <c r="G1432" s="180"/>
      <c r="H1432" s="180"/>
      <c r="I1432" s="178"/>
    </row>
    <row r="1433" spans="3:9" x14ac:dyDescent="0.2">
      <c r="C1433" s="178"/>
      <c r="D1433" s="178"/>
      <c r="E1433" s="178"/>
      <c r="F1433" s="178"/>
      <c r="G1433" s="180"/>
      <c r="H1433" s="180"/>
      <c r="I1433" s="178"/>
    </row>
    <row r="1434" spans="3:9" x14ac:dyDescent="0.2">
      <c r="C1434" s="178"/>
      <c r="D1434" s="178"/>
      <c r="E1434" s="178"/>
      <c r="F1434" s="178"/>
      <c r="G1434" s="180"/>
      <c r="H1434" s="180"/>
      <c r="I1434" s="178"/>
    </row>
    <row r="1435" spans="3:9" x14ac:dyDescent="0.2">
      <c r="C1435" s="178"/>
      <c r="D1435" s="178"/>
      <c r="E1435" s="178"/>
      <c r="F1435" s="178"/>
      <c r="G1435" s="180"/>
      <c r="H1435" s="180"/>
      <c r="I1435" s="178"/>
    </row>
    <row r="1436" spans="3:9" x14ac:dyDescent="0.2">
      <c r="C1436" s="178"/>
      <c r="D1436" s="178"/>
      <c r="E1436" s="178"/>
      <c r="F1436" s="178"/>
      <c r="G1436" s="180"/>
      <c r="H1436" s="180"/>
      <c r="I1436" s="178"/>
    </row>
    <row r="1437" spans="3:9" x14ac:dyDescent="0.2">
      <c r="C1437" s="178"/>
      <c r="D1437" s="178"/>
      <c r="E1437" s="178"/>
      <c r="F1437" s="178"/>
      <c r="G1437" s="180"/>
      <c r="H1437" s="180"/>
      <c r="I1437" s="178"/>
    </row>
    <row r="1438" spans="3:9" x14ac:dyDescent="0.2">
      <c r="C1438" s="178"/>
      <c r="D1438" s="178"/>
      <c r="E1438" s="178"/>
      <c r="F1438" s="178"/>
      <c r="G1438" s="180"/>
      <c r="H1438" s="180"/>
      <c r="I1438" s="178"/>
    </row>
    <row r="1439" spans="3:9" x14ac:dyDescent="0.2">
      <c r="C1439" s="178"/>
      <c r="D1439" s="178"/>
      <c r="E1439" s="178"/>
      <c r="F1439" s="178"/>
      <c r="G1439" s="180"/>
      <c r="H1439" s="180"/>
      <c r="I1439" s="178"/>
    </row>
    <row r="1440" spans="3:9" x14ac:dyDescent="0.2">
      <c r="C1440" s="178"/>
      <c r="D1440" s="178"/>
      <c r="E1440" s="178"/>
      <c r="F1440" s="178"/>
      <c r="G1440" s="180"/>
      <c r="H1440" s="180"/>
      <c r="I1440" s="178"/>
    </row>
    <row r="1441" spans="3:9" x14ac:dyDescent="0.2">
      <c r="C1441" s="178"/>
      <c r="D1441" s="178"/>
      <c r="E1441" s="178"/>
      <c r="F1441" s="178"/>
      <c r="G1441" s="180"/>
      <c r="H1441" s="180"/>
      <c r="I1441" s="178"/>
    </row>
    <row r="1442" spans="3:9" x14ac:dyDescent="0.2">
      <c r="C1442" s="178"/>
      <c r="D1442" s="178"/>
      <c r="E1442" s="178"/>
      <c r="F1442" s="178"/>
      <c r="G1442" s="180"/>
      <c r="H1442" s="180"/>
      <c r="I1442" s="178"/>
    </row>
    <row r="1443" spans="3:9" x14ac:dyDescent="0.2">
      <c r="C1443" s="178"/>
      <c r="D1443" s="178"/>
      <c r="E1443" s="178"/>
      <c r="F1443" s="178"/>
      <c r="G1443" s="180"/>
      <c r="H1443" s="180"/>
      <c r="I1443" s="178"/>
    </row>
    <row r="1444" spans="3:9" x14ac:dyDescent="0.2">
      <c r="C1444" s="178"/>
      <c r="D1444" s="178"/>
      <c r="E1444" s="178"/>
      <c r="F1444" s="178"/>
      <c r="G1444" s="180"/>
      <c r="H1444" s="180"/>
      <c r="I1444" s="178"/>
    </row>
    <row r="1445" spans="3:9" x14ac:dyDescent="0.2">
      <c r="C1445" s="178"/>
      <c r="D1445" s="178"/>
      <c r="E1445" s="178"/>
      <c r="F1445" s="178"/>
      <c r="G1445" s="180"/>
      <c r="H1445" s="180"/>
      <c r="I1445" s="178"/>
    </row>
    <row r="1446" spans="3:9" x14ac:dyDescent="0.2">
      <c r="C1446" s="178"/>
      <c r="D1446" s="178"/>
      <c r="E1446" s="178"/>
      <c r="F1446" s="178"/>
      <c r="G1446" s="180"/>
      <c r="H1446" s="180"/>
      <c r="I1446" s="178"/>
    </row>
    <row r="1447" spans="3:9" x14ac:dyDescent="0.2">
      <c r="C1447" s="178"/>
      <c r="D1447" s="178"/>
      <c r="E1447" s="178"/>
      <c r="F1447" s="178"/>
      <c r="G1447" s="180"/>
      <c r="H1447" s="180"/>
      <c r="I1447" s="178"/>
    </row>
    <row r="1448" spans="3:9" x14ac:dyDescent="0.2">
      <c r="C1448" s="178"/>
      <c r="D1448" s="178"/>
      <c r="E1448" s="178"/>
      <c r="F1448" s="178"/>
      <c r="G1448" s="180"/>
      <c r="H1448" s="180"/>
      <c r="I1448" s="178"/>
    </row>
    <row r="1449" spans="3:9" x14ac:dyDescent="0.2">
      <c r="C1449" s="178"/>
      <c r="D1449" s="178"/>
      <c r="E1449" s="178"/>
      <c r="F1449" s="178"/>
      <c r="G1449" s="180"/>
      <c r="H1449" s="180"/>
      <c r="I1449" s="178"/>
    </row>
    <row r="1450" spans="3:9" x14ac:dyDescent="0.2">
      <c r="C1450" s="178"/>
      <c r="D1450" s="178"/>
      <c r="E1450" s="178"/>
      <c r="F1450" s="178"/>
      <c r="G1450" s="180"/>
      <c r="H1450" s="180"/>
      <c r="I1450" s="178"/>
    </row>
    <row r="1451" spans="3:9" x14ac:dyDescent="0.2">
      <c r="C1451" s="178"/>
      <c r="D1451" s="178"/>
      <c r="E1451" s="178"/>
      <c r="F1451" s="178"/>
      <c r="G1451" s="180"/>
      <c r="H1451" s="180"/>
      <c r="I1451" s="178"/>
    </row>
    <row r="1452" spans="3:9" x14ac:dyDescent="0.2">
      <c r="C1452" s="178"/>
      <c r="D1452" s="178"/>
      <c r="E1452" s="178"/>
      <c r="F1452" s="178"/>
      <c r="G1452" s="180"/>
      <c r="H1452" s="180"/>
      <c r="I1452" s="178"/>
    </row>
    <row r="1453" spans="3:9" x14ac:dyDescent="0.2">
      <c r="C1453" s="178"/>
      <c r="D1453" s="178"/>
      <c r="E1453" s="178"/>
      <c r="F1453" s="178"/>
      <c r="G1453" s="180"/>
      <c r="H1453" s="180"/>
      <c r="I1453" s="178"/>
    </row>
    <row r="1454" spans="3:9" x14ac:dyDescent="0.2">
      <c r="C1454" s="178"/>
      <c r="D1454" s="178"/>
      <c r="E1454" s="178"/>
      <c r="F1454" s="178"/>
      <c r="G1454" s="180"/>
      <c r="H1454" s="180"/>
      <c r="I1454" s="178"/>
    </row>
    <row r="1455" spans="3:9" x14ac:dyDescent="0.2">
      <c r="C1455" s="178"/>
      <c r="D1455" s="178"/>
      <c r="E1455" s="178"/>
      <c r="F1455" s="178"/>
      <c r="G1455" s="180"/>
      <c r="H1455" s="180"/>
      <c r="I1455" s="178"/>
    </row>
    <row r="1456" spans="3:9" x14ac:dyDescent="0.2">
      <c r="C1456" s="178"/>
      <c r="D1456" s="178"/>
      <c r="E1456" s="178"/>
      <c r="F1456" s="178"/>
      <c r="G1456" s="180"/>
      <c r="H1456" s="180"/>
      <c r="I1456" s="178"/>
    </row>
    <row r="1457" spans="3:9" x14ac:dyDescent="0.2">
      <c r="C1457" s="178"/>
      <c r="D1457" s="178"/>
      <c r="E1457" s="178"/>
      <c r="F1457" s="178"/>
      <c r="G1457" s="180"/>
      <c r="H1457" s="180"/>
      <c r="I1457" s="178"/>
    </row>
    <row r="1458" spans="3:9" x14ac:dyDescent="0.2">
      <c r="C1458" s="178"/>
      <c r="D1458" s="178"/>
      <c r="E1458" s="178"/>
      <c r="F1458" s="178"/>
      <c r="G1458" s="180"/>
      <c r="H1458" s="180"/>
      <c r="I1458" s="178"/>
    </row>
    <row r="1459" spans="3:9" x14ac:dyDescent="0.2">
      <c r="C1459" s="178"/>
      <c r="D1459" s="178"/>
      <c r="E1459" s="178"/>
      <c r="F1459" s="178"/>
      <c r="G1459" s="180"/>
      <c r="H1459" s="180"/>
      <c r="I1459" s="178"/>
    </row>
    <row r="1460" spans="3:9" x14ac:dyDescent="0.2">
      <c r="C1460" s="178"/>
      <c r="D1460" s="178"/>
      <c r="E1460" s="178"/>
      <c r="F1460" s="178"/>
      <c r="G1460" s="180"/>
      <c r="H1460" s="180"/>
      <c r="I1460" s="178"/>
    </row>
    <row r="1461" spans="3:9" x14ac:dyDescent="0.2">
      <c r="C1461" s="178"/>
      <c r="D1461" s="178"/>
      <c r="E1461" s="178"/>
      <c r="F1461" s="178"/>
      <c r="G1461" s="180"/>
      <c r="H1461" s="180"/>
      <c r="I1461" s="178"/>
    </row>
    <row r="1462" spans="3:9" x14ac:dyDescent="0.2">
      <c r="C1462" s="178"/>
      <c r="D1462" s="178"/>
      <c r="E1462" s="178"/>
      <c r="F1462" s="178"/>
      <c r="G1462" s="180"/>
      <c r="H1462" s="180"/>
      <c r="I1462" s="178"/>
    </row>
    <row r="1463" spans="3:9" x14ac:dyDescent="0.2">
      <c r="C1463" s="178"/>
      <c r="D1463" s="178"/>
      <c r="E1463" s="178"/>
      <c r="F1463" s="178"/>
      <c r="G1463" s="180"/>
      <c r="H1463" s="180"/>
      <c r="I1463" s="178"/>
    </row>
    <row r="1464" spans="3:9" x14ac:dyDescent="0.2">
      <c r="C1464" s="178"/>
      <c r="D1464" s="178"/>
      <c r="E1464" s="178"/>
      <c r="F1464" s="178"/>
      <c r="G1464" s="180"/>
      <c r="H1464" s="180"/>
      <c r="I1464" s="178"/>
    </row>
    <row r="1465" spans="3:9" x14ac:dyDescent="0.2">
      <c r="C1465" s="178"/>
      <c r="D1465" s="178"/>
      <c r="E1465" s="178"/>
      <c r="F1465" s="178"/>
      <c r="G1465" s="180"/>
      <c r="H1465" s="180"/>
      <c r="I1465" s="178"/>
    </row>
    <row r="1466" spans="3:9" x14ac:dyDescent="0.2">
      <c r="C1466" s="178"/>
      <c r="D1466" s="178"/>
      <c r="E1466" s="178"/>
      <c r="F1466" s="178"/>
      <c r="G1466" s="180"/>
      <c r="H1466" s="180"/>
      <c r="I1466" s="178"/>
    </row>
    <row r="1467" spans="3:9" x14ac:dyDescent="0.2">
      <c r="C1467" s="178"/>
      <c r="D1467" s="178"/>
      <c r="E1467" s="178"/>
      <c r="F1467" s="178"/>
      <c r="G1467" s="180"/>
      <c r="H1467" s="180"/>
      <c r="I1467" s="178"/>
    </row>
    <row r="1468" spans="3:9" x14ac:dyDescent="0.2">
      <c r="C1468" s="178"/>
      <c r="D1468" s="178"/>
      <c r="E1468" s="178"/>
      <c r="F1468" s="178"/>
      <c r="G1468" s="180"/>
      <c r="H1468" s="180"/>
      <c r="I1468" s="178"/>
    </row>
    <row r="1469" spans="3:9" x14ac:dyDescent="0.2">
      <c r="C1469" s="178"/>
      <c r="D1469" s="178"/>
      <c r="E1469" s="178"/>
      <c r="F1469" s="178"/>
      <c r="G1469" s="180"/>
      <c r="H1469" s="180"/>
      <c r="I1469" s="178"/>
    </row>
    <row r="1470" spans="3:9" x14ac:dyDescent="0.2">
      <c r="C1470" s="178"/>
      <c r="D1470" s="178"/>
      <c r="E1470" s="178"/>
      <c r="F1470" s="178"/>
      <c r="G1470" s="180"/>
      <c r="H1470" s="180"/>
      <c r="I1470" s="178"/>
    </row>
    <row r="1471" spans="3:9" x14ac:dyDescent="0.2">
      <c r="C1471" s="178"/>
      <c r="D1471" s="178"/>
      <c r="E1471" s="178"/>
      <c r="F1471" s="178"/>
      <c r="G1471" s="180"/>
      <c r="H1471" s="180"/>
      <c r="I1471" s="178"/>
    </row>
    <row r="1472" spans="3:9" x14ac:dyDescent="0.2">
      <c r="C1472" s="178"/>
      <c r="D1472" s="178"/>
      <c r="E1472" s="178"/>
      <c r="F1472" s="178"/>
      <c r="G1472" s="180"/>
      <c r="H1472" s="180"/>
      <c r="I1472" s="178"/>
    </row>
    <row r="1473" spans="3:9" x14ac:dyDescent="0.2">
      <c r="C1473" s="178"/>
      <c r="D1473" s="178"/>
      <c r="E1473" s="178"/>
      <c r="F1473" s="178"/>
      <c r="G1473" s="180"/>
      <c r="H1473" s="180"/>
      <c r="I1473" s="178"/>
    </row>
    <row r="1474" spans="3:9" x14ac:dyDescent="0.2">
      <c r="C1474" s="178"/>
      <c r="D1474" s="178"/>
      <c r="E1474" s="178"/>
      <c r="F1474" s="178"/>
      <c r="G1474" s="180"/>
      <c r="H1474" s="180"/>
      <c r="I1474" s="178"/>
    </row>
    <row r="1475" spans="3:9" x14ac:dyDescent="0.2">
      <c r="C1475" s="178"/>
      <c r="D1475" s="178"/>
      <c r="E1475" s="178"/>
      <c r="F1475" s="178"/>
      <c r="G1475" s="180"/>
      <c r="H1475" s="180"/>
      <c r="I1475" s="178"/>
    </row>
    <row r="1476" spans="3:9" x14ac:dyDescent="0.2">
      <c r="C1476" s="178"/>
      <c r="D1476" s="178"/>
      <c r="E1476" s="178"/>
      <c r="F1476" s="178"/>
      <c r="G1476" s="180"/>
      <c r="H1476" s="180"/>
      <c r="I1476" s="178"/>
    </row>
    <row r="1477" spans="3:9" x14ac:dyDescent="0.2">
      <c r="C1477" s="178"/>
      <c r="D1477" s="178"/>
      <c r="E1477" s="178"/>
      <c r="F1477" s="178"/>
      <c r="G1477" s="180"/>
      <c r="H1477" s="180"/>
      <c r="I1477" s="178"/>
    </row>
    <row r="1478" spans="3:9" x14ac:dyDescent="0.2">
      <c r="C1478" s="178"/>
      <c r="D1478" s="178"/>
      <c r="E1478" s="178"/>
      <c r="F1478" s="178"/>
      <c r="G1478" s="180"/>
      <c r="H1478" s="180"/>
      <c r="I1478" s="178"/>
    </row>
    <row r="1479" spans="3:9" x14ac:dyDescent="0.2">
      <c r="C1479" s="178"/>
      <c r="D1479" s="178"/>
      <c r="E1479" s="178"/>
      <c r="F1479" s="178"/>
      <c r="G1479" s="180"/>
      <c r="H1479" s="180"/>
      <c r="I1479" s="178"/>
    </row>
    <row r="1480" spans="3:9" x14ac:dyDescent="0.2">
      <c r="C1480" s="178"/>
      <c r="D1480" s="178"/>
      <c r="E1480" s="178"/>
      <c r="F1480" s="178"/>
      <c r="G1480" s="180"/>
      <c r="H1480" s="180"/>
      <c r="I1480" s="178"/>
    </row>
    <row r="1481" spans="3:9" x14ac:dyDescent="0.2">
      <c r="C1481" s="178"/>
      <c r="D1481" s="178"/>
      <c r="E1481" s="178"/>
      <c r="F1481" s="178"/>
      <c r="G1481" s="180"/>
      <c r="H1481" s="180"/>
      <c r="I1481" s="178"/>
    </row>
    <row r="1482" spans="3:9" x14ac:dyDescent="0.2">
      <c r="C1482" s="178"/>
      <c r="D1482" s="178"/>
      <c r="E1482" s="178"/>
      <c r="F1482" s="178"/>
      <c r="G1482" s="180"/>
      <c r="H1482" s="180"/>
      <c r="I1482" s="178"/>
    </row>
    <row r="1483" spans="3:9" x14ac:dyDescent="0.2">
      <c r="C1483" s="178"/>
      <c r="D1483" s="178"/>
      <c r="E1483" s="178"/>
      <c r="F1483" s="178"/>
      <c r="G1483" s="180"/>
      <c r="H1483" s="180"/>
      <c r="I1483" s="178"/>
    </row>
    <row r="1484" spans="3:9" x14ac:dyDescent="0.2">
      <c r="C1484" s="178"/>
      <c r="D1484" s="178"/>
      <c r="E1484" s="178"/>
      <c r="F1484" s="178"/>
      <c r="G1484" s="180"/>
      <c r="H1484" s="180"/>
      <c r="I1484" s="178"/>
    </row>
    <row r="1485" spans="3:9" x14ac:dyDescent="0.2">
      <c r="C1485" s="178"/>
      <c r="D1485" s="178"/>
      <c r="E1485" s="178"/>
      <c r="F1485" s="178"/>
      <c r="G1485" s="180"/>
      <c r="H1485" s="180"/>
      <c r="I1485" s="178"/>
    </row>
    <row r="1486" spans="3:9" x14ac:dyDescent="0.2">
      <c r="C1486" s="178"/>
      <c r="D1486" s="178"/>
      <c r="E1486" s="178"/>
      <c r="F1486" s="178"/>
      <c r="G1486" s="180"/>
      <c r="H1486" s="180"/>
      <c r="I1486" s="178"/>
    </row>
    <row r="1487" spans="3:9" x14ac:dyDescent="0.2">
      <c r="C1487" s="178"/>
      <c r="D1487" s="178"/>
      <c r="E1487" s="178"/>
      <c r="F1487" s="178"/>
      <c r="G1487" s="180"/>
      <c r="H1487" s="180"/>
      <c r="I1487" s="178"/>
    </row>
    <row r="1488" spans="3:9" x14ac:dyDescent="0.2">
      <c r="C1488" s="178"/>
      <c r="D1488" s="178"/>
      <c r="E1488" s="178"/>
      <c r="F1488" s="178"/>
      <c r="G1488" s="180"/>
      <c r="H1488" s="180"/>
      <c r="I1488" s="178"/>
    </row>
    <row r="1489" spans="3:9" x14ac:dyDescent="0.2">
      <c r="C1489" s="178"/>
      <c r="D1489" s="178"/>
      <c r="E1489" s="178"/>
      <c r="F1489" s="178"/>
      <c r="G1489" s="180"/>
      <c r="H1489" s="180"/>
      <c r="I1489" s="178"/>
    </row>
    <row r="1490" spans="3:9" x14ac:dyDescent="0.2">
      <c r="C1490" s="178"/>
      <c r="D1490" s="178"/>
      <c r="E1490" s="178"/>
      <c r="F1490" s="178"/>
      <c r="G1490" s="180"/>
      <c r="H1490" s="180"/>
      <c r="I1490" s="178"/>
    </row>
    <row r="1491" spans="3:9" x14ac:dyDescent="0.2">
      <c r="C1491" s="178"/>
      <c r="D1491" s="178"/>
      <c r="E1491" s="178"/>
      <c r="F1491" s="178"/>
      <c r="G1491" s="180"/>
      <c r="H1491" s="180"/>
      <c r="I1491" s="178"/>
    </row>
    <row r="1492" spans="3:9" x14ac:dyDescent="0.2">
      <c r="C1492" s="178"/>
      <c r="D1492" s="178"/>
      <c r="E1492" s="178"/>
      <c r="F1492" s="178"/>
      <c r="G1492" s="180"/>
      <c r="H1492" s="180"/>
      <c r="I1492" s="178"/>
    </row>
    <row r="1493" spans="3:9" x14ac:dyDescent="0.2">
      <c r="C1493" s="178"/>
      <c r="D1493" s="178"/>
      <c r="E1493" s="178"/>
      <c r="F1493" s="178"/>
      <c r="G1493" s="180"/>
      <c r="H1493" s="180"/>
      <c r="I1493" s="178"/>
    </row>
    <row r="1494" spans="3:9" x14ac:dyDescent="0.2">
      <c r="C1494" s="178"/>
      <c r="D1494" s="178"/>
      <c r="E1494" s="178"/>
      <c r="F1494" s="178"/>
      <c r="G1494" s="180"/>
      <c r="H1494" s="180"/>
      <c r="I1494" s="178"/>
    </row>
    <row r="1495" spans="3:9" x14ac:dyDescent="0.2">
      <c r="C1495" s="178"/>
      <c r="D1495" s="178"/>
      <c r="E1495" s="178"/>
      <c r="F1495" s="178"/>
      <c r="G1495" s="180"/>
      <c r="H1495" s="180"/>
      <c r="I1495" s="178"/>
    </row>
    <row r="1496" spans="3:9" x14ac:dyDescent="0.2">
      <c r="C1496" s="178"/>
      <c r="D1496" s="178"/>
      <c r="E1496" s="178"/>
      <c r="F1496" s="178"/>
      <c r="G1496" s="180"/>
      <c r="H1496" s="180"/>
      <c r="I1496" s="178"/>
    </row>
    <row r="1497" spans="3:9" x14ac:dyDescent="0.2">
      <c r="C1497" s="178"/>
      <c r="D1497" s="178"/>
      <c r="E1497" s="178"/>
      <c r="F1497" s="178"/>
      <c r="G1497" s="180"/>
      <c r="H1497" s="180"/>
      <c r="I1497" s="178"/>
    </row>
    <row r="1498" spans="3:9" x14ac:dyDescent="0.2">
      <c r="C1498" s="178"/>
      <c r="D1498" s="178"/>
      <c r="E1498" s="178"/>
      <c r="F1498" s="178"/>
      <c r="G1498" s="180"/>
      <c r="H1498" s="180"/>
      <c r="I1498" s="178"/>
    </row>
    <row r="1499" spans="3:9" x14ac:dyDescent="0.2">
      <c r="C1499" s="178"/>
      <c r="D1499" s="178"/>
      <c r="E1499" s="178"/>
      <c r="F1499" s="178"/>
      <c r="G1499" s="180"/>
      <c r="H1499" s="180"/>
      <c r="I1499" s="178"/>
    </row>
    <row r="1500" spans="3:9" x14ac:dyDescent="0.2">
      <c r="C1500" s="178"/>
      <c r="D1500" s="178"/>
      <c r="E1500" s="178"/>
      <c r="F1500" s="178"/>
      <c r="G1500" s="180"/>
      <c r="H1500" s="180"/>
      <c r="I1500" s="178"/>
    </row>
    <row r="1501" spans="3:9" x14ac:dyDescent="0.2">
      <c r="C1501" s="178"/>
      <c r="D1501" s="178"/>
      <c r="E1501" s="178"/>
      <c r="F1501" s="178"/>
      <c r="G1501" s="180"/>
      <c r="H1501" s="180"/>
      <c r="I1501" s="178"/>
    </row>
    <row r="1502" spans="3:9" x14ac:dyDescent="0.2">
      <c r="C1502" s="178"/>
      <c r="D1502" s="178"/>
      <c r="E1502" s="178"/>
      <c r="F1502" s="178"/>
      <c r="G1502" s="180"/>
      <c r="H1502" s="180"/>
      <c r="I1502" s="178"/>
    </row>
    <row r="1503" spans="3:9" x14ac:dyDescent="0.2">
      <c r="C1503" s="178"/>
      <c r="D1503" s="178"/>
      <c r="E1503" s="178"/>
      <c r="F1503" s="178"/>
      <c r="G1503" s="180"/>
      <c r="H1503" s="180"/>
      <c r="I1503" s="178"/>
    </row>
    <row r="1504" spans="3:9" x14ac:dyDescent="0.2">
      <c r="C1504" s="178"/>
      <c r="D1504" s="178"/>
      <c r="E1504" s="178"/>
      <c r="F1504" s="178"/>
      <c r="G1504" s="180"/>
      <c r="H1504" s="180"/>
      <c r="I1504" s="178"/>
    </row>
    <row r="1505" spans="3:9" x14ac:dyDescent="0.2">
      <c r="C1505" s="178"/>
      <c r="D1505" s="178"/>
      <c r="E1505" s="178"/>
      <c r="F1505" s="178"/>
      <c r="G1505" s="180"/>
      <c r="H1505" s="180"/>
      <c r="I1505" s="178"/>
    </row>
    <row r="1506" spans="3:9" x14ac:dyDescent="0.2">
      <c r="C1506" s="178"/>
      <c r="D1506" s="178"/>
      <c r="E1506" s="178"/>
      <c r="F1506" s="178"/>
      <c r="G1506" s="180"/>
      <c r="H1506" s="180"/>
      <c r="I1506" s="178"/>
    </row>
    <row r="1507" spans="3:9" x14ac:dyDescent="0.2">
      <c r="C1507" s="178"/>
      <c r="D1507" s="178"/>
      <c r="E1507" s="178"/>
      <c r="F1507" s="178"/>
      <c r="G1507" s="180"/>
      <c r="H1507" s="180"/>
      <c r="I1507" s="178"/>
    </row>
    <row r="1508" spans="3:9" x14ac:dyDescent="0.2">
      <c r="C1508" s="178"/>
      <c r="D1508" s="178"/>
      <c r="E1508" s="178"/>
      <c r="F1508" s="178"/>
      <c r="G1508" s="180"/>
      <c r="H1508" s="180"/>
      <c r="I1508" s="178"/>
    </row>
    <row r="1509" spans="3:9" x14ac:dyDescent="0.2">
      <c r="C1509" s="178"/>
      <c r="D1509" s="178"/>
      <c r="E1509" s="178"/>
      <c r="F1509" s="178"/>
      <c r="G1509" s="180"/>
      <c r="H1509" s="180"/>
      <c r="I1509" s="178"/>
    </row>
    <row r="1510" spans="3:9" x14ac:dyDescent="0.2">
      <c r="C1510" s="178"/>
      <c r="D1510" s="178"/>
      <c r="E1510" s="178"/>
      <c r="F1510" s="178"/>
      <c r="G1510" s="180"/>
      <c r="H1510" s="180"/>
      <c r="I1510" s="178"/>
    </row>
    <row r="1511" spans="3:9" x14ac:dyDescent="0.2">
      <c r="C1511" s="178"/>
      <c r="D1511" s="178"/>
      <c r="E1511" s="178"/>
      <c r="F1511" s="178"/>
      <c r="G1511" s="180"/>
      <c r="H1511" s="180"/>
      <c r="I1511" s="178"/>
    </row>
    <row r="1512" spans="3:9" x14ac:dyDescent="0.2">
      <c r="C1512" s="178"/>
      <c r="D1512" s="178"/>
      <c r="E1512" s="178"/>
      <c r="F1512" s="178"/>
      <c r="G1512" s="180"/>
      <c r="H1512" s="180"/>
      <c r="I1512" s="178"/>
    </row>
    <row r="1513" spans="3:9" x14ac:dyDescent="0.2">
      <c r="C1513" s="178"/>
      <c r="D1513" s="178"/>
      <c r="E1513" s="178"/>
      <c r="F1513" s="178"/>
      <c r="G1513" s="180"/>
      <c r="H1513" s="180"/>
      <c r="I1513" s="178"/>
    </row>
    <row r="1514" spans="3:9" x14ac:dyDescent="0.2">
      <c r="C1514" s="178"/>
      <c r="D1514" s="178"/>
      <c r="E1514" s="178"/>
      <c r="F1514" s="178"/>
      <c r="G1514" s="180"/>
      <c r="H1514" s="180"/>
      <c r="I1514" s="178"/>
    </row>
    <row r="1515" spans="3:9" x14ac:dyDescent="0.2">
      <c r="C1515" s="178"/>
      <c r="D1515" s="178"/>
      <c r="E1515" s="178"/>
      <c r="F1515" s="178"/>
      <c r="G1515" s="180"/>
      <c r="H1515" s="180"/>
      <c r="I1515" s="178"/>
    </row>
    <row r="1516" spans="3:9" x14ac:dyDescent="0.2">
      <c r="C1516" s="178"/>
      <c r="D1516" s="178"/>
      <c r="E1516" s="178"/>
      <c r="F1516" s="178"/>
      <c r="G1516" s="180"/>
      <c r="H1516" s="180"/>
      <c r="I1516" s="178"/>
    </row>
    <row r="1517" spans="3:9" x14ac:dyDescent="0.2">
      <c r="C1517" s="178"/>
      <c r="D1517" s="178"/>
      <c r="E1517" s="178"/>
      <c r="F1517" s="178"/>
      <c r="G1517" s="180"/>
      <c r="H1517" s="180"/>
      <c r="I1517" s="178"/>
    </row>
    <row r="1518" spans="3:9" x14ac:dyDescent="0.2">
      <c r="C1518" s="178"/>
      <c r="D1518" s="178"/>
      <c r="E1518" s="178"/>
      <c r="F1518" s="178"/>
      <c r="G1518" s="180"/>
      <c r="H1518" s="180"/>
      <c r="I1518" s="178"/>
    </row>
    <row r="1519" spans="3:9" x14ac:dyDescent="0.2">
      <c r="C1519" s="178"/>
      <c r="D1519" s="178"/>
      <c r="E1519" s="178"/>
      <c r="F1519" s="178"/>
      <c r="G1519" s="180"/>
      <c r="H1519" s="180"/>
      <c r="I1519" s="178"/>
    </row>
    <row r="1520" spans="3:9" x14ac:dyDescent="0.2">
      <c r="C1520" s="178"/>
      <c r="D1520" s="178"/>
      <c r="E1520" s="178"/>
      <c r="F1520" s="178"/>
      <c r="G1520" s="180"/>
      <c r="H1520" s="180"/>
      <c r="I1520" s="178"/>
    </row>
    <row r="1521" spans="3:9" x14ac:dyDescent="0.2">
      <c r="C1521" s="178"/>
      <c r="D1521" s="178"/>
      <c r="E1521" s="178"/>
      <c r="F1521" s="178"/>
      <c r="G1521" s="180"/>
      <c r="H1521" s="180"/>
      <c r="I1521" s="178"/>
    </row>
    <row r="1522" spans="3:9" x14ac:dyDescent="0.2">
      <c r="C1522" s="178"/>
      <c r="D1522" s="178"/>
      <c r="E1522" s="178"/>
      <c r="F1522" s="178"/>
      <c r="G1522" s="180"/>
      <c r="H1522" s="180"/>
      <c r="I1522" s="178"/>
    </row>
    <row r="1523" spans="3:9" x14ac:dyDescent="0.2">
      <c r="C1523" s="178"/>
      <c r="D1523" s="178"/>
      <c r="E1523" s="178"/>
      <c r="F1523" s="178"/>
      <c r="G1523" s="180"/>
      <c r="H1523" s="180"/>
      <c r="I1523" s="178"/>
    </row>
    <row r="1524" spans="3:9" x14ac:dyDescent="0.2">
      <c r="C1524" s="178"/>
      <c r="D1524" s="178"/>
      <c r="E1524" s="178"/>
      <c r="F1524" s="178"/>
      <c r="G1524" s="180"/>
      <c r="H1524" s="180"/>
      <c r="I1524" s="178"/>
    </row>
    <row r="1525" spans="3:9" x14ac:dyDescent="0.2">
      <c r="C1525" s="178"/>
      <c r="D1525" s="178"/>
      <c r="E1525" s="178"/>
      <c r="F1525" s="178"/>
      <c r="G1525" s="180"/>
      <c r="H1525" s="180"/>
      <c r="I1525" s="178"/>
    </row>
    <row r="1526" spans="3:9" x14ac:dyDescent="0.2">
      <c r="C1526" s="178"/>
      <c r="D1526" s="178"/>
      <c r="E1526" s="178"/>
      <c r="F1526" s="178"/>
      <c r="G1526" s="180"/>
      <c r="H1526" s="180"/>
      <c r="I1526" s="178"/>
    </row>
    <row r="1527" spans="3:9" x14ac:dyDescent="0.2">
      <c r="C1527" s="178"/>
      <c r="D1527" s="178"/>
      <c r="E1527" s="178"/>
      <c r="F1527" s="178"/>
      <c r="G1527" s="180"/>
      <c r="H1527" s="180"/>
      <c r="I1527" s="178"/>
    </row>
    <row r="1528" spans="3:9" x14ac:dyDescent="0.2">
      <c r="C1528" s="178"/>
      <c r="D1528" s="178"/>
      <c r="E1528" s="178"/>
      <c r="F1528" s="178"/>
      <c r="G1528" s="180"/>
      <c r="H1528" s="180"/>
      <c r="I1528" s="178"/>
    </row>
    <row r="1529" spans="3:9" x14ac:dyDescent="0.2">
      <c r="C1529" s="178"/>
      <c r="D1529" s="178"/>
      <c r="E1529" s="178"/>
      <c r="F1529" s="178"/>
      <c r="G1529" s="180"/>
      <c r="H1529" s="180"/>
      <c r="I1529" s="178"/>
    </row>
    <row r="1530" spans="3:9" x14ac:dyDescent="0.2">
      <c r="C1530" s="178"/>
      <c r="D1530" s="178"/>
      <c r="E1530" s="178"/>
      <c r="F1530" s="178"/>
      <c r="G1530" s="180"/>
      <c r="H1530" s="180"/>
      <c r="I1530" s="178"/>
    </row>
    <row r="1531" spans="3:9" x14ac:dyDescent="0.2">
      <c r="C1531" s="178"/>
      <c r="D1531" s="178"/>
      <c r="E1531" s="178"/>
      <c r="F1531" s="178"/>
      <c r="G1531" s="180"/>
      <c r="H1531" s="180"/>
      <c r="I1531" s="178"/>
    </row>
    <row r="1532" spans="3:9" x14ac:dyDescent="0.2">
      <c r="C1532" s="178"/>
      <c r="D1532" s="178"/>
      <c r="E1532" s="178"/>
      <c r="F1532" s="178"/>
      <c r="G1532" s="180"/>
      <c r="H1532" s="180"/>
      <c r="I1532" s="178"/>
    </row>
    <row r="1533" spans="3:9" x14ac:dyDescent="0.2">
      <c r="C1533" s="178"/>
      <c r="D1533" s="178"/>
      <c r="E1533" s="178"/>
      <c r="F1533" s="178"/>
      <c r="G1533" s="180"/>
      <c r="H1533" s="180"/>
      <c r="I1533" s="178"/>
    </row>
    <row r="1534" spans="3:9" x14ac:dyDescent="0.2">
      <c r="C1534" s="178"/>
      <c r="D1534" s="178"/>
      <c r="E1534" s="178"/>
      <c r="F1534" s="178"/>
      <c r="G1534" s="180"/>
      <c r="H1534" s="180"/>
      <c r="I1534" s="178"/>
    </row>
    <row r="1535" spans="3:9" x14ac:dyDescent="0.2">
      <c r="C1535" s="178"/>
      <c r="D1535" s="178"/>
      <c r="E1535" s="178"/>
      <c r="F1535" s="178"/>
      <c r="G1535" s="180"/>
      <c r="H1535" s="180"/>
      <c r="I1535" s="178"/>
    </row>
    <row r="1536" spans="3:9" x14ac:dyDescent="0.2">
      <c r="C1536" s="178"/>
      <c r="D1536" s="178"/>
      <c r="E1536" s="178"/>
      <c r="F1536" s="178"/>
      <c r="G1536" s="180"/>
      <c r="H1536" s="180"/>
      <c r="I1536" s="178"/>
    </row>
    <row r="1537" spans="3:9" x14ac:dyDescent="0.2">
      <c r="C1537" s="178"/>
      <c r="D1537" s="178"/>
      <c r="E1537" s="178"/>
      <c r="F1537" s="178"/>
      <c r="G1537" s="180"/>
      <c r="H1537" s="180"/>
      <c r="I1537" s="178"/>
    </row>
    <row r="1538" spans="3:9" x14ac:dyDescent="0.2">
      <c r="C1538" s="178"/>
      <c r="D1538" s="178"/>
      <c r="E1538" s="178"/>
      <c r="F1538" s="178"/>
      <c r="G1538" s="180"/>
      <c r="H1538" s="180"/>
      <c r="I1538" s="178"/>
    </row>
    <row r="1539" spans="3:9" x14ac:dyDescent="0.2">
      <c r="C1539" s="178"/>
      <c r="D1539" s="178"/>
      <c r="E1539" s="178"/>
      <c r="F1539" s="178"/>
      <c r="G1539" s="180"/>
      <c r="H1539" s="180"/>
      <c r="I1539" s="178"/>
    </row>
    <row r="1540" spans="3:9" x14ac:dyDescent="0.2">
      <c r="C1540" s="178"/>
      <c r="D1540" s="178"/>
      <c r="E1540" s="178"/>
      <c r="F1540" s="178"/>
      <c r="G1540" s="180"/>
      <c r="H1540" s="180"/>
      <c r="I1540" s="178"/>
    </row>
    <row r="1541" spans="3:9" x14ac:dyDescent="0.2">
      <c r="C1541" s="178"/>
      <c r="D1541" s="178"/>
      <c r="E1541" s="178"/>
      <c r="F1541" s="178"/>
      <c r="G1541" s="180"/>
      <c r="H1541" s="180"/>
      <c r="I1541" s="178"/>
    </row>
    <row r="1542" spans="3:9" x14ac:dyDescent="0.2">
      <c r="C1542" s="178"/>
      <c r="D1542" s="178"/>
      <c r="E1542" s="178"/>
      <c r="F1542" s="178"/>
      <c r="G1542" s="180"/>
      <c r="H1542" s="180"/>
      <c r="I1542" s="178"/>
    </row>
    <row r="1543" spans="3:9" x14ac:dyDescent="0.2">
      <c r="C1543" s="178"/>
      <c r="D1543" s="178"/>
      <c r="E1543" s="178"/>
      <c r="F1543" s="178"/>
      <c r="G1543" s="180"/>
      <c r="H1543" s="180"/>
      <c r="I1543" s="178"/>
    </row>
    <row r="1544" spans="3:9" x14ac:dyDescent="0.2">
      <c r="C1544" s="178"/>
      <c r="D1544" s="178"/>
      <c r="E1544" s="178"/>
      <c r="F1544" s="178"/>
      <c r="G1544" s="180"/>
      <c r="H1544" s="180"/>
      <c r="I1544" s="178"/>
    </row>
    <row r="1545" spans="3:9" x14ac:dyDescent="0.2">
      <c r="C1545" s="178"/>
      <c r="D1545" s="178"/>
      <c r="E1545" s="178"/>
      <c r="F1545" s="178"/>
      <c r="G1545" s="180"/>
      <c r="H1545" s="180"/>
      <c r="I1545" s="178"/>
    </row>
    <row r="1546" spans="3:9" x14ac:dyDescent="0.2">
      <c r="C1546" s="178"/>
      <c r="D1546" s="178"/>
      <c r="E1546" s="178"/>
      <c r="F1546" s="178"/>
      <c r="G1546" s="180"/>
      <c r="H1546" s="180"/>
      <c r="I1546" s="178"/>
    </row>
    <row r="1547" spans="3:9" x14ac:dyDescent="0.2">
      <c r="C1547" s="178"/>
      <c r="D1547" s="178"/>
      <c r="E1547" s="178"/>
      <c r="F1547" s="178"/>
      <c r="G1547" s="180"/>
      <c r="H1547" s="180"/>
      <c r="I1547" s="178"/>
    </row>
    <row r="1548" spans="3:9" x14ac:dyDescent="0.2">
      <c r="C1548" s="178"/>
      <c r="D1548" s="178"/>
      <c r="E1548" s="178"/>
      <c r="F1548" s="178"/>
      <c r="G1548" s="180"/>
      <c r="H1548" s="180"/>
      <c r="I1548" s="178"/>
    </row>
    <row r="1549" spans="3:9" x14ac:dyDescent="0.2">
      <c r="C1549" s="178"/>
      <c r="D1549" s="178"/>
      <c r="E1549" s="178"/>
      <c r="F1549" s="178"/>
      <c r="G1549" s="180"/>
      <c r="H1549" s="180"/>
      <c r="I1549" s="178"/>
    </row>
    <row r="1550" spans="3:9" x14ac:dyDescent="0.2">
      <c r="C1550" s="178"/>
      <c r="D1550" s="178"/>
      <c r="E1550" s="178"/>
      <c r="F1550" s="178"/>
      <c r="G1550" s="180"/>
      <c r="H1550" s="180"/>
      <c r="I1550" s="178"/>
    </row>
    <row r="1551" spans="3:9" x14ac:dyDescent="0.2">
      <c r="C1551" s="178"/>
      <c r="D1551" s="178"/>
      <c r="E1551" s="178"/>
      <c r="F1551" s="178"/>
      <c r="G1551" s="180"/>
      <c r="H1551" s="180"/>
      <c r="I1551" s="178"/>
    </row>
    <row r="1552" spans="3:9" x14ac:dyDescent="0.2">
      <c r="C1552" s="178"/>
      <c r="D1552" s="178"/>
      <c r="E1552" s="178"/>
      <c r="F1552" s="178"/>
      <c r="G1552" s="180"/>
      <c r="H1552" s="180"/>
      <c r="I1552" s="178"/>
    </row>
    <row r="1553" spans="3:9" x14ac:dyDescent="0.2">
      <c r="C1553" s="178"/>
      <c r="D1553" s="178"/>
      <c r="E1553" s="178"/>
      <c r="F1553" s="178"/>
      <c r="G1553" s="180"/>
      <c r="H1553" s="180"/>
      <c r="I1553" s="178"/>
    </row>
    <row r="1554" spans="3:9" x14ac:dyDescent="0.2">
      <c r="C1554" s="178"/>
      <c r="D1554" s="178"/>
      <c r="E1554" s="178"/>
      <c r="F1554" s="178"/>
      <c r="G1554" s="180"/>
      <c r="H1554" s="180"/>
      <c r="I1554" s="178"/>
    </row>
    <row r="1555" spans="3:9" x14ac:dyDescent="0.2">
      <c r="C1555" s="178"/>
      <c r="D1555" s="178"/>
      <c r="E1555" s="178"/>
      <c r="F1555" s="178"/>
      <c r="G1555" s="180"/>
      <c r="H1555" s="180"/>
      <c r="I1555" s="178"/>
    </row>
    <row r="1556" spans="3:9" x14ac:dyDescent="0.2">
      <c r="C1556" s="178"/>
      <c r="D1556" s="178"/>
      <c r="E1556" s="178"/>
      <c r="F1556" s="178"/>
      <c r="G1556" s="180"/>
      <c r="H1556" s="180"/>
      <c r="I1556" s="178"/>
    </row>
    <row r="1557" spans="3:9" x14ac:dyDescent="0.2">
      <c r="C1557" s="178"/>
      <c r="D1557" s="178"/>
      <c r="E1557" s="178"/>
      <c r="F1557" s="178"/>
      <c r="G1557" s="180"/>
      <c r="H1557" s="180"/>
      <c r="I1557" s="178"/>
    </row>
    <row r="1558" spans="3:9" x14ac:dyDescent="0.2">
      <c r="C1558" s="178"/>
      <c r="D1558" s="178"/>
      <c r="E1558" s="178"/>
      <c r="F1558" s="178"/>
      <c r="G1558" s="180"/>
      <c r="H1558" s="180"/>
      <c r="I1558" s="178"/>
    </row>
    <row r="1559" spans="3:9" x14ac:dyDescent="0.2">
      <c r="C1559" s="178"/>
      <c r="D1559" s="178"/>
      <c r="E1559" s="178"/>
      <c r="F1559" s="178"/>
      <c r="G1559" s="180"/>
      <c r="H1559" s="180"/>
      <c r="I1559" s="178"/>
    </row>
    <row r="1560" spans="3:9" x14ac:dyDescent="0.2">
      <c r="C1560" s="178"/>
      <c r="D1560" s="178"/>
      <c r="E1560" s="178"/>
      <c r="F1560" s="178"/>
      <c r="G1560" s="180"/>
      <c r="H1560" s="180"/>
      <c r="I1560" s="178"/>
    </row>
    <row r="1561" spans="3:9" x14ac:dyDescent="0.2">
      <c r="C1561" s="178"/>
      <c r="D1561" s="178"/>
      <c r="E1561" s="178"/>
      <c r="F1561" s="178"/>
      <c r="G1561" s="180"/>
      <c r="H1561" s="180"/>
      <c r="I1561" s="178"/>
    </row>
    <row r="1562" spans="3:9" x14ac:dyDescent="0.2">
      <c r="C1562" s="178"/>
      <c r="D1562" s="178"/>
      <c r="E1562" s="178"/>
      <c r="F1562" s="178"/>
      <c r="G1562" s="180"/>
      <c r="H1562" s="180"/>
      <c r="I1562" s="178"/>
    </row>
    <row r="1563" spans="3:9" x14ac:dyDescent="0.2">
      <c r="C1563" s="178"/>
      <c r="D1563" s="178"/>
      <c r="E1563" s="178"/>
      <c r="F1563" s="178"/>
      <c r="G1563" s="180"/>
      <c r="H1563" s="180"/>
      <c r="I1563" s="178"/>
    </row>
    <row r="1564" spans="3:9" x14ac:dyDescent="0.2">
      <c r="C1564" s="178"/>
      <c r="D1564" s="178"/>
      <c r="E1564" s="178"/>
      <c r="F1564" s="178"/>
      <c r="G1564" s="180"/>
      <c r="H1564" s="180"/>
      <c r="I1564" s="178"/>
    </row>
    <row r="1565" spans="3:9" x14ac:dyDescent="0.2">
      <c r="C1565" s="178"/>
      <c r="D1565" s="178"/>
      <c r="E1565" s="178"/>
      <c r="F1565" s="178"/>
      <c r="G1565" s="180"/>
      <c r="H1565" s="180"/>
      <c r="I1565" s="178"/>
    </row>
    <row r="1566" spans="3:9" x14ac:dyDescent="0.2">
      <c r="C1566" s="178"/>
      <c r="D1566" s="178"/>
      <c r="E1566" s="178"/>
      <c r="F1566" s="178"/>
      <c r="G1566" s="180"/>
      <c r="H1566" s="180"/>
      <c r="I1566" s="178"/>
    </row>
    <row r="1567" spans="3:9" x14ac:dyDescent="0.2">
      <c r="C1567" s="178"/>
      <c r="D1567" s="178"/>
      <c r="E1567" s="178"/>
      <c r="F1567" s="178"/>
      <c r="G1567" s="180"/>
      <c r="H1567" s="180"/>
      <c r="I1567" s="178"/>
    </row>
    <row r="1568" spans="3:9" x14ac:dyDescent="0.2">
      <c r="C1568" s="178"/>
      <c r="D1568" s="178"/>
      <c r="E1568" s="178"/>
      <c r="F1568" s="178"/>
      <c r="G1568" s="180"/>
      <c r="H1568" s="180"/>
      <c r="I1568" s="178"/>
    </row>
    <row r="1569" spans="3:9" x14ac:dyDescent="0.2">
      <c r="C1569" s="178"/>
      <c r="D1569" s="178"/>
      <c r="E1569" s="178"/>
      <c r="F1569" s="178"/>
      <c r="G1569" s="180"/>
      <c r="H1569" s="180"/>
      <c r="I1569" s="178"/>
    </row>
    <row r="1570" spans="3:9" x14ac:dyDescent="0.2">
      <c r="C1570" s="178"/>
      <c r="D1570" s="178"/>
      <c r="E1570" s="178"/>
      <c r="F1570" s="178"/>
      <c r="G1570" s="180"/>
      <c r="H1570" s="180"/>
      <c r="I1570" s="178"/>
    </row>
    <row r="1571" spans="3:9" x14ac:dyDescent="0.2">
      <c r="C1571" s="178"/>
      <c r="D1571" s="178"/>
      <c r="E1571" s="178"/>
      <c r="F1571" s="178"/>
      <c r="G1571" s="180"/>
      <c r="H1571" s="180"/>
      <c r="I1571" s="178"/>
    </row>
    <row r="1572" spans="3:9" x14ac:dyDescent="0.2">
      <c r="C1572" s="178"/>
      <c r="D1572" s="178"/>
      <c r="E1572" s="178"/>
      <c r="F1572" s="178"/>
      <c r="G1572" s="180"/>
      <c r="H1572" s="180"/>
      <c r="I1572" s="178"/>
    </row>
    <row r="1573" spans="3:9" x14ac:dyDescent="0.2">
      <c r="C1573" s="178"/>
      <c r="D1573" s="178"/>
      <c r="E1573" s="178"/>
      <c r="F1573" s="178"/>
      <c r="G1573" s="180"/>
      <c r="H1573" s="180"/>
      <c r="I1573" s="178"/>
    </row>
    <row r="1574" spans="3:9" x14ac:dyDescent="0.2">
      <c r="C1574" s="178"/>
      <c r="D1574" s="178"/>
      <c r="E1574" s="178"/>
      <c r="F1574" s="178"/>
      <c r="G1574" s="180"/>
      <c r="H1574" s="180"/>
      <c r="I1574" s="178"/>
    </row>
    <row r="1575" spans="3:9" x14ac:dyDescent="0.2">
      <c r="C1575" s="178"/>
      <c r="D1575" s="178"/>
      <c r="E1575" s="178"/>
      <c r="F1575" s="178"/>
      <c r="G1575" s="180"/>
      <c r="H1575" s="180"/>
      <c r="I1575" s="178"/>
    </row>
    <row r="1576" spans="3:9" x14ac:dyDescent="0.2">
      <c r="C1576" s="178"/>
      <c r="D1576" s="178"/>
      <c r="E1576" s="178"/>
      <c r="F1576" s="178"/>
      <c r="G1576" s="180"/>
      <c r="H1576" s="180"/>
      <c r="I1576" s="178"/>
    </row>
    <row r="1577" spans="3:9" x14ac:dyDescent="0.2">
      <c r="C1577" s="178"/>
      <c r="D1577" s="178"/>
      <c r="E1577" s="178"/>
      <c r="F1577" s="178"/>
      <c r="G1577" s="180"/>
      <c r="H1577" s="180"/>
      <c r="I1577" s="178"/>
    </row>
    <row r="1578" spans="3:9" x14ac:dyDescent="0.2">
      <c r="C1578" s="178"/>
      <c r="D1578" s="178"/>
      <c r="E1578" s="178"/>
      <c r="F1578" s="178"/>
      <c r="G1578" s="180"/>
      <c r="H1578" s="180"/>
      <c r="I1578" s="178"/>
    </row>
    <row r="1579" spans="3:9" x14ac:dyDescent="0.2">
      <c r="C1579" s="178"/>
      <c r="D1579" s="178"/>
      <c r="E1579" s="178"/>
      <c r="F1579" s="178"/>
      <c r="G1579" s="180"/>
      <c r="H1579" s="180"/>
      <c r="I1579" s="178"/>
    </row>
    <row r="1580" spans="3:9" x14ac:dyDescent="0.2">
      <c r="C1580" s="178"/>
      <c r="D1580" s="178"/>
      <c r="E1580" s="178"/>
      <c r="F1580" s="178"/>
      <c r="G1580" s="180"/>
      <c r="H1580" s="180"/>
      <c r="I1580" s="178"/>
    </row>
    <row r="1581" spans="3:9" x14ac:dyDescent="0.2">
      <c r="C1581" s="178"/>
      <c r="D1581" s="178"/>
      <c r="E1581" s="178"/>
      <c r="F1581" s="178"/>
      <c r="G1581" s="180"/>
      <c r="H1581" s="180"/>
      <c r="I1581" s="178"/>
    </row>
    <row r="1582" spans="3:9" x14ac:dyDescent="0.2">
      <c r="C1582" s="178"/>
      <c r="D1582" s="178"/>
      <c r="E1582" s="178"/>
      <c r="F1582" s="178"/>
      <c r="G1582" s="180"/>
      <c r="H1582" s="180"/>
      <c r="I1582" s="178"/>
    </row>
    <row r="1583" spans="3:9" x14ac:dyDescent="0.2">
      <c r="C1583" s="178"/>
      <c r="D1583" s="178"/>
      <c r="E1583" s="178"/>
      <c r="F1583" s="178"/>
      <c r="G1583" s="180"/>
      <c r="H1583" s="180"/>
      <c r="I1583" s="178"/>
    </row>
    <row r="1584" spans="3:9" x14ac:dyDescent="0.2">
      <c r="C1584" s="178"/>
      <c r="D1584" s="178"/>
      <c r="E1584" s="178"/>
      <c r="F1584" s="178"/>
      <c r="G1584" s="180"/>
      <c r="H1584" s="180"/>
      <c r="I1584" s="178"/>
    </row>
    <row r="1585" spans="3:9" x14ac:dyDescent="0.2">
      <c r="C1585" s="178"/>
      <c r="D1585" s="178"/>
      <c r="E1585" s="178"/>
      <c r="F1585" s="178"/>
      <c r="G1585" s="180"/>
      <c r="H1585" s="180"/>
      <c r="I1585" s="178"/>
    </row>
    <row r="1586" spans="3:9" x14ac:dyDescent="0.2">
      <c r="C1586" s="178"/>
      <c r="D1586" s="178"/>
      <c r="E1586" s="178"/>
      <c r="F1586" s="178"/>
      <c r="G1586" s="180"/>
      <c r="H1586" s="180"/>
      <c r="I1586" s="178"/>
    </row>
    <row r="1587" spans="3:9" x14ac:dyDescent="0.2">
      <c r="C1587" s="178"/>
      <c r="D1587" s="178"/>
      <c r="E1587" s="178"/>
      <c r="F1587" s="178"/>
      <c r="G1587" s="180"/>
      <c r="H1587" s="180"/>
      <c r="I1587" s="178"/>
    </row>
    <row r="1588" spans="3:9" x14ac:dyDescent="0.2">
      <c r="C1588" s="178"/>
      <c r="D1588" s="178"/>
      <c r="E1588" s="178"/>
      <c r="F1588" s="178"/>
      <c r="G1588" s="180"/>
      <c r="H1588" s="180"/>
      <c r="I1588" s="178"/>
    </row>
    <row r="1589" spans="3:9" x14ac:dyDescent="0.2">
      <c r="C1589" s="178"/>
      <c r="D1589" s="178"/>
      <c r="E1589" s="178"/>
      <c r="F1589" s="178"/>
      <c r="G1589" s="180"/>
      <c r="H1589" s="180"/>
      <c r="I1589" s="178"/>
    </row>
    <row r="1590" spans="3:9" x14ac:dyDescent="0.2">
      <c r="C1590" s="178"/>
      <c r="D1590" s="178"/>
      <c r="E1590" s="178"/>
      <c r="F1590" s="178"/>
      <c r="G1590" s="180"/>
      <c r="H1590" s="180"/>
      <c r="I1590" s="178"/>
    </row>
    <row r="1591" spans="3:9" x14ac:dyDescent="0.2">
      <c r="C1591" s="178"/>
      <c r="D1591" s="178"/>
      <c r="E1591" s="178"/>
      <c r="F1591" s="178"/>
      <c r="G1591" s="180"/>
      <c r="H1591" s="180"/>
      <c r="I1591" s="178"/>
    </row>
    <row r="1592" spans="3:9" x14ac:dyDescent="0.2">
      <c r="C1592" s="178"/>
      <c r="D1592" s="178"/>
      <c r="E1592" s="178"/>
      <c r="F1592" s="178"/>
      <c r="G1592" s="180"/>
      <c r="H1592" s="180"/>
      <c r="I1592" s="178"/>
    </row>
    <row r="1593" spans="3:9" x14ac:dyDescent="0.2">
      <c r="C1593" s="178"/>
      <c r="D1593" s="178"/>
      <c r="E1593" s="178"/>
      <c r="F1593" s="178"/>
      <c r="G1593" s="180"/>
      <c r="H1593" s="180"/>
      <c r="I1593" s="178"/>
    </row>
    <row r="1594" spans="3:9" x14ac:dyDescent="0.2">
      <c r="C1594" s="178"/>
      <c r="D1594" s="178"/>
      <c r="E1594" s="178"/>
      <c r="F1594" s="178"/>
      <c r="G1594" s="180"/>
      <c r="H1594" s="180"/>
      <c r="I1594" s="178"/>
    </row>
    <row r="1595" spans="3:9" x14ac:dyDescent="0.2">
      <c r="C1595" s="178"/>
      <c r="D1595" s="178"/>
      <c r="E1595" s="178"/>
      <c r="F1595" s="178"/>
      <c r="G1595" s="180"/>
      <c r="H1595" s="180"/>
      <c r="I1595" s="178"/>
    </row>
    <row r="1596" spans="3:9" x14ac:dyDescent="0.2">
      <c r="C1596" s="178"/>
      <c r="D1596" s="178"/>
      <c r="E1596" s="178"/>
      <c r="F1596" s="178"/>
      <c r="G1596" s="180"/>
      <c r="H1596" s="180"/>
      <c r="I1596" s="178"/>
    </row>
    <row r="1597" spans="3:9" x14ac:dyDescent="0.2">
      <c r="C1597" s="178"/>
      <c r="D1597" s="178"/>
      <c r="E1597" s="178"/>
      <c r="F1597" s="178"/>
      <c r="G1597" s="180"/>
      <c r="H1597" s="180"/>
      <c r="I1597" s="178"/>
    </row>
    <row r="1598" spans="3:9" x14ac:dyDescent="0.2">
      <c r="C1598" s="178"/>
      <c r="D1598" s="178"/>
      <c r="E1598" s="178"/>
      <c r="F1598" s="178"/>
      <c r="G1598" s="180"/>
      <c r="H1598" s="180"/>
      <c r="I1598" s="178"/>
    </row>
    <row r="1599" spans="3:9" x14ac:dyDescent="0.2">
      <c r="C1599" s="178"/>
      <c r="D1599" s="178"/>
      <c r="E1599" s="178"/>
      <c r="F1599" s="178"/>
      <c r="G1599" s="180"/>
      <c r="H1599" s="180"/>
      <c r="I1599" s="178"/>
    </row>
    <row r="1600" spans="3:9" x14ac:dyDescent="0.2">
      <c r="C1600" s="178"/>
      <c r="D1600" s="178"/>
      <c r="E1600" s="178"/>
      <c r="F1600" s="178"/>
      <c r="G1600" s="180"/>
      <c r="H1600" s="180"/>
      <c r="I1600" s="178"/>
    </row>
    <row r="1601" spans="3:9" x14ac:dyDescent="0.2">
      <c r="C1601" s="178"/>
      <c r="D1601" s="178"/>
      <c r="E1601" s="178"/>
      <c r="F1601" s="178"/>
      <c r="G1601" s="180"/>
      <c r="H1601" s="180"/>
      <c r="I1601" s="178"/>
    </row>
    <row r="1602" spans="3:9" x14ac:dyDescent="0.2">
      <c r="C1602" s="178"/>
      <c r="D1602" s="178"/>
      <c r="E1602" s="178"/>
      <c r="F1602" s="178"/>
      <c r="G1602" s="180"/>
      <c r="H1602" s="180"/>
      <c r="I1602" s="178"/>
    </row>
    <row r="1603" spans="3:9" x14ac:dyDescent="0.2">
      <c r="C1603" s="178"/>
      <c r="D1603" s="178"/>
      <c r="E1603" s="178"/>
      <c r="F1603" s="178"/>
      <c r="G1603" s="180"/>
      <c r="H1603" s="180"/>
      <c r="I1603" s="178"/>
    </row>
    <row r="1604" spans="3:9" x14ac:dyDescent="0.2">
      <c r="C1604" s="178"/>
      <c r="D1604" s="178"/>
      <c r="E1604" s="178"/>
      <c r="F1604" s="178"/>
      <c r="G1604" s="180"/>
      <c r="H1604" s="180"/>
      <c r="I1604" s="178"/>
    </row>
    <row r="1605" spans="3:9" x14ac:dyDescent="0.2">
      <c r="C1605" s="178"/>
      <c r="D1605" s="178"/>
      <c r="E1605" s="178"/>
      <c r="F1605" s="178"/>
      <c r="G1605" s="180"/>
      <c r="H1605" s="180"/>
      <c r="I1605" s="178"/>
    </row>
    <row r="1606" spans="3:9" x14ac:dyDescent="0.2">
      <c r="C1606" s="178"/>
      <c r="D1606" s="178"/>
      <c r="E1606" s="178"/>
      <c r="F1606" s="178"/>
      <c r="G1606" s="180"/>
      <c r="H1606" s="180"/>
      <c r="I1606" s="178"/>
    </row>
    <row r="1607" spans="3:9" x14ac:dyDescent="0.2">
      <c r="C1607" s="178"/>
      <c r="D1607" s="178"/>
      <c r="E1607" s="178"/>
      <c r="F1607" s="178"/>
      <c r="G1607" s="180"/>
      <c r="H1607" s="180"/>
      <c r="I1607" s="178"/>
    </row>
    <row r="1608" spans="3:9" x14ac:dyDescent="0.2">
      <c r="C1608" s="178"/>
      <c r="D1608" s="178"/>
      <c r="E1608" s="178"/>
      <c r="F1608" s="178"/>
      <c r="G1608" s="180"/>
      <c r="H1608" s="180"/>
      <c r="I1608" s="178"/>
    </row>
    <row r="1609" spans="3:9" x14ac:dyDescent="0.2">
      <c r="C1609" s="178"/>
      <c r="D1609" s="178"/>
      <c r="E1609" s="178"/>
      <c r="F1609" s="178"/>
      <c r="G1609" s="180"/>
      <c r="H1609" s="180"/>
      <c r="I1609" s="178"/>
    </row>
    <row r="1610" spans="3:9" x14ac:dyDescent="0.2">
      <c r="C1610" s="178"/>
      <c r="D1610" s="178"/>
      <c r="E1610" s="178"/>
      <c r="F1610" s="178"/>
      <c r="G1610" s="180"/>
      <c r="H1610" s="180"/>
      <c r="I1610" s="178"/>
    </row>
    <row r="1611" spans="3:9" x14ac:dyDescent="0.2">
      <c r="C1611" s="178"/>
      <c r="D1611" s="178"/>
      <c r="E1611" s="178"/>
      <c r="F1611" s="178"/>
      <c r="G1611" s="180"/>
      <c r="H1611" s="180"/>
      <c r="I1611" s="178"/>
    </row>
    <row r="1612" spans="3:9" x14ac:dyDescent="0.2">
      <c r="C1612" s="178"/>
      <c r="D1612" s="178"/>
      <c r="E1612" s="178"/>
      <c r="F1612" s="178"/>
      <c r="G1612" s="180"/>
      <c r="H1612" s="180"/>
      <c r="I1612" s="178"/>
    </row>
    <row r="1613" spans="3:9" x14ac:dyDescent="0.2">
      <c r="C1613" s="178"/>
      <c r="D1613" s="178"/>
      <c r="E1613" s="178"/>
      <c r="F1613" s="178"/>
      <c r="G1613" s="180"/>
      <c r="H1613" s="180"/>
      <c r="I1613" s="178"/>
    </row>
    <row r="1614" spans="3:9" x14ac:dyDescent="0.2">
      <c r="C1614" s="178"/>
      <c r="D1614" s="178"/>
      <c r="E1614" s="178"/>
      <c r="F1614" s="178"/>
      <c r="G1614" s="180"/>
      <c r="H1614" s="180"/>
      <c r="I1614" s="178"/>
    </row>
    <row r="1615" spans="3:9" x14ac:dyDescent="0.2">
      <c r="C1615" s="178"/>
      <c r="D1615" s="178"/>
      <c r="E1615" s="178"/>
      <c r="F1615" s="178"/>
      <c r="G1615" s="180"/>
      <c r="H1615" s="180"/>
      <c r="I1615" s="178"/>
    </row>
    <row r="1616" spans="3:9" x14ac:dyDescent="0.2">
      <c r="C1616" s="178"/>
      <c r="D1616" s="178"/>
      <c r="E1616" s="178"/>
      <c r="F1616" s="178"/>
      <c r="G1616" s="180"/>
      <c r="H1616" s="180"/>
      <c r="I1616" s="178"/>
    </row>
    <row r="1617" spans="3:9" x14ac:dyDescent="0.2">
      <c r="C1617" s="178"/>
      <c r="D1617" s="178"/>
      <c r="E1617" s="178"/>
      <c r="F1617" s="178"/>
      <c r="G1617" s="180"/>
      <c r="H1617" s="180"/>
      <c r="I1617" s="178"/>
    </row>
    <row r="1618" spans="3:9" x14ac:dyDescent="0.2">
      <c r="C1618" s="178"/>
      <c r="D1618" s="178"/>
      <c r="E1618" s="178"/>
      <c r="F1618" s="178"/>
      <c r="G1618" s="180"/>
      <c r="H1618" s="180"/>
      <c r="I1618" s="178"/>
    </row>
    <row r="1619" spans="3:9" x14ac:dyDescent="0.2">
      <c r="C1619" s="178"/>
      <c r="D1619" s="178"/>
      <c r="E1619" s="178"/>
      <c r="F1619" s="178"/>
      <c r="G1619" s="180"/>
      <c r="H1619" s="180"/>
      <c r="I1619" s="178"/>
    </row>
    <row r="1620" spans="3:9" x14ac:dyDescent="0.2">
      <c r="C1620" s="178"/>
      <c r="D1620" s="178"/>
      <c r="E1620" s="178"/>
      <c r="F1620" s="178"/>
      <c r="G1620" s="180"/>
      <c r="H1620" s="180"/>
      <c r="I1620" s="178"/>
    </row>
    <row r="1621" spans="3:9" x14ac:dyDescent="0.2">
      <c r="C1621" s="178"/>
      <c r="D1621" s="178"/>
      <c r="E1621" s="178"/>
      <c r="F1621" s="178"/>
      <c r="G1621" s="180"/>
      <c r="H1621" s="180"/>
      <c r="I1621" s="178"/>
    </row>
    <row r="1622" spans="3:9" x14ac:dyDescent="0.2">
      <c r="C1622" s="178"/>
      <c r="D1622" s="178"/>
      <c r="E1622" s="178"/>
      <c r="F1622" s="178"/>
      <c r="G1622" s="180"/>
      <c r="H1622" s="180"/>
      <c r="I1622" s="178"/>
    </row>
    <row r="1623" spans="3:9" x14ac:dyDescent="0.2">
      <c r="C1623" s="178"/>
      <c r="D1623" s="178"/>
      <c r="E1623" s="178"/>
      <c r="F1623" s="178"/>
      <c r="G1623" s="180"/>
      <c r="H1623" s="180"/>
      <c r="I1623" s="178"/>
    </row>
    <row r="1624" spans="3:9" x14ac:dyDescent="0.2">
      <c r="C1624" s="178"/>
      <c r="D1624" s="178"/>
      <c r="E1624" s="178"/>
      <c r="F1624" s="178"/>
      <c r="G1624" s="180"/>
      <c r="H1624" s="180"/>
      <c r="I1624" s="178"/>
    </row>
    <row r="1625" spans="3:9" x14ac:dyDescent="0.2">
      <c r="C1625" s="178"/>
      <c r="D1625" s="178"/>
      <c r="E1625" s="178"/>
      <c r="F1625" s="178"/>
      <c r="G1625" s="180"/>
      <c r="H1625" s="180"/>
      <c r="I1625" s="178"/>
    </row>
    <row r="1626" spans="3:9" x14ac:dyDescent="0.2">
      <c r="C1626" s="178"/>
      <c r="D1626" s="178"/>
      <c r="E1626" s="178"/>
      <c r="F1626" s="178"/>
      <c r="G1626" s="180"/>
      <c r="H1626" s="180"/>
      <c r="I1626" s="178"/>
    </row>
    <row r="1627" spans="3:9" x14ac:dyDescent="0.2">
      <c r="C1627" s="178"/>
      <c r="D1627" s="178"/>
      <c r="E1627" s="178"/>
      <c r="F1627" s="178"/>
      <c r="G1627" s="180"/>
      <c r="H1627" s="180"/>
      <c r="I1627" s="178"/>
    </row>
    <row r="1628" spans="3:9" x14ac:dyDescent="0.2">
      <c r="C1628" s="178"/>
      <c r="D1628" s="178"/>
      <c r="E1628" s="178"/>
      <c r="F1628" s="178"/>
      <c r="G1628" s="180"/>
      <c r="H1628" s="180"/>
      <c r="I1628" s="178"/>
    </row>
    <row r="1629" spans="3:9" x14ac:dyDescent="0.2">
      <c r="C1629" s="178"/>
      <c r="D1629" s="178"/>
      <c r="E1629" s="178"/>
      <c r="F1629" s="178"/>
      <c r="G1629" s="180"/>
      <c r="H1629" s="180"/>
      <c r="I1629" s="178"/>
    </row>
    <row r="1630" spans="3:9" x14ac:dyDescent="0.2">
      <c r="C1630" s="178"/>
      <c r="D1630" s="178"/>
      <c r="E1630" s="178"/>
      <c r="F1630" s="178"/>
      <c r="G1630" s="180"/>
      <c r="H1630" s="180"/>
      <c r="I1630" s="178"/>
    </row>
    <row r="1631" spans="3:9" x14ac:dyDescent="0.2">
      <c r="C1631" s="178"/>
      <c r="D1631" s="178"/>
      <c r="E1631" s="178"/>
      <c r="F1631" s="178"/>
      <c r="G1631" s="180"/>
      <c r="H1631" s="180"/>
      <c r="I1631" s="178"/>
    </row>
    <row r="1632" spans="3:9" x14ac:dyDescent="0.2">
      <c r="C1632" s="178"/>
      <c r="D1632" s="178"/>
      <c r="E1632" s="178"/>
      <c r="F1632" s="178"/>
      <c r="G1632" s="180"/>
      <c r="H1632" s="180"/>
      <c r="I1632" s="178"/>
    </row>
    <row r="1633" spans="3:9" x14ac:dyDescent="0.2">
      <c r="C1633" s="178"/>
      <c r="D1633" s="178"/>
      <c r="E1633" s="178"/>
      <c r="F1633" s="178"/>
      <c r="G1633" s="180"/>
      <c r="H1633" s="180"/>
      <c r="I1633" s="178"/>
    </row>
    <row r="1634" spans="3:9" x14ac:dyDescent="0.2">
      <c r="C1634" s="178"/>
      <c r="D1634" s="178"/>
      <c r="E1634" s="178"/>
      <c r="F1634" s="178"/>
      <c r="G1634" s="180"/>
      <c r="H1634" s="180"/>
      <c r="I1634" s="178"/>
    </row>
    <row r="1635" spans="3:9" x14ac:dyDescent="0.2">
      <c r="C1635" s="178"/>
      <c r="D1635" s="178"/>
      <c r="E1635" s="178"/>
      <c r="F1635" s="178"/>
      <c r="G1635" s="180"/>
      <c r="H1635" s="180"/>
      <c r="I1635" s="178"/>
    </row>
    <row r="1636" spans="3:9" x14ac:dyDescent="0.2">
      <c r="C1636" s="178"/>
      <c r="D1636" s="178"/>
      <c r="E1636" s="178"/>
      <c r="F1636" s="178"/>
      <c r="G1636" s="180"/>
      <c r="H1636" s="180"/>
      <c r="I1636" s="178"/>
    </row>
    <row r="1637" spans="3:9" x14ac:dyDescent="0.2">
      <c r="C1637" s="178"/>
      <c r="D1637" s="178"/>
      <c r="E1637" s="178"/>
      <c r="F1637" s="178"/>
      <c r="G1637" s="180"/>
      <c r="H1637" s="180"/>
      <c r="I1637" s="178"/>
    </row>
    <row r="1638" spans="3:9" x14ac:dyDescent="0.2">
      <c r="C1638" s="178"/>
      <c r="D1638" s="178"/>
      <c r="E1638" s="178"/>
      <c r="F1638" s="178"/>
      <c r="G1638" s="180"/>
      <c r="H1638" s="180"/>
      <c r="I1638" s="178"/>
    </row>
    <row r="1639" spans="3:9" x14ac:dyDescent="0.2">
      <c r="C1639" s="178"/>
      <c r="D1639" s="178"/>
      <c r="E1639" s="178"/>
      <c r="F1639" s="178"/>
      <c r="G1639" s="180"/>
      <c r="H1639" s="180"/>
      <c r="I1639" s="178"/>
    </row>
    <row r="1640" spans="3:9" x14ac:dyDescent="0.2">
      <c r="C1640" s="178"/>
      <c r="D1640" s="178"/>
      <c r="E1640" s="178"/>
      <c r="F1640" s="178"/>
      <c r="G1640" s="180"/>
      <c r="H1640" s="180"/>
      <c r="I1640" s="178"/>
    </row>
    <row r="1641" spans="3:9" x14ac:dyDescent="0.2">
      <c r="C1641" s="178"/>
      <c r="D1641" s="178"/>
      <c r="E1641" s="178"/>
      <c r="F1641" s="178"/>
      <c r="G1641" s="180"/>
      <c r="H1641" s="180"/>
      <c r="I1641" s="178"/>
    </row>
    <row r="1642" spans="3:9" x14ac:dyDescent="0.2">
      <c r="C1642" s="178"/>
      <c r="D1642" s="178"/>
      <c r="E1642" s="178"/>
      <c r="F1642" s="178"/>
      <c r="G1642" s="180"/>
      <c r="H1642" s="180"/>
      <c r="I1642" s="178"/>
    </row>
    <row r="1643" spans="3:9" x14ac:dyDescent="0.2">
      <c r="C1643" s="178"/>
      <c r="D1643" s="178"/>
      <c r="E1643" s="178"/>
      <c r="F1643" s="178"/>
      <c r="G1643" s="180"/>
      <c r="H1643" s="180"/>
      <c r="I1643" s="178"/>
    </row>
    <row r="1644" spans="3:9" x14ac:dyDescent="0.2">
      <c r="C1644" s="178"/>
      <c r="D1644" s="178"/>
      <c r="E1644" s="178"/>
      <c r="F1644" s="178"/>
      <c r="G1644" s="180"/>
      <c r="H1644" s="180"/>
      <c r="I1644" s="178"/>
    </row>
    <row r="1645" spans="3:9" x14ac:dyDescent="0.2">
      <c r="C1645" s="178"/>
      <c r="D1645" s="178"/>
      <c r="E1645" s="178"/>
      <c r="F1645" s="178"/>
      <c r="G1645" s="180"/>
      <c r="H1645" s="180"/>
      <c r="I1645" s="178"/>
    </row>
    <row r="1646" spans="3:9" x14ac:dyDescent="0.2">
      <c r="C1646" s="178"/>
      <c r="D1646" s="178"/>
      <c r="E1646" s="178"/>
      <c r="F1646" s="178"/>
      <c r="G1646" s="180"/>
      <c r="H1646" s="180"/>
      <c r="I1646" s="178"/>
    </row>
    <row r="1647" spans="3:9" x14ac:dyDescent="0.2">
      <c r="C1647" s="178"/>
      <c r="D1647" s="178"/>
      <c r="E1647" s="178"/>
      <c r="F1647" s="178"/>
      <c r="G1647" s="180"/>
      <c r="H1647" s="180"/>
      <c r="I1647" s="178"/>
    </row>
    <row r="1648" spans="3:9" x14ac:dyDescent="0.2">
      <c r="C1648" s="178"/>
      <c r="D1648" s="178"/>
      <c r="E1648" s="178"/>
      <c r="F1648" s="178"/>
      <c r="G1648" s="180"/>
      <c r="H1648" s="180"/>
      <c r="I1648" s="178"/>
    </row>
    <row r="1649" spans="3:9" x14ac:dyDescent="0.2">
      <c r="C1649" s="178"/>
      <c r="D1649" s="178"/>
      <c r="E1649" s="178"/>
      <c r="F1649" s="178"/>
      <c r="G1649" s="180"/>
      <c r="H1649" s="180"/>
      <c r="I1649" s="178"/>
    </row>
    <row r="1650" spans="3:9" x14ac:dyDescent="0.2">
      <c r="C1650" s="178"/>
      <c r="D1650" s="178"/>
      <c r="E1650" s="178"/>
      <c r="F1650" s="178"/>
      <c r="G1650" s="180"/>
      <c r="H1650" s="180"/>
      <c r="I1650" s="178"/>
    </row>
    <row r="1651" spans="3:9" x14ac:dyDescent="0.2">
      <c r="C1651" s="178"/>
      <c r="D1651" s="178"/>
      <c r="E1651" s="178"/>
      <c r="F1651" s="178"/>
      <c r="G1651" s="180"/>
      <c r="H1651" s="180"/>
      <c r="I1651" s="178"/>
    </row>
    <row r="1652" spans="3:9" x14ac:dyDescent="0.2">
      <c r="C1652" s="178"/>
      <c r="D1652" s="178"/>
      <c r="E1652" s="178"/>
      <c r="F1652" s="178"/>
      <c r="G1652" s="180"/>
      <c r="H1652" s="180"/>
      <c r="I1652" s="178"/>
    </row>
    <row r="1653" spans="3:9" x14ac:dyDescent="0.2">
      <c r="C1653" s="178"/>
      <c r="D1653" s="178"/>
      <c r="E1653" s="178"/>
      <c r="F1653" s="178"/>
      <c r="G1653" s="180"/>
      <c r="H1653" s="180"/>
      <c r="I1653" s="178"/>
    </row>
    <row r="1654" spans="3:9" x14ac:dyDescent="0.2">
      <c r="C1654" s="178"/>
      <c r="D1654" s="178"/>
      <c r="E1654" s="178"/>
      <c r="F1654" s="178"/>
      <c r="G1654" s="180"/>
      <c r="H1654" s="180"/>
      <c r="I1654" s="178"/>
    </row>
    <row r="1655" spans="3:9" x14ac:dyDescent="0.2">
      <c r="C1655" s="178"/>
      <c r="D1655" s="178"/>
      <c r="E1655" s="178"/>
      <c r="F1655" s="178"/>
      <c r="G1655" s="180"/>
      <c r="H1655" s="180"/>
      <c r="I1655" s="178"/>
    </row>
    <row r="1656" spans="3:9" x14ac:dyDescent="0.2">
      <c r="C1656" s="178"/>
      <c r="D1656" s="178"/>
      <c r="E1656" s="178"/>
      <c r="F1656" s="178"/>
      <c r="G1656" s="180"/>
      <c r="H1656" s="180"/>
      <c r="I1656" s="178"/>
    </row>
    <row r="1657" spans="3:9" x14ac:dyDescent="0.2">
      <c r="C1657" s="178"/>
      <c r="D1657" s="178"/>
      <c r="E1657" s="178"/>
      <c r="F1657" s="178"/>
      <c r="G1657" s="180"/>
      <c r="H1657" s="180"/>
      <c r="I1657" s="178"/>
    </row>
    <row r="1658" spans="3:9" x14ac:dyDescent="0.2">
      <c r="C1658" s="178"/>
      <c r="D1658" s="178"/>
      <c r="E1658" s="178"/>
      <c r="F1658" s="178"/>
      <c r="G1658" s="180"/>
      <c r="H1658" s="180"/>
      <c r="I1658" s="178"/>
    </row>
    <row r="1659" spans="3:9" x14ac:dyDescent="0.2">
      <c r="C1659" s="178"/>
      <c r="D1659" s="178"/>
      <c r="E1659" s="178"/>
      <c r="F1659" s="178"/>
      <c r="G1659" s="180"/>
      <c r="H1659" s="180"/>
      <c r="I1659" s="178"/>
    </row>
    <row r="1660" spans="3:9" x14ac:dyDescent="0.2">
      <c r="C1660" s="178"/>
      <c r="D1660" s="178"/>
      <c r="E1660" s="178"/>
      <c r="F1660" s="178"/>
      <c r="G1660" s="180"/>
      <c r="H1660" s="180"/>
      <c r="I1660" s="178"/>
    </row>
    <row r="1661" spans="3:9" x14ac:dyDescent="0.2">
      <c r="C1661" s="178"/>
      <c r="D1661" s="178"/>
      <c r="E1661" s="178"/>
      <c r="F1661" s="178"/>
      <c r="G1661" s="180"/>
      <c r="H1661" s="180"/>
      <c r="I1661" s="178"/>
    </row>
    <row r="1662" spans="3:9" x14ac:dyDescent="0.2">
      <c r="C1662" s="178"/>
      <c r="D1662" s="178"/>
      <c r="E1662" s="178"/>
      <c r="F1662" s="178"/>
      <c r="G1662" s="180"/>
      <c r="H1662" s="180"/>
      <c r="I1662" s="178"/>
    </row>
    <row r="1663" spans="3:9" x14ac:dyDescent="0.2">
      <c r="C1663" s="178"/>
      <c r="D1663" s="178"/>
      <c r="E1663" s="178"/>
      <c r="F1663" s="178"/>
      <c r="G1663" s="180"/>
      <c r="H1663" s="180"/>
      <c r="I1663" s="178"/>
    </row>
    <row r="1664" spans="3:9" x14ac:dyDescent="0.2">
      <c r="C1664" s="178"/>
      <c r="D1664" s="178"/>
      <c r="E1664" s="178"/>
      <c r="F1664" s="178"/>
      <c r="G1664" s="180"/>
      <c r="H1664" s="180"/>
      <c r="I1664" s="178"/>
    </row>
    <row r="1665" spans="3:9" x14ac:dyDescent="0.2">
      <c r="C1665" s="178"/>
      <c r="D1665" s="178"/>
      <c r="E1665" s="178"/>
      <c r="F1665" s="178"/>
      <c r="G1665" s="180"/>
      <c r="H1665" s="180"/>
      <c r="I1665" s="178"/>
    </row>
    <row r="1666" spans="3:9" x14ac:dyDescent="0.2">
      <c r="C1666" s="178"/>
      <c r="D1666" s="178"/>
      <c r="E1666" s="178"/>
      <c r="F1666" s="178"/>
      <c r="G1666" s="180"/>
      <c r="H1666" s="180"/>
      <c r="I1666" s="178"/>
    </row>
    <row r="1667" spans="3:9" x14ac:dyDescent="0.2">
      <c r="C1667" s="178"/>
      <c r="D1667" s="178"/>
      <c r="E1667" s="178"/>
      <c r="F1667" s="178"/>
      <c r="G1667" s="180"/>
      <c r="H1667" s="180"/>
      <c r="I1667" s="178"/>
    </row>
    <row r="1668" spans="3:9" x14ac:dyDescent="0.2">
      <c r="C1668" s="178"/>
      <c r="D1668" s="178"/>
      <c r="E1668" s="178"/>
      <c r="F1668" s="178"/>
      <c r="G1668" s="180"/>
      <c r="H1668" s="180"/>
      <c r="I1668" s="178"/>
    </row>
    <row r="1669" spans="3:9" x14ac:dyDescent="0.2">
      <c r="C1669" s="178"/>
      <c r="D1669" s="178"/>
      <c r="E1669" s="178"/>
      <c r="F1669" s="178"/>
      <c r="G1669" s="180"/>
      <c r="H1669" s="180"/>
      <c r="I1669" s="178"/>
    </row>
    <row r="1670" spans="3:9" x14ac:dyDescent="0.2">
      <c r="C1670" s="178"/>
      <c r="D1670" s="178"/>
      <c r="E1670" s="178"/>
      <c r="F1670" s="178"/>
      <c r="G1670" s="180"/>
      <c r="H1670" s="180"/>
      <c r="I1670" s="178"/>
    </row>
    <row r="1671" spans="3:9" x14ac:dyDescent="0.2">
      <c r="C1671" s="178"/>
      <c r="D1671" s="178"/>
      <c r="E1671" s="178"/>
      <c r="F1671" s="178"/>
      <c r="G1671" s="180"/>
      <c r="H1671" s="180"/>
      <c r="I1671" s="178"/>
    </row>
    <row r="1672" spans="3:9" x14ac:dyDescent="0.2">
      <c r="C1672" s="178"/>
      <c r="D1672" s="178"/>
      <c r="E1672" s="178"/>
      <c r="F1672" s="178"/>
      <c r="G1672" s="180"/>
      <c r="H1672" s="180"/>
      <c r="I1672" s="178"/>
    </row>
    <row r="1673" spans="3:9" x14ac:dyDescent="0.2">
      <c r="C1673" s="178"/>
      <c r="D1673" s="178"/>
      <c r="E1673" s="178"/>
      <c r="F1673" s="178"/>
      <c r="G1673" s="180"/>
      <c r="H1673" s="180"/>
      <c r="I1673" s="178"/>
    </row>
    <row r="1674" spans="3:9" x14ac:dyDescent="0.2">
      <c r="C1674" s="178"/>
      <c r="D1674" s="178"/>
      <c r="E1674" s="178"/>
      <c r="F1674" s="178"/>
      <c r="G1674" s="180"/>
      <c r="H1674" s="180"/>
      <c r="I1674" s="178"/>
    </row>
    <row r="1675" spans="3:9" x14ac:dyDescent="0.2">
      <c r="C1675" s="178"/>
      <c r="D1675" s="178"/>
      <c r="E1675" s="178"/>
      <c r="F1675" s="178"/>
      <c r="G1675" s="180"/>
      <c r="H1675" s="180"/>
      <c r="I1675" s="178"/>
    </row>
    <row r="1676" spans="3:9" x14ac:dyDescent="0.2">
      <c r="C1676" s="178"/>
      <c r="D1676" s="178"/>
      <c r="E1676" s="178"/>
      <c r="F1676" s="178"/>
      <c r="G1676" s="180"/>
      <c r="H1676" s="180"/>
      <c r="I1676" s="178"/>
    </row>
    <row r="1677" spans="3:9" x14ac:dyDescent="0.2">
      <c r="C1677" s="178"/>
      <c r="D1677" s="178"/>
      <c r="E1677" s="178"/>
      <c r="F1677" s="178"/>
      <c r="G1677" s="180"/>
      <c r="H1677" s="180"/>
      <c r="I1677" s="178"/>
    </row>
    <row r="1678" spans="3:9" x14ac:dyDescent="0.2">
      <c r="C1678" s="178"/>
      <c r="D1678" s="178"/>
      <c r="E1678" s="178"/>
      <c r="F1678" s="178"/>
      <c r="G1678" s="180"/>
      <c r="H1678" s="180"/>
      <c r="I1678" s="178"/>
    </row>
    <row r="1679" spans="3:9" x14ac:dyDescent="0.2">
      <c r="C1679" s="178"/>
      <c r="D1679" s="178"/>
      <c r="E1679" s="178"/>
      <c r="F1679" s="178"/>
      <c r="G1679" s="180"/>
      <c r="H1679" s="180"/>
      <c r="I1679" s="178"/>
    </row>
    <row r="1680" spans="3:9" x14ac:dyDescent="0.2">
      <c r="C1680" s="178"/>
      <c r="D1680" s="178"/>
      <c r="E1680" s="178"/>
      <c r="F1680" s="178"/>
      <c r="G1680" s="180"/>
      <c r="H1680" s="180"/>
      <c r="I1680" s="178"/>
    </row>
    <row r="1681" spans="3:9" x14ac:dyDescent="0.2">
      <c r="C1681" s="178"/>
      <c r="D1681" s="178"/>
      <c r="E1681" s="178"/>
      <c r="F1681" s="178"/>
      <c r="G1681" s="180"/>
      <c r="H1681" s="180"/>
      <c r="I1681" s="178"/>
    </row>
    <row r="1682" spans="3:9" x14ac:dyDescent="0.2">
      <c r="C1682" s="178"/>
      <c r="D1682" s="178"/>
      <c r="E1682" s="178"/>
      <c r="F1682" s="178"/>
      <c r="G1682" s="180"/>
      <c r="H1682" s="180"/>
      <c r="I1682" s="178"/>
    </row>
    <row r="1683" spans="3:9" x14ac:dyDescent="0.2">
      <c r="C1683" s="178"/>
      <c r="D1683" s="178"/>
      <c r="E1683" s="178"/>
      <c r="F1683" s="178"/>
      <c r="G1683" s="180"/>
      <c r="H1683" s="180"/>
      <c r="I1683" s="178"/>
    </row>
    <row r="1684" spans="3:9" x14ac:dyDescent="0.2">
      <c r="C1684" s="178"/>
      <c r="D1684" s="178"/>
      <c r="E1684" s="178"/>
      <c r="F1684" s="178"/>
      <c r="G1684" s="180"/>
      <c r="H1684" s="180"/>
      <c r="I1684" s="178"/>
    </row>
    <row r="1685" spans="3:9" x14ac:dyDescent="0.2">
      <c r="C1685" s="178"/>
      <c r="D1685" s="178"/>
      <c r="E1685" s="178"/>
      <c r="F1685" s="178"/>
      <c r="G1685" s="180"/>
      <c r="H1685" s="180"/>
      <c r="I1685" s="178"/>
    </row>
    <row r="1686" spans="3:9" x14ac:dyDescent="0.2">
      <c r="C1686" s="178"/>
      <c r="D1686" s="178"/>
      <c r="E1686" s="178"/>
      <c r="F1686" s="178"/>
      <c r="G1686" s="180"/>
      <c r="H1686" s="180"/>
      <c r="I1686" s="178"/>
    </row>
    <row r="1687" spans="3:9" x14ac:dyDescent="0.2">
      <c r="C1687" s="178"/>
      <c r="D1687" s="178"/>
      <c r="E1687" s="178"/>
      <c r="F1687" s="178"/>
      <c r="G1687" s="180"/>
      <c r="H1687" s="180"/>
      <c r="I1687" s="178"/>
    </row>
    <row r="1688" spans="3:9" x14ac:dyDescent="0.2">
      <c r="C1688" s="178"/>
      <c r="D1688" s="178"/>
      <c r="E1688" s="178"/>
      <c r="F1688" s="178"/>
      <c r="G1688" s="180"/>
      <c r="H1688" s="180"/>
      <c r="I1688" s="178"/>
    </row>
    <row r="1689" spans="3:9" x14ac:dyDescent="0.2">
      <c r="C1689" s="178"/>
      <c r="D1689" s="178"/>
      <c r="E1689" s="178"/>
      <c r="F1689" s="178"/>
      <c r="G1689" s="180"/>
      <c r="H1689" s="180"/>
      <c r="I1689" s="178"/>
    </row>
    <row r="1690" spans="3:9" x14ac:dyDescent="0.2">
      <c r="C1690" s="178"/>
      <c r="D1690" s="178"/>
      <c r="E1690" s="178"/>
      <c r="F1690" s="178"/>
      <c r="G1690" s="180"/>
      <c r="H1690" s="180"/>
      <c r="I1690" s="178"/>
    </row>
    <row r="1691" spans="3:9" x14ac:dyDescent="0.2">
      <c r="C1691" s="178"/>
      <c r="D1691" s="178"/>
      <c r="E1691" s="178"/>
      <c r="F1691" s="178"/>
      <c r="G1691" s="180"/>
      <c r="H1691" s="180"/>
      <c r="I1691" s="178"/>
    </row>
    <row r="1692" spans="3:9" x14ac:dyDescent="0.2">
      <c r="C1692" s="178"/>
      <c r="D1692" s="178"/>
      <c r="E1692" s="178"/>
      <c r="F1692" s="178"/>
      <c r="G1692" s="180"/>
      <c r="H1692" s="180"/>
      <c r="I1692" s="178"/>
    </row>
    <row r="1693" spans="3:9" x14ac:dyDescent="0.2">
      <c r="C1693" s="178"/>
      <c r="D1693" s="178"/>
      <c r="E1693" s="178"/>
      <c r="F1693" s="178"/>
      <c r="G1693" s="180"/>
      <c r="H1693" s="180"/>
      <c r="I1693" s="178"/>
    </row>
    <row r="1694" spans="3:9" x14ac:dyDescent="0.2">
      <c r="C1694" s="178"/>
      <c r="D1694" s="178"/>
      <c r="E1694" s="178"/>
      <c r="F1694" s="178"/>
      <c r="G1694" s="180"/>
      <c r="H1694" s="180"/>
      <c r="I1694" s="178"/>
    </row>
    <row r="1695" spans="3:9" x14ac:dyDescent="0.2">
      <c r="C1695" s="178"/>
      <c r="D1695" s="178"/>
      <c r="E1695" s="178"/>
      <c r="F1695" s="178"/>
      <c r="G1695" s="180"/>
      <c r="H1695" s="180"/>
      <c r="I1695" s="178"/>
    </row>
    <row r="1696" spans="3:9" x14ac:dyDescent="0.2">
      <c r="C1696" s="178"/>
      <c r="D1696" s="178"/>
      <c r="E1696" s="178"/>
      <c r="F1696" s="178"/>
      <c r="G1696" s="180"/>
      <c r="H1696" s="180"/>
      <c r="I1696" s="178"/>
    </row>
    <row r="1697" spans="3:9" x14ac:dyDescent="0.2">
      <c r="C1697" s="178"/>
      <c r="D1697" s="178"/>
      <c r="E1697" s="178"/>
      <c r="F1697" s="178"/>
      <c r="G1697" s="180"/>
      <c r="H1697" s="180"/>
      <c r="I1697" s="178"/>
    </row>
    <row r="1698" spans="3:9" x14ac:dyDescent="0.2">
      <c r="C1698" s="178"/>
      <c r="D1698" s="178"/>
      <c r="E1698" s="178"/>
      <c r="F1698" s="178"/>
      <c r="G1698" s="180"/>
      <c r="H1698" s="180"/>
      <c r="I1698" s="178"/>
    </row>
    <row r="1699" spans="3:9" x14ac:dyDescent="0.2">
      <c r="C1699" s="178"/>
      <c r="D1699" s="178"/>
      <c r="E1699" s="178"/>
      <c r="F1699" s="178"/>
      <c r="G1699" s="180"/>
      <c r="H1699" s="180"/>
      <c r="I1699" s="178"/>
    </row>
    <row r="1700" spans="3:9" x14ac:dyDescent="0.2">
      <c r="C1700" s="178"/>
      <c r="D1700" s="178"/>
      <c r="E1700" s="178"/>
      <c r="F1700" s="178"/>
      <c r="G1700" s="180"/>
      <c r="H1700" s="180"/>
      <c r="I1700" s="178"/>
    </row>
    <row r="1701" spans="3:9" x14ac:dyDescent="0.2">
      <c r="C1701" s="178"/>
      <c r="D1701" s="178"/>
      <c r="E1701" s="178"/>
      <c r="F1701" s="178"/>
      <c r="G1701" s="180"/>
      <c r="H1701" s="180"/>
      <c r="I1701" s="178"/>
    </row>
    <row r="1702" spans="3:9" x14ac:dyDescent="0.2">
      <c r="C1702" s="178"/>
      <c r="D1702" s="178"/>
      <c r="E1702" s="178"/>
      <c r="F1702" s="178"/>
      <c r="G1702" s="180"/>
      <c r="H1702" s="180"/>
      <c r="I1702" s="178"/>
    </row>
    <row r="1703" spans="3:9" x14ac:dyDescent="0.2">
      <c r="C1703" s="178"/>
      <c r="D1703" s="178"/>
      <c r="E1703" s="178"/>
      <c r="F1703" s="178"/>
      <c r="G1703" s="180"/>
      <c r="H1703" s="180"/>
      <c r="I1703" s="178"/>
    </row>
    <row r="1704" spans="3:9" x14ac:dyDescent="0.2">
      <c r="C1704" s="178"/>
      <c r="D1704" s="178"/>
      <c r="E1704" s="178"/>
      <c r="F1704" s="178"/>
      <c r="G1704" s="180"/>
      <c r="H1704" s="180"/>
      <c r="I1704" s="178"/>
    </row>
    <row r="1705" spans="3:9" x14ac:dyDescent="0.2">
      <c r="C1705" s="178"/>
      <c r="D1705" s="178"/>
      <c r="E1705" s="178"/>
      <c r="F1705" s="178"/>
      <c r="G1705" s="180"/>
      <c r="H1705" s="180"/>
      <c r="I1705" s="178"/>
    </row>
    <row r="1706" spans="3:9" x14ac:dyDescent="0.2">
      <c r="C1706" s="178"/>
      <c r="D1706" s="178"/>
      <c r="E1706" s="178"/>
      <c r="F1706" s="178"/>
      <c r="G1706" s="180"/>
      <c r="H1706" s="180"/>
      <c r="I1706" s="178"/>
    </row>
    <row r="1707" spans="3:9" x14ac:dyDescent="0.2">
      <c r="C1707" s="178"/>
      <c r="D1707" s="178"/>
      <c r="E1707" s="178"/>
      <c r="F1707" s="178"/>
      <c r="G1707" s="180"/>
      <c r="H1707" s="180"/>
      <c r="I1707" s="178"/>
    </row>
    <row r="1708" spans="3:9" x14ac:dyDescent="0.2">
      <c r="C1708" s="178"/>
      <c r="D1708" s="178"/>
      <c r="E1708" s="178"/>
      <c r="F1708" s="178"/>
      <c r="G1708" s="180"/>
      <c r="H1708" s="180"/>
      <c r="I1708" s="178"/>
    </row>
    <row r="1709" spans="3:9" x14ac:dyDescent="0.2">
      <c r="C1709" s="178"/>
      <c r="D1709" s="178"/>
      <c r="E1709" s="178"/>
      <c r="F1709" s="178"/>
      <c r="G1709" s="180"/>
      <c r="H1709" s="180"/>
      <c r="I1709" s="178"/>
    </row>
    <row r="1710" spans="3:9" x14ac:dyDescent="0.2">
      <c r="C1710" s="178"/>
      <c r="D1710" s="178"/>
      <c r="E1710" s="178"/>
      <c r="F1710" s="178"/>
      <c r="G1710" s="180"/>
      <c r="H1710" s="180"/>
      <c r="I1710" s="178"/>
    </row>
    <row r="1711" spans="3:9" x14ac:dyDescent="0.2">
      <c r="C1711" s="178"/>
      <c r="D1711" s="178"/>
      <c r="E1711" s="178"/>
      <c r="F1711" s="178"/>
      <c r="G1711" s="180"/>
      <c r="H1711" s="180"/>
      <c r="I1711" s="178"/>
    </row>
    <row r="1712" spans="3:9" x14ac:dyDescent="0.2">
      <c r="C1712" s="178"/>
      <c r="D1712" s="178"/>
      <c r="E1712" s="178"/>
      <c r="F1712" s="178"/>
      <c r="G1712" s="180"/>
      <c r="H1712" s="180"/>
      <c r="I1712" s="178"/>
    </row>
    <row r="1713" spans="3:9" x14ac:dyDescent="0.2">
      <c r="C1713" s="178"/>
      <c r="D1713" s="178"/>
      <c r="E1713" s="178"/>
      <c r="F1713" s="178"/>
      <c r="G1713" s="180"/>
      <c r="H1713" s="180"/>
      <c r="I1713" s="178"/>
    </row>
    <row r="1714" spans="3:9" x14ac:dyDescent="0.2">
      <c r="C1714" s="178"/>
      <c r="D1714" s="178"/>
      <c r="E1714" s="178"/>
      <c r="F1714" s="178"/>
      <c r="G1714" s="180"/>
      <c r="H1714" s="180"/>
      <c r="I1714" s="178"/>
    </row>
    <row r="1715" spans="3:9" x14ac:dyDescent="0.2">
      <c r="C1715" s="178"/>
      <c r="D1715" s="178"/>
      <c r="E1715" s="178"/>
      <c r="F1715" s="178"/>
      <c r="G1715" s="180"/>
      <c r="H1715" s="180"/>
      <c r="I1715" s="178"/>
    </row>
    <row r="1716" spans="3:9" x14ac:dyDescent="0.2">
      <c r="C1716" s="178"/>
      <c r="D1716" s="178"/>
      <c r="E1716" s="178"/>
      <c r="F1716" s="178"/>
      <c r="G1716" s="180"/>
      <c r="H1716" s="180"/>
      <c r="I1716" s="178"/>
    </row>
    <row r="1717" spans="3:9" x14ac:dyDescent="0.2">
      <c r="C1717" s="178"/>
      <c r="D1717" s="178"/>
      <c r="E1717" s="178"/>
      <c r="F1717" s="178"/>
      <c r="G1717" s="180"/>
      <c r="H1717" s="180"/>
      <c r="I1717" s="178"/>
    </row>
    <row r="1718" spans="3:9" x14ac:dyDescent="0.2">
      <c r="C1718" s="178"/>
      <c r="D1718" s="178"/>
      <c r="E1718" s="178"/>
      <c r="F1718" s="178"/>
      <c r="G1718" s="180"/>
      <c r="H1718" s="180"/>
      <c r="I1718" s="178"/>
    </row>
    <row r="1719" spans="3:9" x14ac:dyDescent="0.2">
      <c r="C1719" s="178"/>
      <c r="D1719" s="178"/>
      <c r="E1719" s="178"/>
      <c r="F1719" s="178"/>
      <c r="G1719" s="180"/>
      <c r="H1719" s="180"/>
      <c r="I1719" s="178"/>
    </row>
    <row r="1720" spans="3:9" x14ac:dyDescent="0.2">
      <c r="C1720" s="178"/>
      <c r="D1720" s="178"/>
      <c r="E1720" s="178"/>
      <c r="F1720" s="178"/>
      <c r="G1720" s="180"/>
      <c r="H1720" s="180"/>
      <c r="I1720" s="178"/>
    </row>
    <row r="1721" spans="3:9" x14ac:dyDescent="0.2">
      <c r="C1721" s="178"/>
      <c r="D1721" s="178"/>
      <c r="E1721" s="178"/>
      <c r="F1721" s="178"/>
      <c r="G1721" s="180"/>
      <c r="H1721" s="180"/>
      <c r="I1721" s="178"/>
    </row>
    <row r="1722" spans="3:9" x14ac:dyDescent="0.2">
      <c r="C1722" s="178"/>
      <c r="D1722" s="178"/>
      <c r="E1722" s="178"/>
      <c r="F1722" s="178"/>
      <c r="G1722" s="180"/>
      <c r="H1722" s="180"/>
      <c r="I1722" s="178"/>
    </row>
    <row r="1723" spans="3:9" x14ac:dyDescent="0.2">
      <c r="C1723" s="178"/>
      <c r="D1723" s="178"/>
      <c r="E1723" s="178"/>
      <c r="F1723" s="178"/>
      <c r="G1723" s="180"/>
      <c r="H1723" s="180"/>
      <c r="I1723" s="178"/>
    </row>
    <row r="1724" spans="3:9" x14ac:dyDescent="0.2">
      <c r="C1724" s="178"/>
      <c r="D1724" s="178"/>
      <c r="E1724" s="178"/>
      <c r="F1724" s="178"/>
      <c r="G1724" s="180"/>
      <c r="H1724" s="180"/>
      <c r="I1724" s="178"/>
    </row>
    <row r="1725" spans="3:9" x14ac:dyDescent="0.2">
      <c r="C1725" s="178"/>
      <c r="D1725" s="178"/>
      <c r="E1725" s="178"/>
      <c r="F1725" s="178"/>
      <c r="G1725" s="180"/>
      <c r="H1725" s="180"/>
      <c r="I1725" s="178"/>
    </row>
    <row r="1726" spans="3:9" x14ac:dyDescent="0.2">
      <c r="C1726" s="178"/>
      <c r="D1726" s="178"/>
      <c r="E1726" s="178"/>
      <c r="F1726" s="178"/>
      <c r="G1726" s="180"/>
      <c r="H1726" s="180"/>
      <c r="I1726" s="178"/>
    </row>
    <row r="1727" spans="3:9" x14ac:dyDescent="0.2">
      <c r="C1727" s="178"/>
      <c r="D1727" s="178"/>
      <c r="E1727" s="178"/>
      <c r="F1727" s="178"/>
      <c r="G1727" s="180"/>
      <c r="H1727" s="180"/>
      <c r="I1727" s="178"/>
    </row>
    <row r="1728" spans="3:9" x14ac:dyDescent="0.2">
      <c r="C1728" s="178"/>
      <c r="D1728" s="178"/>
      <c r="E1728" s="178"/>
      <c r="F1728" s="178"/>
      <c r="G1728" s="180"/>
      <c r="H1728" s="180"/>
      <c r="I1728" s="178"/>
    </row>
    <row r="1729" spans="3:9" x14ac:dyDescent="0.2">
      <c r="C1729" s="178"/>
      <c r="D1729" s="178"/>
      <c r="E1729" s="178"/>
      <c r="F1729" s="178"/>
      <c r="G1729" s="180"/>
      <c r="H1729" s="180"/>
      <c r="I1729" s="178"/>
    </row>
    <row r="1730" spans="3:9" x14ac:dyDescent="0.2">
      <c r="C1730" s="178"/>
      <c r="D1730" s="178"/>
      <c r="E1730" s="178"/>
      <c r="F1730" s="178"/>
      <c r="G1730" s="180"/>
      <c r="H1730" s="180"/>
      <c r="I1730" s="178"/>
    </row>
    <row r="1731" spans="3:9" x14ac:dyDescent="0.2">
      <c r="C1731" s="178"/>
      <c r="D1731" s="178"/>
      <c r="E1731" s="178"/>
      <c r="F1731" s="178"/>
      <c r="G1731" s="180"/>
      <c r="H1731" s="180"/>
      <c r="I1731" s="178"/>
    </row>
    <row r="1732" spans="3:9" x14ac:dyDescent="0.2">
      <c r="C1732" s="178"/>
      <c r="D1732" s="178"/>
      <c r="E1732" s="178"/>
      <c r="F1732" s="178"/>
      <c r="G1732" s="180"/>
      <c r="H1732" s="180"/>
      <c r="I1732" s="178"/>
    </row>
    <row r="1733" spans="3:9" x14ac:dyDescent="0.2">
      <c r="C1733" s="178"/>
      <c r="D1733" s="178"/>
      <c r="E1733" s="178"/>
      <c r="F1733" s="178"/>
      <c r="G1733" s="180"/>
      <c r="H1733" s="180"/>
      <c r="I1733" s="178"/>
    </row>
    <row r="1734" spans="3:9" x14ac:dyDescent="0.2">
      <c r="C1734" s="178"/>
      <c r="D1734" s="178"/>
      <c r="E1734" s="178"/>
      <c r="F1734" s="178"/>
      <c r="G1734" s="180"/>
      <c r="H1734" s="180"/>
      <c r="I1734" s="178"/>
    </row>
    <row r="1735" spans="3:9" x14ac:dyDescent="0.2">
      <c r="C1735" s="178"/>
      <c r="D1735" s="178"/>
      <c r="E1735" s="178"/>
      <c r="F1735" s="178"/>
      <c r="G1735" s="180"/>
      <c r="H1735" s="180"/>
      <c r="I1735" s="178"/>
    </row>
    <row r="1736" spans="3:9" x14ac:dyDescent="0.2">
      <c r="C1736" s="178"/>
      <c r="D1736" s="178"/>
      <c r="E1736" s="178"/>
      <c r="F1736" s="178"/>
      <c r="G1736" s="180"/>
      <c r="H1736" s="180"/>
      <c r="I1736" s="178"/>
    </row>
    <row r="1737" spans="3:9" x14ac:dyDescent="0.2">
      <c r="C1737" s="178"/>
      <c r="D1737" s="178"/>
      <c r="E1737" s="178"/>
      <c r="F1737" s="178"/>
      <c r="G1737" s="180"/>
      <c r="H1737" s="180"/>
      <c r="I1737" s="178"/>
    </row>
    <row r="1738" spans="3:9" x14ac:dyDescent="0.2">
      <c r="C1738" s="178"/>
      <c r="D1738" s="178"/>
      <c r="E1738" s="178"/>
      <c r="F1738" s="178"/>
      <c r="G1738" s="180"/>
      <c r="H1738" s="180"/>
      <c r="I1738" s="178"/>
    </row>
    <row r="1739" spans="3:9" x14ac:dyDescent="0.2">
      <c r="C1739" s="178"/>
      <c r="D1739" s="178"/>
      <c r="E1739" s="178"/>
      <c r="F1739" s="178"/>
      <c r="G1739" s="180"/>
      <c r="H1739" s="180"/>
      <c r="I1739" s="178"/>
    </row>
    <row r="1740" spans="3:9" x14ac:dyDescent="0.2">
      <c r="C1740" s="178"/>
      <c r="D1740" s="178"/>
      <c r="E1740" s="178"/>
      <c r="F1740" s="178"/>
      <c r="G1740" s="180"/>
      <c r="H1740" s="180"/>
      <c r="I1740" s="178"/>
    </row>
    <row r="1741" spans="3:9" x14ac:dyDescent="0.2">
      <c r="C1741" s="178"/>
      <c r="D1741" s="178"/>
      <c r="E1741" s="178"/>
      <c r="F1741" s="178"/>
      <c r="G1741" s="180"/>
      <c r="H1741" s="180"/>
      <c r="I1741" s="178"/>
    </row>
    <row r="1742" spans="3:9" x14ac:dyDescent="0.2">
      <c r="C1742" s="178"/>
      <c r="D1742" s="178"/>
      <c r="E1742" s="178"/>
      <c r="F1742" s="178"/>
      <c r="G1742" s="180"/>
      <c r="H1742" s="180"/>
      <c r="I1742" s="178"/>
    </row>
    <row r="1743" spans="3:9" x14ac:dyDescent="0.2">
      <c r="C1743" s="178"/>
      <c r="D1743" s="178"/>
      <c r="E1743" s="178"/>
      <c r="F1743" s="178"/>
      <c r="G1743" s="180"/>
      <c r="H1743" s="180"/>
      <c r="I1743" s="178"/>
    </row>
    <row r="1744" spans="3:9" x14ac:dyDescent="0.2">
      <c r="C1744" s="178"/>
      <c r="D1744" s="178"/>
      <c r="E1744" s="178"/>
      <c r="F1744" s="178"/>
      <c r="G1744" s="180"/>
      <c r="H1744" s="180"/>
      <c r="I1744" s="178"/>
    </row>
    <row r="1745" spans="3:9" x14ac:dyDescent="0.2">
      <c r="C1745" s="178"/>
      <c r="D1745" s="178"/>
      <c r="E1745" s="178"/>
      <c r="F1745" s="178"/>
      <c r="G1745" s="180"/>
      <c r="H1745" s="180"/>
      <c r="I1745" s="178"/>
    </row>
    <row r="1746" spans="3:9" x14ac:dyDescent="0.2">
      <c r="C1746" s="178"/>
      <c r="D1746" s="178"/>
      <c r="E1746" s="178"/>
      <c r="F1746" s="178"/>
      <c r="G1746" s="180"/>
      <c r="H1746" s="180"/>
      <c r="I1746" s="178"/>
    </row>
    <row r="1747" spans="3:9" x14ac:dyDescent="0.2">
      <c r="C1747" s="178"/>
      <c r="D1747" s="178"/>
      <c r="E1747" s="178"/>
      <c r="F1747" s="178"/>
      <c r="G1747" s="180"/>
      <c r="H1747" s="180"/>
      <c r="I1747" s="178"/>
    </row>
    <row r="1748" spans="3:9" x14ac:dyDescent="0.2">
      <c r="C1748" s="178"/>
      <c r="D1748" s="178"/>
      <c r="E1748" s="178"/>
      <c r="F1748" s="178"/>
      <c r="G1748" s="180"/>
      <c r="H1748" s="180"/>
      <c r="I1748" s="178"/>
    </row>
    <row r="1749" spans="3:9" x14ac:dyDescent="0.2">
      <c r="C1749" s="178"/>
      <c r="D1749" s="178"/>
      <c r="E1749" s="178"/>
      <c r="F1749" s="178"/>
      <c r="G1749" s="180"/>
      <c r="H1749" s="180"/>
      <c r="I1749" s="178"/>
    </row>
    <row r="1750" spans="3:9" x14ac:dyDescent="0.2">
      <c r="C1750" s="178"/>
      <c r="D1750" s="178"/>
      <c r="E1750" s="178"/>
      <c r="F1750" s="178"/>
      <c r="G1750" s="180"/>
      <c r="H1750" s="180"/>
      <c r="I1750" s="178"/>
    </row>
    <row r="1751" spans="3:9" x14ac:dyDescent="0.2">
      <c r="C1751" s="178"/>
      <c r="D1751" s="178"/>
      <c r="E1751" s="178"/>
      <c r="F1751" s="178"/>
      <c r="G1751" s="180"/>
      <c r="H1751" s="180"/>
      <c r="I1751" s="178"/>
    </row>
    <row r="1752" spans="3:9" x14ac:dyDescent="0.2">
      <c r="C1752" s="178"/>
      <c r="D1752" s="178"/>
      <c r="E1752" s="178"/>
      <c r="F1752" s="178"/>
      <c r="G1752" s="180"/>
      <c r="H1752" s="180"/>
      <c r="I1752" s="178"/>
    </row>
    <row r="1753" spans="3:9" x14ac:dyDescent="0.2">
      <c r="C1753" s="178"/>
      <c r="D1753" s="178"/>
      <c r="E1753" s="178"/>
      <c r="F1753" s="178"/>
      <c r="G1753" s="180"/>
      <c r="H1753" s="180"/>
      <c r="I1753" s="178"/>
    </row>
    <row r="1754" spans="3:9" x14ac:dyDescent="0.2">
      <c r="C1754" s="178"/>
      <c r="D1754" s="178"/>
      <c r="E1754" s="178"/>
      <c r="F1754" s="178"/>
      <c r="G1754" s="180"/>
      <c r="H1754" s="180"/>
      <c r="I1754" s="178"/>
    </row>
    <row r="1755" spans="3:9" x14ac:dyDescent="0.2">
      <c r="C1755" s="178"/>
      <c r="D1755" s="178"/>
      <c r="E1755" s="178"/>
      <c r="F1755" s="178"/>
      <c r="G1755" s="180"/>
      <c r="H1755" s="180"/>
      <c r="I1755" s="178"/>
    </row>
    <row r="1756" spans="3:9" x14ac:dyDescent="0.2">
      <c r="C1756" s="178"/>
      <c r="D1756" s="178"/>
      <c r="E1756" s="178"/>
      <c r="F1756" s="178"/>
      <c r="G1756" s="180"/>
      <c r="H1756" s="180"/>
      <c r="I1756" s="178"/>
    </row>
    <row r="1757" spans="3:9" x14ac:dyDescent="0.2">
      <c r="C1757" s="178"/>
      <c r="D1757" s="178"/>
      <c r="E1757" s="178"/>
      <c r="F1757" s="178"/>
      <c r="G1757" s="180"/>
      <c r="H1757" s="180"/>
      <c r="I1757" s="178"/>
    </row>
    <row r="1758" spans="3:9" x14ac:dyDescent="0.2">
      <c r="C1758" s="178"/>
      <c r="D1758" s="178"/>
      <c r="E1758" s="178"/>
      <c r="F1758" s="178"/>
      <c r="G1758" s="180"/>
      <c r="H1758" s="180"/>
      <c r="I1758" s="178"/>
    </row>
    <row r="1759" spans="3:9" x14ac:dyDescent="0.2">
      <c r="C1759" s="178"/>
      <c r="D1759" s="178"/>
      <c r="E1759" s="178"/>
      <c r="F1759" s="178"/>
      <c r="G1759" s="180"/>
      <c r="H1759" s="180"/>
      <c r="I1759" s="178"/>
    </row>
    <row r="1760" spans="3:9" x14ac:dyDescent="0.2">
      <c r="C1760" s="178"/>
      <c r="D1760" s="178"/>
      <c r="E1760" s="178"/>
      <c r="F1760" s="178"/>
      <c r="G1760" s="180"/>
      <c r="H1760" s="180"/>
      <c r="I1760" s="178"/>
    </row>
    <row r="1761" spans="3:9" x14ac:dyDescent="0.2">
      <c r="C1761" s="178"/>
      <c r="D1761" s="178"/>
      <c r="E1761" s="178"/>
      <c r="F1761" s="178"/>
      <c r="G1761" s="180"/>
      <c r="H1761" s="180"/>
      <c r="I1761" s="178"/>
    </row>
    <row r="1762" spans="3:9" x14ac:dyDescent="0.2">
      <c r="C1762" s="178"/>
      <c r="D1762" s="178"/>
      <c r="E1762" s="178"/>
      <c r="F1762" s="178"/>
      <c r="G1762" s="180"/>
      <c r="H1762" s="180"/>
      <c r="I1762" s="178"/>
    </row>
    <row r="1763" spans="3:9" x14ac:dyDescent="0.2">
      <c r="C1763" s="178"/>
      <c r="D1763" s="178"/>
      <c r="E1763" s="178"/>
      <c r="F1763" s="178"/>
      <c r="G1763" s="180"/>
      <c r="H1763" s="180"/>
      <c r="I1763" s="178"/>
    </row>
    <row r="1764" spans="3:9" x14ac:dyDescent="0.2">
      <c r="C1764" s="178"/>
      <c r="D1764" s="178"/>
      <c r="E1764" s="178"/>
      <c r="F1764" s="178"/>
      <c r="G1764" s="180"/>
      <c r="H1764" s="180"/>
      <c r="I1764" s="178"/>
    </row>
    <row r="1765" spans="3:9" x14ac:dyDescent="0.2">
      <c r="C1765" s="178"/>
      <c r="D1765" s="178"/>
      <c r="E1765" s="178"/>
      <c r="F1765" s="178"/>
      <c r="G1765" s="180"/>
      <c r="H1765" s="180"/>
      <c r="I1765" s="178"/>
    </row>
    <row r="1766" spans="3:9" x14ac:dyDescent="0.2">
      <c r="C1766" s="178"/>
      <c r="D1766" s="178"/>
      <c r="E1766" s="178"/>
      <c r="F1766" s="178"/>
      <c r="G1766" s="180"/>
      <c r="H1766" s="180"/>
      <c r="I1766" s="178"/>
    </row>
    <row r="1767" spans="3:9" x14ac:dyDescent="0.2">
      <c r="C1767" s="178"/>
      <c r="D1767" s="178"/>
      <c r="E1767" s="178"/>
      <c r="F1767" s="178"/>
      <c r="G1767" s="180"/>
      <c r="H1767" s="180"/>
      <c r="I1767" s="178"/>
    </row>
    <row r="1768" spans="3:9" x14ac:dyDescent="0.2">
      <c r="C1768" s="178"/>
      <c r="D1768" s="178"/>
      <c r="E1768" s="178"/>
      <c r="F1768" s="178"/>
      <c r="G1768" s="180"/>
      <c r="H1768" s="180"/>
      <c r="I1768" s="178"/>
    </row>
    <row r="1769" spans="3:9" x14ac:dyDescent="0.2">
      <c r="C1769" s="178"/>
      <c r="D1769" s="178"/>
      <c r="E1769" s="178"/>
      <c r="F1769" s="178"/>
      <c r="G1769" s="180"/>
      <c r="H1769" s="180"/>
      <c r="I1769" s="178"/>
    </row>
    <row r="1770" spans="3:9" x14ac:dyDescent="0.2">
      <c r="C1770" s="178"/>
      <c r="D1770" s="178"/>
      <c r="E1770" s="178"/>
      <c r="F1770" s="178"/>
      <c r="G1770" s="180"/>
      <c r="H1770" s="180"/>
      <c r="I1770" s="178"/>
    </row>
    <row r="1771" spans="3:9" x14ac:dyDescent="0.2">
      <c r="C1771" s="178"/>
      <c r="D1771" s="178"/>
      <c r="E1771" s="178"/>
      <c r="F1771" s="178"/>
      <c r="G1771" s="180"/>
      <c r="H1771" s="180"/>
      <c r="I1771" s="178"/>
    </row>
    <row r="1772" spans="3:9" x14ac:dyDescent="0.2">
      <c r="C1772" s="178"/>
      <c r="D1772" s="178"/>
      <c r="E1772" s="178"/>
      <c r="F1772" s="178"/>
      <c r="G1772" s="180"/>
      <c r="H1772" s="180"/>
      <c r="I1772" s="178"/>
    </row>
    <row r="1773" spans="3:9" x14ac:dyDescent="0.2">
      <c r="C1773" s="178"/>
      <c r="D1773" s="178"/>
      <c r="E1773" s="178"/>
      <c r="F1773" s="178"/>
      <c r="G1773" s="180"/>
      <c r="H1773" s="180"/>
      <c r="I1773" s="178"/>
    </row>
    <row r="1774" spans="3:9" x14ac:dyDescent="0.2">
      <c r="C1774" s="178"/>
      <c r="D1774" s="178"/>
      <c r="E1774" s="178"/>
      <c r="F1774" s="178"/>
      <c r="G1774" s="180"/>
      <c r="H1774" s="180"/>
      <c r="I1774" s="178"/>
    </row>
    <row r="1775" spans="3:9" x14ac:dyDescent="0.2">
      <c r="C1775" s="178"/>
      <c r="D1775" s="178"/>
      <c r="E1775" s="178"/>
      <c r="F1775" s="178"/>
      <c r="G1775" s="180"/>
      <c r="H1775" s="180"/>
      <c r="I1775" s="178"/>
    </row>
    <row r="1776" spans="3:9" x14ac:dyDescent="0.2">
      <c r="C1776" s="178"/>
      <c r="D1776" s="178"/>
      <c r="E1776" s="178"/>
      <c r="F1776" s="178"/>
      <c r="G1776" s="180"/>
      <c r="H1776" s="180"/>
      <c r="I1776" s="178"/>
    </row>
    <row r="1777" spans="3:9" x14ac:dyDescent="0.2">
      <c r="C1777" s="178"/>
      <c r="D1777" s="178"/>
      <c r="E1777" s="178"/>
      <c r="F1777" s="178"/>
      <c r="G1777" s="180"/>
      <c r="H1777" s="180"/>
      <c r="I1777" s="178"/>
    </row>
    <row r="1778" spans="3:9" x14ac:dyDescent="0.2">
      <c r="C1778" s="178"/>
      <c r="D1778" s="178"/>
      <c r="E1778" s="178"/>
      <c r="F1778" s="178"/>
      <c r="G1778" s="180"/>
      <c r="H1778" s="180"/>
      <c r="I1778" s="178"/>
    </row>
    <row r="1779" spans="3:9" x14ac:dyDescent="0.2">
      <c r="C1779" s="178"/>
      <c r="D1779" s="178"/>
      <c r="E1779" s="178"/>
      <c r="F1779" s="178"/>
      <c r="G1779" s="180"/>
      <c r="H1779" s="180"/>
      <c r="I1779" s="178"/>
    </row>
    <row r="1780" spans="3:9" x14ac:dyDescent="0.2">
      <c r="C1780" s="178"/>
      <c r="D1780" s="178"/>
      <c r="E1780" s="178"/>
      <c r="F1780" s="178"/>
      <c r="G1780" s="180"/>
      <c r="H1780" s="180"/>
      <c r="I1780" s="178"/>
    </row>
    <row r="1781" spans="3:9" x14ac:dyDescent="0.2">
      <c r="C1781" s="178"/>
      <c r="D1781" s="178"/>
      <c r="E1781" s="178"/>
      <c r="F1781" s="178"/>
      <c r="G1781" s="180"/>
      <c r="H1781" s="180"/>
      <c r="I1781" s="178"/>
    </row>
    <row r="1782" spans="3:9" x14ac:dyDescent="0.2">
      <c r="C1782" s="178"/>
      <c r="D1782" s="178"/>
      <c r="E1782" s="178"/>
      <c r="F1782" s="178"/>
      <c r="G1782" s="180"/>
      <c r="H1782" s="180"/>
      <c r="I1782" s="178"/>
    </row>
    <row r="1783" spans="3:9" x14ac:dyDescent="0.2">
      <c r="C1783" s="178"/>
      <c r="D1783" s="178"/>
      <c r="E1783" s="178"/>
      <c r="F1783" s="178"/>
      <c r="G1783" s="180"/>
      <c r="H1783" s="180"/>
      <c r="I1783" s="178"/>
    </row>
    <row r="1784" spans="3:9" x14ac:dyDescent="0.2">
      <c r="C1784" s="178"/>
      <c r="D1784" s="178"/>
      <c r="E1784" s="178"/>
      <c r="F1784" s="178"/>
      <c r="G1784" s="180"/>
      <c r="H1784" s="180"/>
      <c r="I1784" s="178"/>
    </row>
    <row r="1785" spans="3:9" x14ac:dyDescent="0.2">
      <c r="C1785" s="178"/>
      <c r="D1785" s="178"/>
      <c r="E1785" s="178"/>
      <c r="F1785" s="178"/>
      <c r="G1785" s="180"/>
      <c r="H1785" s="180"/>
      <c r="I1785" s="178"/>
    </row>
    <row r="1786" spans="3:9" x14ac:dyDescent="0.2">
      <c r="C1786" s="178"/>
      <c r="D1786" s="178"/>
      <c r="E1786" s="178"/>
      <c r="F1786" s="178"/>
      <c r="G1786" s="180"/>
      <c r="H1786" s="180"/>
      <c r="I1786" s="178"/>
    </row>
    <row r="1787" spans="3:9" x14ac:dyDescent="0.2">
      <c r="C1787" s="178"/>
      <c r="D1787" s="178"/>
      <c r="E1787" s="178"/>
      <c r="F1787" s="178"/>
      <c r="G1787" s="180"/>
      <c r="H1787" s="180"/>
      <c r="I1787" s="178"/>
    </row>
    <row r="1788" spans="3:9" x14ac:dyDescent="0.2">
      <c r="C1788" s="178"/>
      <c r="D1788" s="178"/>
      <c r="E1788" s="178"/>
      <c r="F1788" s="178"/>
      <c r="G1788" s="180"/>
      <c r="H1788" s="180"/>
      <c r="I1788" s="178"/>
    </row>
    <row r="1789" spans="3:9" x14ac:dyDescent="0.2">
      <c r="C1789" s="178"/>
      <c r="D1789" s="178"/>
      <c r="E1789" s="178"/>
      <c r="F1789" s="178"/>
      <c r="G1789" s="180"/>
      <c r="H1789" s="180"/>
      <c r="I1789" s="178"/>
    </row>
    <row r="1790" spans="3:9" x14ac:dyDescent="0.2">
      <c r="C1790" s="178"/>
      <c r="D1790" s="178"/>
      <c r="E1790" s="178"/>
      <c r="F1790" s="178"/>
      <c r="G1790" s="180"/>
      <c r="H1790" s="180"/>
      <c r="I1790" s="178"/>
    </row>
    <row r="1791" spans="3:9" x14ac:dyDescent="0.2">
      <c r="C1791" s="178"/>
      <c r="D1791" s="178"/>
      <c r="E1791" s="178"/>
      <c r="F1791" s="178"/>
      <c r="G1791" s="180"/>
      <c r="H1791" s="180"/>
      <c r="I1791" s="178"/>
    </row>
    <row r="1792" spans="3:9" x14ac:dyDescent="0.2">
      <c r="C1792" s="178"/>
      <c r="D1792" s="178"/>
      <c r="E1792" s="178"/>
      <c r="F1792" s="178"/>
      <c r="G1792" s="180"/>
      <c r="H1792" s="180"/>
      <c r="I1792" s="178"/>
    </row>
    <row r="1793" spans="3:9" x14ac:dyDescent="0.2">
      <c r="C1793" s="178"/>
      <c r="D1793" s="178"/>
      <c r="E1793" s="178"/>
      <c r="F1793" s="178"/>
      <c r="G1793" s="180"/>
      <c r="H1793" s="180"/>
      <c r="I1793" s="178"/>
    </row>
    <row r="1794" spans="3:9" x14ac:dyDescent="0.2">
      <c r="C1794" s="178"/>
      <c r="D1794" s="178"/>
      <c r="E1794" s="178"/>
      <c r="F1794" s="178"/>
      <c r="G1794" s="180"/>
      <c r="H1794" s="180"/>
      <c r="I1794" s="178"/>
    </row>
    <row r="1795" spans="3:9" x14ac:dyDescent="0.2">
      <c r="C1795" s="178"/>
      <c r="D1795" s="178"/>
      <c r="E1795" s="178"/>
      <c r="F1795" s="178"/>
      <c r="G1795" s="180"/>
      <c r="H1795" s="180"/>
      <c r="I1795" s="178"/>
    </row>
    <row r="1796" spans="3:9" x14ac:dyDescent="0.2">
      <c r="C1796" s="178"/>
      <c r="D1796" s="178"/>
      <c r="E1796" s="178"/>
      <c r="F1796" s="178"/>
      <c r="G1796" s="180"/>
      <c r="H1796" s="180"/>
      <c r="I1796" s="178"/>
    </row>
    <row r="1797" spans="3:9" x14ac:dyDescent="0.2">
      <c r="C1797" s="178"/>
      <c r="D1797" s="178"/>
      <c r="E1797" s="178"/>
      <c r="F1797" s="178"/>
      <c r="G1797" s="180"/>
      <c r="H1797" s="180"/>
      <c r="I1797" s="178"/>
    </row>
    <row r="1798" spans="3:9" x14ac:dyDescent="0.2">
      <c r="C1798" s="178"/>
      <c r="D1798" s="178"/>
      <c r="E1798" s="178"/>
      <c r="F1798" s="178"/>
      <c r="G1798" s="180"/>
      <c r="H1798" s="180"/>
      <c r="I1798" s="178"/>
    </row>
    <row r="1799" spans="3:9" x14ac:dyDescent="0.2">
      <c r="C1799" s="178"/>
      <c r="D1799" s="178"/>
      <c r="E1799" s="178"/>
      <c r="F1799" s="178"/>
      <c r="G1799" s="180"/>
      <c r="H1799" s="180"/>
      <c r="I1799" s="178"/>
    </row>
    <row r="1800" spans="3:9" x14ac:dyDescent="0.2">
      <c r="C1800" s="178"/>
      <c r="D1800" s="178"/>
      <c r="E1800" s="178"/>
      <c r="F1800" s="178"/>
      <c r="G1800" s="180"/>
      <c r="H1800" s="180"/>
      <c r="I1800" s="178"/>
    </row>
    <row r="1801" spans="3:9" x14ac:dyDescent="0.2">
      <c r="C1801" s="178"/>
      <c r="D1801" s="178"/>
      <c r="E1801" s="178"/>
      <c r="F1801" s="178"/>
      <c r="G1801" s="180"/>
      <c r="H1801" s="180"/>
      <c r="I1801" s="178"/>
    </row>
    <row r="1802" spans="3:9" x14ac:dyDescent="0.2">
      <c r="C1802" s="178"/>
      <c r="D1802" s="178"/>
      <c r="E1802" s="178"/>
      <c r="F1802" s="178"/>
      <c r="G1802" s="180"/>
      <c r="H1802" s="180"/>
      <c r="I1802" s="178"/>
    </row>
    <row r="1803" spans="3:9" x14ac:dyDescent="0.2">
      <c r="C1803" s="178"/>
      <c r="D1803" s="178"/>
      <c r="E1803" s="178"/>
      <c r="F1803" s="178"/>
      <c r="G1803" s="180"/>
      <c r="H1803" s="180"/>
      <c r="I1803" s="178"/>
    </row>
    <row r="1804" spans="3:9" x14ac:dyDescent="0.2">
      <c r="C1804" s="178"/>
      <c r="D1804" s="178"/>
      <c r="E1804" s="178"/>
      <c r="F1804" s="178"/>
      <c r="G1804" s="180"/>
      <c r="H1804" s="180"/>
      <c r="I1804" s="178"/>
    </row>
    <row r="1805" spans="3:9" x14ac:dyDescent="0.2">
      <c r="C1805" s="178"/>
      <c r="D1805" s="178"/>
      <c r="E1805" s="178"/>
      <c r="F1805" s="178"/>
      <c r="G1805" s="180"/>
      <c r="H1805" s="180"/>
      <c r="I1805" s="178"/>
    </row>
    <row r="1806" spans="3:9" x14ac:dyDescent="0.2">
      <c r="C1806" s="178"/>
      <c r="D1806" s="178"/>
      <c r="E1806" s="178"/>
      <c r="F1806" s="178"/>
      <c r="G1806" s="180"/>
      <c r="H1806" s="180"/>
      <c r="I1806" s="178"/>
    </row>
    <row r="1807" spans="3:9" x14ac:dyDescent="0.2">
      <c r="C1807" s="178"/>
      <c r="D1807" s="178"/>
      <c r="E1807" s="178"/>
      <c r="F1807" s="178"/>
      <c r="G1807" s="180"/>
      <c r="H1807" s="180"/>
      <c r="I1807" s="178"/>
    </row>
    <row r="1808" spans="3:9" x14ac:dyDescent="0.2">
      <c r="C1808" s="178"/>
      <c r="D1808" s="178"/>
      <c r="E1808" s="178"/>
      <c r="F1808" s="178"/>
      <c r="G1808" s="180"/>
      <c r="H1808" s="180"/>
      <c r="I1808" s="178"/>
    </row>
    <row r="1809" spans="3:9" x14ac:dyDescent="0.2">
      <c r="C1809" s="178"/>
      <c r="D1809" s="178"/>
      <c r="E1809" s="178"/>
      <c r="F1809" s="178"/>
      <c r="G1809" s="180"/>
      <c r="H1809" s="180"/>
      <c r="I1809" s="178"/>
    </row>
    <row r="1810" spans="3:9" x14ac:dyDescent="0.2">
      <c r="C1810" s="178"/>
      <c r="D1810" s="178"/>
      <c r="E1810" s="178"/>
      <c r="F1810" s="178"/>
      <c r="G1810" s="180"/>
      <c r="H1810" s="180"/>
      <c r="I1810" s="178"/>
    </row>
    <row r="1811" spans="3:9" x14ac:dyDescent="0.2">
      <c r="C1811" s="178"/>
      <c r="D1811" s="178"/>
      <c r="E1811" s="178"/>
      <c r="F1811" s="178"/>
      <c r="G1811" s="180"/>
      <c r="H1811" s="180"/>
      <c r="I1811" s="178"/>
    </row>
    <row r="1812" spans="3:9" x14ac:dyDescent="0.2">
      <c r="C1812" s="178"/>
      <c r="D1812" s="178"/>
      <c r="E1812" s="178"/>
      <c r="F1812" s="178"/>
      <c r="G1812" s="180"/>
      <c r="H1812" s="180"/>
      <c r="I1812" s="178"/>
    </row>
    <row r="1813" spans="3:9" x14ac:dyDescent="0.2">
      <c r="C1813" s="178"/>
      <c r="D1813" s="178"/>
      <c r="E1813" s="178"/>
      <c r="F1813" s="178"/>
      <c r="G1813" s="180"/>
      <c r="H1813" s="180"/>
      <c r="I1813" s="178"/>
    </row>
    <row r="1814" spans="3:9" x14ac:dyDescent="0.2">
      <c r="C1814" s="178"/>
      <c r="D1814" s="178"/>
      <c r="E1814" s="178"/>
      <c r="F1814" s="178"/>
      <c r="G1814" s="180"/>
      <c r="H1814" s="180"/>
      <c r="I1814" s="178"/>
    </row>
    <row r="1815" spans="3:9" x14ac:dyDescent="0.2">
      <c r="C1815" s="178"/>
      <c r="D1815" s="178"/>
      <c r="E1815" s="178"/>
      <c r="F1815" s="178"/>
      <c r="G1815" s="180"/>
      <c r="H1815" s="180"/>
      <c r="I1815" s="178"/>
    </row>
    <row r="1816" spans="3:9" x14ac:dyDescent="0.2">
      <c r="C1816" s="178"/>
      <c r="D1816" s="178"/>
      <c r="E1816" s="178"/>
      <c r="F1816" s="178"/>
      <c r="G1816" s="180"/>
      <c r="H1816" s="180"/>
      <c r="I1816" s="178"/>
    </row>
    <row r="1817" spans="3:9" x14ac:dyDescent="0.2">
      <c r="C1817" s="178"/>
      <c r="D1817" s="178"/>
      <c r="E1817" s="178"/>
      <c r="F1817" s="178"/>
      <c r="G1817" s="180"/>
      <c r="H1817" s="180"/>
      <c r="I1817" s="178"/>
    </row>
    <row r="1818" spans="3:9" x14ac:dyDescent="0.2">
      <c r="C1818" s="178"/>
      <c r="D1818" s="178"/>
      <c r="E1818" s="178"/>
      <c r="F1818" s="178"/>
      <c r="G1818" s="180"/>
      <c r="H1818" s="180"/>
      <c r="I1818" s="178"/>
    </row>
    <row r="1819" spans="3:9" x14ac:dyDescent="0.2">
      <c r="C1819" s="178"/>
      <c r="D1819" s="178"/>
      <c r="E1819" s="178"/>
      <c r="F1819" s="178"/>
      <c r="G1819" s="180"/>
      <c r="H1819" s="180"/>
      <c r="I1819" s="178"/>
    </row>
    <row r="1820" spans="3:9" x14ac:dyDescent="0.2">
      <c r="C1820" s="178"/>
      <c r="D1820" s="178"/>
      <c r="E1820" s="178"/>
      <c r="F1820" s="178"/>
      <c r="G1820" s="180"/>
      <c r="H1820" s="180"/>
      <c r="I1820" s="178"/>
    </row>
    <row r="1821" spans="3:9" x14ac:dyDescent="0.2">
      <c r="C1821" s="178"/>
      <c r="D1821" s="178"/>
      <c r="E1821" s="178"/>
      <c r="F1821" s="178"/>
      <c r="G1821" s="180"/>
      <c r="H1821" s="180"/>
      <c r="I1821" s="178"/>
    </row>
    <row r="1822" spans="3:9" x14ac:dyDescent="0.2">
      <c r="C1822" s="178"/>
      <c r="D1822" s="178"/>
      <c r="E1822" s="178"/>
      <c r="F1822" s="178"/>
      <c r="G1822" s="180"/>
      <c r="H1822" s="180"/>
      <c r="I1822" s="178"/>
    </row>
    <row r="1823" spans="3:9" x14ac:dyDescent="0.2">
      <c r="C1823" s="178"/>
      <c r="D1823" s="178"/>
      <c r="E1823" s="178"/>
      <c r="F1823" s="178"/>
      <c r="G1823" s="180"/>
      <c r="H1823" s="180"/>
      <c r="I1823" s="178"/>
    </row>
    <row r="1824" spans="3:9" x14ac:dyDescent="0.2">
      <c r="C1824" s="178"/>
      <c r="D1824" s="178"/>
      <c r="E1824" s="178"/>
      <c r="F1824" s="178"/>
      <c r="G1824" s="180"/>
      <c r="H1824" s="180"/>
      <c r="I1824" s="178"/>
    </row>
    <row r="1825" spans="3:9" x14ac:dyDescent="0.2">
      <c r="C1825" s="178"/>
      <c r="D1825" s="178"/>
      <c r="E1825" s="178"/>
      <c r="F1825" s="178"/>
      <c r="G1825" s="180"/>
      <c r="H1825" s="180"/>
      <c r="I1825" s="178"/>
    </row>
    <row r="1826" spans="3:9" x14ac:dyDescent="0.2">
      <c r="C1826" s="178"/>
      <c r="D1826" s="178"/>
      <c r="E1826" s="178"/>
      <c r="F1826" s="178"/>
      <c r="G1826" s="180"/>
      <c r="H1826" s="180"/>
      <c r="I1826" s="178"/>
    </row>
    <row r="1827" spans="3:9" x14ac:dyDescent="0.2">
      <c r="C1827" s="178"/>
      <c r="D1827" s="178"/>
      <c r="E1827" s="178"/>
      <c r="F1827" s="178"/>
      <c r="G1827" s="180"/>
      <c r="H1827" s="180"/>
      <c r="I1827" s="178"/>
    </row>
    <row r="1828" spans="3:9" x14ac:dyDescent="0.2">
      <c r="C1828" s="178"/>
      <c r="D1828" s="178"/>
      <c r="E1828" s="178"/>
      <c r="F1828" s="178"/>
      <c r="G1828" s="180"/>
      <c r="H1828" s="180"/>
      <c r="I1828" s="178"/>
    </row>
    <row r="1829" spans="3:9" x14ac:dyDescent="0.2">
      <c r="C1829" s="178"/>
      <c r="D1829" s="178"/>
      <c r="E1829" s="178"/>
      <c r="F1829" s="178"/>
      <c r="G1829" s="180"/>
      <c r="H1829" s="180"/>
      <c r="I1829" s="178"/>
    </row>
    <row r="1830" spans="3:9" x14ac:dyDescent="0.2">
      <c r="C1830" s="178"/>
      <c r="D1830" s="178"/>
      <c r="E1830" s="178"/>
      <c r="F1830" s="178"/>
      <c r="G1830" s="180"/>
      <c r="H1830" s="180"/>
      <c r="I1830" s="178"/>
    </row>
    <row r="1831" spans="3:9" x14ac:dyDescent="0.2">
      <c r="C1831" s="178"/>
      <c r="D1831" s="178"/>
      <c r="E1831" s="178"/>
      <c r="F1831" s="178"/>
      <c r="G1831" s="180"/>
      <c r="H1831" s="180"/>
      <c r="I1831" s="178"/>
    </row>
    <row r="1832" spans="3:9" x14ac:dyDescent="0.2">
      <c r="C1832" s="178"/>
      <c r="D1832" s="178"/>
      <c r="E1832" s="178"/>
      <c r="F1832" s="178"/>
      <c r="G1832" s="180"/>
      <c r="H1832" s="180"/>
      <c r="I1832" s="178"/>
    </row>
    <row r="1833" spans="3:9" x14ac:dyDescent="0.2">
      <c r="C1833" s="178"/>
      <c r="D1833" s="178"/>
      <c r="E1833" s="178"/>
      <c r="F1833" s="178"/>
      <c r="G1833" s="180"/>
      <c r="H1833" s="180"/>
      <c r="I1833" s="178"/>
    </row>
    <row r="1834" spans="3:9" x14ac:dyDescent="0.2">
      <c r="C1834" s="178"/>
      <c r="D1834" s="178"/>
      <c r="E1834" s="178"/>
      <c r="F1834" s="178"/>
      <c r="G1834" s="180"/>
      <c r="H1834" s="180"/>
      <c r="I1834" s="178"/>
    </row>
    <row r="1835" spans="3:9" x14ac:dyDescent="0.2">
      <c r="C1835" s="178"/>
      <c r="D1835" s="178"/>
      <c r="E1835" s="178"/>
      <c r="F1835" s="178"/>
      <c r="G1835" s="180"/>
      <c r="H1835" s="180"/>
      <c r="I1835" s="178"/>
    </row>
    <row r="1836" spans="3:9" x14ac:dyDescent="0.2">
      <c r="C1836" s="178"/>
      <c r="D1836" s="178"/>
      <c r="E1836" s="178"/>
      <c r="F1836" s="178"/>
      <c r="G1836" s="180"/>
      <c r="H1836" s="180"/>
      <c r="I1836" s="178"/>
    </row>
    <row r="1837" spans="3:9" x14ac:dyDescent="0.2">
      <c r="C1837" s="178"/>
      <c r="D1837" s="178"/>
      <c r="E1837" s="178"/>
      <c r="F1837" s="178"/>
      <c r="G1837" s="180"/>
      <c r="H1837" s="180"/>
      <c r="I1837" s="178"/>
    </row>
    <row r="1838" spans="3:9" x14ac:dyDescent="0.2">
      <c r="C1838" s="178"/>
      <c r="D1838" s="178"/>
      <c r="E1838" s="178"/>
      <c r="F1838" s="178"/>
      <c r="G1838" s="180"/>
      <c r="H1838" s="180"/>
      <c r="I1838" s="178"/>
    </row>
    <row r="1839" spans="3:9" x14ac:dyDescent="0.2">
      <c r="C1839" s="178"/>
      <c r="D1839" s="178"/>
      <c r="E1839" s="178"/>
      <c r="F1839" s="178"/>
      <c r="G1839" s="180"/>
      <c r="H1839" s="180"/>
      <c r="I1839" s="178"/>
    </row>
    <row r="1840" spans="3:9" x14ac:dyDescent="0.2">
      <c r="C1840" s="178"/>
      <c r="D1840" s="178"/>
      <c r="E1840" s="178"/>
      <c r="F1840" s="178"/>
      <c r="G1840" s="180"/>
      <c r="H1840" s="180"/>
      <c r="I1840" s="178"/>
    </row>
    <row r="1841" spans="3:9" x14ac:dyDescent="0.2">
      <c r="C1841" s="178"/>
      <c r="D1841" s="178"/>
      <c r="E1841" s="178"/>
      <c r="F1841" s="178"/>
      <c r="G1841" s="180"/>
      <c r="H1841" s="180"/>
      <c r="I1841" s="178"/>
    </row>
    <row r="1842" spans="3:9" x14ac:dyDescent="0.2">
      <c r="C1842" s="178"/>
      <c r="D1842" s="178"/>
      <c r="E1842" s="178"/>
      <c r="F1842" s="178"/>
      <c r="G1842" s="180"/>
      <c r="H1842" s="180"/>
      <c r="I1842" s="178"/>
    </row>
    <row r="1843" spans="3:9" x14ac:dyDescent="0.2">
      <c r="C1843" s="178"/>
      <c r="D1843" s="178"/>
      <c r="E1843" s="178"/>
      <c r="F1843" s="178"/>
      <c r="G1843" s="180"/>
      <c r="H1843" s="180"/>
      <c r="I1843" s="178"/>
    </row>
    <row r="1844" spans="3:9" x14ac:dyDescent="0.2">
      <c r="C1844" s="178"/>
      <c r="D1844" s="178"/>
      <c r="E1844" s="178"/>
      <c r="F1844" s="178"/>
      <c r="G1844" s="180"/>
      <c r="H1844" s="180"/>
      <c r="I1844" s="178"/>
    </row>
    <row r="1845" spans="3:9" x14ac:dyDescent="0.2">
      <c r="C1845" s="178"/>
      <c r="D1845" s="178"/>
      <c r="E1845" s="178"/>
      <c r="F1845" s="178"/>
      <c r="G1845" s="180"/>
      <c r="H1845" s="180"/>
      <c r="I1845" s="178"/>
    </row>
    <row r="1846" spans="3:9" x14ac:dyDescent="0.2">
      <c r="C1846" s="178"/>
      <c r="D1846" s="178"/>
      <c r="E1846" s="178"/>
      <c r="F1846" s="178"/>
      <c r="G1846" s="180"/>
      <c r="H1846" s="180"/>
      <c r="I1846" s="178"/>
    </row>
    <row r="1847" spans="3:9" x14ac:dyDescent="0.2">
      <c r="C1847" s="178"/>
      <c r="D1847" s="178"/>
      <c r="E1847" s="178"/>
      <c r="F1847" s="178"/>
      <c r="G1847" s="180"/>
      <c r="H1847" s="180"/>
      <c r="I1847" s="178"/>
    </row>
    <row r="1848" spans="3:9" x14ac:dyDescent="0.2">
      <c r="C1848" s="178"/>
      <c r="D1848" s="178"/>
      <c r="E1848" s="178"/>
      <c r="F1848" s="178"/>
      <c r="G1848" s="180"/>
      <c r="H1848" s="180"/>
      <c r="I1848" s="178"/>
    </row>
    <row r="1849" spans="3:9" x14ac:dyDescent="0.2">
      <c r="C1849" s="178"/>
      <c r="D1849" s="178"/>
      <c r="E1849" s="178"/>
      <c r="F1849" s="178"/>
      <c r="G1849" s="180"/>
      <c r="H1849" s="180"/>
      <c r="I1849" s="178"/>
    </row>
    <row r="1850" spans="3:9" x14ac:dyDescent="0.2">
      <c r="C1850" s="178"/>
      <c r="D1850" s="178"/>
      <c r="E1850" s="178"/>
      <c r="F1850" s="178"/>
      <c r="G1850" s="180"/>
      <c r="H1850" s="180"/>
      <c r="I1850" s="178"/>
    </row>
    <row r="1851" spans="3:9" x14ac:dyDescent="0.2">
      <c r="C1851" s="178"/>
      <c r="D1851" s="178"/>
      <c r="E1851" s="178"/>
      <c r="F1851" s="178"/>
      <c r="G1851" s="180"/>
      <c r="H1851" s="180"/>
      <c r="I1851" s="178"/>
    </row>
    <row r="1852" spans="3:9" x14ac:dyDescent="0.2">
      <c r="C1852" s="178"/>
      <c r="D1852" s="178"/>
      <c r="E1852" s="178"/>
      <c r="F1852" s="178"/>
      <c r="G1852" s="180"/>
      <c r="H1852" s="180"/>
      <c r="I1852" s="178"/>
    </row>
    <row r="1853" spans="3:9" x14ac:dyDescent="0.2">
      <c r="C1853" s="178"/>
      <c r="D1853" s="178"/>
      <c r="E1853" s="178"/>
      <c r="F1853" s="178"/>
      <c r="G1853" s="180"/>
      <c r="H1853" s="180"/>
      <c r="I1853" s="178"/>
    </row>
    <row r="1854" spans="3:9" x14ac:dyDescent="0.2">
      <c r="C1854" s="178"/>
      <c r="D1854" s="178"/>
      <c r="E1854" s="178"/>
      <c r="F1854" s="178"/>
      <c r="G1854" s="180"/>
      <c r="H1854" s="180"/>
      <c r="I1854" s="178"/>
    </row>
    <row r="1855" spans="3:9" x14ac:dyDescent="0.2">
      <c r="C1855" s="178"/>
      <c r="D1855" s="178"/>
      <c r="E1855" s="178"/>
      <c r="F1855" s="178"/>
      <c r="G1855" s="180"/>
      <c r="H1855" s="180"/>
      <c r="I1855" s="178"/>
    </row>
    <row r="1856" spans="3:9" x14ac:dyDescent="0.2">
      <c r="C1856" s="178"/>
      <c r="D1856" s="178"/>
      <c r="E1856" s="178"/>
      <c r="F1856" s="178"/>
      <c r="G1856" s="180"/>
      <c r="H1856" s="180"/>
      <c r="I1856" s="178"/>
    </row>
    <row r="1857" spans="3:9" x14ac:dyDescent="0.2">
      <c r="C1857" s="178"/>
      <c r="D1857" s="178"/>
      <c r="E1857" s="178"/>
      <c r="F1857" s="178"/>
      <c r="G1857" s="180"/>
      <c r="H1857" s="180"/>
      <c r="I1857" s="178"/>
    </row>
    <row r="1858" spans="3:9" x14ac:dyDescent="0.2">
      <c r="C1858" s="178"/>
      <c r="D1858" s="178"/>
      <c r="E1858" s="178"/>
      <c r="F1858" s="178"/>
      <c r="G1858" s="180"/>
      <c r="H1858" s="180"/>
      <c r="I1858" s="178"/>
    </row>
    <row r="1859" spans="3:9" x14ac:dyDescent="0.2">
      <c r="C1859" s="178"/>
      <c r="D1859" s="178"/>
      <c r="E1859" s="178"/>
      <c r="F1859" s="178"/>
      <c r="G1859" s="180"/>
      <c r="H1859" s="180"/>
      <c r="I1859" s="178"/>
    </row>
    <row r="1860" spans="3:9" x14ac:dyDescent="0.2">
      <c r="C1860" s="178"/>
      <c r="D1860" s="178"/>
      <c r="E1860" s="178"/>
      <c r="F1860" s="178"/>
      <c r="G1860" s="180"/>
      <c r="H1860" s="180"/>
      <c r="I1860" s="178"/>
    </row>
    <row r="1861" spans="3:9" x14ac:dyDescent="0.2">
      <c r="C1861" s="178"/>
      <c r="D1861" s="178"/>
      <c r="E1861" s="178"/>
      <c r="F1861" s="178"/>
      <c r="G1861" s="180"/>
      <c r="H1861" s="180"/>
      <c r="I1861" s="178"/>
    </row>
    <row r="1862" spans="3:9" x14ac:dyDescent="0.2">
      <c r="C1862" s="178"/>
      <c r="D1862" s="178"/>
      <c r="E1862" s="178"/>
      <c r="F1862" s="178"/>
      <c r="G1862" s="180"/>
      <c r="H1862" s="180"/>
      <c r="I1862" s="178"/>
    </row>
    <row r="1863" spans="3:9" x14ac:dyDescent="0.2">
      <c r="C1863" s="178"/>
      <c r="D1863" s="178"/>
      <c r="E1863" s="178"/>
      <c r="F1863" s="178"/>
      <c r="G1863" s="180"/>
      <c r="H1863" s="180"/>
      <c r="I1863" s="178"/>
    </row>
    <row r="1864" spans="3:9" x14ac:dyDescent="0.2">
      <c r="C1864" s="178"/>
      <c r="D1864" s="178"/>
      <c r="E1864" s="178"/>
      <c r="F1864" s="178"/>
      <c r="G1864" s="180"/>
      <c r="H1864" s="180"/>
      <c r="I1864" s="178"/>
    </row>
    <row r="1865" spans="3:9" x14ac:dyDescent="0.2">
      <c r="C1865" s="178"/>
      <c r="D1865" s="178"/>
      <c r="E1865" s="178"/>
      <c r="F1865" s="178"/>
      <c r="G1865" s="180"/>
      <c r="H1865" s="180"/>
      <c r="I1865" s="178"/>
    </row>
    <row r="1866" spans="3:9" x14ac:dyDescent="0.2">
      <c r="C1866" s="178"/>
      <c r="D1866" s="178"/>
      <c r="E1866" s="178"/>
      <c r="F1866" s="178"/>
      <c r="G1866" s="180"/>
      <c r="H1866" s="180"/>
      <c r="I1866" s="178"/>
    </row>
    <row r="1867" spans="3:9" x14ac:dyDescent="0.2">
      <c r="C1867" s="178"/>
      <c r="D1867" s="178"/>
      <c r="E1867" s="178"/>
      <c r="F1867" s="178"/>
      <c r="G1867" s="180"/>
      <c r="H1867" s="180"/>
      <c r="I1867" s="178"/>
    </row>
    <row r="1868" spans="3:9" x14ac:dyDescent="0.2">
      <c r="C1868" s="178"/>
      <c r="D1868" s="178"/>
      <c r="E1868" s="178"/>
      <c r="F1868" s="178"/>
      <c r="G1868" s="180"/>
      <c r="H1868" s="180"/>
      <c r="I1868" s="178"/>
    </row>
    <row r="1869" spans="3:9" x14ac:dyDescent="0.2">
      <c r="C1869" s="178"/>
      <c r="D1869" s="178"/>
      <c r="E1869" s="178"/>
      <c r="F1869" s="178"/>
      <c r="G1869" s="180"/>
      <c r="H1869" s="180"/>
      <c r="I1869" s="178"/>
    </row>
    <row r="1870" spans="3:9" x14ac:dyDescent="0.2">
      <c r="C1870" s="178"/>
      <c r="D1870" s="178"/>
      <c r="E1870" s="178"/>
      <c r="F1870" s="178"/>
      <c r="G1870" s="180"/>
      <c r="H1870" s="180"/>
      <c r="I1870" s="178"/>
    </row>
    <row r="1871" spans="3:9" x14ac:dyDescent="0.2">
      <c r="C1871" s="178"/>
      <c r="D1871" s="178"/>
      <c r="E1871" s="178"/>
      <c r="F1871" s="178"/>
      <c r="G1871" s="180"/>
      <c r="H1871" s="180"/>
      <c r="I1871" s="178"/>
    </row>
    <row r="1872" spans="3:9" x14ac:dyDescent="0.2">
      <c r="C1872" s="178"/>
      <c r="D1872" s="178"/>
      <c r="E1872" s="178"/>
      <c r="F1872" s="178"/>
      <c r="G1872" s="180"/>
      <c r="H1872" s="180"/>
      <c r="I1872" s="178"/>
    </row>
    <row r="1873" spans="3:9" x14ac:dyDescent="0.2">
      <c r="C1873" s="178"/>
      <c r="D1873" s="178"/>
      <c r="E1873" s="178"/>
      <c r="F1873" s="178"/>
      <c r="G1873" s="180"/>
      <c r="H1873" s="180"/>
      <c r="I1873" s="178"/>
    </row>
    <row r="1874" spans="3:9" x14ac:dyDescent="0.2">
      <c r="C1874" s="178"/>
      <c r="D1874" s="178"/>
      <c r="E1874" s="178"/>
      <c r="F1874" s="178"/>
      <c r="G1874" s="180"/>
      <c r="H1874" s="180"/>
      <c r="I1874" s="178"/>
    </row>
    <row r="1875" spans="3:9" x14ac:dyDescent="0.2">
      <c r="C1875" s="178"/>
      <c r="D1875" s="178"/>
      <c r="E1875" s="178"/>
      <c r="F1875" s="178"/>
      <c r="G1875" s="180"/>
      <c r="H1875" s="180"/>
      <c r="I1875" s="178"/>
    </row>
    <row r="1876" spans="3:9" x14ac:dyDescent="0.2">
      <c r="C1876" s="178"/>
      <c r="D1876" s="178"/>
      <c r="E1876" s="178"/>
      <c r="F1876" s="178"/>
      <c r="G1876" s="180"/>
      <c r="H1876" s="180"/>
      <c r="I1876" s="178"/>
    </row>
    <row r="1877" spans="3:9" x14ac:dyDescent="0.2">
      <c r="C1877" s="178"/>
      <c r="D1877" s="178"/>
      <c r="E1877" s="178"/>
      <c r="F1877" s="178"/>
      <c r="G1877" s="180"/>
      <c r="H1877" s="180"/>
      <c r="I1877" s="178"/>
    </row>
    <row r="1878" spans="3:9" x14ac:dyDescent="0.2">
      <c r="C1878" s="178"/>
      <c r="D1878" s="178"/>
      <c r="E1878" s="178"/>
      <c r="F1878" s="178"/>
      <c r="G1878" s="180"/>
      <c r="H1878" s="180"/>
      <c r="I1878" s="178"/>
    </row>
    <row r="1879" spans="3:9" x14ac:dyDescent="0.2">
      <c r="C1879" s="178"/>
      <c r="D1879" s="178"/>
      <c r="E1879" s="178"/>
      <c r="F1879" s="178"/>
      <c r="G1879" s="180"/>
      <c r="H1879" s="180"/>
      <c r="I1879" s="178"/>
    </row>
    <row r="1880" spans="3:9" x14ac:dyDescent="0.2">
      <c r="C1880" s="178"/>
      <c r="D1880" s="178"/>
      <c r="E1880" s="178"/>
      <c r="F1880" s="178"/>
      <c r="G1880" s="180"/>
      <c r="H1880" s="180"/>
      <c r="I1880" s="178"/>
    </row>
    <row r="1881" spans="3:9" x14ac:dyDescent="0.2">
      <c r="C1881" s="178"/>
      <c r="D1881" s="178"/>
      <c r="E1881" s="178"/>
      <c r="F1881" s="178"/>
      <c r="G1881" s="180"/>
      <c r="H1881" s="180"/>
      <c r="I1881" s="178"/>
    </row>
    <row r="1882" spans="3:9" x14ac:dyDescent="0.2">
      <c r="C1882" s="178"/>
      <c r="D1882" s="178"/>
      <c r="E1882" s="178"/>
      <c r="F1882" s="178"/>
      <c r="G1882" s="180"/>
      <c r="H1882" s="180"/>
      <c r="I1882" s="178"/>
    </row>
    <row r="1883" spans="3:9" x14ac:dyDescent="0.2">
      <c r="C1883" s="178"/>
      <c r="D1883" s="178"/>
      <c r="E1883" s="178"/>
      <c r="F1883" s="178"/>
      <c r="G1883" s="180"/>
      <c r="H1883" s="180"/>
      <c r="I1883" s="178"/>
    </row>
    <row r="1884" spans="3:9" x14ac:dyDescent="0.2">
      <c r="C1884" s="178"/>
      <c r="D1884" s="178"/>
      <c r="E1884" s="178"/>
      <c r="F1884" s="178"/>
      <c r="G1884" s="180"/>
      <c r="H1884" s="180"/>
      <c r="I1884" s="178"/>
    </row>
    <row r="1885" spans="3:9" x14ac:dyDescent="0.2">
      <c r="C1885" s="178"/>
      <c r="D1885" s="178"/>
      <c r="E1885" s="178"/>
      <c r="F1885" s="178"/>
      <c r="G1885" s="180"/>
      <c r="H1885" s="180"/>
      <c r="I1885" s="178"/>
    </row>
    <row r="1886" spans="3:9" x14ac:dyDescent="0.2">
      <c r="C1886" s="178"/>
      <c r="D1886" s="178"/>
      <c r="E1886" s="178"/>
      <c r="F1886" s="178"/>
      <c r="G1886" s="180"/>
      <c r="H1886" s="180"/>
      <c r="I1886" s="178"/>
    </row>
    <row r="1887" spans="3:9" x14ac:dyDescent="0.2">
      <c r="C1887" s="178"/>
      <c r="D1887" s="178"/>
      <c r="E1887" s="178"/>
      <c r="F1887" s="178"/>
      <c r="G1887" s="180"/>
      <c r="H1887" s="180"/>
      <c r="I1887" s="178"/>
    </row>
    <row r="1888" spans="3:9" x14ac:dyDescent="0.2">
      <c r="C1888" s="178"/>
      <c r="D1888" s="178"/>
      <c r="E1888" s="178"/>
      <c r="F1888" s="178"/>
      <c r="G1888" s="180"/>
      <c r="H1888" s="180"/>
      <c r="I1888" s="178"/>
    </row>
    <row r="1889" spans="3:9" x14ac:dyDescent="0.2">
      <c r="C1889" s="178"/>
      <c r="D1889" s="178"/>
      <c r="E1889" s="178"/>
      <c r="F1889" s="178"/>
      <c r="G1889" s="180"/>
      <c r="H1889" s="180"/>
      <c r="I1889" s="178"/>
    </row>
    <row r="1890" spans="3:9" x14ac:dyDescent="0.2">
      <c r="C1890" s="178"/>
      <c r="D1890" s="178"/>
      <c r="E1890" s="178"/>
      <c r="F1890" s="178"/>
      <c r="G1890" s="180"/>
      <c r="H1890" s="180"/>
      <c r="I1890" s="178"/>
    </row>
    <row r="1891" spans="3:9" x14ac:dyDescent="0.2">
      <c r="C1891" s="178"/>
      <c r="D1891" s="178"/>
      <c r="E1891" s="178"/>
      <c r="F1891" s="178"/>
      <c r="G1891" s="180"/>
      <c r="H1891" s="180"/>
      <c r="I1891" s="178"/>
    </row>
    <row r="1892" spans="3:9" x14ac:dyDescent="0.2">
      <c r="C1892" s="178"/>
      <c r="D1892" s="178"/>
      <c r="E1892" s="178"/>
      <c r="F1892" s="178"/>
      <c r="G1892" s="180"/>
      <c r="H1892" s="180"/>
      <c r="I1892" s="178"/>
    </row>
    <row r="1893" spans="3:9" x14ac:dyDescent="0.2">
      <c r="C1893" s="178"/>
      <c r="D1893" s="178"/>
      <c r="E1893" s="178"/>
      <c r="F1893" s="178"/>
      <c r="G1893" s="180"/>
      <c r="H1893" s="180"/>
      <c r="I1893" s="178"/>
    </row>
    <row r="1894" spans="3:9" x14ac:dyDescent="0.2">
      <c r="C1894" s="178"/>
      <c r="D1894" s="178"/>
      <c r="E1894" s="178"/>
      <c r="F1894" s="178"/>
      <c r="G1894" s="180"/>
      <c r="H1894" s="180"/>
      <c r="I1894" s="178"/>
    </row>
    <row r="1895" spans="3:9" x14ac:dyDescent="0.2">
      <c r="C1895" s="178"/>
      <c r="D1895" s="178"/>
      <c r="E1895" s="178"/>
      <c r="F1895" s="178"/>
      <c r="G1895" s="180"/>
      <c r="H1895" s="180"/>
      <c r="I1895" s="178"/>
    </row>
    <row r="1896" spans="3:9" x14ac:dyDescent="0.2">
      <c r="C1896" s="178"/>
      <c r="D1896" s="178"/>
      <c r="E1896" s="178"/>
      <c r="F1896" s="178"/>
      <c r="G1896" s="180"/>
      <c r="H1896" s="180"/>
      <c r="I1896" s="178"/>
    </row>
    <row r="1897" spans="3:9" x14ac:dyDescent="0.2">
      <c r="C1897" s="178"/>
      <c r="D1897" s="178"/>
      <c r="E1897" s="178"/>
      <c r="F1897" s="178"/>
      <c r="G1897" s="180"/>
      <c r="H1897" s="180"/>
      <c r="I1897" s="178"/>
    </row>
    <row r="1898" spans="3:9" x14ac:dyDescent="0.2">
      <c r="C1898" s="178"/>
      <c r="D1898" s="178"/>
      <c r="E1898" s="178"/>
      <c r="F1898" s="178"/>
      <c r="G1898" s="180"/>
      <c r="H1898" s="180"/>
      <c r="I1898" s="178"/>
    </row>
    <row r="1899" spans="3:9" x14ac:dyDescent="0.2">
      <c r="C1899" s="178"/>
      <c r="D1899" s="178"/>
      <c r="E1899" s="178"/>
      <c r="F1899" s="178"/>
      <c r="G1899" s="180"/>
      <c r="H1899" s="180"/>
      <c r="I1899" s="178"/>
    </row>
    <row r="1900" spans="3:9" x14ac:dyDescent="0.2">
      <c r="C1900" s="178"/>
      <c r="D1900" s="178"/>
      <c r="E1900" s="178"/>
      <c r="F1900" s="178"/>
      <c r="G1900" s="180"/>
      <c r="H1900" s="180"/>
      <c r="I1900" s="178"/>
    </row>
    <row r="1901" spans="3:9" x14ac:dyDescent="0.2">
      <c r="C1901" s="178"/>
      <c r="D1901" s="178"/>
      <c r="E1901" s="178"/>
      <c r="F1901" s="178"/>
      <c r="G1901" s="180"/>
      <c r="H1901" s="180"/>
      <c r="I1901" s="178"/>
    </row>
    <row r="1902" spans="3:9" x14ac:dyDescent="0.2">
      <c r="C1902" s="178"/>
      <c r="D1902" s="178"/>
      <c r="E1902" s="178"/>
      <c r="F1902" s="178"/>
      <c r="G1902" s="180"/>
      <c r="H1902" s="180"/>
      <c r="I1902" s="178"/>
    </row>
    <row r="1903" spans="3:9" x14ac:dyDescent="0.2">
      <c r="C1903" s="178"/>
      <c r="D1903" s="178"/>
      <c r="E1903" s="178"/>
      <c r="F1903" s="178"/>
      <c r="G1903" s="180"/>
      <c r="H1903" s="180"/>
      <c r="I1903" s="178"/>
    </row>
    <row r="1904" spans="3:9" x14ac:dyDescent="0.2">
      <c r="C1904" s="178"/>
      <c r="D1904" s="178"/>
      <c r="E1904" s="178"/>
      <c r="F1904" s="178"/>
      <c r="G1904" s="180"/>
      <c r="H1904" s="180"/>
      <c r="I1904" s="178"/>
    </row>
    <row r="1905" spans="3:9" x14ac:dyDescent="0.2">
      <c r="C1905" s="178"/>
      <c r="D1905" s="178"/>
      <c r="E1905" s="178"/>
      <c r="F1905" s="178"/>
      <c r="G1905" s="180"/>
      <c r="H1905" s="180"/>
      <c r="I1905" s="178"/>
    </row>
    <row r="1906" spans="3:9" x14ac:dyDescent="0.2">
      <c r="C1906" s="178"/>
      <c r="D1906" s="178"/>
      <c r="E1906" s="178"/>
      <c r="F1906" s="178"/>
      <c r="G1906" s="180"/>
      <c r="H1906" s="180"/>
      <c r="I1906" s="178"/>
    </row>
    <row r="1907" spans="3:9" x14ac:dyDescent="0.2">
      <c r="C1907" s="178"/>
      <c r="D1907" s="178"/>
      <c r="E1907" s="178"/>
      <c r="F1907" s="178"/>
      <c r="G1907" s="180"/>
      <c r="H1907" s="180"/>
      <c r="I1907" s="178"/>
    </row>
    <row r="1908" spans="3:9" x14ac:dyDescent="0.2">
      <c r="C1908" s="178"/>
      <c r="D1908" s="178"/>
      <c r="E1908" s="178"/>
      <c r="F1908" s="178"/>
      <c r="G1908" s="180"/>
      <c r="H1908" s="180"/>
      <c r="I1908" s="178"/>
    </row>
    <row r="1909" spans="3:9" x14ac:dyDescent="0.2">
      <c r="C1909" s="178"/>
      <c r="D1909" s="178"/>
      <c r="E1909" s="178"/>
      <c r="F1909" s="178"/>
      <c r="G1909" s="180"/>
      <c r="H1909" s="180"/>
      <c r="I1909" s="178"/>
    </row>
    <row r="1910" spans="3:9" x14ac:dyDescent="0.2">
      <c r="C1910" s="178"/>
      <c r="D1910" s="178"/>
      <c r="E1910" s="178"/>
      <c r="F1910" s="178"/>
      <c r="G1910" s="180"/>
      <c r="H1910" s="180"/>
      <c r="I1910" s="178"/>
    </row>
    <row r="1911" spans="3:9" x14ac:dyDescent="0.2">
      <c r="C1911" s="178"/>
      <c r="D1911" s="178"/>
      <c r="E1911" s="178"/>
      <c r="F1911" s="178"/>
      <c r="G1911" s="180"/>
      <c r="H1911" s="180"/>
      <c r="I1911" s="178"/>
    </row>
    <row r="1912" spans="3:9" x14ac:dyDescent="0.2">
      <c r="C1912" s="178"/>
      <c r="D1912" s="178"/>
      <c r="E1912" s="178"/>
      <c r="F1912" s="178"/>
      <c r="G1912" s="180"/>
      <c r="H1912" s="180"/>
      <c r="I1912" s="178"/>
    </row>
    <row r="1913" spans="3:9" x14ac:dyDescent="0.2">
      <c r="C1913" s="178"/>
      <c r="D1913" s="178"/>
      <c r="E1913" s="178"/>
      <c r="F1913" s="178"/>
      <c r="G1913" s="180"/>
      <c r="H1913" s="180"/>
      <c r="I1913" s="178"/>
    </row>
    <row r="1914" spans="3:9" x14ac:dyDescent="0.2">
      <c r="C1914" s="178"/>
      <c r="D1914" s="178"/>
      <c r="E1914" s="178"/>
      <c r="F1914" s="178"/>
      <c r="G1914" s="180"/>
      <c r="H1914" s="180"/>
      <c r="I1914" s="178"/>
    </row>
    <row r="1915" spans="3:9" x14ac:dyDescent="0.2">
      <c r="C1915" s="178"/>
      <c r="D1915" s="178"/>
      <c r="E1915" s="178"/>
      <c r="F1915" s="178"/>
      <c r="G1915" s="180"/>
      <c r="H1915" s="180"/>
      <c r="I1915" s="178"/>
    </row>
    <row r="1916" spans="3:9" x14ac:dyDescent="0.2">
      <c r="C1916" s="178"/>
      <c r="D1916" s="178"/>
      <c r="E1916" s="178"/>
      <c r="F1916" s="178"/>
      <c r="G1916" s="180"/>
      <c r="H1916" s="180"/>
      <c r="I1916" s="178"/>
    </row>
    <row r="1917" spans="3:9" x14ac:dyDescent="0.2">
      <c r="C1917" s="178"/>
      <c r="D1917" s="178"/>
      <c r="E1917" s="178"/>
      <c r="F1917" s="178"/>
      <c r="G1917" s="180"/>
      <c r="H1917" s="180"/>
      <c r="I1917" s="178"/>
    </row>
    <row r="1918" spans="3:9" x14ac:dyDescent="0.2">
      <c r="C1918" s="178"/>
      <c r="D1918" s="178"/>
      <c r="E1918" s="178"/>
      <c r="F1918" s="178"/>
      <c r="G1918" s="180"/>
      <c r="H1918" s="180"/>
      <c r="I1918" s="178"/>
    </row>
    <row r="1919" spans="3:9" x14ac:dyDescent="0.2">
      <c r="C1919" s="178"/>
      <c r="D1919" s="178"/>
      <c r="E1919" s="178"/>
      <c r="F1919" s="178"/>
      <c r="G1919" s="180"/>
      <c r="H1919" s="180"/>
      <c r="I1919" s="178"/>
    </row>
    <row r="1920" spans="3:9" x14ac:dyDescent="0.2">
      <c r="C1920" s="178"/>
      <c r="D1920" s="178"/>
      <c r="E1920" s="178"/>
      <c r="F1920" s="178"/>
      <c r="G1920" s="180"/>
      <c r="H1920" s="180"/>
      <c r="I1920" s="178"/>
    </row>
    <row r="1921" spans="3:9" x14ac:dyDescent="0.2">
      <c r="C1921" s="178"/>
      <c r="D1921" s="178"/>
      <c r="E1921" s="178"/>
      <c r="F1921" s="178"/>
      <c r="G1921" s="180"/>
      <c r="H1921" s="180"/>
      <c r="I1921" s="178"/>
    </row>
    <row r="1922" spans="3:9" x14ac:dyDescent="0.2">
      <c r="C1922" s="178"/>
      <c r="D1922" s="178"/>
      <c r="E1922" s="178"/>
      <c r="F1922" s="178"/>
      <c r="G1922" s="180"/>
      <c r="H1922" s="180"/>
      <c r="I1922" s="178"/>
    </row>
    <row r="1923" spans="3:9" x14ac:dyDescent="0.2">
      <c r="C1923" s="178"/>
      <c r="D1923" s="178"/>
      <c r="E1923" s="178"/>
      <c r="F1923" s="178"/>
      <c r="G1923" s="180"/>
      <c r="H1923" s="180"/>
      <c r="I1923" s="178"/>
    </row>
    <row r="1924" spans="3:9" x14ac:dyDescent="0.2">
      <c r="C1924" s="178"/>
      <c r="D1924" s="178"/>
      <c r="E1924" s="178"/>
      <c r="F1924" s="178"/>
      <c r="G1924" s="180"/>
      <c r="H1924" s="180"/>
      <c r="I1924" s="178"/>
    </row>
    <row r="1925" spans="3:9" x14ac:dyDescent="0.2">
      <c r="C1925" s="178"/>
      <c r="D1925" s="178"/>
      <c r="E1925" s="178"/>
      <c r="F1925" s="178"/>
      <c r="G1925" s="180"/>
      <c r="H1925" s="180"/>
      <c r="I1925" s="178"/>
    </row>
    <row r="1926" spans="3:9" x14ac:dyDescent="0.2">
      <c r="C1926" s="178"/>
      <c r="D1926" s="178"/>
      <c r="E1926" s="178"/>
      <c r="F1926" s="178"/>
      <c r="G1926" s="180"/>
      <c r="H1926" s="180"/>
      <c r="I1926" s="178"/>
    </row>
    <row r="1927" spans="3:9" x14ac:dyDescent="0.2">
      <c r="C1927" s="178"/>
      <c r="D1927" s="178"/>
      <c r="E1927" s="178"/>
      <c r="F1927" s="178"/>
      <c r="G1927" s="180"/>
      <c r="H1927" s="180"/>
      <c r="I1927" s="178"/>
    </row>
    <row r="1928" spans="3:9" x14ac:dyDescent="0.2">
      <c r="C1928" s="178"/>
      <c r="D1928" s="178"/>
      <c r="E1928" s="178"/>
      <c r="F1928" s="178"/>
      <c r="G1928" s="180"/>
      <c r="H1928" s="180"/>
      <c r="I1928" s="178"/>
    </row>
    <row r="1929" spans="3:9" x14ac:dyDescent="0.2">
      <c r="C1929" s="178"/>
      <c r="D1929" s="178"/>
      <c r="E1929" s="178"/>
      <c r="F1929" s="178"/>
      <c r="G1929" s="180"/>
      <c r="H1929" s="180"/>
      <c r="I1929" s="178"/>
    </row>
    <row r="1930" spans="3:9" x14ac:dyDescent="0.2">
      <c r="C1930" s="178"/>
      <c r="D1930" s="178"/>
      <c r="E1930" s="178"/>
      <c r="F1930" s="178"/>
      <c r="G1930" s="180"/>
      <c r="H1930" s="180"/>
      <c r="I1930" s="178"/>
    </row>
    <row r="1931" spans="3:9" x14ac:dyDescent="0.2">
      <c r="C1931" s="178"/>
      <c r="D1931" s="178"/>
      <c r="E1931" s="178"/>
      <c r="F1931" s="178"/>
      <c r="G1931" s="180"/>
      <c r="H1931" s="180"/>
      <c r="I1931" s="178"/>
    </row>
    <row r="1932" spans="3:9" x14ac:dyDescent="0.2">
      <c r="C1932" s="178"/>
      <c r="D1932" s="178"/>
      <c r="E1932" s="178"/>
      <c r="F1932" s="178"/>
      <c r="G1932" s="180"/>
      <c r="H1932" s="180"/>
      <c r="I1932" s="178"/>
    </row>
    <row r="1933" spans="3:9" x14ac:dyDescent="0.2">
      <c r="C1933" s="178"/>
      <c r="D1933" s="178"/>
      <c r="E1933" s="178"/>
      <c r="F1933" s="178"/>
      <c r="G1933" s="180"/>
      <c r="H1933" s="180"/>
      <c r="I1933" s="178"/>
    </row>
    <row r="1934" spans="3:9" x14ac:dyDescent="0.2">
      <c r="C1934" s="178"/>
      <c r="D1934" s="178"/>
      <c r="E1934" s="178"/>
      <c r="F1934" s="178"/>
      <c r="G1934" s="180"/>
      <c r="H1934" s="180"/>
      <c r="I1934" s="178"/>
    </row>
    <row r="1935" spans="3:9" x14ac:dyDescent="0.2">
      <c r="C1935" s="178"/>
      <c r="D1935" s="178"/>
      <c r="E1935" s="178"/>
      <c r="F1935" s="178"/>
      <c r="G1935" s="180"/>
      <c r="H1935" s="180"/>
      <c r="I1935" s="178"/>
    </row>
    <row r="1936" spans="3:9" x14ac:dyDescent="0.2">
      <c r="C1936" s="178"/>
      <c r="D1936" s="178"/>
      <c r="E1936" s="178"/>
      <c r="F1936" s="178"/>
      <c r="G1936" s="180"/>
      <c r="H1936" s="180"/>
      <c r="I1936" s="178"/>
    </row>
    <row r="1937" spans="3:9" x14ac:dyDescent="0.2">
      <c r="C1937" s="178"/>
      <c r="D1937" s="178"/>
      <c r="E1937" s="178"/>
      <c r="F1937" s="178"/>
      <c r="G1937" s="180"/>
      <c r="H1937" s="180"/>
      <c r="I1937" s="178"/>
    </row>
    <row r="1938" spans="3:9" x14ac:dyDescent="0.2">
      <c r="C1938" s="178"/>
      <c r="D1938" s="178"/>
      <c r="E1938" s="178"/>
      <c r="F1938" s="178"/>
      <c r="G1938" s="180"/>
      <c r="H1938" s="180"/>
      <c r="I1938" s="178"/>
    </row>
    <row r="1939" spans="3:9" x14ac:dyDescent="0.2">
      <c r="C1939" s="178"/>
      <c r="D1939" s="178"/>
      <c r="E1939" s="178"/>
      <c r="F1939" s="178"/>
      <c r="G1939" s="180"/>
      <c r="H1939" s="180"/>
      <c r="I1939" s="178"/>
    </row>
    <row r="1940" spans="3:9" x14ac:dyDescent="0.2">
      <c r="C1940" s="178"/>
      <c r="D1940" s="178"/>
      <c r="E1940" s="178"/>
      <c r="F1940" s="178"/>
      <c r="G1940" s="180"/>
      <c r="H1940" s="180"/>
      <c r="I1940" s="178"/>
    </row>
    <row r="1941" spans="3:9" x14ac:dyDescent="0.2">
      <c r="C1941" s="178"/>
      <c r="D1941" s="178"/>
      <c r="E1941" s="178"/>
      <c r="F1941" s="178"/>
      <c r="G1941" s="180"/>
      <c r="H1941" s="180"/>
      <c r="I1941" s="178"/>
    </row>
    <row r="1942" spans="3:9" x14ac:dyDescent="0.2">
      <c r="C1942" s="178"/>
      <c r="D1942" s="178"/>
      <c r="E1942" s="178"/>
      <c r="F1942" s="178"/>
      <c r="G1942" s="180"/>
      <c r="H1942" s="180"/>
      <c r="I1942" s="178"/>
    </row>
    <row r="1943" spans="3:9" x14ac:dyDescent="0.2">
      <c r="C1943" s="178"/>
      <c r="D1943" s="178"/>
      <c r="E1943" s="178"/>
      <c r="F1943" s="178"/>
      <c r="G1943" s="180"/>
      <c r="H1943" s="180"/>
      <c r="I1943" s="178"/>
    </row>
    <row r="1944" spans="3:9" x14ac:dyDescent="0.2">
      <c r="C1944" s="178"/>
      <c r="D1944" s="178"/>
      <c r="E1944" s="178"/>
      <c r="F1944" s="178"/>
      <c r="G1944" s="180"/>
      <c r="H1944" s="180"/>
      <c r="I1944" s="178"/>
    </row>
    <row r="1945" spans="3:9" x14ac:dyDescent="0.2">
      <c r="C1945" s="178"/>
      <c r="D1945" s="178"/>
      <c r="E1945" s="178"/>
      <c r="F1945" s="178"/>
      <c r="G1945" s="180"/>
      <c r="H1945" s="180"/>
      <c r="I1945" s="178"/>
    </row>
    <row r="1946" spans="3:9" x14ac:dyDescent="0.2">
      <c r="C1946" s="178"/>
      <c r="D1946" s="178"/>
      <c r="E1946" s="178"/>
      <c r="F1946" s="178"/>
      <c r="G1946" s="180"/>
      <c r="H1946" s="180"/>
      <c r="I1946" s="178"/>
    </row>
    <row r="1947" spans="3:9" x14ac:dyDescent="0.2">
      <c r="C1947" s="178"/>
      <c r="D1947" s="178"/>
      <c r="E1947" s="178"/>
      <c r="F1947" s="178"/>
      <c r="G1947" s="180"/>
      <c r="H1947" s="180"/>
      <c r="I1947" s="178"/>
    </row>
    <row r="1948" spans="3:9" x14ac:dyDescent="0.2">
      <c r="C1948" s="178"/>
      <c r="D1948" s="178"/>
      <c r="E1948" s="178"/>
      <c r="F1948" s="178"/>
      <c r="G1948" s="180"/>
      <c r="H1948" s="180"/>
      <c r="I1948" s="178"/>
    </row>
    <row r="1949" spans="3:9" x14ac:dyDescent="0.2">
      <c r="C1949" s="178"/>
      <c r="D1949" s="178"/>
      <c r="E1949" s="178"/>
      <c r="F1949" s="178"/>
      <c r="G1949" s="180"/>
      <c r="H1949" s="180"/>
      <c r="I1949" s="178"/>
    </row>
    <row r="1950" spans="3:9" x14ac:dyDescent="0.2">
      <c r="C1950" s="178"/>
      <c r="D1950" s="178"/>
      <c r="E1950" s="178"/>
      <c r="F1950" s="178"/>
      <c r="G1950" s="180"/>
      <c r="H1950" s="180"/>
      <c r="I1950" s="178"/>
    </row>
    <row r="1951" spans="3:9" x14ac:dyDescent="0.2">
      <c r="C1951" s="178"/>
      <c r="D1951" s="178"/>
      <c r="E1951" s="178"/>
      <c r="F1951" s="178"/>
      <c r="G1951" s="180"/>
      <c r="H1951" s="180"/>
      <c r="I1951" s="178"/>
    </row>
    <row r="1952" spans="3:9" x14ac:dyDescent="0.2">
      <c r="C1952" s="178"/>
      <c r="D1952" s="178"/>
      <c r="E1952" s="178"/>
      <c r="F1952" s="178"/>
      <c r="G1952" s="180"/>
      <c r="H1952" s="180"/>
      <c r="I1952" s="178"/>
    </row>
    <row r="1953" spans="3:9" x14ac:dyDescent="0.2">
      <c r="C1953" s="178"/>
      <c r="D1953" s="178"/>
      <c r="E1953" s="178"/>
      <c r="F1953" s="178"/>
      <c r="G1953" s="180"/>
      <c r="H1953" s="180"/>
      <c r="I1953" s="178"/>
    </row>
    <row r="1954" spans="3:9" x14ac:dyDescent="0.2">
      <c r="C1954" s="178"/>
      <c r="D1954" s="178"/>
      <c r="E1954" s="178"/>
      <c r="F1954" s="178"/>
      <c r="G1954" s="180"/>
      <c r="H1954" s="180"/>
      <c r="I1954" s="178"/>
    </row>
    <row r="1955" spans="3:9" x14ac:dyDescent="0.2">
      <c r="C1955" s="178"/>
      <c r="D1955" s="178"/>
      <c r="E1955" s="178"/>
      <c r="F1955" s="178"/>
      <c r="G1955" s="180"/>
      <c r="H1955" s="180"/>
      <c r="I1955" s="178"/>
    </row>
    <row r="1956" spans="3:9" x14ac:dyDescent="0.2">
      <c r="C1956" s="178"/>
      <c r="D1956" s="178"/>
      <c r="E1956" s="178"/>
      <c r="F1956" s="178"/>
      <c r="G1956" s="180"/>
      <c r="H1956" s="180"/>
      <c r="I1956" s="178"/>
    </row>
    <row r="1957" spans="3:9" x14ac:dyDescent="0.2">
      <c r="C1957" s="178"/>
      <c r="D1957" s="178"/>
      <c r="E1957" s="178"/>
      <c r="F1957" s="178"/>
      <c r="G1957" s="180"/>
      <c r="H1957" s="180"/>
      <c r="I1957" s="178"/>
    </row>
    <row r="1958" spans="3:9" x14ac:dyDescent="0.2">
      <c r="C1958" s="178"/>
      <c r="D1958" s="178"/>
      <c r="E1958" s="178"/>
      <c r="F1958" s="178"/>
      <c r="G1958" s="180"/>
      <c r="H1958" s="180"/>
      <c r="I1958" s="178"/>
    </row>
    <row r="1959" spans="3:9" x14ac:dyDescent="0.2">
      <c r="C1959" s="178"/>
      <c r="D1959" s="178"/>
      <c r="E1959" s="178"/>
      <c r="F1959" s="178"/>
      <c r="G1959" s="180"/>
      <c r="H1959" s="180"/>
      <c r="I1959" s="178"/>
    </row>
    <row r="1960" spans="3:9" x14ac:dyDescent="0.2">
      <c r="C1960" s="178"/>
      <c r="D1960" s="178"/>
      <c r="E1960" s="178"/>
      <c r="F1960" s="178"/>
      <c r="G1960" s="180"/>
      <c r="H1960" s="180"/>
      <c r="I1960" s="178"/>
    </row>
    <row r="1961" spans="3:9" x14ac:dyDescent="0.2">
      <c r="C1961" s="178"/>
      <c r="D1961" s="178"/>
      <c r="E1961" s="178"/>
      <c r="F1961" s="178"/>
      <c r="G1961" s="180"/>
      <c r="H1961" s="180"/>
      <c r="I1961" s="178"/>
    </row>
    <row r="1962" spans="3:9" x14ac:dyDescent="0.2">
      <c r="C1962" s="178"/>
      <c r="D1962" s="178"/>
      <c r="E1962" s="178"/>
      <c r="F1962" s="178"/>
      <c r="G1962" s="180"/>
      <c r="H1962" s="180"/>
      <c r="I1962" s="178"/>
    </row>
    <row r="1963" spans="3:9" x14ac:dyDescent="0.2">
      <c r="C1963" s="178"/>
      <c r="D1963" s="178"/>
      <c r="E1963" s="178"/>
      <c r="F1963" s="178"/>
      <c r="G1963" s="180"/>
      <c r="H1963" s="180"/>
      <c r="I1963" s="178"/>
    </row>
    <row r="1964" spans="3:9" x14ac:dyDescent="0.2">
      <c r="C1964" s="178"/>
      <c r="D1964" s="178"/>
      <c r="E1964" s="178"/>
      <c r="F1964" s="178"/>
      <c r="G1964" s="180"/>
      <c r="H1964" s="180"/>
      <c r="I1964" s="178"/>
    </row>
    <row r="1965" spans="3:9" x14ac:dyDescent="0.2">
      <c r="C1965" s="178"/>
      <c r="D1965" s="178"/>
      <c r="E1965" s="178"/>
      <c r="F1965" s="178"/>
      <c r="G1965" s="180"/>
      <c r="H1965" s="180"/>
      <c r="I1965" s="178"/>
    </row>
    <row r="1966" spans="3:9" x14ac:dyDescent="0.2">
      <c r="C1966" s="178"/>
      <c r="D1966" s="178"/>
      <c r="E1966" s="178"/>
      <c r="F1966" s="178"/>
      <c r="G1966" s="180"/>
      <c r="H1966" s="180"/>
      <c r="I1966" s="178"/>
    </row>
    <row r="1967" spans="3:9" x14ac:dyDescent="0.2">
      <c r="C1967" s="178"/>
      <c r="D1967" s="178"/>
      <c r="E1967" s="178"/>
      <c r="F1967" s="178"/>
      <c r="G1967" s="180"/>
      <c r="H1967" s="180"/>
      <c r="I1967" s="178"/>
    </row>
    <row r="1968" spans="3:9" x14ac:dyDescent="0.2">
      <c r="C1968" s="178"/>
      <c r="D1968" s="178"/>
      <c r="E1968" s="178"/>
      <c r="F1968" s="178"/>
      <c r="G1968" s="180"/>
      <c r="H1968" s="180"/>
      <c r="I1968" s="178"/>
    </row>
    <row r="1969" spans="3:9" x14ac:dyDescent="0.2">
      <c r="C1969" s="178"/>
      <c r="D1969" s="178"/>
      <c r="E1969" s="178"/>
      <c r="F1969" s="178"/>
      <c r="G1969" s="180"/>
      <c r="H1969" s="180"/>
      <c r="I1969" s="178"/>
    </row>
    <row r="1970" spans="3:9" x14ac:dyDescent="0.2">
      <c r="C1970" s="178"/>
      <c r="D1970" s="178"/>
      <c r="E1970" s="178"/>
      <c r="F1970" s="178"/>
      <c r="G1970" s="180"/>
      <c r="H1970" s="180"/>
      <c r="I1970" s="178"/>
    </row>
    <row r="1971" spans="3:9" x14ac:dyDescent="0.2">
      <c r="C1971" s="178"/>
      <c r="D1971" s="178"/>
      <c r="E1971" s="178"/>
      <c r="F1971" s="178"/>
      <c r="G1971" s="180"/>
      <c r="H1971" s="180"/>
      <c r="I1971" s="178"/>
    </row>
    <row r="1972" spans="3:9" x14ac:dyDescent="0.2">
      <c r="C1972" s="178"/>
      <c r="D1972" s="178"/>
      <c r="E1972" s="178"/>
      <c r="F1972" s="178"/>
      <c r="G1972" s="180"/>
      <c r="H1972" s="180"/>
      <c r="I1972" s="178"/>
    </row>
    <row r="1973" spans="3:9" x14ac:dyDescent="0.2">
      <c r="C1973" s="178"/>
      <c r="D1973" s="178"/>
      <c r="E1973" s="178"/>
      <c r="F1973" s="178"/>
      <c r="G1973" s="180"/>
      <c r="H1973" s="180"/>
      <c r="I1973" s="178"/>
    </row>
    <row r="1974" spans="3:9" x14ac:dyDescent="0.2">
      <c r="C1974" s="178"/>
      <c r="D1974" s="178"/>
      <c r="E1974" s="178"/>
      <c r="F1974" s="178"/>
      <c r="G1974" s="180"/>
      <c r="H1974" s="180"/>
      <c r="I1974" s="178"/>
    </row>
    <row r="1975" spans="3:9" x14ac:dyDescent="0.2">
      <c r="C1975" s="178"/>
      <c r="D1975" s="178"/>
      <c r="E1975" s="178"/>
      <c r="F1975" s="178"/>
      <c r="G1975" s="180"/>
      <c r="H1975" s="180"/>
      <c r="I1975" s="178"/>
    </row>
    <row r="1976" spans="3:9" x14ac:dyDescent="0.2">
      <c r="C1976" s="178"/>
      <c r="D1976" s="178"/>
      <c r="E1976" s="178"/>
      <c r="F1976" s="178"/>
      <c r="G1976" s="180"/>
      <c r="H1976" s="180"/>
      <c r="I1976" s="178"/>
    </row>
    <row r="1977" spans="3:9" x14ac:dyDescent="0.2">
      <c r="C1977" s="178"/>
      <c r="D1977" s="178"/>
      <c r="E1977" s="178"/>
      <c r="F1977" s="178"/>
      <c r="G1977" s="180"/>
      <c r="H1977" s="180"/>
      <c r="I1977" s="178"/>
    </row>
    <row r="1978" spans="3:9" x14ac:dyDescent="0.2">
      <c r="C1978" s="178"/>
      <c r="D1978" s="178"/>
      <c r="E1978" s="178"/>
      <c r="F1978" s="178"/>
      <c r="G1978" s="180"/>
      <c r="H1978" s="180"/>
      <c r="I1978" s="178"/>
    </row>
    <row r="1979" spans="3:9" x14ac:dyDescent="0.2">
      <c r="C1979" s="178"/>
      <c r="D1979" s="178"/>
      <c r="E1979" s="178"/>
      <c r="F1979" s="178"/>
      <c r="G1979" s="180"/>
      <c r="H1979" s="180"/>
      <c r="I1979" s="178"/>
    </row>
    <row r="1980" spans="3:9" x14ac:dyDescent="0.2">
      <c r="C1980" s="178"/>
      <c r="D1980" s="178"/>
      <c r="E1980" s="178"/>
      <c r="F1980" s="178"/>
      <c r="G1980" s="180"/>
      <c r="H1980" s="180"/>
      <c r="I1980" s="178"/>
    </row>
    <row r="1981" spans="3:9" x14ac:dyDescent="0.2">
      <c r="C1981" s="178"/>
      <c r="D1981" s="178"/>
      <c r="E1981" s="178"/>
      <c r="F1981" s="178"/>
      <c r="G1981" s="180"/>
      <c r="H1981" s="180"/>
      <c r="I1981" s="178"/>
    </row>
    <row r="1982" spans="3:9" x14ac:dyDescent="0.2">
      <c r="C1982" s="178"/>
      <c r="D1982" s="178"/>
      <c r="E1982" s="178"/>
      <c r="F1982" s="178"/>
      <c r="G1982" s="180"/>
      <c r="H1982" s="180"/>
      <c r="I1982" s="178"/>
    </row>
    <row r="1983" spans="3:9" x14ac:dyDescent="0.2">
      <c r="C1983" s="178"/>
      <c r="D1983" s="178"/>
      <c r="E1983" s="178"/>
      <c r="F1983" s="178"/>
      <c r="G1983" s="180"/>
      <c r="H1983" s="180"/>
      <c r="I1983" s="178"/>
    </row>
    <row r="1984" spans="3:9" x14ac:dyDescent="0.2">
      <c r="C1984" s="178"/>
      <c r="D1984" s="178"/>
      <c r="E1984" s="178"/>
      <c r="F1984" s="178"/>
      <c r="G1984" s="180"/>
      <c r="H1984" s="180"/>
      <c r="I1984" s="178"/>
    </row>
    <row r="1985" spans="3:9" x14ac:dyDescent="0.2">
      <c r="C1985" s="178"/>
      <c r="D1985" s="178"/>
      <c r="E1985" s="178"/>
      <c r="F1985" s="178"/>
      <c r="G1985" s="180"/>
      <c r="H1985" s="180"/>
      <c r="I1985" s="178"/>
    </row>
    <row r="1986" spans="3:9" x14ac:dyDescent="0.2">
      <c r="C1986" s="178"/>
      <c r="D1986" s="178"/>
      <c r="E1986" s="178"/>
      <c r="F1986" s="178"/>
      <c r="G1986" s="180"/>
      <c r="H1986" s="180"/>
      <c r="I1986" s="178"/>
    </row>
    <row r="1987" spans="3:9" x14ac:dyDescent="0.2">
      <c r="C1987" s="178"/>
      <c r="D1987" s="178"/>
      <c r="E1987" s="178"/>
      <c r="F1987" s="178"/>
      <c r="G1987" s="180"/>
      <c r="H1987" s="180"/>
      <c r="I1987" s="178"/>
    </row>
    <row r="1988" spans="3:9" x14ac:dyDescent="0.2">
      <c r="C1988" s="178"/>
      <c r="D1988" s="178"/>
      <c r="E1988" s="178"/>
      <c r="F1988" s="178"/>
      <c r="G1988" s="180"/>
      <c r="H1988" s="180"/>
      <c r="I1988" s="178"/>
    </row>
    <row r="1989" spans="3:9" x14ac:dyDescent="0.2">
      <c r="C1989" s="178"/>
      <c r="D1989" s="178"/>
      <c r="E1989" s="178"/>
      <c r="F1989" s="178"/>
      <c r="G1989" s="180"/>
      <c r="H1989" s="180"/>
      <c r="I1989" s="178"/>
    </row>
    <row r="1990" spans="3:9" x14ac:dyDescent="0.2">
      <c r="C1990" s="178"/>
      <c r="D1990" s="178"/>
      <c r="E1990" s="178"/>
      <c r="F1990" s="178"/>
      <c r="G1990" s="180"/>
      <c r="H1990" s="180"/>
      <c r="I1990" s="178"/>
    </row>
    <row r="1991" spans="3:9" x14ac:dyDescent="0.2">
      <c r="C1991" s="178"/>
      <c r="D1991" s="178"/>
      <c r="E1991" s="178"/>
      <c r="F1991" s="178"/>
      <c r="G1991" s="180"/>
      <c r="H1991" s="180"/>
      <c r="I1991" s="178"/>
    </row>
    <row r="1992" spans="3:9" x14ac:dyDescent="0.2">
      <c r="C1992" s="178"/>
      <c r="D1992" s="178"/>
      <c r="E1992" s="178"/>
      <c r="F1992" s="178"/>
      <c r="G1992" s="180"/>
      <c r="H1992" s="180"/>
      <c r="I1992" s="178"/>
    </row>
    <row r="1993" spans="3:9" x14ac:dyDescent="0.2">
      <c r="C1993" s="178"/>
      <c r="D1993" s="178"/>
      <c r="E1993" s="178"/>
      <c r="F1993" s="178"/>
      <c r="G1993" s="180"/>
      <c r="H1993" s="180"/>
      <c r="I1993" s="178"/>
    </row>
    <row r="1994" spans="3:9" x14ac:dyDescent="0.2">
      <c r="C1994" s="178"/>
      <c r="D1994" s="178"/>
      <c r="E1994" s="178"/>
      <c r="F1994" s="178"/>
      <c r="G1994" s="180"/>
      <c r="H1994" s="180"/>
      <c r="I1994" s="178"/>
    </row>
    <row r="1995" spans="3:9" x14ac:dyDescent="0.2">
      <c r="C1995" s="178"/>
      <c r="D1995" s="178"/>
      <c r="E1995" s="178"/>
      <c r="F1995" s="178"/>
      <c r="G1995" s="180"/>
      <c r="H1995" s="180"/>
      <c r="I1995" s="178"/>
    </row>
    <row r="1996" spans="3:9" x14ac:dyDescent="0.2">
      <c r="C1996" s="178"/>
      <c r="D1996" s="178"/>
      <c r="E1996" s="178"/>
      <c r="F1996" s="178"/>
      <c r="G1996" s="180"/>
      <c r="H1996" s="180"/>
      <c r="I1996" s="178"/>
    </row>
    <row r="1997" spans="3:9" x14ac:dyDescent="0.2">
      <c r="C1997" s="178"/>
      <c r="D1997" s="178"/>
      <c r="E1997" s="178"/>
      <c r="F1997" s="178"/>
      <c r="G1997" s="180"/>
      <c r="H1997" s="180"/>
      <c r="I1997" s="178"/>
    </row>
    <row r="1998" spans="3:9" x14ac:dyDescent="0.2">
      <c r="C1998" s="178"/>
      <c r="D1998" s="178"/>
      <c r="E1998" s="178"/>
      <c r="F1998" s="178"/>
      <c r="G1998" s="180"/>
      <c r="H1998" s="180"/>
      <c r="I1998" s="178"/>
    </row>
    <row r="1999" spans="3:9" x14ac:dyDescent="0.2">
      <c r="C1999" s="178"/>
      <c r="D1999" s="178"/>
      <c r="E1999" s="178"/>
      <c r="F1999" s="178"/>
      <c r="G1999" s="180"/>
      <c r="H1999" s="180"/>
      <c r="I1999" s="178"/>
    </row>
    <row r="2000" spans="3:9" x14ac:dyDescent="0.2">
      <c r="C2000" s="178"/>
      <c r="D2000" s="178"/>
      <c r="E2000" s="178"/>
      <c r="F2000" s="178"/>
      <c r="G2000" s="180"/>
      <c r="H2000" s="180"/>
      <c r="I2000" s="178"/>
    </row>
    <row r="2001" spans="3:9" x14ac:dyDescent="0.2">
      <c r="C2001" s="178"/>
      <c r="D2001" s="178"/>
      <c r="E2001" s="178"/>
      <c r="F2001" s="178"/>
      <c r="G2001" s="180"/>
      <c r="H2001" s="180"/>
      <c r="I2001" s="178"/>
    </row>
    <row r="2002" spans="3:9" x14ac:dyDescent="0.2">
      <c r="C2002" s="178"/>
      <c r="D2002" s="178"/>
      <c r="E2002" s="178"/>
      <c r="F2002" s="178"/>
      <c r="G2002" s="180"/>
      <c r="H2002" s="180"/>
      <c r="I2002" s="178"/>
    </row>
    <row r="2003" spans="3:9" x14ac:dyDescent="0.2">
      <c r="C2003" s="178"/>
      <c r="D2003" s="178"/>
      <c r="E2003" s="178"/>
      <c r="F2003" s="178"/>
      <c r="G2003" s="180"/>
      <c r="H2003" s="180"/>
      <c r="I2003" s="178"/>
    </row>
    <row r="2004" spans="3:9" x14ac:dyDescent="0.2">
      <c r="C2004" s="178"/>
      <c r="D2004" s="178"/>
      <c r="E2004" s="178"/>
      <c r="F2004" s="178"/>
      <c r="G2004" s="180"/>
      <c r="H2004" s="180"/>
      <c r="I2004" s="178"/>
    </row>
    <row r="2005" spans="3:9" x14ac:dyDescent="0.2">
      <c r="C2005" s="178"/>
      <c r="D2005" s="178"/>
      <c r="E2005" s="178"/>
      <c r="F2005" s="178"/>
      <c r="G2005" s="180"/>
      <c r="H2005" s="180"/>
      <c r="I2005" s="178"/>
    </row>
    <row r="2006" spans="3:9" x14ac:dyDescent="0.2">
      <c r="C2006" s="178"/>
      <c r="D2006" s="178"/>
      <c r="E2006" s="178"/>
      <c r="F2006" s="178"/>
      <c r="G2006" s="180"/>
      <c r="H2006" s="180"/>
      <c r="I2006" s="178"/>
    </row>
    <row r="2007" spans="3:9" x14ac:dyDescent="0.2">
      <c r="C2007" s="178"/>
      <c r="D2007" s="178"/>
      <c r="E2007" s="178"/>
      <c r="F2007" s="178"/>
      <c r="G2007" s="180"/>
      <c r="H2007" s="180"/>
      <c r="I2007" s="178"/>
    </row>
    <row r="2008" spans="3:9" x14ac:dyDescent="0.2">
      <c r="C2008" s="178"/>
      <c r="D2008" s="178"/>
      <c r="E2008" s="178"/>
      <c r="F2008" s="178"/>
      <c r="G2008" s="180"/>
      <c r="H2008" s="180"/>
      <c r="I2008" s="178"/>
    </row>
    <row r="2009" spans="3:9" x14ac:dyDescent="0.2">
      <c r="C2009" s="178"/>
      <c r="D2009" s="178"/>
      <c r="E2009" s="178"/>
      <c r="F2009" s="178"/>
      <c r="G2009" s="180"/>
      <c r="H2009" s="180"/>
      <c r="I2009" s="178"/>
    </row>
    <row r="2010" spans="3:9" x14ac:dyDescent="0.2">
      <c r="C2010" s="178"/>
      <c r="D2010" s="178"/>
      <c r="E2010" s="178"/>
      <c r="F2010" s="178"/>
      <c r="G2010" s="180"/>
      <c r="H2010" s="180"/>
      <c r="I2010" s="178"/>
    </row>
    <row r="2011" spans="3:9" x14ac:dyDescent="0.2">
      <c r="C2011" s="178"/>
      <c r="D2011" s="178"/>
      <c r="E2011" s="178"/>
      <c r="F2011" s="178"/>
      <c r="G2011" s="180"/>
      <c r="H2011" s="180"/>
      <c r="I2011" s="178"/>
    </row>
    <row r="2012" spans="3:9" x14ac:dyDescent="0.2">
      <c r="C2012" s="178"/>
      <c r="D2012" s="178"/>
      <c r="E2012" s="178"/>
      <c r="F2012" s="178"/>
      <c r="G2012" s="180"/>
      <c r="H2012" s="180"/>
      <c r="I2012" s="178"/>
    </row>
    <row r="2013" spans="3:9" x14ac:dyDescent="0.2">
      <c r="C2013" s="178"/>
      <c r="D2013" s="178"/>
      <c r="E2013" s="178"/>
      <c r="F2013" s="178"/>
      <c r="G2013" s="180"/>
      <c r="H2013" s="180"/>
      <c r="I2013" s="178"/>
    </row>
    <row r="2014" spans="3:9" x14ac:dyDescent="0.2">
      <c r="C2014" s="178"/>
      <c r="D2014" s="178"/>
      <c r="E2014" s="178"/>
      <c r="F2014" s="178"/>
      <c r="G2014" s="180"/>
      <c r="H2014" s="180"/>
      <c r="I2014" s="178"/>
    </row>
    <row r="2015" spans="3:9" x14ac:dyDescent="0.2">
      <c r="C2015" s="178"/>
      <c r="D2015" s="178"/>
      <c r="E2015" s="178"/>
      <c r="F2015" s="178"/>
      <c r="G2015" s="180"/>
      <c r="H2015" s="180"/>
      <c r="I2015" s="178"/>
    </row>
    <row r="2016" spans="3:9" x14ac:dyDescent="0.2">
      <c r="C2016" s="178"/>
      <c r="D2016" s="178"/>
      <c r="E2016" s="178"/>
      <c r="F2016" s="178"/>
      <c r="G2016" s="180"/>
      <c r="H2016" s="180"/>
      <c r="I2016" s="178"/>
    </row>
    <row r="2017" spans="3:9" x14ac:dyDescent="0.2">
      <c r="C2017" s="178"/>
      <c r="D2017" s="178"/>
      <c r="E2017" s="178"/>
      <c r="F2017" s="178"/>
      <c r="G2017" s="180"/>
      <c r="H2017" s="180"/>
      <c r="I2017" s="178"/>
    </row>
    <row r="2018" spans="3:9" x14ac:dyDescent="0.2">
      <c r="C2018" s="178"/>
      <c r="D2018" s="178"/>
      <c r="E2018" s="178"/>
      <c r="F2018" s="178"/>
      <c r="G2018" s="180"/>
      <c r="H2018" s="180"/>
      <c r="I2018" s="178"/>
    </row>
    <row r="2019" spans="3:9" x14ac:dyDescent="0.2">
      <c r="C2019" s="178"/>
      <c r="D2019" s="178"/>
      <c r="E2019" s="178"/>
      <c r="F2019" s="178"/>
      <c r="G2019" s="180"/>
      <c r="H2019" s="180"/>
      <c r="I2019" s="178"/>
    </row>
    <row r="2020" spans="3:9" x14ac:dyDescent="0.2">
      <c r="C2020" s="178"/>
      <c r="D2020" s="178"/>
      <c r="E2020" s="178"/>
      <c r="F2020" s="178"/>
      <c r="G2020" s="180"/>
      <c r="H2020" s="180"/>
      <c r="I2020" s="178"/>
    </row>
    <row r="2021" spans="3:9" x14ac:dyDescent="0.2">
      <c r="C2021" s="178"/>
      <c r="D2021" s="178"/>
      <c r="E2021" s="178"/>
      <c r="F2021" s="178"/>
      <c r="G2021" s="180"/>
      <c r="H2021" s="180"/>
      <c r="I2021" s="178"/>
    </row>
    <row r="2022" spans="3:9" x14ac:dyDescent="0.2">
      <c r="C2022" s="178"/>
      <c r="D2022" s="178"/>
      <c r="E2022" s="178"/>
      <c r="F2022" s="178"/>
      <c r="G2022" s="180"/>
      <c r="H2022" s="180"/>
      <c r="I2022" s="178"/>
    </row>
    <row r="2023" spans="3:9" x14ac:dyDescent="0.2">
      <c r="C2023" s="178"/>
      <c r="D2023" s="178"/>
      <c r="E2023" s="178"/>
      <c r="F2023" s="178"/>
      <c r="G2023" s="180"/>
      <c r="H2023" s="180"/>
      <c r="I2023" s="178"/>
    </row>
    <row r="2024" spans="3:9" x14ac:dyDescent="0.2">
      <c r="C2024" s="178"/>
      <c r="D2024" s="178"/>
      <c r="E2024" s="178"/>
      <c r="F2024" s="178"/>
      <c r="G2024" s="180"/>
      <c r="H2024" s="180"/>
      <c r="I2024" s="178"/>
    </row>
    <row r="2025" spans="3:9" x14ac:dyDescent="0.2">
      <c r="C2025" s="178"/>
      <c r="D2025" s="178"/>
      <c r="E2025" s="178"/>
      <c r="F2025" s="178"/>
      <c r="G2025" s="180"/>
      <c r="H2025" s="180"/>
      <c r="I2025" s="178"/>
    </row>
    <row r="2026" spans="3:9" x14ac:dyDescent="0.2">
      <c r="C2026" s="178"/>
      <c r="D2026" s="178"/>
      <c r="E2026" s="178"/>
      <c r="F2026" s="178"/>
      <c r="G2026" s="180"/>
      <c r="H2026" s="180"/>
      <c r="I2026" s="178"/>
    </row>
    <row r="2027" spans="3:9" x14ac:dyDescent="0.2">
      <c r="C2027" s="178"/>
      <c r="D2027" s="178"/>
      <c r="E2027" s="178"/>
      <c r="F2027" s="178"/>
      <c r="G2027" s="180"/>
      <c r="H2027" s="180"/>
      <c r="I2027" s="178"/>
    </row>
    <row r="2028" spans="3:9" x14ac:dyDescent="0.2">
      <c r="C2028" s="178"/>
      <c r="D2028" s="178"/>
      <c r="E2028" s="178"/>
      <c r="F2028" s="178"/>
      <c r="G2028" s="180"/>
      <c r="H2028" s="180"/>
      <c r="I2028" s="178"/>
    </row>
    <row r="2029" spans="3:9" x14ac:dyDescent="0.2">
      <c r="C2029" s="178"/>
      <c r="D2029" s="178"/>
      <c r="E2029" s="178"/>
      <c r="F2029" s="178"/>
      <c r="G2029" s="180"/>
      <c r="H2029" s="180"/>
      <c r="I2029" s="178"/>
    </row>
    <row r="2030" spans="3:9" x14ac:dyDescent="0.2">
      <c r="C2030" s="178"/>
      <c r="D2030" s="178"/>
      <c r="E2030" s="178"/>
      <c r="F2030" s="178"/>
      <c r="G2030" s="180"/>
      <c r="H2030" s="180"/>
      <c r="I2030" s="178"/>
    </row>
    <row r="2031" spans="3:9" x14ac:dyDescent="0.2">
      <c r="C2031" s="178"/>
      <c r="D2031" s="178"/>
      <c r="E2031" s="178"/>
      <c r="F2031" s="178"/>
      <c r="G2031" s="180"/>
      <c r="H2031" s="180"/>
      <c r="I2031" s="178"/>
    </row>
    <row r="2032" spans="3:9" x14ac:dyDescent="0.2">
      <c r="C2032" s="178"/>
      <c r="D2032" s="178"/>
      <c r="E2032" s="178"/>
      <c r="F2032" s="178"/>
      <c r="G2032" s="180"/>
      <c r="H2032" s="180"/>
      <c r="I2032" s="178"/>
    </row>
    <row r="2033" spans="3:9" x14ac:dyDescent="0.2">
      <c r="C2033" s="178"/>
      <c r="D2033" s="178"/>
      <c r="E2033" s="178"/>
      <c r="F2033" s="178"/>
      <c r="G2033" s="180"/>
      <c r="H2033" s="180"/>
      <c r="I2033" s="178"/>
    </row>
    <row r="2034" spans="3:9" x14ac:dyDescent="0.2">
      <c r="C2034" s="178"/>
      <c r="D2034" s="178"/>
      <c r="E2034" s="178"/>
      <c r="F2034" s="178"/>
      <c r="G2034" s="180"/>
      <c r="H2034" s="180"/>
      <c r="I2034" s="178"/>
    </row>
    <row r="2035" spans="3:9" x14ac:dyDescent="0.2">
      <c r="C2035" s="178"/>
      <c r="D2035" s="178"/>
      <c r="E2035" s="178"/>
      <c r="F2035" s="178"/>
      <c r="G2035" s="180"/>
      <c r="H2035" s="180"/>
      <c r="I2035" s="178"/>
    </row>
    <row r="2036" spans="3:9" x14ac:dyDescent="0.2">
      <c r="C2036" s="178"/>
      <c r="D2036" s="178"/>
      <c r="E2036" s="178"/>
      <c r="F2036" s="178"/>
      <c r="G2036" s="180"/>
      <c r="H2036" s="180"/>
      <c r="I2036" s="178"/>
    </row>
    <row r="2037" spans="3:9" x14ac:dyDescent="0.2">
      <c r="C2037" s="178"/>
      <c r="D2037" s="178"/>
      <c r="E2037" s="178"/>
      <c r="F2037" s="178"/>
      <c r="G2037" s="180"/>
      <c r="H2037" s="180"/>
      <c r="I2037" s="178"/>
    </row>
    <row r="2038" spans="3:9" x14ac:dyDescent="0.2">
      <c r="C2038" s="178"/>
      <c r="D2038" s="178"/>
      <c r="E2038" s="178"/>
      <c r="F2038" s="178"/>
      <c r="G2038" s="180"/>
      <c r="H2038" s="180"/>
      <c r="I2038" s="178"/>
    </row>
    <row r="2039" spans="3:9" x14ac:dyDescent="0.2">
      <c r="C2039" s="178"/>
      <c r="D2039" s="178"/>
      <c r="E2039" s="178"/>
      <c r="F2039" s="178"/>
      <c r="G2039" s="180"/>
      <c r="H2039" s="180"/>
      <c r="I2039" s="178"/>
    </row>
    <row r="2040" spans="3:9" x14ac:dyDescent="0.2">
      <c r="C2040" s="178"/>
      <c r="D2040" s="178"/>
      <c r="E2040" s="178"/>
      <c r="F2040" s="178"/>
      <c r="G2040" s="180"/>
      <c r="H2040" s="180"/>
      <c r="I2040" s="178"/>
    </row>
    <row r="2041" spans="3:9" x14ac:dyDescent="0.2">
      <c r="C2041" s="178"/>
      <c r="D2041" s="178"/>
      <c r="E2041" s="178"/>
      <c r="F2041" s="178"/>
      <c r="G2041" s="180"/>
      <c r="H2041" s="180"/>
      <c r="I2041" s="178"/>
    </row>
    <row r="2042" spans="3:9" x14ac:dyDescent="0.2">
      <c r="C2042" s="178"/>
      <c r="D2042" s="178"/>
      <c r="E2042" s="178"/>
      <c r="F2042" s="178"/>
      <c r="G2042" s="180"/>
      <c r="H2042" s="180"/>
      <c r="I2042" s="178"/>
    </row>
    <row r="2043" spans="3:9" x14ac:dyDescent="0.2">
      <c r="C2043" s="178"/>
      <c r="D2043" s="178"/>
      <c r="E2043" s="178"/>
      <c r="F2043" s="178"/>
      <c r="G2043" s="180"/>
      <c r="H2043" s="180"/>
      <c r="I2043" s="178"/>
    </row>
    <row r="2044" spans="3:9" x14ac:dyDescent="0.2">
      <c r="C2044" s="178"/>
      <c r="D2044" s="178"/>
      <c r="E2044" s="178"/>
      <c r="F2044" s="178"/>
      <c r="G2044" s="180"/>
      <c r="H2044" s="180"/>
      <c r="I2044" s="178"/>
    </row>
    <row r="2045" spans="3:9" x14ac:dyDescent="0.2">
      <c r="C2045" s="178"/>
      <c r="D2045" s="178"/>
      <c r="E2045" s="178"/>
      <c r="F2045" s="178"/>
      <c r="G2045" s="180"/>
      <c r="H2045" s="180"/>
      <c r="I2045" s="178"/>
    </row>
    <row r="2046" spans="3:9" x14ac:dyDescent="0.2">
      <c r="C2046" s="178"/>
      <c r="D2046" s="178"/>
      <c r="E2046" s="178"/>
      <c r="F2046" s="178"/>
      <c r="G2046" s="180"/>
      <c r="H2046" s="180"/>
      <c r="I2046" s="178"/>
    </row>
    <row r="2047" spans="3:9" x14ac:dyDescent="0.2">
      <c r="C2047" s="178"/>
      <c r="D2047" s="178"/>
      <c r="E2047" s="178"/>
      <c r="F2047" s="178"/>
      <c r="G2047" s="180"/>
      <c r="H2047" s="180"/>
      <c r="I2047" s="178"/>
    </row>
    <row r="2048" spans="3:9" x14ac:dyDescent="0.2">
      <c r="C2048" s="178"/>
      <c r="D2048" s="178"/>
      <c r="E2048" s="178"/>
      <c r="F2048" s="178"/>
      <c r="G2048" s="180"/>
      <c r="H2048" s="180"/>
      <c r="I2048" s="178"/>
    </row>
    <row r="2049" spans="3:9" x14ac:dyDescent="0.2">
      <c r="C2049" s="178"/>
      <c r="D2049" s="178"/>
      <c r="E2049" s="178"/>
      <c r="F2049" s="178"/>
      <c r="G2049" s="180"/>
      <c r="H2049" s="180"/>
      <c r="I2049" s="178"/>
    </row>
    <row r="2050" spans="3:9" x14ac:dyDescent="0.2">
      <c r="C2050" s="178"/>
      <c r="D2050" s="178"/>
      <c r="E2050" s="178"/>
      <c r="F2050" s="178"/>
      <c r="G2050" s="180"/>
      <c r="H2050" s="180"/>
      <c r="I2050" s="178"/>
    </row>
    <row r="2051" spans="3:9" x14ac:dyDescent="0.2">
      <c r="C2051" s="178"/>
      <c r="D2051" s="178"/>
      <c r="E2051" s="178"/>
      <c r="F2051" s="178"/>
      <c r="G2051" s="180"/>
      <c r="H2051" s="180"/>
      <c r="I2051" s="178"/>
    </row>
    <row r="2052" spans="3:9" x14ac:dyDescent="0.2">
      <c r="C2052" s="178"/>
      <c r="D2052" s="178"/>
      <c r="E2052" s="178"/>
      <c r="F2052" s="178"/>
      <c r="G2052" s="180"/>
      <c r="H2052" s="180"/>
      <c r="I2052" s="178"/>
    </row>
    <row r="2053" spans="3:9" x14ac:dyDescent="0.2">
      <c r="C2053" s="178"/>
      <c r="D2053" s="178"/>
      <c r="E2053" s="178"/>
      <c r="F2053" s="178"/>
      <c r="G2053" s="180"/>
      <c r="H2053" s="180"/>
      <c r="I2053" s="178"/>
    </row>
    <row r="2054" spans="3:9" x14ac:dyDescent="0.2">
      <c r="C2054" s="178"/>
      <c r="D2054" s="178"/>
      <c r="E2054" s="178"/>
      <c r="F2054" s="178"/>
      <c r="G2054" s="180"/>
      <c r="H2054" s="180"/>
      <c r="I2054" s="178"/>
    </row>
    <row r="2055" spans="3:9" x14ac:dyDescent="0.2">
      <c r="C2055" s="178"/>
      <c r="D2055" s="178"/>
      <c r="E2055" s="178"/>
      <c r="F2055" s="178"/>
      <c r="G2055" s="180"/>
      <c r="H2055" s="180"/>
      <c r="I2055" s="178"/>
    </row>
    <row r="2056" spans="3:9" x14ac:dyDescent="0.2">
      <c r="C2056" s="178"/>
      <c r="D2056" s="178"/>
      <c r="E2056" s="178"/>
      <c r="F2056" s="178"/>
      <c r="G2056" s="180"/>
      <c r="H2056" s="180"/>
      <c r="I2056" s="178"/>
    </row>
    <row r="2057" spans="3:9" x14ac:dyDescent="0.2">
      <c r="C2057" s="178"/>
      <c r="D2057" s="178"/>
      <c r="E2057" s="178"/>
      <c r="F2057" s="178"/>
      <c r="G2057" s="180"/>
      <c r="H2057" s="180"/>
      <c r="I2057" s="178"/>
    </row>
    <row r="2058" spans="3:9" x14ac:dyDescent="0.2">
      <c r="C2058" s="178"/>
      <c r="D2058" s="178"/>
      <c r="E2058" s="178"/>
      <c r="F2058" s="178"/>
      <c r="G2058" s="180"/>
      <c r="H2058" s="180"/>
      <c r="I2058" s="178"/>
    </row>
    <row r="2059" spans="3:9" x14ac:dyDescent="0.2">
      <c r="C2059" s="178"/>
      <c r="D2059" s="178"/>
      <c r="E2059" s="178"/>
      <c r="F2059" s="178"/>
      <c r="G2059" s="180"/>
      <c r="H2059" s="180"/>
      <c r="I2059" s="178"/>
    </row>
    <row r="2060" spans="3:9" x14ac:dyDescent="0.2">
      <c r="C2060" s="178"/>
      <c r="D2060" s="178"/>
      <c r="E2060" s="178"/>
      <c r="F2060" s="178"/>
      <c r="G2060" s="180"/>
      <c r="H2060" s="180"/>
      <c r="I2060" s="178"/>
    </row>
    <row r="2061" spans="3:9" x14ac:dyDescent="0.2">
      <c r="C2061" s="178"/>
      <c r="D2061" s="178"/>
      <c r="E2061" s="178"/>
      <c r="F2061" s="178"/>
      <c r="G2061" s="180"/>
      <c r="H2061" s="180"/>
      <c r="I2061" s="178"/>
    </row>
    <row r="2062" spans="3:9" x14ac:dyDescent="0.2">
      <c r="C2062" s="178"/>
      <c r="D2062" s="178"/>
      <c r="E2062" s="178"/>
      <c r="F2062" s="178"/>
      <c r="G2062" s="180"/>
      <c r="H2062" s="180"/>
      <c r="I2062" s="178"/>
    </row>
    <row r="2063" spans="3:9" x14ac:dyDescent="0.2">
      <c r="C2063" s="178"/>
      <c r="D2063" s="178"/>
      <c r="E2063" s="178"/>
      <c r="F2063" s="178"/>
      <c r="G2063" s="180"/>
      <c r="H2063" s="180"/>
      <c r="I2063" s="178"/>
    </row>
    <row r="2064" spans="3:9" x14ac:dyDescent="0.2">
      <c r="C2064" s="178"/>
      <c r="D2064" s="178"/>
      <c r="E2064" s="178"/>
      <c r="F2064" s="178"/>
      <c r="G2064" s="180"/>
      <c r="H2064" s="180"/>
      <c r="I2064" s="178"/>
    </row>
    <row r="2065" spans="3:9" x14ac:dyDescent="0.2">
      <c r="C2065" s="178"/>
      <c r="D2065" s="178"/>
      <c r="E2065" s="178"/>
      <c r="F2065" s="178"/>
      <c r="G2065" s="180"/>
      <c r="H2065" s="180"/>
      <c r="I2065" s="178"/>
    </row>
    <row r="2066" spans="3:9" x14ac:dyDescent="0.2">
      <c r="C2066" s="178"/>
      <c r="D2066" s="178"/>
      <c r="E2066" s="178"/>
      <c r="F2066" s="178"/>
      <c r="G2066" s="180"/>
      <c r="H2066" s="180"/>
      <c r="I2066" s="178"/>
    </row>
    <row r="2067" spans="3:9" x14ac:dyDescent="0.2">
      <c r="C2067" s="178"/>
      <c r="D2067" s="178"/>
      <c r="E2067" s="178"/>
      <c r="F2067" s="178"/>
      <c r="G2067" s="180"/>
      <c r="H2067" s="180"/>
      <c r="I2067" s="178"/>
    </row>
    <row r="2068" spans="3:9" x14ac:dyDescent="0.2">
      <c r="C2068" s="178"/>
      <c r="D2068" s="178"/>
      <c r="E2068" s="178"/>
      <c r="F2068" s="178"/>
      <c r="G2068" s="180"/>
      <c r="H2068" s="180"/>
      <c r="I2068" s="178"/>
    </row>
    <row r="2069" spans="3:9" x14ac:dyDescent="0.2">
      <c r="C2069" s="178"/>
      <c r="D2069" s="178"/>
      <c r="E2069" s="178"/>
      <c r="F2069" s="178"/>
      <c r="G2069" s="180"/>
      <c r="H2069" s="180"/>
      <c r="I2069" s="178"/>
    </row>
    <row r="2070" spans="3:9" x14ac:dyDescent="0.2">
      <c r="C2070" s="178"/>
      <c r="D2070" s="178"/>
      <c r="E2070" s="178"/>
      <c r="F2070" s="178"/>
      <c r="G2070" s="180"/>
      <c r="H2070" s="180"/>
      <c r="I2070" s="178"/>
    </row>
    <row r="2071" spans="3:9" x14ac:dyDescent="0.2">
      <c r="C2071" s="178"/>
      <c r="D2071" s="178"/>
      <c r="E2071" s="178"/>
      <c r="F2071" s="178"/>
      <c r="G2071" s="180"/>
      <c r="H2071" s="180"/>
      <c r="I2071" s="178"/>
    </row>
    <row r="2072" spans="3:9" x14ac:dyDescent="0.2">
      <c r="C2072" s="178"/>
      <c r="D2072" s="178"/>
      <c r="E2072" s="178"/>
      <c r="F2072" s="178"/>
      <c r="G2072" s="180"/>
      <c r="H2072" s="180"/>
      <c r="I2072" s="178"/>
    </row>
    <row r="2073" spans="3:9" x14ac:dyDescent="0.2">
      <c r="C2073" s="178"/>
      <c r="D2073" s="178"/>
      <c r="E2073" s="178"/>
      <c r="F2073" s="178"/>
      <c r="G2073" s="180"/>
      <c r="H2073" s="180"/>
      <c r="I2073" s="178"/>
    </row>
    <row r="2074" spans="3:9" x14ac:dyDescent="0.2">
      <c r="C2074" s="178"/>
      <c r="D2074" s="178"/>
      <c r="E2074" s="178"/>
      <c r="F2074" s="178"/>
      <c r="G2074" s="180"/>
      <c r="H2074" s="180"/>
      <c r="I2074" s="178"/>
    </row>
    <row r="2075" spans="3:9" x14ac:dyDescent="0.2">
      <c r="C2075" s="178"/>
      <c r="D2075" s="178"/>
      <c r="E2075" s="178"/>
      <c r="F2075" s="178"/>
      <c r="G2075" s="180"/>
      <c r="H2075" s="180"/>
      <c r="I2075" s="178"/>
    </row>
    <row r="2076" spans="3:9" x14ac:dyDescent="0.2">
      <c r="C2076" s="178"/>
      <c r="D2076" s="178"/>
      <c r="E2076" s="178"/>
      <c r="F2076" s="178"/>
      <c r="G2076" s="180"/>
      <c r="H2076" s="180"/>
      <c r="I2076" s="178"/>
    </row>
    <row r="2077" spans="3:9" x14ac:dyDescent="0.2">
      <c r="C2077" s="178"/>
      <c r="D2077" s="178"/>
      <c r="E2077" s="178"/>
      <c r="F2077" s="178"/>
      <c r="G2077" s="180"/>
      <c r="H2077" s="180"/>
      <c r="I2077" s="178"/>
    </row>
    <row r="2078" spans="3:9" x14ac:dyDescent="0.2">
      <c r="C2078" s="178"/>
      <c r="D2078" s="178"/>
      <c r="E2078" s="178"/>
      <c r="F2078" s="178"/>
      <c r="G2078" s="180"/>
      <c r="H2078" s="180"/>
      <c r="I2078" s="178"/>
    </row>
    <row r="2079" spans="3:9" x14ac:dyDescent="0.2">
      <c r="C2079" s="178"/>
      <c r="D2079" s="178"/>
      <c r="E2079" s="178"/>
      <c r="F2079" s="178"/>
      <c r="G2079" s="180"/>
      <c r="H2079" s="180"/>
      <c r="I2079" s="178"/>
    </row>
    <row r="2080" spans="3:9" x14ac:dyDescent="0.2">
      <c r="C2080" s="178"/>
      <c r="D2080" s="178"/>
      <c r="E2080" s="178"/>
      <c r="F2080" s="178"/>
      <c r="G2080" s="180"/>
      <c r="H2080" s="180"/>
      <c r="I2080" s="178"/>
    </row>
    <row r="2081" spans="3:9" x14ac:dyDescent="0.2">
      <c r="C2081" s="178"/>
      <c r="D2081" s="178"/>
      <c r="E2081" s="178"/>
      <c r="F2081" s="178"/>
      <c r="G2081" s="180"/>
      <c r="H2081" s="180"/>
      <c r="I2081" s="178"/>
    </row>
    <row r="2082" spans="3:9" x14ac:dyDescent="0.2">
      <c r="C2082" s="178"/>
      <c r="D2082" s="178"/>
      <c r="E2082" s="178"/>
      <c r="F2082" s="178"/>
      <c r="G2082" s="180"/>
      <c r="H2082" s="180"/>
      <c r="I2082" s="178"/>
    </row>
    <row r="2083" spans="3:9" x14ac:dyDescent="0.2">
      <c r="C2083" s="178"/>
      <c r="D2083" s="178"/>
      <c r="E2083" s="178"/>
      <c r="F2083" s="178"/>
      <c r="G2083" s="180"/>
      <c r="H2083" s="180"/>
      <c r="I2083" s="178"/>
    </row>
    <row r="2084" spans="3:9" x14ac:dyDescent="0.2">
      <c r="C2084" s="178"/>
      <c r="D2084" s="178"/>
      <c r="E2084" s="178"/>
      <c r="F2084" s="178"/>
      <c r="G2084" s="180"/>
      <c r="H2084" s="180"/>
      <c r="I2084" s="178"/>
    </row>
    <row r="2085" spans="3:9" x14ac:dyDescent="0.2">
      <c r="C2085" s="178"/>
      <c r="D2085" s="178"/>
      <c r="E2085" s="178"/>
      <c r="F2085" s="178"/>
      <c r="G2085" s="180"/>
      <c r="H2085" s="180"/>
      <c r="I2085" s="178"/>
    </row>
    <row r="2086" spans="3:9" x14ac:dyDescent="0.2">
      <c r="C2086" s="178"/>
      <c r="D2086" s="178"/>
      <c r="E2086" s="178"/>
      <c r="F2086" s="178"/>
      <c r="G2086" s="180"/>
      <c r="H2086" s="180"/>
      <c r="I2086" s="178"/>
    </row>
    <row r="2087" spans="3:9" x14ac:dyDescent="0.2">
      <c r="C2087" s="178"/>
      <c r="D2087" s="178"/>
      <c r="E2087" s="178"/>
      <c r="F2087" s="178"/>
      <c r="G2087" s="180"/>
      <c r="H2087" s="180"/>
      <c r="I2087" s="178"/>
    </row>
    <row r="2088" spans="3:9" x14ac:dyDescent="0.2">
      <c r="C2088" s="178"/>
      <c r="D2088" s="178"/>
      <c r="E2088" s="178"/>
      <c r="F2088" s="178"/>
      <c r="G2088" s="180"/>
      <c r="H2088" s="180"/>
      <c r="I2088" s="178"/>
    </row>
    <row r="2089" spans="3:9" x14ac:dyDescent="0.2">
      <c r="C2089" s="178"/>
      <c r="D2089" s="178"/>
      <c r="E2089" s="178"/>
      <c r="F2089" s="178"/>
      <c r="G2089" s="180"/>
      <c r="H2089" s="180"/>
      <c r="I2089" s="178"/>
    </row>
    <row r="2090" spans="3:9" x14ac:dyDescent="0.2">
      <c r="C2090" s="178"/>
      <c r="D2090" s="178"/>
      <c r="E2090" s="178"/>
      <c r="F2090" s="178"/>
      <c r="G2090" s="180"/>
      <c r="H2090" s="180"/>
      <c r="I2090" s="178"/>
    </row>
    <row r="2091" spans="3:9" x14ac:dyDescent="0.2">
      <c r="C2091" s="178"/>
      <c r="D2091" s="178"/>
      <c r="E2091" s="178"/>
      <c r="F2091" s="178"/>
      <c r="G2091" s="180"/>
      <c r="H2091" s="180"/>
      <c r="I2091" s="178"/>
    </row>
    <row r="2092" spans="3:9" x14ac:dyDescent="0.2">
      <c r="C2092" s="178"/>
      <c r="D2092" s="178"/>
      <c r="E2092" s="178"/>
      <c r="F2092" s="178"/>
      <c r="G2092" s="180"/>
      <c r="H2092" s="180"/>
      <c r="I2092" s="178"/>
    </row>
    <row r="2093" spans="3:9" x14ac:dyDescent="0.2">
      <c r="C2093" s="178"/>
      <c r="D2093" s="178"/>
      <c r="E2093" s="178"/>
      <c r="F2093" s="178"/>
      <c r="G2093" s="180"/>
      <c r="H2093" s="180"/>
      <c r="I2093" s="178"/>
    </row>
    <row r="2094" spans="3:9" x14ac:dyDescent="0.2">
      <c r="C2094" s="178"/>
      <c r="D2094" s="178"/>
      <c r="E2094" s="178"/>
      <c r="F2094" s="178"/>
      <c r="G2094" s="180"/>
      <c r="H2094" s="180"/>
      <c r="I2094" s="178"/>
    </row>
    <row r="2095" spans="3:9" x14ac:dyDescent="0.2">
      <c r="C2095" s="178"/>
      <c r="D2095" s="178"/>
      <c r="E2095" s="178"/>
      <c r="F2095" s="178"/>
      <c r="G2095" s="180"/>
      <c r="H2095" s="180"/>
      <c r="I2095" s="178"/>
    </row>
    <row r="2096" spans="3:9" x14ac:dyDescent="0.2">
      <c r="C2096" s="178"/>
      <c r="D2096" s="178"/>
      <c r="E2096" s="178"/>
      <c r="F2096" s="178"/>
      <c r="G2096" s="180"/>
      <c r="H2096" s="180"/>
      <c r="I2096" s="178"/>
    </row>
    <row r="2097" spans="3:9" x14ac:dyDescent="0.2">
      <c r="C2097" s="178"/>
      <c r="D2097" s="178"/>
      <c r="E2097" s="178"/>
      <c r="F2097" s="178"/>
      <c r="G2097" s="180"/>
      <c r="H2097" s="180"/>
      <c r="I2097" s="178"/>
    </row>
    <row r="2098" spans="3:9" x14ac:dyDescent="0.2">
      <c r="C2098" s="178"/>
      <c r="D2098" s="178"/>
      <c r="E2098" s="178"/>
      <c r="F2098" s="178"/>
      <c r="G2098" s="180"/>
      <c r="H2098" s="180"/>
      <c r="I2098" s="178"/>
    </row>
    <row r="2099" spans="3:9" x14ac:dyDescent="0.2">
      <c r="C2099" s="178"/>
      <c r="D2099" s="178"/>
      <c r="E2099" s="178"/>
      <c r="F2099" s="178"/>
      <c r="G2099" s="180"/>
      <c r="H2099" s="180"/>
      <c r="I2099" s="178"/>
    </row>
    <row r="2100" spans="3:9" x14ac:dyDescent="0.2">
      <c r="C2100" s="178"/>
      <c r="D2100" s="178"/>
      <c r="E2100" s="178"/>
      <c r="F2100" s="178"/>
      <c r="G2100" s="180"/>
      <c r="H2100" s="180"/>
      <c r="I2100" s="178"/>
    </row>
    <row r="2101" spans="3:9" x14ac:dyDescent="0.2">
      <c r="C2101" s="178"/>
      <c r="D2101" s="178"/>
      <c r="E2101" s="178"/>
      <c r="F2101" s="178"/>
      <c r="G2101" s="180"/>
      <c r="H2101" s="180"/>
      <c r="I2101" s="178"/>
    </row>
    <row r="2102" spans="3:9" x14ac:dyDescent="0.2">
      <c r="C2102" s="178"/>
      <c r="D2102" s="178"/>
      <c r="E2102" s="178"/>
      <c r="F2102" s="178"/>
      <c r="G2102" s="180"/>
      <c r="H2102" s="180"/>
      <c r="I2102" s="178"/>
    </row>
    <row r="2103" spans="3:9" x14ac:dyDescent="0.2">
      <c r="C2103" s="178"/>
      <c r="D2103" s="178"/>
      <c r="E2103" s="178"/>
      <c r="F2103" s="178"/>
      <c r="G2103" s="180"/>
      <c r="H2103" s="180"/>
      <c r="I2103" s="178"/>
    </row>
    <row r="2104" spans="3:9" x14ac:dyDescent="0.2">
      <c r="C2104" s="178"/>
      <c r="D2104" s="178"/>
      <c r="E2104" s="178"/>
      <c r="F2104" s="178"/>
      <c r="G2104" s="180"/>
      <c r="H2104" s="180"/>
      <c r="I2104" s="178"/>
    </row>
    <row r="2105" spans="3:9" x14ac:dyDescent="0.2">
      <c r="C2105" s="178"/>
      <c r="D2105" s="178"/>
      <c r="E2105" s="178"/>
      <c r="F2105" s="178"/>
      <c r="G2105" s="180"/>
      <c r="H2105" s="180"/>
      <c r="I2105" s="178"/>
    </row>
    <row r="2106" spans="3:9" x14ac:dyDescent="0.2">
      <c r="C2106" s="178"/>
      <c r="D2106" s="178"/>
      <c r="E2106" s="178"/>
      <c r="F2106" s="178"/>
      <c r="G2106" s="180"/>
      <c r="H2106" s="180"/>
      <c r="I2106" s="178"/>
    </row>
    <row r="2107" spans="3:9" x14ac:dyDescent="0.2">
      <c r="C2107" s="178"/>
      <c r="D2107" s="178"/>
      <c r="E2107" s="178"/>
      <c r="F2107" s="178"/>
      <c r="G2107" s="180"/>
      <c r="H2107" s="180"/>
      <c r="I2107" s="178"/>
    </row>
    <row r="2108" spans="3:9" x14ac:dyDescent="0.2">
      <c r="C2108" s="178"/>
      <c r="D2108" s="178"/>
      <c r="E2108" s="178"/>
      <c r="F2108" s="178"/>
      <c r="G2108" s="180"/>
      <c r="H2108" s="180"/>
      <c r="I2108" s="178"/>
    </row>
    <row r="2109" spans="3:9" x14ac:dyDescent="0.2">
      <c r="C2109" s="178"/>
      <c r="D2109" s="178"/>
      <c r="E2109" s="178"/>
      <c r="F2109" s="178"/>
      <c r="G2109" s="180"/>
      <c r="H2109" s="180"/>
      <c r="I2109" s="178"/>
    </row>
    <row r="2110" spans="3:9" x14ac:dyDescent="0.2">
      <c r="C2110" s="178"/>
      <c r="D2110" s="178"/>
      <c r="E2110" s="178"/>
      <c r="F2110" s="178"/>
      <c r="G2110" s="180"/>
      <c r="H2110" s="180"/>
      <c r="I2110" s="178"/>
    </row>
    <row r="2111" spans="3:9" x14ac:dyDescent="0.2">
      <c r="C2111" s="178"/>
      <c r="D2111" s="178"/>
      <c r="E2111" s="178"/>
      <c r="F2111" s="178"/>
      <c r="G2111" s="180"/>
      <c r="H2111" s="180"/>
      <c r="I2111" s="178"/>
    </row>
    <row r="2112" spans="3:9" x14ac:dyDescent="0.2">
      <c r="C2112" s="178"/>
      <c r="D2112" s="178"/>
      <c r="E2112" s="178"/>
      <c r="F2112" s="178"/>
      <c r="G2112" s="180"/>
      <c r="H2112" s="180"/>
      <c r="I2112" s="178"/>
    </row>
    <row r="2113" spans="3:9" x14ac:dyDescent="0.2">
      <c r="C2113" s="178"/>
      <c r="D2113" s="178"/>
      <c r="E2113" s="178"/>
      <c r="F2113" s="178"/>
      <c r="G2113" s="180"/>
      <c r="H2113" s="180"/>
      <c r="I2113" s="178"/>
    </row>
    <row r="2114" spans="3:9" x14ac:dyDescent="0.2">
      <c r="C2114" s="178"/>
      <c r="D2114" s="178"/>
      <c r="E2114" s="178"/>
      <c r="F2114" s="178"/>
      <c r="G2114" s="180"/>
      <c r="H2114" s="180"/>
      <c r="I2114" s="178"/>
    </row>
    <row r="2115" spans="3:9" x14ac:dyDescent="0.2">
      <c r="C2115" s="178"/>
      <c r="D2115" s="178"/>
      <c r="E2115" s="178"/>
      <c r="F2115" s="178"/>
      <c r="G2115" s="180"/>
      <c r="H2115" s="180"/>
      <c r="I2115" s="178"/>
    </row>
    <row r="2116" spans="3:9" x14ac:dyDescent="0.2">
      <c r="C2116" s="178"/>
      <c r="D2116" s="178"/>
      <c r="E2116" s="178"/>
      <c r="F2116" s="178"/>
      <c r="G2116" s="180"/>
      <c r="H2116" s="180"/>
      <c r="I2116" s="178"/>
    </row>
    <row r="2117" spans="3:9" x14ac:dyDescent="0.2">
      <c r="C2117" s="178"/>
      <c r="D2117" s="178"/>
      <c r="E2117" s="178"/>
      <c r="F2117" s="178"/>
      <c r="G2117" s="180"/>
      <c r="H2117" s="180"/>
      <c r="I2117" s="178"/>
    </row>
    <row r="2118" spans="3:9" x14ac:dyDescent="0.2">
      <c r="C2118" s="178"/>
      <c r="D2118" s="178"/>
      <c r="E2118" s="178"/>
      <c r="F2118" s="178"/>
      <c r="G2118" s="180"/>
      <c r="H2118" s="180"/>
      <c r="I2118" s="178"/>
    </row>
    <row r="2119" spans="3:9" x14ac:dyDescent="0.2">
      <c r="C2119" s="178"/>
      <c r="D2119" s="178"/>
      <c r="E2119" s="178"/>
      <c r="F2119" s="178"/>
      <c r="G2119" s="180"/>
      <c r="H2119" s="180"/>
      <c r="I2119" s="178"/>
    </row>
    <row r="2120" spans="3:9" x14ac:dyDescent="0.2">
      <c r="C2120" s="178"/>
      <c r="D2120" s="178"/>
      <c r="E2120" s="178"/>
      <c r="F2120" s="178"/>
      <c r="G2120" s="180"/>
      <c r="H2120" s="180"/>
      <c r="I2120" s="178"/>
    </row>
    <row r="2121" spans="3:9" x14ac:dyDescent="0.2">
      <c r="C2121" s="178"/>
      <c r="D2121" s="178"/>
      <c r="E2121" s="178"/>
      <c r="F2121" s="178"/>
      <c r="G2121" s="180"/>
      <c r="H2121" s="180"/>
      <c r="I2121" s="178"/>
    </row>
    <row r="2122" spans="3:9" x14ac:dyDescent="0.2">
      <c r="C2122" s="178"/>
      <c r="D2122" s="178"/>
      <c r="E2122" s="178"/>
      <c r="F2122" s="178"/>
      <c r="G2122" s="180"/>
      <c r="H2122" s="180"/>
      <c r="I2122" s="178"/>
    </row>
    <row r="2123" spans="3:9" x14ac:dyDescent="0.2">
      <c r="C2123" s="178"/>
      <c r="D2123" s="178"/>
      <c r="E2123" s="178"/>
      <c r="F2123" s="178"/>
      <c r="G2123" s="180"/>
      <c r="H2123" s="180"/>
      <c r="I2123" s="178"/>
    </row>
    <row r="2124" spans="3:9" x14ac:dyDescent="0.2">
      <c r="C2124" s="178"/>
      <c r="D2124" s="178"/>
      <c r="E2124" s="178"/>
      <c r="F2124" s="178"/>
      <c r="G2124" s="180"/>
      <c r="H2124" s="180"/>
      <c r="I2124" s="178"/>
    </row>
    <row r="2125" spans="3:9" x14ac:dyDescent="0.2">
      <c r="C2125" s="178"/>
      <c r="D2125" s="178"/>
      <c r="E2125" s="178"/>
      <c r="F2125" s="178"/>
      <c r="G2125" s="180"/>
      <c r="H2125" s="180"/>
      <c r="I2125" s="178"/>
    </row>
    <row r="2126" spans="3:9" x14ac:dyDescent="0.2">
      <c r="C2126" s="178"/>
      <c r="D2126" s="178"/>
      <c r="E2126" s="178"/>
      <c r="F2126" s="178"/>
      <c r="G2126" s="180"/>
      <c r="H2126" s="180"/>
      <c r="I2126" s="178"/>
    </row>
    <row r="2127" spans="3:9" x14ac:dyDescent="0.2">
      <c r="C2127" s="178"/>
      <c r="D2127" s="178"/>
      <c r="E2127" s="178"/>
      <c r="F2127" s="178"/>
      <c r="G2127" s="180"/>
      <c r="H2127" s="180"/>
      <c r="I2127" s="178"/>
    </row>
    <row r="2128" spans="3:9" x14ac:dyDescent="0.2">
      <c r="C2128" s="178"/>
      <c r="D2128" s="178"/>
      <c r="E2128" s="178"/>
      <c r="F2128" s="178"/>
      <c r="G2128" s="180"/>
      <c r="H2128" s="180"/>
      <c r="I2128" s="178"/>
    </row>
    <row r="2129" spans="3:9" x14ac:dyDescent="0.2">
      <c r="C2129" s="178"/>
      <c r="D2129" s="178"/>
      <c r="E2129" s="178"/>
      <c r="F2129" s="178"/>
      <c r="G2129" s="180"/>
      <c r="H2129" s="180"/>
      <c r="I2129" s="178"/>
    </row>
    <row r="2130" spans="3:9" x14ac:dyDescent="0.2">
      <c r="C2130" s="178"/>
      <c r="D2130" s="178"/>
      <c r="E2130" s="178"/>
      <c r="F2130" s="178"/>
      <c r="G2130" s="180"/>
      <c r="H2130" s="180"/>
      <c r="I2130" s="178"/>
    </row>
    <row r="2131" spans="3:9" x14ac:dyDescent="0.2">
      <c r="C2131" s="178"/>
      <c r="D2131" s="178"/>
      <c r="E2131" s="178"/>
      <c r="F2131" s="178"/>
      <c r="G2131" s="180"/>
      <c r="H2131" s="180"/>
      <c r="I2131" s="178"/>
    </row>
    <row r="2132" spans="3:9" x14ac:dyDescent="0.2">
      <c r="C2132" s="178"/>
      <c r="D2132" s="178"/>
      <c r="E2132" s="178"/>
      <c r="F2132" s="178"/>
      <c r="G2132" s="180"/>
      <c r="H2132" s="180"/>
      <c r="I2132" s="178"/>
    </row>
    <row r="2133" spans="3:9" x14ac:dyDescent="0.2">
      <c r="C2133" s="178"/>
      <c r="D2133" s="178"/>
      <c r="E2133" s="178"/>
      <c r="F2133" s="178"/>
      <c r="G2133" s="180"/>
      <c r="H2133" s="180"/>
      <c r="I2133" s="178"/>
    </row>
    <row r="2134" spans="3:9" x14ac:dyDescent="0.2">
      <c r="C2134" s="178"/>
      <c r="D2134" s="178"/>
      <c r="E2134" s="178"/>
      <c r="F2134" s="178"/>
      <c r="G2134" s="180"/>
      <c r="H2134" s="180"/>
      <c r="I2134" s="178"/>
    </row>
    <row r="2135" spans="3:9" x14ac:dyDescent="0.2">
      <c r="C2135" s="178"/>
      <c r="D2135" s="178"/>
      <c r="E2135" s="178"/>
      <c r="F2135" s="178"/>
      <c r="G2135" s="180"/>
      <c r="H2135" s="180"/>
      <c r="I2135" s="178"/>
    </row>
    <row r="2136" spans="3:9" x14ac:dyDescent="0.2">
      <c r="C2136" s="178"/>
      <c r="D2136" s="178"/>
      <c r="E2136" s="178"/>
      <c r="F2136" s="178"/>
      <c r="G2136" s="180"/>
      <c r="H2136" s="180"/>
      <c r="I2136" s="178"/>
    </row>
    <row r="2137" spans="3:9" x14ac:dyDescent="0.2">
      <c r="C2137" s="178"/>
      <c r="D2137" s="178"/>
      <c r="E2137" s="178"/>
      <c r="F2137" s="178"/>
      <c r="G2137" s="180"/>
      <c r="H2137" s="180"/>
      <c r="I2137" s="178"/>
    </row>
    <row r="2138" spans="3:9" x14ac:dyDescent="0.2">
      <c r="C2138" s="178"/>
      <c r="D2138" s="178"/>
      <c r="E2138" s="178"/>
      <c r="F2138" s="178"/>
      <c r="G2138" s="180"/>
      <c r="H2138" s="180"/>
      <c r="I2138" s="178"/>
    </row>
    <row r="2139" spans="3:9" x14ac:dyDescent="0.2">
      <c r="C2139" s="178"/>
      <c r="D2139" s="178"/>
      <c r="E2139" s="178"/>
      <c r="F2139" s="178"/>
      <c r="G2139" s="180"/>
      <c r="H2139" s="180"/>
      <c r="I2139" s="178"/>
    </row>
    <row r="2140" spans="3:9" x14ac:dyDescent="0.2">
      <c r="C2140" s="178"/>
      <c r="D2140" s="178"/>
      <c r="E2140" s="178"/>
      <c r="F2140" s="178"/>
      <c r="G2140" s="180"/>
      <c r="H2140" s="180"/>
      <c r="I2140" s="178"/>
    </row>
    <row r="2141" spans="3:9" x14ac:dyDescent="0.2">
      <c r="C2141" s="178"/>
      <c r="D2141" s="178"/>
      <c r="E2141" s="178"/>
      <c r="F2141" s="178"/>
      <c r="G2141" s="180"/>
      <c r="H2141" s="180"/>
      <c r="I2141" s="178"/>
    </row>
    <row r="2142" spans="3:9" x14ac:dyDescent="0.2">
      <c r="C2142" s="178"/>
      <c r="D2142" s="178"/>
      <c r="E2142" s="178"/>
      <c r="F2142" s="178"/>
      <c r="G2142" s="180"/>
      <c r="H2142" s="180"/>
      <c r="I2142" s="178"/>
    </row>
    <row r="2143" spans="3:9" x14ac:dyDescent="0.2">
      <c r="C2143" s="178"/>
      <c r="D2143" s="178"/>
      <c r="E2143" s="178"/>
      <c r="F2143" s="178"/>
      <c r="G2143" s="180"/>
      <c r="H2143" s="180"/>
      <c r="I2143" s="178"/>
    </row>
    <row r="2144" spans="3:9" x14ac:dyDescent="0.2">
      <c r="C2144" s="178"/>
      <c r="D2144" s="178"/>
      <c r="E2144" s="178"/>
      <c r="F2144" s="178"/>
      <c r="G2144" s="180"/>
      <c r="H2144" s="180"/>
      <c r="I2144" s="178"/>
    </row>
    <row r="2145" spans="3:9" x14ac:dyDescent="0.2">
      <c r="C2145" s="178"/>
      <c r="D2145" s="178"/>
      <c r="E2145" s="178"/>
      <c r="F2145" s="178"/>
      <c r="G2145" s="180"/>
      <c r="H2145" s="180"/>
      <c r="I2145" s="178"/>
    </row>
    <row r="2146" spans="3:9" x14ac:dyDescent="0.2">
      <c r="C2146" s="178"/>
      <c r="D2146" s="178"/>
      <c r="E2146" s="178"/>
      <c r="F2146" s="178"/>
      <c r="G2146" s="180"/>
      <c r="H2146" s="180"/>
      <c r="I2146" s="178"/>
    </row>
    <row r="2147" spans="3:9" x14ac:dyDescent="0.2">
      <c r="C2147" s="178"/>
      <c r="D2147" s="178"/>
      <c r="E2147" s="178"/>
      <c r="F2147" s="178"/>
      <c r="G2147" s="180"/>
      <c r="H2147" s="180"/>
      <c r="I2147" s="178"/>
    </row>
    <row r="2148" spans="3:9" x14ac:dyDescent="0.2">
      <c r="C2148" s="178"/>
      <c r="D2148" s="178"/>
      <c r="E2148" s="178"/>
      <c r="F2148" s="178"/>
      <c r="G2148" s="180"/>
      <c r="H2148" s="180"/>
      <c r="I2148" s="178"/>
    </row>
    <row r="2149" spans="3:9" x14ac:dyDescent="0.2">
      <c r="C2149" s="178"/>
      <c r="D2149" s="178"/>
      <c r="E2149" s="178"/>
      <c r="F2149" s="178"/>
      <c r="G2149" s="180"/>
      <c r="H2149" s="180"/>
      <c r="I2149" s="178"/>
    </row>
    <row r="2150" spans="3:9" x14ac:dyDescent="0.2">
      <c r="C2150" s="178"/>
      <c r="D2150" s="178"/>
      <c r="E2150" s="178"/>
      <c r="F2150" s="178"/>
      <c r="G2150" s="180"/>
      <c r="H2150" s="180"/>
      <c r="I2150" s="178"/>
    </row>
    <row r="2151" spans="3:9" x14ac:dyDescent="0.2">
      <c r="C2151" s="178"/>
      <c r="D2151" s="178"/>
      <c r="E2151" s="178"/>
      <c r="F2151" s="178"/>
      <c r="G2151" s="180"/>
      <c r="H2151" s="180"/>
      <c r="I2151" s="178"/>
    </row>
    <row r="2152" spans="3:9" x14ac:dyDescent="0.2">
      <c r="C2152" s="178"/>
      <c r="D2152" s="178"/>
      <c r="E2152" s="178"/>
      <c r="F2152" s="178"/>
      <c r="G2152" s="180"/>
      <c r="H2152" s="180"/>
      <c r="I2152" s="178"/>
    </row>
    <row r="2153" spans="3:9" x14ac:dyDescent="0.2">
      <c r="C2153" s="178"/>
      <c r="D2153" s="178"/>
      <c r="E2153" s="178"/>
      <c r="F2153" s="178"/>
      <c r="G2153" s="180"/>
      <c r="H2153" s="180"/>
      <c r="I2153" s="178"/>
    </row>
    <row r="2154" spans="3:9" x14ac:dyDescent="0.2">
      <c r="C2154" s="178"/>
      <c r="D2154" s="178"/>
      <c r="E2154" s="178"/>
      <c r="F2154" s="178"/>
      <c r="G2154" s="180"/>
      <c r="H2154" s="180"/>
      <c r="I2154" s="178"/>
    </row>
    <row r="2155" spans="3:9" x14ac:dyDescent="0.2">
      <c r="C2155" s="178"/>
      <c r="D2155" s="178"/>
      <c r="E2155" s="178"/>
      <c r="F2155" s="178"/>
      <c r="G2155" s="180"/>
      <c r="H2155" s="180"/>
      <c r="I2155" s="178"/>
    </row>
    <row r="2156" spans="3:9" x14ac:dyDescent="0.2">
      <c r="C2156" s="178"/>
      <c r="D2156" s="178"/>
      <c r="E2156" s="178"/>
      <c r="F2156" s="178"/>
      <c r="G2156" s="180"/>
      <c r="H2156" s="180"/>
      <c r="I2156" s="178"/>
    </row>
    <row r="2157" spans="3:9" x14ac:dyDescent="0.2">
      <c r="C2157" s="178"/>
      <c r="D2157" s="178"/>
      <c r="E2157" s="178"/>
      <c r="F2157" s="178"/>
      <c r="G2157" s="180"/>
      <c r="H2157" s="180"/>
      <c r="I2157" s="178"/>
    </row>
    <row r="2158" spans="3:9" x14ac:dyDescent="0.2">
      <c r="C2158" s="178"/>
      <c r="D2158" s="178"/>
      <c r="E2158" s="178"/>
      <c r="F2158" s="178"/>
      <c r="G2158" s="180"/>
      <c r="H2158" s="180"/>
      <c r="I2158" s="178"/>
    </row>
    <row r="2159" spans="3:9" x14ac:dyDescent="0.2">
      <c r="C2159" s="178"/>
      <c r="D2159" s="178"/>
      <c r="E2159" s="178"/>
      <c r="F2159" s="178"/>
      <c r="G2159" s="180"/>
      <c r="H2159" s="180"/>
      <c r="I2159" s="178"/>
    </row>
    <row r="2160" spans="3:9" x14ac:dyDescent="0.2">
      <c r="C2160" s="178"/>
      <c r="D2160" s="178"/>
      <c r="E2160" s="178"/>
      <c r="F2160" s="178"/>
      <c r="G2160" s="180"/>
      <c r="H2160" s="180"/>
      <c r="I2160" s="178"/>
    </row>
    <row r="2161" spans="3:9" x14ac:dyDescent="0.2">
      <c r="C2161" s="178"/>
      <c r="D2161" s="178"/>
      <c r="E2161" s="178"/>
      <c r="F2161" s="178"/>
      <c r="G2161" s="180"/>
      <c r="H2161" s="180"/>
      <c r="I2161" s="178"/>
    </row>
    <row r="2162" spans="3:9" x14ac:dyDescent="0.2">
      <c r="C2162" s="178"/>
      <c r="D2162" s="178"/>
      <c r="E2162" s="178"/>
      <c r="F2162" s="178"/>
      <c r="G2162" s="180"/>
      <c r="H2162" s="180"/>
      <c r="I2162" s="178"/>
    </row>
    <row r="2163" spans="3:9" x14ac:dyDescent="0.2">
      <c r="C2163" s="178"/>
      <c r="D2163" s="178"/>
      <c r="E2163" s="178"/>
      <c r="F2163" s="178"/>
      <c r="G2163" s="180"/>
      <c r="H2163" s="180"/>
      <c r="I2163" s="178"/>
    </row>
    <row r="2164" spans="3:9" x14ac:dyDescent="0.2">
      <c r="C2164" s="178"/>
      <c r="D2164" s="178"/>
      <c r="E2164" s="178"/>
      <c r="F2164" s="178"/>
      <c r="G2164" s="180"/>
      <c r="H2164" s="180"/>
      <c r="I2164" s="178"/>
    </row>
    <row r="2165" spans="3:9" x14ac:dyDescent="0.2">
      <c r="C2165" s="178"/>
      <c r="D2165" s="178"/>
      <c r="E2165" s="178"/>
      <c r="F2165" s="178"/>
      <c r="G2165" s="180"/>
      <c r="H2165" s="180"/>
      <c r="I2165" s="178"/>
    </row>
    <row r="2166" spans="3:9" x14ac:dyDescent="0.2">
      <c r="C2166" s="178"/>
      <c r="D2166" s="178"/>
      <c r="E2166" s="178"/>
      <c r="F2166" s="178"/>
      <c r="G2166" s="180"/>
      <c r="H2166" s="180"/>
      <c r="I2166" s="178"/>
    </row>
    <row r="2167" spans="3:9" x14ac:dyDescent="0.2">
      <c r="C2167" s="178"/>
      <c r="D2167" s="178"/>
      <c r="E2167" s="178"/>
      <c r="F2167" s="178"/>
      <c r="G2167" s="180"/>
      <c r="H2167" s="180"/>
      <c r="I2167" s="178"/>
    </row>
    <row r="2168" spans="3:9" x14ac:dyDescent="0.2">
      <c r="C2168" s="178"/>
      <c r="D2168" s="178"/>
      <c r="E2168" s="178"/>
      <c r="F2168" s="178"/>
      <c r="G2168" s="180"/>
      <c r="H2168" s="180"/>
      <c r="I2168" s="178"/>
    </row>
    <row r="2169" spans="3:9" x14ac:dyDescent="0.2">
      <c r="C2169" s="178"/>
      <c r="D2169" s="178"/>
      <c r="E2169" s="178"/>
      <c r="F2169" s="178"/>
      <c r="G2169" s="180"/>
      <c r="H2169" s="180"/>
      <c r="I2169" s="178"/>
    </row>
    <row r="2170" spans="3:9" x14ac:dyDescent="0.2">
      <c r="C2170" s="178"/>
      <c r="D2170" s="178"/>
      <c r="E2170" s="178"/>
      <c r="F2170" s="178"/>
      <c r="G2170" s="180"/>
      <c r="H2170" s="180"/>
      <c r="I2170" s="178"/>
    </row>
    <row r="2171" spans="3:9" x14ac:dyDescent="0.2">
      <c r="C2171" s="178"/>
      <c r="D2171" s="178"/>
      <c r="E2171" s="178"/>
      <c r="F2171" s="178"/>
      <c r="G2171" s="180"/>
      <c r="H2171" s="180"/>
      <c r="I2171" s="178"/>
    </row>
    <row r="2172" spans="3:9" x14ac:dyDescent="0.2">
      <c r="C2172" s="178"/>
      <c r="D2172" s="178"/>
      <c r="E2172" s="178"/>
      <c r="F2172" s="178"/>
      <c r="G2172" s="180"/>
      <c r="H2172" s="180"/>
      <c r="I2172" s="178"/>
    </row>
    <row r="2173" spans="3:9" x14ac:dyDescent="0.2">
      <c r="C2173" s="178"/>
      <c r="D2173" s="178"/>
      <c r="E2173" s="178"/>
      <c r="F2173" s="178"/>
      <c r="G2173" s="180"/>
      <c r="H2173" s="180"/>
      <c r="I2173" s="178"/>
    </row>
    <row r="2174" spans="3:9" x14ac:dyDescent="0.2">
      <c r="C2174" s="178"/>
      <c r="D2174" s="178"/>
      <c r="E2174" s="178"/>
      <c r="F2174" s="178"/>
      <c r="G2174" s="180"/>
      <c r="H2174" s="180"/>
      <c r="I2174" s="178"/>
    </row>
    <row r="2175" spans="3:9" x14ac:dyDescent="0.2">
      <c r="C2175" s="178"/>
      <c r="D2175" s="178"/>
      <c r="E2175" s="178"/>
      <c r="F2175" s="178"/>
      <c r="G2175" s="180"/>
      <c r="H2175" s="180"/>
      <c r="I2175" s="178"/>
    </row>
    <row r="2176" spans="3:9" x14ac:dyDescent="0.2">
      <c r="C2176" s="178"/>
      <c r="D2176" s="178"/>
      <c r="E2176" s="178"/>
      <c r="F2176" s="178"/>
      <c r="G2176" s="180"/>
      <c r="H2176" s="180"/>
      <c r="I2176" s="178"/>
    </row>
    <row r="2177" spans="3:9" x14ac:dyDescent="0.2">
      <c r="C2177" s="178"/>
      <c r="D2177" s="178"/>
      <c r="E2177" s="178"/>
      <c r="F2177" s="178"/>
      <c r="G2177" s="180"/>
      <c r="H2177" s="180"/>
      <c r="I2177" s="178"/>
    </row>
    <row r="2178" spans="3:9" x14ac:dyDescent="0.2">
      <c r="C2178" s="178"/>
      <c r="D2178" s="178"/>
      <c r="E2178" s="178"/>
      <c r="F2178" s="178"/>
      <c r="G2178" s="180"/>
      <c r="H2178" s="180"/>
      <c r="I2178" s="178"/>
    </row>
    <row r="2179" spans="3:9" x14ac:dyDescent="0.2">
      <c r="C2179" s="178"/>
      <c r="D2179" s="178"/>
      <c r="E2179" s="178"/>
      <c r="F2179" s="178"/>
      <c r="G2179" s="180"/>
      <c r="H2179" s="180"/>
      <c r="I2179" s="178"/>
    </row>
    <row r="2180" spans="3:9" x14ac:dyDescent="0.2">
      <c r="C2180" s="178"/>
      <c r="D2180" s="178"/>
      <c r="E2180" s="178"/>
      <c r="F2180" s="178"/>
      <c r="G2180" s="180"/>
      <c r="H2180" s="180"/>
      <c r="I2180" s="178"/>
    </row>
    <row r="2181" spans="3:9" x14ac:dyDescent="0.2">
      <c r="C2181" s="178"/>
      <c r="D2181" s="178"/>
      <c r="E2181" s="178"/>
      <c r="F2181" s="178"/>
      <c r="G2181" s="180"/>
      <c r="H2181" s="180"/>
      <c r="I2181" s="178"/>
    </row>
    <row r="2182" spans="3:9" x14ac:dyDescent="0.2">
      <c r="C2182" s="178"/>
      <c r="D2182" s="178"/>
      <c r="E2182" s="178"/>
      <c r="F2182" s="178"/>
      <c r="G2182" s="180"/>
      <c r="H2182" s="180"/>
      <c r="I2182" s="178"/>
    </row>
    <row r="2183" spans="3:9" x14ac:dyDescent="0.2">
      <c r="C2183" s="178"/>
      <c r="D2183" s="178"/>
      <c r="E2183" s="178"/>
      <c r="F2183" s="178"/>
      <c r="G2183" s="180"/>
      <c r="H2183" s="180"/>
      <c r="I2183" s="178"/>
    </row>
    <row r="2184" spans="3:9" x14ac:dyDescent="0.2">
      <c r="C2184" s="178"/>
      <c r="D2184" s="178"/>
      <c r="E2184" s="178"/>
      <c r="F2184" s="178"/>
      <c r="G2184" s="180"/>
      <c r="H2184" s="180"/>
      <c r="I2184" s="178"/>
    </row>
    <row r="2185" spans="3:9" x14ac:dyDescent="0.2">
      <c r="C2185" s="178"/>
      <c r="D2185" s="178"/>
      <c r="E2185" s="178"/>
      <c r="F2185" s="178"/>
      <c r="G2185" s="180"/>
      <c r="H2185" s="180"/>
      <c r="I2185" s="178"/>
    </row>
    <row r="2186" spans="3:9" x14ac:dyDescent="0.2">
      <c r="C2186" s="178"/>
      <c r="D2186" s="178"/>
      <c r="E2186" s="178"/>
      <c r="F2186" s="178"/>
      <c r="G2186" s="180"/>
      <c r="H2186" s="180"/>
      <c r="I2186" s="178"/>
    </row>
    <row r="2187" spans="3:9" x14ac:dyDescent="0.2">
      <c r="C2187" s="178"/>
      <c r="D2187" s="178"/>
      <c r="E2187" s="178"/>
      <c r="F2187" s="178"/>
      <c r="G2187" s="180"/>
      <c r="H2187" s="180"/>
      <c r="I2187" s="178"/>
    </row>
    <row r="2188" spans="3:9" x14ac:dyDescent="0.2">
      <c r="C2188" s="178"/>
      <c r="D2188" s="178"/>
      <c r="E2188" s="178"/>
      <c r="F2188" s="178"/>
      <c r="G2188" s="180"/>
      <c r="H2188" s="180"/>
      <c r="I2188" s="178"/>
    </row>
    <row r="2189" spans="3:9" x14ac:dyDescent="0.2">
      <c r="C2189" s="178"/>
      <c r="D2189" s="178"/>
      <c r="E2189" s="178"/>
      <c r="F2189" s="178"/>
      <c r="G2189" s="180"/>
      <c r="H2189" s="180"/>
      <c r="I2189" s="178"/>
    </row>
    <row r="2190" spans="3:9" x14ac:dyDescent="0.2">
      <c r="C2190" s="178"/>
      <c r="D2190" s="178"/>
      <c r="E2190" s="178"/>
      <c r="F2190" s="178"/>
      <c r="G2190" s="180"/>
      <c r="H2190" s="180"/>
      <c r="I2190" s="178"/>
    </row>
    <row r="2191" spans="3:9" x14ac:dyDescent="0.2">
      <c r="C2191" s="178"/>
      <c r="D2191" s="178"/>
      <c r="E2191" s="178"/>
      <c r="F2191" s="178"/>
      <c r="G2191" s="180"/>
      <c r="H2191" s="180"/>
      <c r="I2191" s="178"/>
    </row>
    <row r="2192" spans="3:9" x14ac:dyDescent="0.2">
      <c r="C2192" s="178"/>
      <c r="D2192" s="178"/>
      <c r="E2192" s="178"/>
      <c r="F2192" s="178"/>
      <c r="G2192" s="180"/>
      <c r="H2192" s="180"/>
      <c r="I2192" s="178"/>
    </row>
    <row r="2193" spans="3:9" x14ac:dyDescent="0.2">
      <c r="C2193" s="178"/>
      <c r="D2193" s="178"/>
      <c r="E2193" s="178"/>
      <c r="F2193" s="178"/>
      <c r="G2193" s="180"/>
      <c r="H2193" s="180"/>
      <c r="I2193" s="178"/>
    </row>
    <row r="2194" spans="3:9" x14ac:dyDescent="0.2">
      <c r="C2194" s="178"/>
      <c r="D2194" s="178"/>
      <c r="E2194" s="178"/>
      <c r="F2194" s="178"/>
      <c r="G2194" s="180"/>
      <c r="H2194" s="180"/>
      <c r="I2194" s="178"/>
    </row>
    <row r="2195" spans="3:9" x14ac:dyDescent="0.2">
      <c r="C2195" s="178"/>
      <c r="D2195" s="178"/>
      <c r="E2195" s="178"/>
      <c r="F2195" s="178"/>
      <c r="G2195" s="180"/>
      <c r="H2195" s="180"/>
      <c r="I2195" s="178"/>
    </row>
    <row r="2196" spans="3:9" x14ac:dyDescent="0.2">
      <c r="C2196" s="178"/>
      <c r="D2196" s="178"/>
      <c r="E2196" s="178"/>
      <c r="F2196" s="178"/>
      <c r="G2196" s="180"/>
      <c r="H2196" s="180"/>
      <c r="I2196" s="178"/>
    </row>
    <row r="2197" spans="3:9" x14ac:dyDescent="0.2">
      <c r="C2197" s="178"/>
      <c r="D2197" s="178"/>
      <c r="E2197" s="178"/>
      <c r="F2197" s="178"/>
      <c r="G2197" s="180"/>
      <c r="H2197" s="180"/>
      <c r="I2197" s="178"/>
    </row>
    <row r="2198" spans="3:9" x14ac:dyDescent="0.2">
      <c r="C2198" s="178"/>
      <c r="D2198" s="178"/>
      <c r="E2198" s="178"/>
      <c r="F2198" s="178"/>
      <c r="G2198" s="180"/>
      <c r="H2198" s="180"/>
      <c r="I2198" s="178"/>
    </row>
    <row r="2199" spans="3:9" x14ac:dyDescent="0.2">
      <c r="C2199" s="178"/>
      <c r="D2199" s="178"/>
      <c r="E2199" s="178"/>
      <c r="F2199" s="178"/>
      <c r="G2199" s="180"/>
      <c r="H2199" s="180"/>
      <c r="I2199" s="178"/>
    </row>
    <row r="2200" spans="3:9" x14ac:dyDescent="0.2">
      <c r="C2200" s="178"/>
      <c r="D2200" s="178"/>
      <c r="E2200" s="178"/>
      <c r="F2200" s="178"/>
      <c r="G2200" s="180"/>
      <c r="H2200" s="180"/>
      <c r="I2200" s="178"/>
    </row>
    <row r="2201" spans="3:9" x14ac:dyDescent="0.2">
      <c r="C2201" s="178"/>
      <c r="D2201" s="178"/>
      <c r="E2201" s="178"/>
      <c r="F2201" s="178"/>
      <c r="G2201" s="180"/>
      <c r="H2201" s="180"/>
      <c r="I2201" s="178"/>
    </row>
    <row r="2202" spans="3:9" x14ac:dyDescent="0.2">
      <c r="C2202" s="178"/>
      <c r="D2202" s="178"/>
      <c r="E2202" s="178"/>
      <c r="F2202" s="178"/>
      <c r="G2202" s="180"/>
      <c r="H2202" s="180"/>
      <c r="I2202" s="178"/>
    </row>
    <row r="2203" spans="3:9" x14ac:dyDescent="0.2">
      <c r="C2203" s="178"/>
      <c r="D2203" s="178"/>
      <c r="E2203" s="178"/>
      <c r="F2203" s="178"/>
      <c r="G2203" s="180"/>
      <c r="H2203" s="180"/>
      <c r="I2203" s="178"/>
    </row>
    <row r="2204" spans="3:9" x14ac:dyDescent="0.2">
      <c r="C2204" s="178"/>
      <c r="D2204" s="178"/>
      <c r="E2204" s="178"/>
      <c r="F2204" s="178"/>
      <c r="G2204" s="180"/>
      <c r="H2204" s="180"/>
      <c r="I2204" s="178"/>
    </row>
    <row r="2205" spans="3:9" x14ac:dyDescent="0.2">
      <c r="C2205" s="178"/>
      <c r="D2205" s="178"/>
      <c r="E2205" s="178"/>
      <c r="F2205" s="178"/>
      <c r="G2205" s="180"/>
      <c r="H2205" s="180"/>
      <c r="I2205" s="178"/>
    </row>
    <row r="2206" spans="3:9" x14ac:dyDescent="0.2">
      <c r="C2206" s="178"/>
      <c r="D2206" s="178"/>
      <c r="E2206" s="178"/>
      <c r="F2206" s="178"/>
      <c r="G2206" s="180"/>
      <c r="H2206" s="180"/>
      <c r="I2206" s="178"/>
    </row>
    <row r="2207" spans="3:9" x14ac:dyDescent="0.2">
      <c r="C2207" s="178"/>
      <c r="D2207" s="178"/>
      <c r="E2207" s="178"/>
      <c r="F2207" s="178"/>
      <c r="G2207" s="180"/>
      <c r="H2207" s="180"/>
      <c r="I2207" s="178"/>
    </row>
    <row r="2208" spans="3:9" x14ac:dyDescent="0.2">
      <c r="C2208" s="178"/>
      <c r="D2208" s="178"/>
      <c r="E2208" s="178"/>
      <c r="F2208" s="178"/>
      <c r="G2208" s="180"/>
      <c r="H2208" s="180"/>
      <c r="I2208" s="178"/>
    </row>
    <row r="2209" spans="3:9" x14ac:dyDescent="0.2">
      <c r="C2209" s="178"/>
      <c r="D2209" s="178"/>
      <c r="E2209" s="178"/>
      <c r="F2209" s="178"/>
      <c r="G2209" s="180"/>
      <c r="H2209" s="180"/>
      <c r="I2209" s="178"/>
    </row>
    <row r="2210" spans="3:9" x14ac:dyDescent="0.2">
      <c r="C2210" s="178"/>
      <c r="D2210" s="178"/>
      <c r="E2210" s="178"/>
      <c r="F2210" s="178"/>
      <c r="G2210" s="180"/>
      <c r="H2210" s="180"/>
      <c r="I2210" s="178"/>
    </row>
    <row r="2211" spans="3:9" x14ac:dyDescent="0.2">
      <c r="C2211" s="178"/>
      <c r="D2211" s="178"/>
      <c r="E2211" s="178"/>
      <c r="F2211" s="178"/>
      <c r="G2211" s="180"/>
      <c r="H2211" s="180"/>
      <c r="I2211" s="178"/>
    </row>
    <row r="2212" spans="3:9" x14ac:dyDescent="0.2">
      <c r="C2212" s="178"/>
      <c r="D2212" s="178"/>
      <c r="E2212" s="178"/>
      <c r="F2212" s="178"/>
      <c r="G2212" s="180"/>
      <c r="H2212" s="180"/>
      <c r="I2212" s="178"/>
    </row>
    <row r="2213" spans="3:9" x14ac:dyDescent="0.2">
      <c r="C2213" s="178"/>
      <c r="D2213" s="178"/>
      <c r="E2213" s="178"/>
      <c r="F2213" s="178"/>
      <c r="G2213" s="180"/>
      <c r="H2213" s="180"/>
      <c r="I2213" s="178"/>
    </row>
    <row r="2214" spans="3:9" x14ac:dyDescent="0.2">
      <c r="C2214" s="178"/>
      <c r="D2214" s="178"/>
      <c r="E2214" s="178"/>
      <c r="F2214" s="178"/>
      <c r="G2214" s="180"/>
      <c r="H2214" s="180"/>
      <c r="I2214" s="178"/>
    </row>
    <row r="2215" spans="3:9" x14ac:dyDescent="0.2">
      <c r="C2215" s="178"/>
      <c r="D2215" s="178"/>
      <c r="E2215" s="178"/>
      <c r="F2215" s="178"/>
      <c r="G2215" s="180"/>
      <c r="H2215" s="180"/>
      <c r="I2215" s="178"/>
    </row>
    <row r="2216" spans="3:9" x14ac:dyDescent="0.2">
      <c r="C2216" s="178"/>
      <c r="D2216" s="178"/>
      <c r="E2216" s="178"/>
      <c r="F2216" s="178"/>
      <c r="G2216" s="180"/>
      <c r="H2216" s="180"/>
      <c r="I2216" s="178"/>
    </row>
    <row r="2217" spans="3:9" x14ac:dyDescent="0.2">
      <c r="C2217" s="178"/>
      <c r="D2217" s="178"/>
      <c r="E2217" s="178"/>
      <c r="F2217" s="178"/>
      <c r="G2217" s="180"/>
      <c r="H2217" s="180"/>
      <c r="I2217" s="178"/>
    </row>
    <row r="2218" spans="3:9" x14ac:dyDescent="0.2">
      <c r="C2218" s="178"/>
      <c r="D2218" s="178"/>
      <c r="E2218" s="178"/>
      <c r="F2218" s="178"/>
      <c r="G2218" s="180"/>
      <c r="H2218" s="180"/>
      <c r="I2218" s="178"/>
    </row>
    <row r="2219" spans="3:9" x14ac:dyDescent="0.2">
      <c r="C2219" s="178"/>
      <c r="D2219" s="178"/>
      <c r="E2219" s="178"/>
      <c r="F2219" s="178"/>
      <c r="G2219" s="180"/>
      <c r="H2219" s="180"/>
      <c r="I2219" s="178"/>
    </row>
    <row r="2220" spans="3:9" x14ac:dyDescent="0.2">
      <c r="C2220" s="178"/>
      <c r="D2220" s="178"/>
      <c r="E2220" s="178"/>
      <c r="F2220" s="178"/>
      <c r="G2220" s="180"/>
      <c r="H2220" s="180"/>
      <c r="I2220" s="178"/>
    </row>
    <row r="2221" spans="3:9" x14ac:dyDescent="0.2">
      <c r="C2221" s="178"/>
      <c r="D2221" s="178"/>
      <c r="E2221" s="178"/>
      <c r="F2221" s="178"/>
      <c r="G2221" s="180"/>
      <c r="H2221" s="180"/>
      <c r="I2221" s="178"/>
    </row>
    <row r="2222" spans="3:9" x14ac:dyDescent="0.2">
      <c r="C2222" s="178"/>
      <c r="D2222" s="178"/>
      <c r="E2222" s="178"/>
      <c r="F2222" s="178"/>
      <c r="G2222" s="180"/>
      <c r="H2222" s="180"/>
      <c r="I2222" s="178"/>
    </row>
    <row r="2223" spans="3:9" x14ac:dyDescent="0.2">
      <c r="C2223" s="178"/>
      <c r="D2223" s="178"/>
      <c r="E2223" s="178"/>
      <c r="F2223" s="178"/>
      <c r="G2223" s="180"/>
      <c r="H2223" s="180"/>
      <c r="I2223" s="178"/>
    </row>
    <row r="2224" spans="3:9" x14ac:dyDescent="0.2">
      <c r="C2224" s="178"/>
      <c r="D2224" s="178"/>
      <c r="E2224" s="178"/>
      <c r="F2224" s="178"/>
      <c r="G2224" s="180"/>
      <c r="H2224" s="180"/>
      <c r="I2224" s="178"/>
    </row>
    <row r="2225" spans="3:9" x14ac:dyDescent="0.2">
      <c r="C2225" s="178"/>
      <c r="D2225" s="178"/>
      <c r="E2225" s="178"/>
      <c r="F2225" s="178"/>
      <c r="G2225" s="180"/>
      <c r="H2225" s="180"/>
      <c r="I2225" s="178"/>
    </row>
    <row r="2226" spans="3:9" x14ac:dyDescent="0.2">
      <c r="C2226" s="178"/>
      <c r="D2226" s="178"/>
      <c r="E2226" s="178"/>
      <c r="F2226" s="178"/>
      <c r="G2226" s="180"/>
      <c r="H2226" s="180"/>
      <c r="I2226" s="178"/>
    </row>
    <row r="2227" spans="3:9" x14ac:dyDescent="0.2">
      <c r="C2227" s="178"/>
      <c r="D2227" s="178"/>
      <c r="E2227" s="178"/>
      <c r="F2227" s="178"/>
      <c r="G2227" s="180"/>
      <c r="H2227" s="180"/>
      <c r="I2227" s="178"/>
    </row>
    <row r="2228" spans="3:9" x14ac:dyDescent="0.2">
      <c r="C2228" s="178"/>
      <c r="D2228" s="178"/>
      <c r="E2228" s="178"/>
      <c r="F2228" s="178"/>
      <c r="G2228" s="180"/>
      <c r="H2228" s="180"/>
      <c r="I2228" s="178"/>
    </row>
    <row r="2229" spans="3:9" x14ac:dyDescent="0.2">
      <c r="C2229" s="178"/>
      <c r="D2229" s="178"/>
      <c r="E2229" s="178"/>
      <c r="F2229" s="178"/>
      <c r="G2229" s="180"/>
      <c r="H2229" s="180"/>
      <c r="I2229" s="178"/>
    </row>
    <row r="2230" spans="3:9" x14ac:dyDescent="0.2">
      <c r="C2230" s="178"/>
      <c r="D2230" s="178"/>
      <c r="E2230" s="178"/>
      <c r="F2230" s="178"/>
      <c r="G2230" s="180"/>
      <c r="H2230" s="180"/>
      <c r="I2230" s="178"/>
    </row>
    <row r="2231" spans="3:9" x14ac:dyDescent="0.2">
      <c r="C2231" s="178"/>
      <c r="D2231" s="178"/>
      <c r="E2231" s="178"/>
      <c r="F2231" s="178"/>
      <c r="G2231" s="180"/>
      <c r="H2231" s="180"/>
      <c r="I2231" s="178"/>
    </row>
    <row r="2232" spans="3:9" x14ac:dyDescent="0.2">
      <c r="C2232" s="178"/>
      <c r="D2232" s="178"/>
      <c r="E2232" s="178"/>
      <c r="F2232" s="178"/>
      <c r="G2232" s="180"/>
      <c r="H2232" s="180"/>
      <c r="I2232" s="178"/>
    </row>
    <row r="2233" spans="3:9" x14ac:dyDescent="0.2">
      <c r="C2233" s="178"/>
      <c r="D2233" s="178"/>
      <c r="E2233" s="178"/>
      <c r="F2233" s="178"/>
      <c r="G2233" s="180"/>
      <c r="H2233" s="180"/>
      <c r="I2233" s="178"/>
    </row>
    <row r="2234" spans="3:9" x14ac:dyDescent="0.2">
      <c r="C2234" s="178"/>
      <c r="D2234" s="178"/>
      <c r="E2234" s="178"/>
      <c r="F2234" s="178"/>
      <c r="G2234" s="180"/>
      <c r="H2234" s="180"/>
      <c r="I2234" s="178"/>
    </row>
    <row r="2235" spans="3:9" x14ac:dyDescent="0.2">
      <c r="C2235" s="178"/>
      <c r="D2235" s="178"/>
      <c r="E2235" s="178"/>
      <c r="F2235" s="178"/>
      <c r="G2235" s="180"/>
      <c r="H2235" s="180"/>
      <c r="I2235" s="178"/>
    </row>
    <row r="2236" spans="3:9" x14ac:dyDescent="0.2">
      <c r="C2236" s="178"/>
      <c r="D2236" s="178"/>
      <c r="E2236" s="178"/>
      <c r="F2236" s="178"/>
      <c r="G2236" s="180"/>
      <c r="H2236" s="180"/>
      <c r="I2236" s="178"/>
    </row>
    <row r="2237" spans="3:9" x14ac:dyDescent="0.2">
      <c r="C2237" s="178"/>
      <c r="D2237" s="178"/>
      <c r="E2237" s="178"/>
      <c r="F2237" s="178"/>
      <c r="G2237" s="180"/>
      <c r="H2237" s="180"/>
      <c r="I2237" s="178"/>
    </row>
    <row r="2238" spans="3:9" x14ac:dyDescent="0.2">
      <c r="C2238" s="178"/>
      <c r="D2238" s="178"/>
      <c r="E2238" s="178"/>
      <c r="F2238" s="178"/>
      <c r="G2238" s="180"/>
      <c r="H2238" s="180"/>
      <c r="I2238" s="178"/>
    </row>
    <row r="2239" spans="3:9" x14ac:dyDescent="0.2">
      <c r="C2239" s="178"/>
      <c r="D2239" s="178"/>
      <c r="E2239" s="178"/>
      <c r="F2239" s="178"/>
      <c r="G2239" s="180"/>
      <c r="H2239" s="180"/>
      <c r="I2239" s="178"/>
    </row>
    <row r="2240" spans="3:9" x14ac:dyDescent="0.2">
      <c r="C2240" s="178"/>
      <c r="D2240" s="178"/>
      <c r="E2240" s="178"/>
      <c r="F2240" s="178"/>
      <c r="G2240" s="180"/>
      <c r="H2240" s="180"/>
      <c r="I2240" s="178"/>
    </row>
    <row r="2241" spans="3:9" x14ac:dyDescent="0.2">
      <c r="C2241" s="178"/>
      <c r="D2241" s="178"/>
      <c r="E2241" s="178"/>
      <c r="F2241" s="178"/>
      <c r="G2241" s="180"/>
      <c r="H2241" s="180"/>
      <c r="I2241" s="178"/>
    </row>
    <row r="2242" spans="3:9" x14ac:dyDescent="0.2">
      <c r="C2242" s="178"/>
      <c r="D2242" s="178"/>
      <c r="E2242" s="178"/>
      <c r="F2242" s="178"/>
      <c r="G2242" s="180"/>
      <c r="H2242" s="180"/>
      <c r="I2242" s="178"/>
    </row>
    <row r="2243" spans="3:9" x14ac:dyDescent="0.2">
      <c r="C2243" s="178"/>
      <c r="D2243" s="178"/>
      <c r="E2243" s="178"/>
      <c r="F2243" s="178"/>
      <c r="G2243" s="180"/>
      <c r="H2243" s="180"/>
      <c r="I2243" s="178"/>
    </row>
    <row r="2244" spans="3:9" x14ac:dyDescent="0.2">
      <c r="C2244" s="178"/>
      <c r="D2244" s="178"/>
      <c r="E2244" s="178"/>
      <c r="F2244" s="178"/>
      <c r="G2244" s="180"/>
      <c r="H2244" s="180"/>
      <c r="I2244" s="178"/>
    </row>
    <row r="2245" spans="3:9" x14ac:dyDescent="0.2">
      <c r="C2245" s="178"/>
      <c r="D2245" s="178"/>
      <c r="E2245" s="178"/>
      <c r="F2245" s="178"/>
      <c r="G2245" s="180"/>
      <c r="H2245" s="180"/>
      <c r="I2245" s="178"/>
    </row>
    <row r="2246" spans="3:9" x14ac:dyDescent="0.2">
      <c r="C2246" s="178"/>
      <c r="D2246" s="178"/>
      <c r="E2246" s="178"/>
      <c r="F2246" s="178"/>
      <c r="G2246" s="180"/>
      <c r="H2246" s="180"/>
      <c r="I2246" s="178"/>
    </row>
    <row r="2247" spans="3:9" x14ac:dyDescent="0.2">
      <c r="C2247" s="178"/>
      <c r="D2247" s="178"/>
      <c r="E2247" s="178"/>
      <c r="F2247" s="178"/>
      <c r="G2247" s="180"/>
      <c r="H2247" s="180"/>
      <c r="I2247" s="178"/>
    </row>
    <row r="2248" spans="3:9" x14ac:dyDescent="0.2">
      <c r="C2248" s="178"/>
      <c r="D2248" s="178"/>
      <c r="E2248" s="178"/>
      <c r="F2248" s="178"/>
      <c r="G2248" s="180"/>
      <c r="H2248" s="180"/>
      <c r="I2248" s="178"/>
    </row>
    <row r="2249" spans="3:9" x14ac:dyDescent="0.2">
      <c r="C2249" s="178"/>
      <c r="D2249" s="178"/>
      <c r="E2249" s="178"/>
      <c r="F2249" s="178"/>
      <c r="G2249" s="180"/>
      <c r="H2249" s="180"/>
      <c r="I2249" s="178"/>
    </row>
    <row r="2250" spans="3:9" x14ac:dyDescent="0.2">
      <c r="C2250" s="178"/>
      <c r="D2250" s="178"/>
      <c r="E2250" s="178"/>
      <c r="F2250" s="178"/>
      <c r="G2250" s="180"/>
      <c r="H2250" s="180"/>
      <c r="I2250" s="178"/>
    </row>
    <row r="2251" spans="3:9" x14ac:dyDescent="0.2">
      <c r="C2251" s="178"/>
      <c r="D2251" s="178"/>
      <c r="E2251" s="178"/>
      <c r="F2251" s="178"/>
      <c r="G2251" s="180"/>
      <c r="H2251" s="180"/>
      <c r="I2251" s="178"/>
    </row>
    <row r="2252" spans="3:9" x14ac:dyDescent="0.2">
      <c r="C2252" s="178"/>
      <c r="D2252" s="178"/>
      <c r="E2252" s="178"/>
      <c r="F2252" s="178"/>
      <c r="G2252" s="180"/>
      <c r="H2252" s="180"/>
      <c r="I2252" s="178"/>
    </row>
    <row r="2253" spans="3:9" x14ac:dyDescent="0.2">
      <c r="C2253" s="178"/>
      <c r="D2253" s="178"/>
      <c r="E2253" s="178"/>
      <c r="F2253" s="178"/>
      <c r="G2253" s="180"/>
      <c r="H2253" s="180"/>
      <c r="I2253" s="178"/>
    </row>
    <row r="2254" spans="3:9" x14ac:dyDescent="0.2">
      <c r="C2254" s="178"/>
      <c r="D2254" s="178"/>
      <c r="E2254" s="178"/>
      <c r="F2254" s="178"/>
      <c r="G2254" s="180"/>
      <c r="H2254" s="180"/>
      <c r="I2254" s="178"/>
    </row>
    <row r="2255" spans="3:9" x14ac:dyDescent="0.2">
      <c r="C2255" s="178"/>
      <c r="D2255" s="178"/>
      <c r="E2255" s="178"/>
      <c r="F2255" s="178"/>
      <c r="G2255" s="180"/>
      <c r="H2255" s="180"/>
      <c r="I2255" s="178"/>
    </row>
    <row r="2256" spans="3:9" x14ac:dyDescent="0.2">
      <c r="C2256" s="178"/>
      <c r="D2256" s="178"/>
      <c r="E2256" s="178"/>
      <c r="F2256" s="178"/>
      <c r="G2256" s="180"/>
      <c r="H2256" s="180"/>
      <c r="I2256" s="178"/>
    </row>
    <row r="2257" spans="3:9" x14ac:dyDescent="0.2">
      <c r="C2257" s="178"/>
      <c r="D2257" s="178"/>
      <c r="E2257" s="178"/>
      <c r="F2257" s="178"/>
      <c r="G2257" s="180"/>
      <c r="H2257" s="180"/>
      <c r="I2257" s="178"/>
    </row>
    <row r="2258" spans="3:9" x14ac:dyDescent="0.2">
      <c r="C2258" s="178"/>
      <c r="D2258" s="178"/>
      <c r="E2258" s="178"/>
      <c r="F2258" s="178"/>
      <c r="G2258" s="180"/>
      <c r="H2258" s="180"/>
      <c r="I2258" s="178"/>
    </row>
    <row r="2259" spans="3:9" x14ac:dyDescent="0.2">
      <c r="C2259" s="178"/>
      <c r="D2259" s="178"/>
      <c r="E2259" s="178"/>
      <c r="F2259" s="178"/>
      <c r="G2259" s="180"/>
      <c r="H2259" s="180"/>
      <c r="I2259" s="178"/>
    </row>
  </sheetData>
  <sheetProtection formatCells="0"/>
  <mergeCells count="3">
    <mergeCell ref="A1:I1"/>
    <mergeCell ref="A2:I2"/>
    <mergeCell ref="C41:I4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94"/>
  <sheetViews>
    <sheetView zoomScaleNormal="100" zoomScaleSheetLayoutView="100" workbookViewId="0">
      <selection activeCell="A19" sqref="A19"/>
    </sheetView>
  </sheetViews>
  <sheetFormatPr defaultRowHeight="12.75" x14ac:dyDescent="0.2"/>
  <cols>
    <col min="1" max="1" width="31.42578125" style="264" customWidth="1"/>
    <col min="2" max="2" width="10.28515625" style="267" customWidth="1"/>
    <col min="3" max="3" width="8.85546875" style="264" bestFit="1" customWidth="1"/>
    <col min="4" max="4" width="8.42578125" style="264" customWidth="1"/>
    <col min="5" max="5" width="12.28515625" style="461" bestFit="1" customWidth="1"/>
    <col min="6" max="6" width="14.140625" style="461" bestFit="1" customWidth="1"/>
    <col min="7" max="7" width="14.5703125" style="461" customWidth="1"/>
    <col min="8" max="16384" width="9.140625" style="264"/>
  </cols>
  <sheetData>
    <row r="1" spans="1:7" x14ac:dyDescent="0.2">
      <c r="A1" s="692" t="s">
        <v>186</v>
      </c>
      <c r="B1" s="692"/>
      <c r="C1" s="692"/>
      <c r="D1" s="692"/>
      <c r="E1" s="692"/>
      <c r="F1" s="692"/>
      <c r="G1" s="692"/>
    </row>
    <row r="2" spans="1:7" x14ac:dyDescent="0.2">
      <c r="A2" s="685" t="s">
        <v>702</v>
      </c>
      <c r="B2" s="685"/>
      <c r="C2" s="685"/>
      <c r="D2" s="685"/>
      <c r="E2" s="685"/>
      <c r="F2" s="685"/>
      <c r="G2" s="685"/>
    </row>
    <row r="3" spans="1:7" x14ac:dyDescent="0.2">
      <c r="A3" s="692" t="s">
        <v>708</v>
      </c>
      <c r="B3" s="692"/>
      <c r="C3" s="692"/>
      <c r="D3" s="692"/>
      <c r="E3" s="692"/>
      <c r="F3" s="692"/>
      <c r="G3" s="692"/>
    </row>
    <row r="4" spans="1:7" x14ac:dyDescent="0.2">
      <c r="A4" s="692" t="s">
        <v>704</v>
      </c>
      <c r="B4" s="692"/>
      <c r="C4" s="692"/>
      <c r="D4" s="692"/>
      <c r="E4" s="692"/>
      <c r="F4" s="692"/>
      <c r="G4" s="692"/>
    </row>
    <row r="5" spans="1:7" x14ac:dyDescent="0.2">
      <c r="A5" s="685"/>
      <c r="B5" s="685"/>
      <c r="C5" s="685"/>
      <c r="D5" s="685"/>
      <c r="E5" s="685"/>
      <c r="F5" s="685"/>
      <c r="G5" s="685"/>
    </row>
    <row r="6" spans="1:7" x14ac:dyDescent="0.2">
      <c r="A6" s="508"/>
      <c r="B6" s="508"/>
      <c r="C6" s="508"/>
      <c r="D6" s="508"/>
      <c r="E6" s="453"/>
      <c r="F6" s="453"/>
      <c r="G6" s="453"/>
    </row>
    <row r="7" spans="1:7" ht="42" customHeight="1" thickBot="1" x14ac:dyDescent="0.25">
      <c r="A7" s="408" t="s">
        <v>187</v>
      </c>
      <c r="B7" s="454" t="s">
        <v>110</v>
      </c>
      <c r="C7" s="408" t="s">
        <v>158</v>
      </c>
      <c r="D7" s="408" t="s">
        <v>159</v>
      </c>
      <c r="E7" s="455" t="s">
        <v>558</v>
      </c>
      <c r="F7" s="456" t="s">
        <v>160</v>
      </c>
      <c r="G7" s="457" t="s">
        <v>205</v>
      </c>
    </row>
    <row r="8" spans="1:7" x14ac:dyDescent="0.2">
      <c r="A8" s="187" t="str">
        <f>'Schedule 7 Workpaper'!B8</f>
        <v>American Falls Power Plant</v>
      </c>
      <c r="B8" s="274">
        <f>'Schedule 7 Workpaper'!C8</f>
        <v>353</v>
      </c>
      <c r="C8" s="274">
        <f>'Schedule 7 Workpaper'!D8</f>
        <v>1978</v>
      </c>
      <c r="D8" s="458">
        <f>'Schedule 7 Workpaper'!G8 + 'Schedule 7 Workpaper'!J8+'Schedule 7 Workpaper'!M8</f>
        <v>39</v>
      </c>
      <c r="E8" s="459">
        <f>'Schedule 7 Workpaper'!E8</f>
        <v>647894.37</v>
      </c>
      <c r="F8" s="459">
        <f>'Schedule 7 Workpaper'!O8</f>
        <v>527658.14</v>
      </c>
      <c r="G8" s="460">
        <f>'Schedule 7 Workpaper'!Q8</f>
        <v>12309.99</v>
      </c>
    </row>
    <row r="9" spans="1:7" x14ac:dyDescent="0.2">
      <c r="A9" s="187" t="str">
        <f>'Schedule 7 Workpaper'!B9</f>
        <v>American Falls Power Plant</v>
      </c>
      <c r="B9" s="274">
        <f>'Schedule 7 Workpaper'!C9</f>
        <v>353</v>
      </c>
      <c r="C9" s="274">
        <f>'Schedule 7 Workpaper'!D9</f>
        <v>2013</v>
      </c>
      <c r="D9" s="458">
        <f>'Schedule 7 Workpaper'!G9 + 'Schedule 7 Workpaper'!J9+'Schedule 7 Workpaper'!M9</f>
        <v>4</v>
      </c>
      <c r="E9" s="459">
        <f>'Schedule 7 Workpaper'!E9</f>
        <v>10928.33</v>
      </c>
      <c r="F9" s="459">
        <f>'Schedule 7 Workpaper'!O9</f>
        <v>830.55</v>
      </c>
      <c r="G9" s="460">
        <f>'Schedule 7 Workpaper'!Q9</f>
        <v>207.64</v>
      </c>
    </row>
    <row r="10" spans="1:7" x14ac:dyDescent="0.2">
      <c r="A10" s="187" t="str">
        <f>'Schedule 7 Workpaper'!B10</f>
        <v>Brownlee Power Plant Adams</v>
      </c>
      <c r="B10" s="274">
        <f>'Schedule 7 Workpaper'!C10</f>
        <v>353</v>
      </c>
      <c r="C10" s="274">
        <f>'Schedule 7 Workpaper'!D10</f>
        <v>1959</v>
      </c>
      <c r="D10" s="458">
        <f>'Schedule 7 Workpaper'!G10 + 'Schedule 7 Workpaper'!J10+'Schedule 7 Workpaper'!M10</f>
        <v>58</v>
      </c>
      <c r="E10" s="459">
        <f>'Schedule 7 Workpaper'!E10</f>
        <v>747897.47</v>
      </c>
      <c r="F10" s="459">
        <f>'Schedule 7 Workpaper'!O10</f>
        <v>910355.76000000013</v>
      </c>
      <c r="G10" s="460">
        <f>'Schedule 7 Workpaper'!Q10</f>
        <v>14210.05</v>
      </c>
    </row>
    <row r="11" spans="1:7" x14ac:dyDescent="0.2">
      <c r="A11" s="187" t="str">
        <f>'Schedule 7 Workpaper'!B11</f>
        <v>Brownlee Power Plant Adams</v>
      </c>
      <c r="B11" s="274">
        <f>'Schedule 7 Workpaper'!C11</f>
        <v>353</v>
      </c>
      <c r="C11" s="274">
        <f>'Schedule 7 Workpaper'!D11</f>
        <v>1980</v>
      </c>
      <c r="D11" s="458">
        <f>'Schedule 7 Workpaper'!G11 + 'Schedule 7 Workpaper'!J11+'Schedule 7 Workpaper'!M11</f>
        <v>37</v>
      </c>
      <c r="E11" s="459">
        <f>'Schedule 7 Workpaper'!E11</f>
        <v>1541721.69</v>
      </c>
      <c r="F11" s="459">
        <f>'Schedule 7 Workpaper'!O11</f>
        <v>1190239.98</v>
      </c>
      <c r="G11" s="460">
        <f>'Schedule 7 Workpaper'!Q11</f>
        <v>29292.71</v>
      </c>
    </row>
    <row r="12" spans="1:7" x14ac:dyDescent="0.2">
      <c r="A12" s="187" t="str">
        <f>'Schedule 7 Workpaper'!B12</f>
        <v>Brownlee Power Plant Adams</v>
      </c>
      <c r="B12" s="274">
        <f>'Schedule 7 Workpaper'!C12</f>
        <v>353</v>
      </c>
      <c r="C12" s="274">
        <f>'Schedule 7 Workpaper'!D12</f>
        <v>2000</v>
      </c>
      <c r="D12" s="458">
        <f>'Schedule 7 Workpaper'!G12 + 'Schedule 7 Workpaper'!J12+'Schedule 7 Workpaper'!M12</f>
        <v>17</v>
      </c>
      <c r="E12" s="459">
        <f>'Schedule 7 Workpaper'!E12</f>
        <v>11284.55</v>
      </c>
      <c r="F12" s="459">
        <f>'Schedule 7 Workpaper'!O12</f>
        <v>3927.2400000000002</v>
      </c>
      <c r="G12" s="460">
        <f>'Schedule 7 Workpaper'!Q12</f>
        <v>214.41</v>
      </c>
    </row>
    <row r="13" spans="1:7" x14ac:dyDescent="0.2">
      <c r="A13" s="187" t="str">
        <f>'Schedule 7 Workpaper'!B13</f>
        <v>Brownlee Power Plant Adams</v>
      </c>
      <c r="B13" s="274">
        <f>'Schedule 7 Workpaper'!C13</f>
        <v>353</v>
      </c>
      <c r="C13" s="274">
        <f>'Schedule 7 Workpaper'!D13</f>
        <v>2003</v>
      </c>
      <c r="D13" s="458">
        <f>'Schedule 7 Workpaper'!G13 + 'Schedule 7 Workpaper'!J13+'Schedule 7 Workpaper'!M13</f>
        <v>14</v>
      </c>
      <c r="E13" s="459">
        <f>'Schedule 7 Workpaper'!E13</f>
        <v>15167.15</v>
      </c>
      <c r="F13" s="459">
        <f>'Schedule 7 Workpaper'!O13</f>
        <v>4313.84</v>
      </c>
      <c r="G13" s="460">
        <f>'Schedule 7 Workpaper'!Q13</f>
        <v>288.18</v>
      </c>
    </row>
    <row r="14" spans="1:7" x14ac:dyDescent="0.2">
      <c r="A14" s="187" t="str">
        <f>'Schedule 7 Workpaper'!B14</f>
        <v>Brownlee Power Plant Adams</v>
      </c>
      <c r="B14" s="274">
        <f>'Schedule 7 Workpaper'!C14</f>
        <v>353</v>
      </c>
      <c r="C14" s="274">
        <f>'Schedule 7 Workpaper'!D14</f>
        <v>2012</v>
      </c>
      <c r="D14" s="458">
        <f>'Schedule 7 Workpaper'!G14 + 'Schedule 7 Workpaper'!J14+'Schedule 7 Workpaper'!M14</f>
        <v>5</v>
      </c>
      <c r="E14" s="459">
        <f>'Schedule 7 Workpaper'!E14</f>
        <v>1855783.59</v>
      </c>
      <c r="F14" s="459">
        <f>'Schedule 7 Workpaper'!O14</f>
        <v>177546.53</v>
      </c>
      <c r="G14" s="460">
        <f>'Schedule 7 Workpaper'!Q14</f>
        <v>35259.89</v>
      </c>
    </row>
    <row r="15" spans="1:7" x14ac:dyDescent="0.2">
      <c r="A15" s="187" t="str">
        <f>'Schedule 7 Workpaper'!B15</f>
        <v>Brownlee Power Plant Adams</v>
      </c>
      <c r="B15" s="274">
        <f>'Schedule 7 Workpaper'!C15</f>
        <v>353</v>
      </c>
      <c r="C15" s="274">
        <f>'Schedule 7 Workpaper'!D15</f>
        <v>2014</v>
      </c>
      <c r="D15" s="458">
        <f>'Schedule 7 Workpaper'!G15 + 'Schedule 7 Workpaper'!J15+'Schedule 7 Workpaper'!M15</f>
        <v>3</v>
      </c>
      <c r="E15" s="459">
        <f>'Schedule 7 Workpaper'!E15</f>
        <v>205853.64</v>
      </c>
      <c r="F15" s="459">
        <f>'Schedule 7 Workpaper'!O15</f>
        <v>11733.66</v>
      </c>
      <c r="G15" s="460">
        <f>'Schedule 7 Workpaper'!Q15</f>
        <v>3911.22</v>
      </c>
    </row>
    <row r="16" spans="1:7" x14ac:dyDescent="0.2">
      <c r="A16" s="187" t="str">
        <f>'Schedule 7 Workpaper'!B16</f>
        <v>Bliss Power Plant Gooding</v>
      </c>
      <c r="B16" s="274">
        <f>'Schedule 7 Workpaper'!C16</f>
        <v>353</v>
      </c>
      <c r="C16" s="274">
        <f>'Schedule 7 Workpaper'!D16</f>
        <v>1950</v>
      </c>
      <c r="D16" s="458">
        <f>'Schedule 7 Workpaper'!G16 + 'Schedule 7 Workpaper'!J16+'Schedule 7 Workpaper'!M16</f>
        <v>67</v>
      </c>
      <c r="E16" s="459">
        <f>'Schedule 7 Workpaper'!E16</f>
        <v>316403.89</v>
      </c>
      <c r="F16" s="459">
        <f>'Schedule 7 Workpaper'!O16</f>
        <v>445503.01</v>
      </c>
      <c r="G16" s="460">
        <f>'Schedule 7 Workpaper'!Q16</f>
        <v>6011.67</v>
      </c>
    </row>
    <row r="17" spans="1:7" x14ac:dyDescent="0.2">
      <c r="A17" s="187" t="str">
        <f>'Schedule 7 Workpaper'!B17</f>
        <v>Bliss Power Plant Gooding</v>
      </c>
      <c r="B17" s="274">
        <f>'Schedule 7 Workpaper'!C17</f>
        <v>353</v>
      </c>
      <c r="C17" s="274">
        <f>'Schedule 7 Workpaper'!D17</f>
        <v>1964</v>
      </c>
      <c r="D17" s="458">
        <f>'Schedule 7 Workpaper'!G17 + 'Schedule 7 Workpaper'!J17+'Schedule 7 Workpaper'!M17</f>
        <v>53</v>
      </c>
      <c r="E17" s="459">
        <f>'Schedule 7 Workpaper'!E17</f>
        <v>1416.21</v>
      </c>
      <c r="F17" s="459">
        <f>'Schedule 7 Workpaper'!O17</f>
        <v>1573.72</v>
      </c>
      <c r="G17" s="460">
        <f>'Schedule 7 Workpaper'!Q17</f>
        <v>26.91</v>
      </c>
    </row>
    <row r="18" spans="1:7" x14ac:dyDescent="0.2">
      <c r="A18" s="187" t="str">
        <f>'Schedule 7 Workpaper'!B18</f>
        <v>Cascade Power Plant</v>
      </c>
      <c r="B18" s="274">
        <f>'Schedule 7 Workpaper'!C18</f>
        <v>353</v>
      </c>
      <c r="C18" s="274">
        <f>'Schedule 7 Workpaper'!D18</f>
        <v>1983</v>
      </c>
      <c r="D18" s="458">
        <f>'Schedule 7 Workpaper'!G18 + 'Schedule 7 Workpaper'!J18+'Schedule 7 Workpaper'!M18</f>
        <v>34</v>
      </c>
      <c r="E18" s="459">
        <f>'Schedule 7 Workpaper'!E18</f>
        <v>257772.45</v>
      </c>
      <c r="F18" s="459">
        <f>'Schedule 7 Workpaper'!O18</f>
        <v>182611.15999999997</v>
      </c>
      <c r="G18" s="460">
        <f>'Schedule 7 Workpaper'!Q18</f>
        <v>4897.68</v>
      </c>
    </row>
    <row r="19" spans="1:7" x14ac:dyDescent="0.2">
      <c r="A19" s="187" t="str">
        <f>'Schedule 7 Workpaper'!B19</f>
        <v>Clear Lake Power Plant</v>
      </c>
      <c r="B19" s="274">
        <f>'Schedule 7 Workpaper'!C19</f>
        <v>353</v>
      </c>
      <c r="C19" s="274">
        <f>'Schedule 7 Workpaper'!D19</f>
        <v>1965</v>
      </c>
      <c r="D19" s="458">
        <f>'Schedule 7 Workpaper'!G19 + 'Schedule 7 Workpaper'!J19+'Schedule 7 Workpaper'!M19</f>
        <v>52</v>
      </c>
      <c r="E19" s="459">
        <f>'Schedule 7 Workpaper'!E19</f>
        <v>19807.669999999998</v>
      </c>
      <c r="F19" s="459">
        <f>'Schedule 7 Workpaper'!O19</f>
        <v>21590.76</v>
      </c>
      <c r="G19" s="460">
        <f>'Schedule 7 Workpaper'!Q19</f>
        <v>376.35</v>
      </c>
    </row>
    <row r="20" spans="1:7" x14ac:dyDescent="0.2">
      <c r="A20" s="187" t="str">
        <f>'Schedule 7 Workpaper'!B20</f>
        <v>Danskin Power Plant</v>
      </c>
      <c r="B20" s="274">
        <f>'Schedule 7 Workpaper'!C20</f>
        <v>353</v>
      </c>
      <c r="C20" s="274">
        <f>'Schedule 7 Workpaper'!D20</f>
        <v>2001</v>
      </c>
      <c r="D20" s="458">
        <f>'Schedule 7 Workpaper'!G20 + 'Schedule 7 Workpaper'!J20+'Schedule 7 Workpaper'!M20</f>
        <v>16</v>
      </c>
      <c r="E20" s="459">
        <f>'Schedule 7 Workpaper'!E20</f>
        <v>259219.44</v>
      </c>
      <c r="F20" s="459">
        <f>'Schedule 7 Workpaper'!O20</f>
        <v>84718.1</v>
      </c>
      <c r="G20" s="460">
        <f>'Schedule 7 Workpaper'!Q20</f>
        <v>4925.17</v>
      </c>
    </row>
    <row r="21" spans="1:7" x14ac:dyDescent="0.2">
      <c r="A21" s="187" t="str">
        <f>'Schedule 7 Workpaper'!B21</f>
        <v>Danskin Power Plant</v>
      </c>
      <c r="B21" s="274">
        <f>'Schedule 7 Workpaper'!C21</f>
        <v>353</v>
      </c>
      <c r="C21" s="274">
        <f>'Schedule 7 Workpaper'!D21</f>
        <v>2008</v>
      </c>
      <c r="D21" s="458">
        <f>'Schedule 7 Workpaper'!G21 + 'Schedule 7 Workpaper'!J21+'Schedule 7 Workpaper'!M21</f>
        <v>9</v>
      </c>
      <c r="E21" s="459">
        <f>'Schedule 7 Workpaper'!E21</f>
        <v>7041.17</v>
      </c>
      <c r="F21" s="459">
        <f>'Schedule 7 Workpaper'!O21</f>
        <v>1256.2800000000002</v>
      </c>
      <c r="G21" s="460">
        <f>'Schedule 7 Workpaper'!Q21</f>
        <v>133.78</v>
      </c>
    </row>
    <row r="22" spans="1:7" x14ac:dyDescent="0.2">
      <c r="A22" s="187" t="str">
        <f>'Schedule 7 Workpaper'!B22</f>
        <v>Danskin Power Plant</v>
      </c>
      <c r="B22" s="274">
        <f>'Schedule 7 Workpaper'!C22</f>
        <v>353</v>
      </c>
      <c r="C22" s="274">
        <f>'Schedule 7 Workpaper'!D22</f>
        <v>2009</v>
      </c>
      <c r="D22" s="458">
        <f>'Schedule 7 Workpaper'!G22 + 'Schedule 7 Workpaper'!J22+'Schedule 7 Workpaper'!M22</f>
        <v>8</v>
      </c>
      <c r="E22" s="459">
        <f>'Schedule 7 Workpaper'!E22</f>
        <v>3878240.38</v>
      </c>
      <c r="F22" s="459">
        <f>'Schedule 7 Workpaper'!O22</f>
        <v>610714.27</v>
      </c>
      <c r="G22" s="460">
        <f>'Schedule 7 Workpaper'!Q22</f>
        <v>73686.570000000007</v>
      </c>
    </row>
    <row r="23" spans="1:7" x14ac:dyDescent="0.2">
      <c r="A23" s="187" t="str">
        <f>'Schedule 7 Workpaper'!B23</f>
        <v>Hells Canyon Power Plant Wallo</v>
      </c>
      <c r="B23" s="274">
        <f>'Schedule 7 Workpaper'!C23</f>
        <v>353</v>
      </c>
      <c r="C23" s="274">
        <f>'Schedule 7 Workpaper'!D23</f>
        <v>1967</v>
      </c>
      <c r="D23" s="458">
        <f>'Schedule 7 Workpaper'!G23 + 'Schedule 7 Workpaper'!J23+'Schedule 7 Workpaper'!M23</f>
        <v>50</v>
      </c>
      <c r="E23" s="459">
        <f>'Schedule 7 Workpaper'!E23</f>
        <v>630598.12</v>
      </c>
      <c r="F23" s="459">
        <f>'Schedule 7 Workpaper'!O23</f>
        <v>660627.19999999995</v>
      </c>
      <c r="G23" s="460">
        <f>'Schedule 7 Workpaper'!Q23</f>
        <v>11981.36</v>
      </c>
    </row>
    <row r="24" spans="1:7" x14ac:dyDescent="0.2">
      <c r="A24" s="187" t="str">
        <f>'Schedule 7 Workpaper'!B24</f>
        <v>Hells Canyon Power Plant Wallo</v>
      </c>
      <c r="B24" s="274">
        <f>'Schedule 7 Workpaper'!C24</f>
        <v>353</v>
      </c>
      <c r="C24" s="274">
        <f>'Schedule 7 Workpaper'!D24</f>
        <v>2000</v>
      </c>
      <c r="D24" s="458">
        <f>'Schedule 7 Workpaper'!G24 + 'Schedule 7 Workpaper'!J24+'Schedule 7 Workpaper'!M24</f>
        <v>17</v>
      </c>
      <c r="E24" s="459">
        <f>'Schedule 7 Workpaper'!E24</f>
        <v>1787.31</v>
      </c>
      <c r="F24" s="459">
        <f>'Schedule 7 Workpaper'!O24</f>
        <v>622.01</v>
      </c>
      <c r="G24" s="460">
        <f>'Schedule 7 Workpaper'!Q24</f>
        <v>33.96</v>
      </c>
    </row>
    <row r="25" spans="1:7" x14ac:dyDescent="0.2">
      <c r="A25" s="187" t="str">
        <f>'Schedule 7 Workpaper'!B25</f>
        <v>Hells Canyon Power Plant Wallo</v>
      </c>
      <c r="B25" s="274">
        <f>'Schedule 7 Workpaper'!C25</f>
        <v>353</v>
      </c>
      <c r="C25" s="274">
        <f>'Schedule 7 Workpaper'!D25</f>
        <v>2015</v>
      </c>
      <c r="D25" s="458">
        <f>'Schedule 7 Workpaper'!G25 + 'Schedule 7 Workpaper'!J25+'Schedule 7 Workpaper'!M25</f>
        <v>2</v>
      </c>
      <c r="E25" s="459">
        <f>'Schedule 7 Workpaper'!E25</f>
        <v>3641294.7499999995</v>
      </c>
      <c r="F25" s="459">
        <f>'Schedule 7 Workpaper'!O25</f>
        <v>138369.20000000001</v>
      </c>
      <c r="G25" s="460">
        <f>'Schedule 7 Workpaper'!Q25</f>
        <v>69184.600000000006</v>
      </c>
    </row>
    <row r="26" spans="1:7" x14ac:dyDescent="0.2">
      <c r="A26" s="187" t="str">
        <f>'Schedule 7 Workpaper'!B26</f>
        <v>Hells Canyon Power Plant Wallo</v>
      </c>
      <c r="B26" s="274">
        <f>'Schedule 7 Workpaper'!C26</f>
        <v>353</v>
      </c>
      <c r="C26" s="274">
        <f>'Schedule 7 Workpaper'!D26</f>
        <v>2016</v>
      </c>
      <c r="D26" s="458">
        <f>'Schedule 7 Workpaper'!G26 + 'Schedule 7 Workpaper'!J26+'Schedule 7 Workpaper'!M26</f>
        <v>1</v>
      </c>
      <c r="E26" s="459">
        <f>'Schedule 7 Workpaper'!E26</f>
        <v>1826511.24</v>
      </c>
      <c r="F26" s="459">
        <f>'Schedule 7 Workpaper'!O26</f>
        <v>34703.71</v>
      </c>
      <c r="G26" s="460">
        <f>'Schedule 7 Workpaper'!Q26</f>
        <v>34703.71</v>
      </c>
    </row>
    <row r="27" spans="1:7" x14ac:dyDescent="0.2">
      <c r="A27" s="187" t="str">
        <f>'Schedule 7 Workpaper'!B27</f>
        <v>Lower Malad Power Plant</v>
      </c>
      <c r="B27" s="274">
        <f>'Schedule 7 Workpaper'!C27</f>
        <v>353</v>
      </c>
      <c r="C27" s="274">
        <f>'Schedule 7 Workpaper'!D27</f>
        <v>1948</v>
      </c>
      <c r="D27" s="458">
        <f>'Schedule 7 Workpaper'!G27 + 'Schedule 7 Workpaper'!J27+'Schedule 7 Workpaper'!M27</f>
        <v>69</v>
      </c>
      <c r="E27" s="459">
        <f>'Schedule 7 Workpaper'!E27</f>
        <v>81118.75</v>
      </c>
      <c r="F27" s="459">
        <f>'Schedule 7 Workpaper'!O27</f>
        <v>117656.26</v>
      </c>
      <c r="G27" s="460">
        <f>'Schedule 7 Workpaper'!Q27</f>
        <v>1541.26</v>
      </c>
    </row>
    <row r="28" spans="1:7" x14ac:dyDescent="0.2">
      <c r="A28" s="187" t="str">
        <f>'Schedule 7 Workpaper'!B28</f>
        <v>Lower Malad Power Plant</v>
      </c>
      <c r="B28" s="274">
        <f>'Schedule 7 Workpaper'!C28</f>
        <v>353</v>
      </c>
      <c r="C28" s="274">
        <f>'Schedule 7 Workpaper'!D28</f>
        <v>1958</v>
      </c>
      <c r="D28" s="458">
        <f>'Schedule 7 Workpaper'!G28 + 'Schedule 7 Workpaper'!J28+'Schedule 7 Workpaper'!M28</f>
        <v>59</v>
      </c>
      <c r="E28" s="459">
        <f>'Schedule 7 Workpaper'!E28</f>
        <v>1551.05</v>
      </c>
      <c r="F28" s="459">
        <f>'Schedule 7 Workpaper'!O28</f>
        <v>1920.8400000000001</v>
      </c>
      <c r="G28" s="460">
        <f>'Schedule 7 Workpaper'!Q28</f>
        <v>29.47</v>
      </c>
    </row>
    <row r="29" spans="1:7" x14ac:dyDescent="0.2">
      <c r="A29" s="187" t="str">
        <f>'Schedule 7 Workpaper'!B29</f>
        <v>Lower Salmon Power Plant Goodi</v>
      </c>
      <c r="B29" s="274">
        <f>'Schedule 7 Workpaper'!C29</f>
        <v>353</v>
      </c>
      <c r="C29" s="274">
        <f>'Schedule 7 Workpaper'!D29</f>
        <v>1949</v>
      </c>
      <c r="D29" s="458">
        <f>'Schedule 7 Workpaper'!G29 + 'Schedule 7 Workpaper'!J29+'Schedule 7 Workpaper'!M29</f>
        <v>68</v>
      </c>
      <c r="E29" s="459">
        <f>'Schedule 7 Workpaper'!E29</f>
        <v>303512.28999999998</v>
      </c>
      <c r="F29" s="459">
        <f>'Schedule 7 Workpaper'!O29</f>
        <v>433785.83999999997</v>
      </c>
      <c r="G29" s="460">
        <f>'Schedule 7 Workpaper'!Q29</f>
        <v>5766.73</v>
      </c>
    </row>
    <row r="30" spans="1:7" x14ac:dyDescent="0.2">
      <c r="A30" s="187" t="str">
        <f>'Schedule 7 Workpaper'!B30</f>
        <v>Milner Power Plant</v>
      </c>
      <c r="B30" s="274">
        <f>'Schedule 7 Workpaper'!C30</f>
        <v>353</v>
      </c>
      <c r="C30" s="274">
        <f>'Schedule 7 Workpaper'!D30</f>
        <v>1992</v>
      </c>
      <c r="D30" s="458">
        <f>'Schedule 7 Workpaper'!G30 + 'Schedule 7 Workpaper'!J30+'Schedule 7 Workpaper'!M30</f>
        <v>25</v>
      </c>
      <c r="E30" s="459">
        <f>'Schedule 7 Workpaper'!E30</f>
        <v>664293.88</v>
      </c>
      <c r="F30" s="459">
        <f>'Schedule 7 Workpaper'!O30</f>
        <v>343851.79</v>
      </c>
      <c r="G30" s="460">
        <f>'Schedule 7 Workpaper'!Q30</f>
        <v>12621.58</v>
      </c>
    </row>
    <row r="31" spans="1:7" x14ac:dyDescent="0.2">
      <c r="A31" s="187" t="str">
        <f>'Schedule 7 Workpaper'!B31</f>
        <v>Oxbow Power Plant Baker</v>
      </c>
      <c r="B31" s="274">
        <f>'Schedule 7 Workpaper'!C31</f>
        <v>353</v>
      </c>
      <c r="C31" s="274">
        <f>'Schedule 7 Workpaper'!D31</f>
        <v>1949</v>
      </c>
      <c r="D31" s="458">
        <f>'Schedule 7 Workpaper'!G31 + 'Schedule 7 Workpaper'!J31+'Schedule 7 Workpaper'!M31</f>
        <v>68</v>
      </c>
      <c r="E31" s="459">
        <f>'Schedule 7 Workpaper'!E31</f>
        <v>100827.22</v>
      </c>
      <c r="F31" s="459">
        <f>'Schedule 7 Workpaper'!O31</f>
        <v>144104.28000000003</v>
      </c>
      <c r="G31" s="460">
        <f>'Schedule 7 Workpaper'!Q31</f>
        <v>1915.72</v>
      </c>
    </row>
    <row r="32" spans="1:7" x14ac:dyDescent="0.2">
      <c r="A32" s="187" t="str">
        <f>'Schedule 7 Workpaper'!B32</f>
        <v>Oxbow Power Plant Baker</v>
      </c>
      <c r="B32" s="274">
        <f>'Schedule 7 Workpaper'!C32</f>
        <v>353</v>
      </c>
      <c r="C32" s="274">
        <f>'Schedule 7 Workpaper'!D32</f>
        <v>1951</v>
      </c>
      <c r="D32" s="458">
        <f>'Schedule 7 Workpaper'!G32 + 'Schedule 7 Workpaper'!J32+'Schedule 7 Workpaper'!M32</f>
        <v>66</v>
      </c>
      <c r="E32" s="459">
        <f>'Schedule 7 Workpaper'!E32</f>
        <v>43216.23</v>
      </c>
      <c r="F32" s="459">
        <f>'Schedule 7 Workpaper'!O32</f>
        <v>59933.14</v>
      </c>
      <c r="G32" s="460">
        <f>'Schedule 7 Workpaper'!Q32</f>
        <v>821.11</v>
      </c>
    </row>
    <row r="33" spans="1:7" x14ac:dyDescent="0.2">
      <c r="A33" s="187" t="str">
        <f>'Schedule 7 Workpaper'!B33</f>
        <v>Oxbow Power Plant Baker</v>
      </c>
      <c r="B33" s="274">
        <f>'Schedule 7 Workpaper'!C33</f>
        <v>353</v>
      </c>
      <c r="C33" s="274">
        <f>'Schedule 7 Workpaper'!D33</f>
        <v>1957</v>
      </c>
      <c r="D33" s="458">
        <f>'Schedule 7 Workpaper'!G33 + 'Schedule 7 Workpaper'!J33+'Schedule 7 Workpaper'!M33</f>
        <v>60</v>
      </c>
      <c r="E33" s="459">
        <f>'Schedule 7 Workpaper'!E33</f>
        <v>208866.2</v>
      </c>
      <c r="F33" s="459">
        <f>'Schedule 7 Workpaper'!O33</f>
        <v>263092.03999999998</v>
      </c>
      <c r="G33" s="460">
        <f>'Schedule 7 Workpaper'!Q33</f>
        <v>3968.46</v>
      </c>
    </row>
    <row r="34" spans="1:7" x14ac:dyDescent="0.2">
      <c r="A34" s="187" t="str">
        <f>'Schedule 7 Workpaper'!B34</f>
        <v>Oxbow Power Plant Baker</v>
      </c>
      <c r="B34" s="274">
        <f>'Schedule 7 Workpaper'!C34</f>
        <v>353</v>
      </c>
      <c r="C34" s="274">
        <f>'Schedule 7 Workpaper'!D34</f>
        <v>1961</v>
      </c>
      <c r="D34" s="458">
        <f>'Schedule 7 Workpaper'!G34 + 'Schedule 7 Workpaper'!J34+'Schedule 7 Workpaper'!M34</f>
        <v>56</v>
      </c>
      <c r="E34" s="459">
        <f>'Schedule 7 Workpaper'!E34</f>
        <v>423845.86</v>
      </c>
      <c r="F34" s="459">
        <f>'Schedule 7 Workpaper'!O34</f>
        <v>497942.59</v>
      </c>
      <c r="G34" s="460">
        <f>'Schedule 7 Workpaper'!Q34</f>
        <v>8053.07</v>
      </c>
    </row>
    <row r="35" spans="1:7" x14ac:dyDescent="0.2">
      <c r="A35" s="187" t="str">
        <f>'Schedule 7 Workpaper'!B35</f>
        <v>Oxbow Power Plant Baker</v>
      </c>
      <c r="B35" s="274">
        <f>'Schedule 7 Workpaper'!C35</f>
        <v>353</v>
      </c>
      <c r="C35" s="274">
        <f>'Schedule 7 Workpaper'!D35</f>
        <v>1979</v>
      </c>
      <c r="D35" s="458">
        <f>'Schedule 7 Workpaper'!G35 + 'Schedule 7 Workpaper'!J35+'Schedule 7 Workpaper'!M35</f>
        <v>38</v>
      </c>
      <c r="E35" s="459">
        <f>'Schedule 7 Workpaper'!E35</f>
        <v>2963.82</v>
      </c>
      <c r="F35" s="459">
        <f>'Schedule 7 Workpaper'!O35</f>
        <v>2350.9599999999996</v>
      </c>
      <c r="G35" s="460">
        <f>'Schedule 7 Workpaper'!Q35</f>
        <v>56.31</v>
      </c>
    </row>
    <row r="36" spans="1:7" x14ac:dyDescent="0.2">
      <c r="A36" s="187" t="str">
        <f>'Schedule 7 Workpaper'!B36</f>
        <v>Oxbow Power Plant Baker</v>
      </c>
      <c r="B36" s="274">
        <f>'Schedule 7 Workpaper'!C36</f>
        <v>353</v>
      </c>
      <c r="C36" s="274">
        <f>'Schedule 7 Workpaper'!D36</f>
        <v>1980</v>
      </c>
      <c r="D36" s="458">
        <f>'Schedule 7 Workpaper'!G36 + 'Schedule 7 Workpaper'!J36+'Schedule 7 Workpaper'!M36</f>
        <v>37</v>
      </c>
      <c r="E36" s="459">
        <f>'Schedule 7 Workpaper'!E36</f>
        <v>6099.17</v>
      </c>
      <c r="F36" s="459">
        <f>'Schedule 7 Workpaper'!O36</f>
        <v>4708.68</v>
      </c>
      <c r="G36" s="460">
        <f>'Schedule 7 Workpaper'!Q36</f>
        <v>115.88</v>
      </c>
    </row>
    <row r="37" spans="1:7" x14ac:dyDescent="0.2">
      <c r="A37" s="187" t="str">
        <f>'Schedule 7 Workpaper'!B37</f>
        <v>Oxbow Power Plant Baker</v>
      </c>
      <c r="B37" s="274">
        <f>'Schedule 7 Workpaper'!C37</f>
        <v>353</v>
      </c>
      <c r="C37" s="274">
        <f>'Schedule 7 Workpaper'!D37</f>
        <v>2000</v>
      </c>
      <c r="D37" s="458">
        <f>'Schedule 7 Workpaper'!G37 + 'Schedule 7 Workpaper'!J37+'Schedule 7 Workpaper'!M37</f>
        <v>17</v>
      </c>
      <c r="E37" s="459">
        <f>'Schedule 7 Workpaper'!E37</f>
        <v>132897.45000000001</v>
      </c>
      <c r="F37" s="459">
        <f>'Schedule 7 Workpaper'!O37</f>
        <v>46250.969999999994</v>
      </c>
      <c r="G37" s="460">
        <f>'Schedule 7 Workpaper'!Q37</f>
        <v>2525.0500000000002</v>
      </c>
    </row>
    <row r="38" spans="1:7" x14ac:dyDescent="0.2">
      <c r="A38" s="187" t="str">
        <f>'Schedule 7 Workpaper'!B38</f>
        <v>Oxbow Power Plant Baker</v>
      </c>
      <c r="B38" s="274">
        <f>'Schedule 7 Workpaper'!C38</f>
        <v>353</v>
      </c>
      <c r="C38" s="274">
        <f>'Schedule 7 Workpaper'!D38</f>
        <v>2000</v>
      </c>
      <c r="D38" s="458">
        <f>'Schedule 7 Workpaper'!G38 + 'Schedule 7 Workpaper'!J38+'Schedule 7 Workpaper'!M38</f>
        <v>17</v>
      </c>
      <c r="E38" s="459">
        <f>'Schedule 7 Workpaper'!E38</f>
        <v>3395.4</v>
      </c>
      <c r="F38" s="459">
        <f>'Schedule 7 Workpaper'!O38</f>
        <v>1181.67</v>
      </c>
      <c r="G38" s="460">
        <f>'Schedule 7 Workpaper'!Q38</f>
        <v>64.510000000000005</v>
      </c>
    </row>
    <row r="39" spans="1:7" x14ac:dyDescent="0.2">
      <c r="A39" s="187" t="str">
        <f>'Schedule 7 Workpaper'!B39</f>
        <v>Oxbow Power Plant Baker</v>
      </c>
      <c r="B39" s="274">
        <f>'Schedule 7 Workpaper'!C39</f>
        <v>353</v>
      </c>
      <c r="C39" s="274">
        <f>'Schedule 7 Workpaper'!D39</f>
        <v>2014</v>
      </c>
      <c r="D39" s="458">
        <f>'Schedule 7 Workpaper'!G39 + 'Schedule 7 Workpaper'!J39+'Schedule 7 Workpaper'!M39</f>
        <v>3</v>
      </c>
      <c r="E39" s="459">
        <f>'Schedule 7 Workpaper'!E39</f>
        <v>40966.1</v>
      </c>
      <c r="F39" s="459">
        <f>'Schedule 7 Workpaper'!O39</f>
        <v>2335.0700000000002</v>
      </c>
      <c r="G39" s="460">
        <f>'Schedule 7 Workpaper'!Q39</f>
        <v>778.36</v>
      </c>
    </row>
    <row r="40" spans="1:7" x14ac:dyDescent="0.2">
      <c r="A40" s="187" t="str">
        <f>'Schedule 7 Workpaper'!B40</f>
        <v>Shoshone Falls Power Plant Jer</v>
      </c>
      <c r="B40" s="274">
        <f>'Schedule 7 Workpaper'!C40</f>
        <v>353</v>
      </c>
      <c r="C40" s="274">
        <f>'Schedule 7 Workpaper'!D40</f>
        <v>1992</v>
      </c>
      <c r="D40" s="458">
        <f>'Schedule 7 Workpaper'!G40 + 'Schedule 7 Workpaper'!J40+'Schedule 7 Workpaper'!M40</f>
        <v>25</v>
      </c>
      <c r="E40" s="459">
        <f>'Schedule 7 Workpaper'!E40</f>
        <v>306659.17</v>
      </c>
      <c r="F40" s="459">
        <f>'Schedule 7 Workpaper'!O40</f>
        <v>158732.92000000001</v>
      </c>
      <c r="G40" s="460">
        <f>'Schedule 7 Workpaper'!Q40</f>
        <v>5826.52</v>
      </c>
    </row>
    <row r="41" spans="1:7" x14ac:dyDescent="0.2">
      <c r="A41" s="187" t="str">
        <f>'Schedule 7 Workpaper'!B41</f>
        <v>Strike C J Power Plant Owyhee</v>
      </c>
      <c r="B41" s="274">
        <f>'Schedule 7 Workpaper'!C41</f>
        <v>353</v>
      </c>
      <c r="C41" s="274">
        <f>'Schedule 7 Workpaper'!D41</f>
        <v>1952</v>
      </c>
      <c r="D41" s="458">
        <f>'Schedule 7 Workpaper'!G41 + 'Schedule 7 Workpaper'!J41+'Schedule 7 Workpaper'!M41</f>
        <v>65</v>
      </c>
      <c r="E41" s="459">
        <f>'Schedule 7 Workpaper'!E41</f>
        <v>344946.87</v>
      </c>
      <c r="F41" s="459">
        <f>'Schedule 7 Workpaper'!O41</f>
        <v>471066.35</v>
      </c>
      <c r="G41" s="460">
        <f>'Schedule 7 Workpaper'!Q41</f>
        <v>6553.99</v>
      </c>
    </row>
    <row r="42" spans="1:7" x14ac:dyDescent="0.2">
      <c r="A42" s="187" t="str">
        <f>'Schedule 7 Workpaper'!B42</f>
        <v>Strike C J Power Plant Owyhee</v>
      </c>
      <c r="B42" s="274">
        <f>'Schedule 7 Workpaper'!C42</f>
        <v>353</v>
      </c>
      <c r="C42" s="274">
        <f>'Schedule 7 Workpaper'!D42</f>
        <v>1965</v>
      </c>
      <c r="D42" s="458">
        <f>'Schedule 7 Workpaper'!G42 + 'Schedule 7 Workpaper'!J42+'Schedule 7 Workpaper'!M42</f>
        <v>52</v>
      </c>
      <c r="E42" s="459">
        <f>'Schedule 7 Workpaper'!E42</f>
        <v>1480.23</v>
      </c>
      <c r="F42" s="459">
        <f>'Schedule 7 Workpaper'!O42</f>
        <v>1613.4799999999998</v>
      </c>
      <c r="G42" s="460">
        <f>'Schedule 7 Workpaper'!Q42</f>
        <v>28.12</v>
      </c>
    </row>
    <row r="43" spans="1:7" x14ac:dyDescent="0.2">
      <c r="A43" s="187" t="str">
        <f>'Schedule 7 Workpaper'!B43</f>
        <v>Strike C J Power Plant Owyhee</v>
      </c>
      <c r="B43" s="274">
        <f>'Schedule 7 Workpaper'!C43</f>
        <v>353</v>
      </c>
      <c r="C43" s="274">
        <f>'Schedule 7 Workpaper'!D43</f>
        <v>1972</v>
      </c>
      <c r="D43" s="458">
        <f>'Schedule 7 Workpaper'!G43 + 'Schedule 7 Workpaper'!J43+'Schedule 7 Workpaper'!M43</f>
        <v>45</v>
      </c>
      <c r="E43" s="459">
        <f>'Schedule 7 Workpaper'!E43</f>
        <v>609.84</v>
      </c>
      <c r="F43" s="459">
        <f>'Schedule 7 Workpaper'!O43</f>
        <v>574.24</v>
      </c>
      <c r="G43" s="460">
        <f>'Schedule 7 Workpaper'!Q43</f>
        <v>11.59</v>
      </c>
    </row>
    <row r="44" spans="1:7" x14ac:dyDescent="0.2">
      <c r="A44" s="187" t="str">
        <f>'Schedule 7 Workpaper'!B44</f>
        <v>Strike C J Power Plant Owyhee</v>
      </c>
      <c r="B44" s="274">
        <f>'Schedule 7 Workpaper'!C44</f>
        <v>353</v>
      </c>
      <c r="C44" s="274">
        <f>'Schedule 7 Workpaper'!D44</f>
        <v>1973</v>
      </c>
      <c r="D44" s="458">
        <f>'Schedule 7 Workpaper'!G44 + 'Schedule 7 Workpaper'!J44+'Schedule 7 Workpaper'!M44</f>
        <v>44</v>
      </c>
      <c r="E44" s="459">
        <f>'Schedule 7 Workpaper'!E44</f>
        <v>316.68</v>
      </c>
      <c r="F44" s="459">
        <f>'Schedule 7 Workpaper'!O44</f>
        <v>291.48</v>
      </c>
      <c r="G44" s="460">
        <f>'Schedule 7 Workpaper'!Q44</f>
        <v>6.02</v>
      </c>
    </row>
    <row r="45" spans="1:7" x14ac:dyDescent="0.2">
      <c r="A45" s="187" t="str">
        <f>'Schedule 7 Workpaper'!B45</f>
        <v>Strike C J Power Plant Owyhee</v>
      </c>
      <c r="B45" s="274">
        <f>'Schedule 7 Workpaper'!C45</f>
        <v>353</v>
      </c>
      <c r="C45" s="274">
        <f>'Schedule 7 Workpaper'!D45</f>
        <v>1982</v>
      </c>
      <c r="D45" s="458">
        <f>'Schedule 7 Workpaper'!G45 + 'Schedule 7 Workpaper'!J45+'Schedule 7 Workpaper'!M45</f>
        <v>35</v>
      </c>
      <c r="E45" s="459">
        <f>'Schedule 7 Workpaper'!E45</f>
        <v>32437.37</v>
      </c>
      <c r="F45" s="459">
        <f>'Schedule 7 Workpaper'!O45</f>
        <v>23666.960000000003</v>
      </c>
      <c r="G45" s="460">
        <f>'Schedule 7 Workpaper'!Q45</f>
        <v>616.30999999999995</v>
      </c>
    </row>
    <row r="46" spans="1:7" x14ac:dyDescent="0.2">
      <c r="A46" s="187" t="str">
        <f>'Schedule 7 Workpaper'!B46</f>
        <v>Swan Falls Power Plant Ada</v>
      </c>
      <c r="B46" s="274">
        <f>'Schedule 7 Workpaper'!C46</f>
        <v>353</v>
      </c>
      <c r="C46" s="274">
        <f>'Schedule 7 Workpaper'!D46</f>
        <v>1994</v>
      </c>
      <c r="D46" s="458">
        <f>'Schedule 7 Workpaper'!G46 + 'Schedule 7 Workpaper'!J46+'Schedule 7 Workpaper'!M46</f>
        <v>23</v>
      </c>
      <c r="E46" s="459">
        <f>'Schedule 7 Workpaper'!E46</f>
        <v>432054.7</v>
      </c>
      <c r="F46" s="459">
        <f>'Schedule 7 Workpaper'!O46</f>
        <v>205321.03</v>
      </c>
      <c r="G46" s="460">
        <f>'Schedule 7 Workpaper'!Q46</f>
        <v>8209.0400000000009</v>
      </c>
    </row>
    <row r="47" spans="1:7" x14ac:dyDescent="0.2">
      <c r="A47" s="187" t="str">
        <f>'Schedule 7 Workpaper'!B47</f>
        <v>Swan Falls Power Plant Ada</v>
      </c>
      <c r="B47" s="274">
        <f>'Schedule 7 Workpaper'!C47</f>
        <v>353</v>
      </c>
      <c r="C47" s="274">
        <f>'Schedule 7 Workpaper'!D47</f>
        <v>1999</v>
      </c>
      <c r="D47" s="458">
        <f>'Schedule 7 Workpaper'!G47 + 'Schedule 7 Workpaper'!J47+'Schedule 7 Workpaper'!M47</f>
        <v>18</v>
      </c>
      <c r="E47" s="459">
        <f>'Schedule 7 Workpaper'!E47</f>
        <v>3.04</v>
      </c>
      <c r="F47" s="459">
        <f>'Schedule 7 Workpaper'!O47</f>
        <v>1.1200000000000001</v>
      </c>
      <c r="G47" s="460">
        <f>'Schedule 7 Workpaper'!Q47</f>
        <v>0.06</v>
      </c>
    </row>
    <row r="48" spans="1:7" x14ac:dyDescent="0.2">
      <c r="A48" s="187" t="str">
        <f>'Schedule 7 Workpaper'!B48</f>
        <v>Twin Falls Power Plant Twin Fa</v>
      </c>
      <c r="B48" s="274">
        <f>'Schedule 7 Workpaper'!C48</f>
        <v>353</v>
      </c>
      <c r="C48" s="274">
        <f>'Schedule 7 Workpaper'!D48</f>
        <v>1949</v>
      </c>
      <c r="D48" s="458">
        <f>'Schedule 7 Workpaper'!G48 + 'Schedule 7 Workpaper'!J48+'Schedule 7 Workpaper'!M48</f>
        <v>68</v>
      </c>
      <c r="E48" s="459">
        <f>'Schedule 7 Workpaper'!E48</f>
        <v>39458.78</v>
      </c>
      <c r="F48" s="459">
        <f>'Schedule 7 Workpaper'!O48</f>
        <v>56395.28</v>
      </c>
      <c r="G48" s="460">
        <f>'Schedule 7 Workpaper'!Q48</f>
        <v>749.72</v>
      </c>
    </row>
    <row r="49" spans="1:7" x14ac:dyDescent="0.2">
      <c r="A49" s="187" t="str">
        <f>'Schedule 7 Workpaper'!B49</f>
        <v>Twin Falls Power Plant (New)</v>
      </c>
      <c r="B49" s="274">
        <f>'Schedule 7 Workpaper'!C49</f>
        <v>353</v>
      </c>
      <c r="C49" s="274">
        <f>'Schedule 7 Workpaper'!D49</f>
        <v>1995</v>
      </c>
      <c r="D49" s="458">
        <f>'Schedule 7 Workpaper'!G49 + 'Schedule 7 Workpaper'!J49+'Schedule 7 Workpaper'!M49</f>
        <v>22</v>
      </c>
      <c r="E49" s="459">
        <f>'Schedule 7 Workpaper'!E49</f>
        <v>430708.27</v>
      </c>
      <c r="F49" s="459">
        <f>'Schedule 7 Workpaper'!O49</f>
        <v>195550.17</v>
      </c>
      <c r="G49" s="460">
        <f>'Schedule 7 Workpaper'!Q49</f>
        <v>8183.46</v>
      </c>
    </row>
    <row r="50" spans="1:7" x14ac:dyDescent="0.2">
      <c r="A50" s="187" t="str">
        <f>'Schedule 7 Workpaper'!B50</f>
        <v>Thousand Springs Power Plant</v>
      </c>
      <c r="B50" s="274">
        <f>'Schedule 7 Workpaper'!C50</f>
        <v>353</v>
      </c>
      <c r="C50" s="274">
        <f>'Schedule 7 Workpaper'!D50</f>
        <v>1956</v>
      </c>
      <c r="D50" s="458">
        <f>'Schedule 7 Workpaper'!G50 + 'Schedule 7 Workpaper'!J50+'Schedule 7 Workpaper'!M50</f>
        <v>61</v>
      </c>
      <c r="E50" s="459">
        <f>'Schedule 7 Workpaper'!E50</f>
        <v>36470.01</v>
      </c>
      <c r="F50" s="459">
        <f>'Schedule 7 Workpaper'!O50</f>
        <v>46711.51</v>
      </c>
      <c r="G50" s="460">
        <f>'Schedule 7 Workpaper'!Q50</f>
        <v>692.93</v>
      </c>
    </row>
    <row r="51" spans="1:7" x14ac:dyDescent="0.2">
      <c r="A51" s="187" t="str">
        <f>'Schedule 7 Workpaper'!B51</f>
        <v>Upper Malad Power Plant</v>
      </c>
      <c r="B51" s="274">
        <f>'Schedule 7 Workpaper'!C51</f>
        <v>353</v>
      </c>
      <c r="C51" s="274">
        <f>'Schedule 7 Workpaper'!D51</f>
        <v>1948</v>
      </c>
      <c r="D51" s="458">
        <f>'Schedule 7 Workpaper'!G51 + 'Schedule 7 Workpaper'!J51+'Schedule 7 Workpaper'!M51</f>
        <v>69</v>
      </c>
      <c r="E51" s="459">
        <f>'Schedule 7 Workpaper'!E51</f>
        <v>31129.21</v>
      </c>
      <c r="F51" s="459">
        <f>'Schedule 7 Workpaper'!O51</f>
        <v>45150.43</v>
      </c>
      <c r="G51" s="460">
        <f>'Schedule 7 Workpaper'!Q51</f>
        <v>591.45000000000005</v>
      </c>
    </row>
    <row r="52" spans="1:7" x14ac:dyDescent="0.2">
      <c r="A52" s="187" t="str">
        <f>'Schedule 7 Workpaper'!B52</f>
        <v>Upper Malad Power Plant</v>
      </c>
      <c r="B52" s="274">
        <f>'Schedule 7 Workpaper'!C52</f>
        <v>353</v>
      </c>
      <c r="C52" s="274">
        <f>'Schedule 7 Workpaper'!D52</f>
        <v>1987</v>
      </c>
      <c r="D52" s="458">
        <f>'Schedule 7 Workpaper'!G52 + 'Schedule 7 Workpaper'!J52+'Schedule 7 Workpaper'!M52</f>
        <v>30</v>
      </c>
      <c r="E52" s="459">
        <f>'Schedule 7 Workpaper'!E52</f>
        <v>2109.16</v>
      </c>
      <c r="F52" s="459">
        <f>'Schedule 7 Workpaper'!O52</f>
        <v>1315.31</v>
      </c>
      <c r="G52" s="460">
        <f>'Schedule 7 Workpaper'!Q52</f>
        <v>40.07</v>
      </c>
    </row>
    <row r="53" spans="1:7" x14ac:dyDescent="0.2">
      <c r="A53" s="187" t="str">
        <f>'Schedule 7 Workpaper'!B53</f>
        <v>Upper Malad Power Plant</v>
      </c>
      <c r="B53" s="274">
        <f>'Schedule 7 Workpaper'!C53</f>
        <v>353</v>
      </c>
      <c r="C53" s="274">
        <f>'Schedule 7 Workpaper'!D53</f>
        <v>1988</v>
      </c>
      <c r="D53" s="458">
        <f>'Schedule 7 Workpaper'!G53 + 'Schedule 7 Workpaper'!J53+'Schedule 7 Workpaper'!M53</f>
        <v>29</v>
      </c>
      <c r="E53" s="459">
        <f>'Schedule 7 Workpaper'!E53</f>
        <v>278.93</v>
      </c>
      <c r="F53" s="459">
        <f>'Schedule 7 Workpaper'!O53</f>
        <v>168.03</v>
      </c>
      <c r="G53" s="460">
        <f>'Schedule 7 Workpaper'!Q53</f>
        <v>5.3</v>
      </c>
    </row>
    <row r="54" spans="1:7" x14ac:dyDescent="0.2">
      <c r="A54" s="187" t="str">
        <f>'Schedule 7 Workpaper'!B54</f>
        <v>Upper Salmon A Power Plant</v>
      </c>
      <c r="B54" s="274">
        <f>'Schedule 7 Workpaper'!C54</f>
        <v>353</v>
      </c>
      <c r="C54" s="274">
        <f>'Schedule 7 Workpaper'!D54</f>
        <v>1937</v>
      </c>
      <c r="D54" s="458">
        <f>'Schedule 7 Workpaper'!G54 + 'Schedule 7 Workpaper'!J54+'Schedule 7 Workpaper'!M54</f>
        <v>80</v>
      </c>
      <c r="E54" s="459">
        <f>'Schedule 7 Workpaper'!E54</f>
        <v>72167.73</v>
      </c>
      <c r="F54" s="459">
        <f>'Schedule 7 Workpaper'!O54</f>
        <v>121503.03999999999</v>
      </c>
      <c r="G54" s="460">
        <f>'Schedule 7 Workpaper'!Q54</f>
        <v>1371.19</v>
      </c>
    </row>
    <row r="55" spans="1:7" x14ac:dyDescent="0.2">
      <c r="A55" s="187" t="str">
        <f>'Schedule 7 Workpaper'!B55</f>
        <v>Upper Salmon A Power Plant</v>
      </c>
      <c r="B55" s="274">
        <f>'Schedule 7 Workpaper'!C55</f>
        <v>353</v>
      </c>
      <c r="C55" s="274">
        <f>'Schedule 7 Workpaper'!D55</f>
        <v>1954</v>
      </c>
      <c r="D55" s="458">
        <f>'Schedule 7 Workpaper'!G55 + 'Schedule 7 Workpaper'!J55+'Schedule 7 Workpaper'!M55</f>
        <v>63</v>
      </c>
      <c r="E55" s="459">
        <f>'Schedule 7 Workpaper'!E55</f>
        <v>418.06</v>
      </c>
      <c r="F55" s="459">
        <f>'Schedule 7 Workpaper'!O55</f>
        <v>553.19000000000005</v>
      </c>
      <c r="G55" s="460">
        <f>'Schedule 7 Workpaper'!Q55</f>
        <v>7.94</v>
      </c>
    </row>
    <row r="56" spans="1:7" x14ac:dyDescent="0.2">
      <c r="A56" s="187" t="str">
        <f>'Schedule 7 Workpaper'!B56</f>
        <v>Upper Salmon B Power Plant</v>
      </c>
      <c r="B56" s="274">
        <f>'Schedule 7 Workpaper'!C56</f>
        <v>353</v>
      </c>
      <c r="C56" s="274">
        <f>'Schedule 7 Workpaper'!D56</f>
        <v>1947</v>
      </c>
      <c r="D56" s="458">
        <f>'Schedule 7 Workpaper'!G56 + 'Schedule 7 Workpaper'!J56+'Schedule 7 Workpaper'!M56</f>
        <v>70</v>
      </c>
      <c r="E56" s="459">
        <f>'Schedule 7 Workpaper'!E56</f>
        <v>70392.59</v>
      </c>
      <c r="F56" s="459">
        <f>'Schedule 7 Workpaper'!O56</f>
        <v>103591.14</v>
      </c>
      <c r="G56" s="460">
        <f>'Schedule 7 Workpaper'!Q56</f>
        <v>1337.46</v>
      </c>
    </row>
    <row r="57" spans="1:7" x14ac:dyDescent="0.2">
      <c r="A57" s="187" t="str">
        <f>'Schedule 7 Workpaper'!B57</f>
        <v>Boardman</v>
      </c>
      <c r="B57" s="274">
        <f>'Schedule 7 Workpaper'!C57</f>
        <v>353</v>
      </c>
      <c r="C57" s="274">
        <f>'Schedule 7 Workpaper'!D57</f>
        <v>1980</v>
      </c>
      <c r="D57" s="458">
        <f>'Schedule 7 Workpaper'!G57 + 'Schedule 7 Workpaper'!J57+'Schedule 7 Workpaper'!M57</f>
        <v>37</v>
      </c>
      <c r="E57" s="459">
        <f>'Schedule 7 Workpaper'!E57</f>
        <v>373215.24</v>
      </c>
      <c r="F57" s="459">
        <f>'Schedule 7 Workpaper'!O57</f>
        <v>288129.63</v>
      </c>
      <c r="G57" s="460">
        <f>'Schedule 7 Workpaper'!Q57</f>
        <v>7091.09</v>
      </c>
    </row>
    <row r="58" spans="1:7" x14ac:dyDescent="0.2">
      <c r="A58" s="187" t="str">
        <f>'Schedule 7 Workpaper'!B58</f>
        <v>Boardman</v>
      </c>
      <c r="B58" s="274">
        <f>'Schedule 7 Workpaper'!C58</f>
        <v>353</v>
      </c>
      <c r="C58" s="274">
        <f>'Schedule 7 Workpaper'!D58</f>
        <v>1992</v>
      </c>
      <c r="D58" s="458">
        <f>'Schedule 7 Workpaper'!G58 + 'Schedule 7 Workpaper'!J58+'Schedule 7 Workpaper'!M58</f>
        <v>25</v>
      </c>
      <c r="E58" s="459">
        <f>'Schedule 7 Workpaper'!E58</f>
        <v>2010.51</v>
      </c>
      <c r="F58" s="459">
        <f>'Schedule 7 Workpaper'!O58</f>
        <v>1040.68</v>
      </c>
      <c r="G58" s="460">
        <f>'Schedule 7 Workpaper'!Q58</f>
        <v>38.200000000000003</v>
      </c>
    </row>
    <row r="59" spans="1:7" x14ac:dyDescent="0.2">
      <c r="A59" s="187" t="str">
        <f>'Schedule 7 Workpaper'!B59</f>
        <v>Boardman</v>
      </c>
      <c r="B59" s="274">
        <f>'Schedule 7 Workpaper'!C59</f>
        <v>353</v>
      </c>
      <c r="C59" s="274">
        <f>'Schedule 7 Workpaper'!D59</f>
        <v>2003</v>
      </c>
      <c r="D59" s="458">
        <f>'Schedule 7 Workpaper'!G59 + 'Schedule 7 Workpaper'!J59+'Schedule 7 Workpaper'!M59</f>
        <v>14</v>
      </c>
      <c r="E59" s="459">
        <f>'Schedule 7 Workpaper'!E59</f>
        <v>64212.69</v>
      </c>
      <c r="F59" s="459">
        <f>'Schedule 7 Workpaper'!O59</f>
        <v>18263.37</v>
      </c>
      <c r="G59" s="460">
        <f>'Schedule 7 Workpaper'!Q59</f>
        <v>1220.04</v>
      </c>
    </row>
    <row r="60" spans="1:7" x14ac:dyDescent="0.2">
      <c r="A60" s="187" t="str">
        <f>'Schedule 7 Workpaper'!B60</f>
        <v>Boardman</v>
      </c>
      <c r="B60" s="274">
        <f>'Schedule 7 Workpaper'!C60</f>
        <v>353</v>
      </c>
      <c r="C60" s="274">
        <f>'Schedule 7 Workpaper'!D60</f>
        <v>2007</v>
      </c>
      <c r="D60" s="458">
        <f>'Schedule 7 Workpaper'!G60 + 'Schedule 7 Workpaper'!J60+'Schedule 7 Workpaper'!M60</f>
        <v>10</v>
      </c>
      <c r="E60" s="459">
        <f>'Schedule 7 Workpaper'!E60</f>
        <v>3243.66</v>
      </c>
      <c r="F60" s="459">
        <f>'Schedule 7 Workpaper'!O60</f>
        <v>647.5</v>
      </c>
      <c r="G60" s="460">
        <f>'Schedule 7 Workpaper'!Q60</f>
        <v>61.63</v>
      </c>
    </row>
    <row r="61" spans="1:7" x14ac:dyDescent="0.2">
      <c r="A61" s="187" t="str">
        <f>'Schedule 7 Workpaper'!B61</f>
        <v>Boardman</v>
      </c>
      <c r="B61" s="274">
        <f>'Schedule 7 Workpaper'!C61</f>
        <v>353</v>
      </c>
      <c r="C61" s="274">
        <f>'Schedule 7 Workpaper'!D61</f>
        <v>2009</v>
      </c>
      <c r="D61" s="458">
        <f>'Schedule 7 Workpaper'!G61 + 'Schedule 7 Workpaper'!J61+'Schedule 7 Workpaper'!M61</f>
        <v>8</v>
      </c>
      <c r="E61" s="459">
        <f>'Schedule 7 Workpaper'!E61</f>
        <v>6429.87</v>
      </c>
      <c r="F61" s="459">
        <f>'Schedule 7 Workpaper'!O61</f>
        <v>1012.53</v>
      </c>
      <c r="G61" s="460">
        <f>'Schedule 7 Workpaper'!Q61</f>
        <v>122.17</v>
      </c>
    </row>
    <row r="62" spans="1:7" x14ac:dyDescent="0.2">
      <c r="A62" s="187" t="str">
        <f>'Schedule 7 Workpaper'!B62</f>
        <v>Boardman</v>
      </c>
      <c r="B62" s="274">
        <f>'Schedule 7 Workpaper'!C62</f>
        <v>353</v>
      </c>
      <c r="C62" s="274">
        <f>'Schedule 7 Workpaper'!D62</f>
        <v>2010</v>
      </c>
      <c r="D62" s="458">
        <f>'Schedule 7 Workpaper'!G62 + 'Schedule 7 Workpaper'!J62+'Schedule 7 Workpaper'!M62</f>
        <v>7</v>
      </c>
      <c r="E62" s="459">
        <f>'Schedule 7 Workpaper'!E62</f>
        <v>4030.25</v>
      </c>
      <c r="F62" s="459">
        <f>'Schedule 7 Workpaper'!O62</f>
        <v>551.63</v>
      </c>
      <c r="G62" s="460">
        <f>'Schedule 7 Workpaper'!Q62</f>
        <v>76.569999999999993</v>
      </c>
    </row>
    <row r="63" spans="1:7" x14ac:dyDescent="0.2">
      <c r="A63" s="187" t="str">
        <f>'Schedule 7 Workpaper'!B63</f>
        <v>Boardman</v>
      </c>
      <c r="B63" s="274">
        <f>'Schedule 7 Workpaper'!C63</f>
        <v>353</v>
      </c>
      <c r="C63" s="274">
        <f>'Schedule 7 Workpaper'!D63</f>
        <v>2016</v>
      </c>
      <c r="D63" s="458">
        <f>'Schedule 7 Workpaper'!G63 + 'Schedule 7 Workpaper'!J63+'Schedule 7 Workpaper'!M63</f>
        <v>1</v>
      </c>
      <c r="E63" s="459">
        <f>'Schedule 7 Workpaper'!E63</f>
        <v>10113.200000000001</v>
      </c>
      <c r="F63" s="459">
        <f>'Schedule 7 Workpaper'!O63</f>
        <v>192.15</v>
      </c>
      <c r="G63" s="460">
        <f>'Schedule 7 Workpaper'!Q63</f>
        <v>192.15</v>
      </c>
    </row>
    <row r="64" spans="1:7" x14ac:dyDescent="0.2">
      <c r="A64" s="187" t="str">
        <f>'Schedule 7 Workpaper'!B64</f>
        <v>Jim Bridger</v>
      </c>
      <c r="B64" s="274">
        <f>'Schedule 7 Workpaper'!C64</f>
        <v>353</v>
      </c>
      <c r="C64" s="274">
        <f>'Schedule 7 Workpaper'!D64</f>
        <v>1976</v>
      </c>
      <c r="D64" s="458">
        <f>'Schedule 7 Workpaper'!G64 + 'Schedule 7 Workpaper'!J64+'Schedule 7 Workpaper'!M64</f>
        <v>41</v>
      </c>
      <c r="E64" s="459">
        <f>'Schedule 7 Workpaper'!E64</f>
        <v>268996.22000000003</v>
      </c>
      <c r="F64" s="459">
        <f>'Schedule 7 Workpaper'!O64</f>
        <v>230481.33999999997</v>
      </c>
      <c r="G64" s="460">
        <f>'Schedule 7 Workpaper'!Q64</f>
        <v>5110.93</v>
      </c>
    </row>
    <row r="65" spans="1:7" x14ac:dyDescent="0.2">
      <c r="A65" s="187" t="str">
        <f>'Schedule 7 Workpaper'!B65</f>
        <v>Jim Bridger</v>
      </c>
      <c r="B65" s="274">
        <f>'Schedule 7 Workpaper'!C65</f>
        <v>353</v>
      </c>
      <c r="C65" s="274">
        <f>'Schedule 7 Workpaper'!D65</f>
        <v>1990</v>
      </c>
      <c r="D65" s="458">
        <f>'Schedule 7 Workpaper'!G65 + 'Schedule 7 Workpaper'!J65+'Schedule 7 Workpaper'!M65</f>
        <v>27</v>
      </c>
      <c r="E65" s="459">
        <f>'Schedule 7 Workpaper'!E65</f>
        <v>910055.21</v>
      </c>
      <c r="F65" s="459">
        <f>'Schedule 7 Workpaper'!O65</f>
        <v>509649.12</v>
      </c>
      <c r="G65" s="460">
        <f>'Schedule 7 Workpaper'!Q65</f>
        <v>17291.05</v>
      </c>
    </row>
    <row r="66" spans="1:7" x14ac:dyDescent="0.2">
      <c r="A66" s="187" t="str">
        <f>'Schedule 7 Workpaper'!B66</f>
        <v>Jim Bridger</v>
      </c>
      <c r="B66" s="274">
        <f>'Schedule 7 Workpaper'!C66</f>
        <v>353</v>
      </c>
      <c r="C66" s="274">
        <f>'Schedule 7 Workpaper'!D66</f>
        <v>1995</v>
      </c>
      <c r="D66" s="458">
        <f>'Schedule 7 Workpaper'!G66 + 'Schedule 7 Workpaper'!J66+'Schedule 7 Workpaper'!M66</f>
        <v>22</v>
      </c>
      <c r="E66" s="459">
        <f>'Schedule 7 Workpaper'!E66</f>
        <v>27259</v>
      </c>
      <c r="F66" s="459">
        <f>'Schedule 7 Workpaper'!O66</f>
        <v>12376.140000000001</v>
      </c>
      <c r="G66" s="460">
        <f>'Schedule 7 Workpaper'!Q66</f>
        <v>517.91999999999996</v>
      </c>
    </row>
    <row r="67" spans="1:7" x14ac:dyDescent="0.2">
      <c r="A67" s="187" t="str">
        <f>'Schedule 7 Workpaper'!B67</f>
        <v>Jim Bridger</v>
      </c>
      <c r="B67" s="274">
        <f>'Schedule 7 Workpaper'!C67</f>
        <v>353</v>
      </c>
      <c r="C67" s="274">
        <f>'Schedule 7 Workpaper'!D67</f>
        <v>1996</v>
      </c>
      <c r="D67" s="458">
        <f>'Schedule 7 Workpaper'!G67 + 'Schedule 7 Workpaper'!J67+'Schedule 7 Workpaper'!M67</f>
        <v>21</v>
      </c>
      <c r="E67" s="459">
        <f>'Schedule 7 Workpaper'!E67</f>
        <v>45684</v>
      </c>
      <c r="F67" s="459">
        <f>'Schedule 7 Workpaper'!O67</f>
        <v>19772.949999999997</v>
      </c>
      <c r="G67" s="460">
        <f>'Schedule 7 Workpaper'!Q67</f>
        <v>868</v>
      </c>
    </row>
    <row r="68" spans="1:7" x14ac:dyDescent="0.2">
      <c r="A68" s="187" t="str">
        <f>'Schedule 7 Workpaper'!B68</f>
        <v>Jim Bridger</v>
      </c>
      <c r="B68" s="274">
        <f>'Schedule 7 Workpaper'!C68</f>
        <v>353</v>
      </c>
      <c r="C68" s="274">
        <f>'Schedule 7 Workpaper'!D68</f>
        <v>2000</v>
      </c>
      <c r="D68" s="458">
        <f>'Schedule 7 Workpaper'!G68 + 'Schedule 7 Workpaper'!J68+'Schedule 7 Workpaper'!M68</f>
        <v>17</v>
      </c>
      <c r="E68" s="459">
        <f>'Schedule 7 Workpaper'!E68</f>
        <v>972906</v>
      </c>
      <c r="F68" s="459">
        <f>'Schedule 7 Workpaper'!O68</f>
        <v>338590.75</v>
      </c>
      <c r="G68" s="460">
        <f>'Schedule 7 Workpaper'!Q68</f>
        <v>18485.21</v>
      </c>
    </row>
    <row r="69" spans="1:7" x14ac:dyDescent="0.2">
      <c r="A69" s="187" t="str">
        <f>'Schedule 7 Workpaper'!B69</f>
        <v>Jim Bridger</v>
      </c>
      <c r="B69" s="274">
        <f>'Schedule 7 Workpaper'!C69</f>
        <v>353</v>
      </c>
      <c r="C69" s="274">
        <f>'Schedule 7 Workpaper'!D69</f>
        <v>2008</v>
      </c>
      <c r="D69" s="458">
        <f>'Schedule 7 Workpaper'!G69 + 'Schedule 7 Workpaper'!J69+'Schedule 7 Workpaper'!M69</f>
        <v>9</v>
      </c>
      <c r="E69" s="459">
        <f>'Schedule 7 Workpaper'!E69</f>
        <v>102767.67999999999</v>
      </c>
      <c r="F69" s="459">
        <f>'Schedule 7 Workpaper'!O69</f>
        <v>18335.8</v>
      </c>
      <c r="G69" s="460">
        <f>'Schedule 7 Workpaper'!Q69</f>
        <v>1952.59</v>
      </c>
    </row>
    <row r="70" spans="1:7" x14ac:dyDescent="0.2">
      <c r="A70" s="187" t="str">
        <f>'Schedule 7 Workpaper'!B70</f>
        <v>Jim Bridger</v>
      </c>
      <c r="B70" s="274">
        <f>'Schedule 7 Workpaper'!C70</f>
        <v>353</v>
      </c>
      <c r="C70" s="274">
        <f>'Schedule 7 Workpaper'!D70</f>
        <v>2011</v>
      </c>
      <c r="D70" s="458">
        <f>'Schedule 7 Workpaper'!G70 + 'Schedule 7 Workpaper'!J70+'Schedule 7 Workpaper'!M70</f>
        <v>6</v>
      </c>
      <c r="E70" s="459">
        <f>'Schedule 7 Workpaper'!E70</f>
        <v>404249.54000000004</v>
      </c>
      <c r="F70" s="459">
        <f>'Schedule 7 Workpaper'!O70</f>
        <v>47002.9</v>
      </c>
      <c r="G70" s="460">
        <f>'Schedule 7 Workpaper'!Q70</f>
        <v>7680.74</v>
      </c>
    </row>
    <row r="71" spans="1:7" x14ac:dyDescent="0.2">
      <c r="A71" s="187" t="str">
        <f>'Schedule 7 Workpaper'!B71</f>
        <v>Jim Bridger</v>
      </c>
      <c r="B71" s="274">
        <f>'Schedule 7 Workpaper'!C71</f>
        <v>353</v>
      </c>
      <c r="C71" s="274">
        <f>'Schedule 7 Workpaper'!D71</f>
        <v>2013</v>
      </c>
      <c r="D71" s="458">
        <f>'Schedule 7 Workpaper'!G71 + 'Schedule 7 Workpaper'!J71+'Schedule 7 Workpaper'!M71</f>
        <v>4</v>
      </c>
      <c r="E71" s="459">
        <f>'Schedule 7 Workpaper'!E71</f>
        <v>20629.744999999999</v>
      </c>
      <c r="F71" s="459">
        <f>'Schedule 7 Workpaper'!O71</f>
        <v>1567.86</v>
      </c>
      <c r="G71" s="460">
        <f>'Schedule 7 Workpaper'!Q71</f>
        <v>391.97</v>
      </c>
    </row>
    <row r="72" spans="1:7" x14ac:dyDescent="0.2">
      <c r="A72" s="187" t="str">
        <f>'Schedule 7 Workpaper'!B72</f>
        <v>Jim Bridger</v>
      </c>
      <c r="B72" s="274">
        <f>'Schedule 7 Workpaper'!C72</f>
        <v>353</v>
      </c>
      <c r="C72" s="274">
        <f>'Schedule 7 Workpaper'!D72</f>
        <v>2013</v>
      </c>
      <c r="D72" s="458">
        <f>'Schedule 7 Workpaper'!G72 + 'Schedule 7 Workpaper'!J72+'Schedule 7 Workpaper'!M72</f>
        <v>4</v>
      </c>
      <c r="E72" s="459">
        <f>'Schedule 7 Workpaper'!E72</f>
        <v>1564945.2299999997</v>
      </c>
      <c r="F72" s="459">
        <f>'Schedule 7 Workpaper'!O72</f>
        <v>118935.84</v>
      </c>
      <c r="G72" s="460">
        <f>'Schedule 7 Workpaper'!Q72</f>
        <v>29733.96</v>
      </c>
    </row>
    <row r="73" spans="1:7" x14ac:dyDescent="0.2">
      <c r="A73" s="187" t="str">
        <f>'Schedule 7 Workpaper'!B73</f>
        <v>Jim Bridger</v>
      </c>
      <c r="B73" s="274">
        <f>'Schedule 7 Workpaper'!C73</f>
        <v>353</v>
      </c>
      <c r="C73" s="274">
        <f>'Schedule 7 Workpaper'!D73</f>
        <v>2014</v>
      </c>
      <c r="D73" s="458">
        <f>'Schedule 7 Workpaper'!G73 + 'Schedule 7 Workpaper'!J73+'Schedule 7 Workpaper'!M73</f>
        <v>3</v>
      </c>
      <c r="E73" s="459">
        <f>'Schedule 7 Workpaper'!E73</f>
        <v>1663953.15</v>
      </c>
      <c r="F73" s="459">
        <f>'Schedule 7 Workpaper'!O73</f>
        <v>94845.33</v>
      </c>
      <c r="G73" s="460">
        <f>'Schedule 7 Workpaper'!Q73</f>
        <v>31615.11</v>
      </c>
    </row>
    <row r="74" spans="1:7" x14ac:dyDescent="0.2">
      <c r="A74" s="187" t="str">
        <f>'Schedule 7 Workpaper'!B74</f>
        <v>Jim Bridger</v>
      </c>
      <c r="B74" s="274">
        <f>'Schedule 7 Workpaper'!C74</f>
        <v>353</v>
      </c>
      <c r="C74" s="274">
        <f>'Schedule 7 Workpaper'!D74</f>
        <v>2015</v>
      </c>
      <c r="D74" s="458">
        <f>'Schedule 7 Workpaper'!G74 + 'Schedule 7 Workpaper'!J74+'Schedule 7 Workpaper'!M74</f>
        <v>2</v>
      </c>
      <c r="E74" s="459">
        <f>'Schedule 7 Workpaper'!E74</f>
        <v>6785.08</v>
      </c>
      <c r="F74" s="459">
        <f>'Schedule 7 Workpaper'!O74</f>
        <v>257.83</v>
      </c>
      <c r="G74" s="460">
        <f>'Schedule 7 Workpaper'!Q74</f>
        <v>128.91999999999999</v>
      </c>
    </row>
    <row r="75" spans="1:7" x14ac:dyDescent="0.2">
      <c r="A75" s="187" t="str">
        <f>'Schedule 7 Workpaper'!B75</f>
        <v>Jim Bridger</v>
      </c>
      <c r="B75" s="274">
        <f>'Schedule 7 Workpaper'!C75</f>
        <v>353</v>
      </c>
      <c r="C75" s="274">
        <f>'Schedule 7 Workpaper'!D75</f>
        <v>2016</v>
      </c>
      <c r="D75" s="458">
        <f>'Schedule 7 Workpaper'!G75 + 'Schedule 7 Workpaper'!J75+'Schedule 7 Workpaper'!M75</f>
        <v>1</v>
      </c>
      <c r="E75" s="459">
        <f>'Schedule 7 Workpaper'!E75</f>
        <v>137250.85</v>
      </c>
      <c r="F75" s="459">
        <f>'Schedule 7 Workpaper'!O75</f>
        <v>2607.77</v>
      </c>
      <c r="G75" s="460">
        <f>'Schedule 7 Workpaper'!Q75</f>
        <v>2607.77</v>
      </c>
    </row>
    <row r="76" spans="1:7" x14ac:dyDescent="0.2">
      <c r="A76" s="187" t="str">
        <f>'Schedule 7 Workpaper'!B76</f>
        <v>Valmy #1 &amp; Common Non-Steam</v>
      </c>
      <c r="B76" s="274">
        <f>'Schedule 7 Workpaper'!C76</f>
        <v>353</v>
      </c>
      <c r="C76" s="274">
        <f>'Schedule 7 Workpaper'!D76</f>
        <v>2008</v>
      </c>
      <c r="D76" s="458">
        <f>'Schedule 7 Workpaper'!G76 + 'Schedule 7 Workpaper'!J76+'Schedule 7 Workpaper'!M76</f>
        <v>9</v>
      </c>
      <c r="E76" s="459">
        <f>'Schedule 7 Workpaper'!E76</f>
        <v>2223479.04</v>
      </c>
      <c r="F76" s="459">
        <f>'Schedule 7 Workpaper'!O76</f>
        <v>396713.14</v>
      </c>
      <c r="G76" s="460">
        <f>'Schedule 7 Workpaper'!Q76</f>
        <v>42246.1</v>
      </c>
    </row>
    <row r="77" spans="1:7" x14ac:dyDescent="0.2">
      <c r="A77" s="187" t="str">
        <f>'Schedule 7 Workpaper'!B77</f>
        <v>Valmy #1 &amp; Common Non-Steam</v>
      </c>
      <c r="B77" s="274">
        <f>'Schedule 7 Workpaper'!C77</f>
        <v>353</v>
      </c>
      <c r="C77" s="274">
        <f>'Schedule 7 Workpaper'!D77</f>
        <v>2011</v>
      </c>
      <c r="D77" s="458">
        <f>'Schedule 7 Workpaper'!G77 + 'Schedule 7 Workpaper'!J77+'Schedule 7 Workpaper'!M77</f>
        <v>6</v>
      </c>
      <c r="E77" s="459">
        <f>'Schedule 7 Workpaper'!E77</f>
        <v>63402.18</v>
      </c>
      <c r="F77" s="459">
        <f>'Schedule 7 Workpaper'!O77</f>
        <v>7371.9000000000005</v>
      </c>
      <c r="G77" s="460">
        <f>'Schedule 7 Workpaper'!Q77</f>
        <v>1204.6400000000001</v>
      </c>
    </row>
    <row r="78" spans="1:7" x14ac:dyDescent="0.2">
      <c r="A78" s="187" t="str">
        <f>'Schedule 7 Workpaper'!B78</f>
        <v>Valmy Substation</v>
      </c>
      <c r="B78" s="274">
        <f>'Schedule 7 Workpaper'!C78</f>
        <v>353</v>
      </c>
      <c r="C78" s="274">
        <f>'Schedule 7 Workpaper'!D78</f>
        <v>2013</v>
      </c>
      <c r="D78" s="458">
        <f>'Schedule 7 Workpaper'!G78 + 'Schedule 7 Workpaper'!J78+'Schedule 7 Workpaper'!M78</f>
        <v>4</v>
      </c>
      <c r="E78" s="459">
        <f>'Schedule 7 Workpaper'!E78</f>
        <v>138087.56</v>
      </c>
      <c r="F78" s="459">
        <f>'Schedule 7 Workpaper'!O78</f>
        <v>10494.65</v>
      </c>
      <c r="G78" s="460">
        <f>'Schedule 7 Workpaper'!Q78</f>
        <v>2623.66</v>
      </c>
    </row>
    <row r="79" spans="1:7" x14ac:dyDescent="0.2">
      <c r="A79" s="187" t="str">
        <f>'Schedule 7 Workpaper'!B79</f>
        <v>Valmy #2 Substation</v>
      </c>
      <c r="B79" s="274">
        <f>'Schedule 7 Workpaper'!C79</f>
        <v>352</v>
      </c>
      <c r="C79" s="274">
        <f>'Schedule 7 Workpaper'!D79</f>
        <v>1982</v>
      </c>
      <c r="D79" s="458">
        <f>'Schedule 7 Workpaper'!G79 + 'Schedule 7 Workpaper'!J79+'Schedule 7 Workpaper'!M79</f>
        <v>35</v>
      </c>
      <c r="E79" s="459">
        <f>'Schedule 7 Workpaper'!E79</f>
        <v>55381.11</v>
      </c>
      <c r="F79" s="459">
        <f>'Schedule 7 Workpaper'!O79</f>
        <v>27229.019999999997</v>
      </c>
      <c r="G79" s="460">
        <f>'Schedule 7 Workpaper'!Q79</f>
        <v>1019.01</v>
      </c>
    </row>
    <row r="80" spans="1:7" x14ac:dyDescent="0.2">
      <c r="A80" s="187" t="str">
        <f>'Schedule 7 Workpaper'!B80</f>
        <v>Valmy #2 Substation</v>
      </c>
      <c r="B80" s="274">
        <f>'Schedule 7 Workpaper'!C80</f>
        <v>353</v>
      </c>
      <c r="C80" s="274">
        <f>'Schedule 7 Workpaper'!D80</f>
        <v>1985</v>
      </c>
      <c r="D80" s="458">
        <f>'Schedule 7 Workpaper'!G80 + 'Schedule 7 Workpaper'!J80+'Schedule 7 Workpaper'!M80</f>
        <v>32</v>
      </c>
      <c r="E80" s="459">
        <f>'Schedule 7 Workpaper'!E80</f>
        <v>847152.74</v>
      </c>
      <c r="F80" s="459">
        <f>'Schedule 7 Workpaper'!O80</f>
        <v>564220.67000000004</v>
      </c>
      <c r="G80" s="460">
        <f>'Schedule 7 Workpaper'!Q80</f>
        <v>16095.9</v>
      </c>
    </row>
    <row r="81" spans="1:7" x14ac:dyDescent="0.2">
      <c r="A81" s="187" t="str">
        <f>'Schedule 7 Workpaper'!B81</f>
        <v>Valmy #2 Substation</v>
      </c>
      <c r="B81" s="274">
        <f>'Schedule 7 Workpaper'!C81</f>
        <v>353</v>
      </c>
      <c r="C81" s="274">
        <f>'Schedule 7 Workpaper'!D81</f>
        <v>1986</v>
      </c>
      <c r="D81" s="458">
        <f>'Schedule 7 Workpaper'!G81 + 'Schedule 7 Workpaper'!J81+'Schedule 7 Workpaper'!M81</f>
        <v>31</v>
      </c>
      <c r="E81" s="459">
        <f>'Schedule 7 Workpaper'!E81</f>
        <v>4161.2299999999996</v>
      </c>
      <c r="F81" s="459">
        <f>'Schedule 7 Workpaper'!O81</f>
        <v>2683.2400000000002</v>
      </c>
      <c r="G81" s="460">
        <f>'Schedule 7 Workpaper'!Q81</f>
        <v>79.06</v>
      </c>
    </row>
    <row r="82" spans="1:7" x14ac:dyDescent="0.2">
      <c r="A82" s="187" t="str">
        <f>'Schedule 7 Workpaper'!B82</f>
        <v>Valmy #2 Substation</v>
      </c>
      <c r="B82" s="274">
        <f>'Schedule 7 Workpaper'!C82</f>
        <v>353</v>
      </c>
      <c r="C82" s="274">
        <f>'Schedule 7 Workpaper'!D82</f>
        <v>1987</v>
      </c>
      <c r="D82" s="458">
        <f>'Schedule 7 Workpaper'!G82 + 'Schedule 7 Workpaper'!J82+'Schedule 7 Workpaper'!M82</f>
        <v>30</v>
      </c>
      <c r="E82" s="459">
        <f>'Schedule 7 Workpaper'!E82</f>
        <v>70.08</v>
      </c>
      <c r="F82" s="459">
        <f>'Schedule 7 Workpaper'!O82</f>
        <v>43.7</v>
      </c>
      <c r="G82" s="460">
        <f>'Schedule 7 Workpaper'!Q82</f>
        <v>1.33</v>
      </c>
    </row>
    <row r="83" spans="1:7" x14ac:dyDescent="0.2">
      <c r="A83" s="187" t="str">
        <f>'Schedule 7 Workpaper'!B83</f>
        <v>Valmy #2 Substation</v>
      </c>
      <c r="B83" s="274">
        <f>'Schedule 7 Workpaper'!C83</f>
        <v>353</v>
      </c>
      <c r="C83" s="274">
        <f>'Schedule 7 Workpaper'!D83</f>
        <v>2011</v>
      </c>
      <c r="D83" s="458">
        <f>'Schedule 7 Workpaper'!G83 + 'Schedule 7 Workpaper'!J83+'Schedule 7 Workpaper'!M83</f>
        <v>6</v>
      </c>
      <c r="E83" s="459">
        <f>'Schedule 7 Workpaper'!E83</f>
        <v>22115.47</v>
      </c>
      <c r="F83" s="459">
        <f>'Schedule 7 Workpaper'!O83</f>
        <v>2571.41</v>
      </c>
      <c r="G83" s="460">
        <f>'Schedule 7 Workpaper'!Q83</f>
        <v>420.19</v>
      </c>
    </row>
    <row r="84" spans="1:7" x14ac:dyDescent="0.2">
      <c r="A84" s="187" t="str">
        <f>'Schedule 7 Workpaper'!B84</f>
        <v>Valmy Unit #1 and Common</v>
      </c>
      <c r="B84" s="274">
        <f>'Schedule 7 Workpaper'!C84</f>
        <v>352</v>
      </c>
      <c r="C84" s="274">
        <f>'Schedule 7 Workpaper'!D84</f>
        <v>1977</v>
      </c>
      <c r="D84" s="458">
        <f>'Schedule 7 Workpaper'!G84 + 'Schedule 7 Workpaper'!J84+'Schedule 7 Workpaper'!M84</f>
        <v>40</v>
      </c>
      <c r="E84" s="459">
        <f>'Schedule 7 Workpaper'!E84</f>
        <v>225984.98</v>
      </c>
      <c r="F84" s="459">
        <f>'Schedule 7 Workpaper'!O84</f>
        <v>125685.16</v>
      </c>
      <c r="G84" s="460">
        <f>'Schedule 7 Workpaper'!Q84</f>
        <v>4158.12</v>
      </c>
    </row>
    <row r="85" spans="1:7" x14ac:dyDescent="0.2">
      <c r="A85" s="187" t="str">
        <f>'Schedule 7 Workpaper'!B85</f>
        <v>Valmy Unit #1 and Common</v>
      </c>
      <c r="B85" s="274">
        <f>'Schedule 7 Workpaper'!C85</f>
        <v>352</v>
      </c>
      <c r="C85" s="274">
        <f>'Schedule 7 Workpaper'!D85</f>
        <v>1982</v>
      </c>
      <c r="D85" s="458">
        <f>'Schedule 7 Workpaper'!G85 + 'Schedule 7 Workpaper'!J85+'Schedule 7 Workpaper'!M85</f>
        <v>35</v>
      </c>
      <c r="E85" s="459">
        <f>'Schedule 7 Workpaper'!E85</f>
        <v>130830.17</v>
      </c>
      <c r="F85" s="459">
        <f>'Schedule 7 Workpaper'!O85</f>
        <v>64324.75</v>
      </c>
      <c r="G85" s="460">
        <f>'Schedule 7 Workpaper'!Q85</f>
        <v>2407.2800000000002</v>
      </c>
    </row>
    <row r="86" spans="1:7" x14ac:dyDescent="0.2">
      <c r="A86" s="187" t="str">
        <f>'Schedule 7 Workpaper'!B86</f>
        <v>Valmy Unit #1 and Common</v>
      </c>
      <c r="B86" s="274">
        <f>'Schedule 7 Workpaper'!C86</f>
        <v>353</v>
      </c>
      <c r="C86" s="274">
        <f>'Schedule 7 Workpaper'!D86</f>
        <v>1981</v>
      </c>
      <c r="D86" s="458">
        <f>'Schedule 7 Workpaper'!G86 + 'Schedule 7 Workpaper'!J86+'Schedule 7 Workpaper'!M86</f>
        <v>36</v>
      </c>
      <c r="E86" s="459">
        <f>'Schedule 7 Workpaper'!E86</f>
        <v>1310787.25</v>
      </c>
      <c r="F86" s="459">
        <f>'Schedule 7 Workpaper'!O86</f>
        <v>984165.28</v>
      </c>
      <c r="G86" s="460">
        <f>'Schedule 7 Workpaper'!Q86</f>
        <v>24904.959999999999</v>
      </c>
    </row>
    <row r="87" spans="1:7" x14ac:dyDescent="0.2">
      <c r="A87" s="187" t="str">
        <f>'Schedule 7 Workpaper'!B87</f>
        <v>Valmy Unit #1 and Common</v>
      </c>
      <c r="B87" s="274">
        <f>'Schedule 7 Workpaper'!C87</f>
        <v>353</v>
      </c>
      <c r="C87" s="274">
        <f>'Schedule 7 Workpaper'!D87</f>
        <v>1982</v>
      </c>
      <c r="D87" s="458">
        <f>'Schedule 7 Workpaper'!G87 + 'Schedule 7 Workpaper'!J87+'Schedule 7 Workpaper'!M87</f>
        <v>35</v>
      </c>
      <c r="E87" s="459">
        <f>'Schedule 7 Workpaper'!E87</f>
        <v>107606.74</v>
      </c>
      <c r="F87" s="459">
        <f>'Schedule 7 Workpaper'!O87</f>
        <v>78512.03</v>
      </c>
      <c r="G87" s="460">
        <f>'Schedule 7 Workpaper'!Q87</f>
        <v>2044.53</v>
      </c>
    </row>
    <row r="88" spans="1:7" x14ac:dyDescent="0.2">
      <c r="A88" s="187" t="str">
        <f>'Schedule 7 Workpaper'!B88</f>
        <v>Valmy Unit #1 and Common</v>
      </c>
      <c r="B88" s="274">
        <f>'Schedule 7 Workpaper'!C88</f>
        <v>353</v>
      </c>
      <c r="C88" s="274">
        <f>'Schedule 7 Workpaper'!D88</f>
        <v>2005</v>
      </c>
      <c r="D88" s="458">
        <f>'Schedule 7 Workpaper'!G88 + 'Schedule 7 Workpaper'!J88+'Schedule 7 Workpaper'!M88</f>
        <v>12</v>
      </c>
      <c r="E88" s="459">
        <f>'Schedule 7 Workpaper'!E88</f>
        <v>38513.699999999997</v>
      </c>
      <c r="F88" s="459">
        <f>'Schedule 7 Workpaper'!O88</f>
        <v>9321.09</v>
      </c>
      <c r="G88" s="460">
        <f>'Schedule 7 Workpaper'!Q88</f>
        <v>731.76</v>
      </c>
    </row>
    <row r="89" spans="1:7" x14ac:dyDescent="0.2">
      <c r="A89" s="187"/>
      <c r="B89" s="232"/>
      <c r="C89" s="504"/>
      <c r="D89" s="504"/>
      <c r="E89" s="311"/>
      <c r="F89" s="311"/>
    </row>
    <row r="90" spans="1:7" x14ac:dyDescent="0.2">
      <c r="A90" s="153" t="s">
        <v>539</v>
      </c>
      <c r="B90" s="232"/>
      <c r="C90" s="504"/>
      <c r="D90" s="504"/>
      <c r="E90" s="462">
        <f>SUM(E8:E89)</f>
        <v>31448126.854999997</v>
      </c>
      <c r="F90" s="462">
        <f>SUM(F8:F89)</f>
        <v>12337812.089999998</v>
      </c>
      <c r="G90" s="462">
        <f>SUM(G8:G89)</f>
        <v>597267.09000000008</v>
      </c>
    </row>
    <row r="92" spans="1:7" x14ac:dyDescent="0.2">
      <c r="E92" s="463">
        <f>'Schedule 7 Workpaper'!E90</f>
        <v>31448126.854999997</v>
      </c>
      <c r="F92" s="463">
        <f>'Schedule 7 Workpaper'!O90</f>
        <v>12337812.089999998</v>
      </c>
      <c r="G92" s="463">
        <f>'Schedule 7 Workpaper'!Q90</f>
        <v>597267.09000000008</v>
      </c>
    </row>
    <row r="93" spans="1:7" x14ac:dyDescent="0.2">
      <c r="E93" s="463">
        <f>E92-E90</f>
        <v>0</v>
      </c>
      <c r="F93" s="463">
        <f>F92-F90</f>
        <v>0</v>
      </c>
      <c r="G93" s="463">
        <f>G92-G90</f>
        <v>0</v>
      </c>
    </row>
    <row r="94" spans="1:7" x14ac:dyDescent="0.2">
      <c r="E94" s="461" t="str">
        <f>IF(E93=0,"","Error")</f>
        <v/>
      </c>
      <c r="F94" s="461" t="str">
        <f>IF(F93=0,"","Error")</f>
        <v/>
      </c>
      <c r="G94" s="461" t="str">
        <f>IF(G93=0,"","Error")</f>
        <v/>
      </c>
    </row>
  </sheetData>
  <mergeCells count="5">
    <mergeCell ref="A5:G5"/>
    <mergeCell ref="A1:G1"/>
    <mergeCell ref="A3:G3"/>
    <mergeCell ref="A4:G4"/>
    <mergeCell ref="A2:G2"/>
  </mergeCells>
  <phoneticPr fontId="22" type="noConversion"/>
  <printOptions horizontalCentered="1"/>
  <pageMargins left="0.75" right="0.75" top="1" bottom="0" header="0.5" footer="0"/>
  <pageSetup scale="56" orientation="portrait" r:id="rId1"/>
  <headerFooter alignWithMargins="0">
    <oddHeader>&amp;CIDAHO POWER COMPANY
Transmission Cost of Service Rate Development
12 Months Ended 12/31/2016</oddHeader>
  </headerFooter>
  <rowBreaks count="1" manualBreakCount="1">
    <brk id="61"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56"/>
  <sheetViews>
    <sheetView zoomScaleNormal="100" zoomScaleSheetLayoutView="100" workbookViewId="0">
      <selection activeCell="A19" sqref="A19"/>
    </sheetView>
  </sheetViews>
  <sheetFormatPr defaultRowHeight="12.75" x14ac:dyDescent="0.2"/>
  <cols>
    <col min="1" max="1" width="4.140625" style="42" customWidth="1"/>
    <col min="2" max="2" width="31.28515625" style="41" customWidth="1"/>
    <col min="3" max="3" width="10.28515625" style="43" customWidth="1"/>
    <col min="4" max="4" width="8.85546875" style="41" bestFit="1" customWidth="1"/>
    <col min="5" max="5" width="14" style="41" customWidth="1"/>
    <col min="6" max="6" width="13.5703125" style="41" bestFit="1" customWidth="1"/>
    <col min="7" max="7" width="17.85546875" style="41" customWidth="1"/>
    <col min="8" max="9" width="28.28515625" style="41" customWidth="1"/>
    <col min="10" max="16384" width="9.140625" style="41"/>
  </cols>
  <sheetData>
    <row r="1" spans="1:7" x14ac:dyDescent="0.2">
      <c r="A1" s="693" t="s">
        <v>572</v>
      </c>
      <c r="B1" s="693"/>
      <c r="C1" s="693"/>
      <c r="D1" s="693"/>
      <c r="E1" s="693"/>
      <c r="F1" s="693"/>
      <c r="G1" s="693"/>
    </row>
    <row r="2" spans="1:7" x14ac:dyDescent="0.2">
      <c r="A2" s="693" t="s">
        <v>573</v>
      </c>
      <c r="B2" s="693"/>
      <c r="C2" s="693"/>
      <c r="D2" s="693"/>
      <c r="E2" s="693"/>
      <c r="F2" s="693"/>
      <c r="G2" s="693"/>
    </row>
    <row r="3" spans="1:7" x14ac:dyDescent="0.2">
      <c r="A3" s="693" t="s">
        <v>574</v>
      </c>
      <c r="B3" s="693"/>
      <c r="C3" s="693"/>
      <c r="D3" s="693"/>
      <c r="E3" s="693"/>
      <c r="F3" s="693"/>
      <c r="G3" s="693"/>
    </row>
    <row r="4" spans="1:7" x14ac:dyDescent="0.2">
      <c r="A4" s="693" t="s">
        <v>206</v>
      </c>
      <c r="B4" s="693"/>
      <c r="C4" s="693"/>
      <c r="D4" s="693"/>
      <c r="E4" s="693"/>
      <c r="F4" s="693"/>
      <c r="G4" s="693"/>
    </row>
    <row r="5" spans="1:7" x14ac:dyDescent="0.2">
      <c r="B5" s="509"/>
      <c r="C5" s="509"/>
      <c r="D5" s="509"/>
      <c r="E5" s="509"/>
      <c r="F5" s="509"/>
    </row>
    <row r="6" spans="1:7" x14ac:dyDescent="0.2">
      <c r="B6" s="509"/>
      <c r="C6" s="509"/>
      <c r="D6" s="509"/>
      <c r="E6" s="509"/>
      <c r="F6" s="509"/>
    </row>
    <row r="7" spans="1:7" ht="42" customHeight="1" thickBot="1" x14ac:dyDescent="0.25">
      <c r="B7" s="119" t="s">
        <v>40</v>
      </c>
      <c r="C7" s="130" t="s">
        <v>41</v>
      </c>
      <c r="D7" s="119" t="s">
        <v>42</v>
      </c>
      <c r="E7" s="119" t="s">
        <v>846</v>
      </c>
      <c r="F7" s="119" t="s">
        <v>10</v>
      </c>
      <c r="G7" s="131" t="s">
        <v>205</v>
      </c>
    </row>
    <row r="8" spans="1:7" x14ac:dyDescent="0.2">
      <c r="A8" s="42">
        <v>1</v>
      </c>
      <c r="B8" s="44" t="s">
        <v>575</v>
      </c>
      <c r="C8" s="45">
        <v>352</v>
      </c>
      <c r="D8" s="46">
        <v>2005</v>
      </c>
      <c r="E8" s="39">
        <f>'Schedule 8 Workpaper'!D9</f>
        <v>59325</v>
      </c>
      <c r="F8" s="49">
        <f>'Schedule 8 Workpaper'!N9</f>
        <v>11566.36</v>
      </c>
      <c r="G8" s="23">
        <f>'Schedule 8 Workpaper'!P9</f>
        <v>1091.58</v>
      </c>
    </row>
    <row r="9" spans="1:7" x14ac:dyDescent="0.2">
      <c r="A9" s="42">
        <f>A8+1</f>
        <v>2</v>
      </c>
      <c r="B9" s="44" t="s">
        <v>575</v>
      </c>
      <c r="C9" s="45">
        <v>353</v>
      </c>
      <c r="D9" s="46">
        <v>2005</v>
      </c>
      <c r="E9" s="39">
        <f>'Schedule 8 Workpaper'!D10</f>
        <v>49372</v>
      </c>
      <c r="F9" s="49">
        <f>'Schedule 8 Workpaper'!N10</f>
        <v>11949.01</v>
      </c>
      <c r="G9" s="23">
        <f>'Schedule 8 Workpaper'!P10</f>
        <v>938.07</v>
      </c>
    </row>
    <row r="10" spans="1:7" x14ac:dyDescent="0.2">
      <c r="A10" s="42">
        <f t="shared" ref="A10:A17" si="0">A9+1</f>
        <v>3</v>
      </c>
      <c r="B10" s="44" t="s">
        <v>166</v>
      </c>
      <c r="C10" s="45">
        <v>352</v>
      </c>
      <c r="D10" s="46">
        <v>2001</v>
      </c>
      <c r="E10" s="39">
        <f>'Schedule 8 Workpaper'!D11</f>
        <v>89955.44</v>
      </c>
      <c r="F10" s="49">
        <f>'Schedule 8 Workpaper'!N11</f>
        <v>22179.95</v>
      </c>
      <c r="G10" s="23">
        <f>'Schedule 8 Workpaper'!P11</f>
        <v>1655.18</v>
      </c>
    </row>
    <row r="11" spans="1:7" x14ac:dyDescent="0.2">
      <c r="A11" s="42">
        <f t="shared" si="0"/>
        <v>4</v>
      </c>
      <c r="B11" s="44" t="s">
        <v>166</v>
      </c>
      <c r="C11" s="45">
        <v>353</v>
      </c>
      <c r="D11" s="46">
        <v>2001</v>
      </c>
      <c r="E11" s="39">
        <f>'Schedule 8 Workpaper'!D12</f>
        <v>433103.7</v>
      </c>
      <c r="F11" s="49">
        <f>'Schedule 8 Workpaper'!N12</f>
        <v>141546.94999999998</v>
      </c>
      <c r="G11" s="23">
        <f>'Schedule 8 Workpaper'!P12</f>
        <v>8228.9699999999993</v>
      </c>
    </row>
    <row r="12" spans="1:7" x14ac:dyDescent="0.2">
      <c r="A12" s="42">
        <f t="shared" si="0"/>
        <v>5</v>
      </c>
      <c r="B12" s="44" t="s">
        <v>166</v>
      </c>
      <c r="C12" s="45">
        <v>352</v>
      </c>
      <c r="D12" s="500">
        <v>2008</v>
      </c>
      <c r="E12" s="39">
        <f>'Schedule 8 Workpaper'!D13</f>
        <v>63308</v>
      </c>
      <c r="F12" s="49">
        <f>'Schedule 8 Workpaper'!N13</f>
        <v>9892.89</v>
      </c>
      <c r="G12" s="23">
        <f>'Schedule 8 Workpaper'!P13</f>
        <v>1164.8699999999999</v>
      </c>
    </row>
    <row r="13" spans="1:7" x14ac:dyDescent="0.2">
      <c r="A13" s="42">
        <f t="shared" si="0"/>
        <v>6</v>
      </c>
      <c r="B13" s="44" t="s">
        <v>166</v>
      </c>
      <c r="C13" s="45">
        <v>353</v>
      </c>
      <c r="D13" s="500">
        <v>2008</v>
      </c>
      <c r="E13" s="39">
        <f>'Schedule 8 Workpaper'!D14</f>
        <v>126618</v>
      </c>
      <c r="F13" s="49">
        <f>'Schedule 8 Workpaper'!N14</f>
        <v>22591.18</v>
      </c>
      <c r="G13" s="23">
        <f>'Schedule 8 Workpaper'!P14</f>
        <v>2405.7399999999998</v>
      </c>
    </row>
    <row r="14" spans="1:7" x14ac:dyDescent="0.2">
      <c r="A14" s="42">
        <f t="shared" si="0"/>
        <v>7</v>
      </c>
      <c r="B14" s="44" t="s">
        <v>996</v>
      </c>
      <c r="C14" s="45">
        <v>352</v>
      </c>
      <c r="D14" s="500">
        <v>2012</v>
      </c>
      <c r="E14" s="39">
        <f>'Schedule 8 Workpaper'!D15</f>
        <v>150491.68</v>
      </c>
      <c r="F14" s="49">
        <f>'Schedule 8 Workpaper'!N15</f>
        <v>13744.099999999999</v>
      </c>
      <c r="G14" s="23">
        <f>'Schedule 8 Workpaper'!P15</f>
        <v>2769.05</v>
      </c>
    </row>
    <row r="15" spans="1:7" x14ac:dyDescent="0.2">
      <c r="A15" s="42">
        <f t="shared" si="0"/>
        <v>8</v>
      </c>
      <c r="B15" s="44" t="s">
        <v>996</v>
      </c>
      <c r="C15" s="45">
        <v>353</v>
      </c>
      <c r="D15" s="500">
        <v>2012</v>
      </c>
      <c r="E15" s="39">
        <f>'Schedule 8 Workpaper'!D16</f>
        <v>68973.52</v>
      </c>
      <c r="F15" s="49">
        <f>'Schedule 8 Workpaper'!N16</f>
        <v>6598.84</v>
      </c>
      <c r="G15" s="23">
        <f>'Schedule 8 Workpaper'!P16</f>
        <v>1310.5</v>
      </c>
    </row>
    <row r="16" spans="1:7" x14ac:dyDescent="0.2">
      <c r="A16" s="42">
        <f t="shared" si="0"/>
        <v>9</v>
      </c>
      <c r="B16" s="197"/>
      <c r="C16" s="45"/>
      <c r="D16" s="500"/>
      <c r="E16" s="47"/>
      <c r="F16" s="47"/>
    </row>
    <row r="17" spans="1:7" x14ac:dyDescent="0.2">
      <c r="A17" s="42">
        <f t="shared" si="0"/>
        <v>10</v>
      </c>
      <c r="B17" s="132" t="s">
        <v>443</v>
      </c>
      <c r="C17" s="45"/>
      <c r="D17" s="46"/>
      <c r="E17" s="124">
        <f>SUM(E8:E15)</f>
        <v>1041147.3400000001</v>
      </c>
      <c r="F17" s="124">
        <f>SUM(F8:F15)</f>
        <v>240069.27999999997</v>
      </c>
      <c r="G17" s="124">
        <f>SUM(G8:G15)</f>
        <v>19563.96</v>
      </c>
    </row>
    <row r="18" spans="1:7" x14ac:dyDescent="0.2">
      <c r="B18" s="44"/>
      <c r="C18" s="45"/>
      <c r="D18" s="46"/>
      <c r="E18" s="46"/>
      <c r="F18" s="48"/>
    </row>
    <row r="19" spans="1:7" x14ac:dyDescent="0.2">
      <c r="B19" s="44"/>
      <c r="C19" s="45"/>
      <c r="D19" s="46"/>
      <c r="E19" s="46"/>
      <c r="F19" s="48"/>
    </row>
    <row r="20" spans="1:7" x14ac:dyDescent="0.2">
      <c r="B20" s="44"/>
      <c r="C20" s="45"/>
      <c r="D20" s="46"/>
      <c r="E20" s="46"/>
      <c r="F20" s="48"/>
    </row>
    <row r="21" spans="1:7" x14ac:dyDescent="0.2">
      <c r="B21" s="44"/>
      <c r="C21" s="45"/>
      <c r="D21" s="46"/>
      <c r="E21" s="48"/>
      <c r="F21" s="22"/>
    </row>
    <row r="22" spans="1:7" x14ac:dyDescent="0.2">
      <c r="B22" s="197" t="s">
        <v>26</v>
      </c>
      <c r="C22" s="45"/>
      <c r="D22" s="500"/>
      <c r="E22" s="48"/>
      <c r="F22" s="22"/>
    </row>
    <row r="23" spans="1:7" x14ac:dyDescent="0.2">
      <c r="B23" s="44"/>
      <c r="C23" s="45"/>
      <c r="D23" s="46"/>
      <c r="E23" s="48"/>
      <c r="F23" s="22"/>
    </row>
    <row r="24" spans="1:7" x14ac:dyDescent="0.2">
      <c r="B24" s="44"/>
      <c r="C24" s="45"/>
      <c r="D24" s="46"/>
      <c r="E24" s="48"/>
      <c r="F24" s="22"/>
    </row>
    <row r="25" spans="1:7" x14ac:dyDescent="0.2">
      <c r="B25" s="44"/>
      <c r="C25" s="45"/>
      <c r="D25" s="46"/>
      <c r="E25" s="48"/>
      <c r="F25" s="22"/>
    </row>
    <row r="26" spans="1:7" x14ac:dyDescent="0.2">
      <c r="B26" s="44"/>
      <c r="C26" s="46"/>
      <c r="D26" s="46"/>
      <c r="E26" s="48"/>
      <c r="F26" s="22"/>
    </row>
    <row r="27" spans="1:7" x14ac:dyDescent="0.2">
      <c r="B27" s="44"/>
      <c r="C27" s="46"/>
      <c r="D27" s="46"/>
      <c r="E27" s="48"/>
      <c r="F27" s="22"/>
    </row>
    <row r="28" spans="1:7" x14ac:dyDescent="0.2">
      <c r="B28" s="44"/>
      <c r="C28" s="46"/>
      <c r="D28" s="46"/>
      <c r="E28" s="48"/>
      <c r="F28" s="22"/>
    </row>
    <row r="29" spans="1:7" x14ac:dyDescent="0.2">
      <c r="B29" s="44"/>
      <c r="C29" s="46"/>
      <c r="D29" s="46"/>
      <c r="E29" s="48"/>
      <c r="F29" s="22"/>
    </row>
    <row r="30" spans="1:7" x14ac:dyDescent="0.2">
      <c r="B30" s="44"/>
      <c r="C30" s="46"/>
      <c r="D30" s="46"/>
      <c r="E30" s="48"/>
      <c r="F30" s="22"/>
    </row>
    <row r="31" spans="1:7" x14ac:dyDescent="0.2">
      <c r="B31" s="44"/>
      <c r="C31" s="46"/>
      <c r="D31" s="46"/>
      <c r="E31" s="48"/>
      <c r="F31" s="22"/>
    </row>
    <row r="32" spans="1:7" x14ac:dyDescent="0.2">
      <c r="B32" s="44"/>
      <c r="C32" s="46"/>
      <c r="D32" s="46"/>
      <c r="E32" s="48"/>
      <c r="F32" s="22"/>
    </row>
    <row r="33" spans="2:6" x14ac:dyDescent="0.2">
      <c r="B33" s="44"/>
      <c r="C33" s="46"/>
      <c r="D33" s="46"/>
      <c r="E33" s="48"/>
      <c r="F33" s="22"/>
    </row>
    <row r="34" spans="2:6" x14ac:dyDescent="0.2">
      <c r="B34" s="44"/>
      <c r="C34" s="46"/>
      <c r="D34" s="46"/>
      <c r="E34" s="48"/>
      <c r="F34" s="22"/>
    </row>
    <row r="35" spans="2:6" x14ac:dyDescent="0.2">
      <c r="B35" s="44"/>
      <c r="C35" s="46"/>
      <c r="D35" s="46"/>
      <c r="E35" s="48"/>
      <c r="F35" s="22"/>
    </row>
    <row r="36" spans="2:6" x14ac:dyDescent="0.2">
      <c r="B36" s="44"/>
      <c r="C36" s="46"/>
      <c r="D36" s="46"/>
      <c r="E36" s="48"/>
      <c r="F36" s="22"/>
    </row>
    <row r="37" spans="2:6" x14ac:dyDescent="0.2">
      <c r="B37" s="44"/>
      <c r="C37" s="46"/>
      <c r="D37" s="46"/>
      <c r="E37" s="48"/>
      <c r="F37" s="22"/>
    </row>
    <row r="38" spans="2:6" x14ac:dyDescent="0.2">
      <c r="B38" s="44"/>
      <c r="C38" s="46"/>
      <c r="D38" s="46"/>
      <c r="E38" s="48"/>
      <c r="F38" s="22"/>
    </row>
    <row r="39" spans="2:6" x14ac:dyDescent="0.2">
      <c r="B39" s="44"/>
      <c r="C39" s="46"/>
      <c r="D39" s="46"/>
      <c r="E39" s="48"/>
      <c r="F39" s="22"/>
    </row>
    <row r="40" spans="2:6" x14ac:dyDescent="0.2">
      <c r="B40" s="44"/>
      <c r="C40" s="46"/>
      <c r="D40" s="46"/>
      <c r="E40" s="48"/>
      <c r="F40" s="22"/>
    </row>
    <row r="41" spans="2:6" x14ac:dyDescent="0.2">
      <c r="B41" s="44"/>
      <c r="C41" s="46"/>
      <c r="D41" s="46"/>
      <c r="E41" s="48"/>
      <c r="F41" s="22"/>
    </row>
    <row r="42" spans="2:6" x14ac:dyDescent="0.2">
      <c r="B42" s="44"/>
      <c r="C42" s="46"/>
      <c r="D42" s="46"/>
      <c r="E42" s="48"/>
      <c r="F42" s="22"/>
    </row>
    <row r="43" spans="2:6" x14ac:dyDescent="0.2">
      <c r="B43" s="44"/>
      <c r="C43" s="45"/>
      <c r="D43" s="46"/>
      <c r="E43" s="48"/>
      <c r="F43" s="22"/>
    </row>
    <row r="44" spans="2:6" x14ac:dyDescent="0.2">
      <c r="B44" s="44"/>
      <c r="C44" s="45"/>
      <c r="D44" s="46"/>
      <c r="E44" s="48"/>
      <c r="F44" s="22"/>
    </row>
    <row r="45" spans="2:6" x14ac:dyDescent="0.2">
      <c r="B45" s="44"/>
      <c r="C45" s="45"/>
      <c r="D45" s="46"/>
      <c r="E45" s="48"/>
      <c r="F45" s="22"/>
    </row>
    <row r="46" spans="2:6" x14ac:dyDescent="0.2">
      <c r="B46" s="44"/>
      <c r="C46" s="45"/>
      <c r="D46" s="46"/>
      <c r="E46" s="48"/>
      <c r="F46" s="22"/>
    </row>
    <row r="47" spans="2:6" x14ac:dyDescent="0.2">
      <c r="B47" s="44"/>
      <c r="C47" s="45"/>
      <c r="D47" s="46"/>
      <c r="E47" s="48"/>
      <c r="F47" s="22"/>
    </row>
    <row r="48" spans="2:6" x14ac:dyDescent="0.2">
      <c r="B48" s="44"/>
      <c r="C48" s="45"/>
      <c r="D48" s="46"/>
      <c r="E48" s="48"/>
      <c r="F48" s="22"/>
    </row>
    <row r="49" spans="2:6" x14ac:dyDescent="0.2">
      <c r="B49" s="44"/>
      <c r="C49" s="45"/>
      <c r="D49" s="46"/>
      <c r="E49" s="48"/>
      <c r="F49" s="22"/>
    </row>
    <row r="50" spans="2:6" x14ac:dyDescent="0.2">
      <c r="B50" s="44"/>
      <c r="C50" s="45"/>
      <c r="D50" s="46"/>
      <c r="E50" s="48"/>
      <c r="F50" s="22"/>
    </row>
    <row r="51" spans="2:6" x14ac:dyDescent="0.2">
      <c r="B51" s="44"/>
      <c r="C51" s="45"/>
      <c r="D51" s="46"/>
      <c r="E51" s="48"/>
      <c r="F51" s="22"/>
    </row>
    <row r="52" spans="2:6" x14ac:dyDescent="0.2">
      <c r="B52" s="44"/>
      <c r="C52" s="45"/>
      <c r="D52" s="46"/>
      <c r="E52" s="48"/>
      <c r="F52" s="22"/>
    </row>
    <row r="53" spans="2:6" x14ac:dyDescent="0.2">
      <c r="B53" s="44"/>
      <c r="C53" s="45"/>
      <c r="D53" s="46"/>
      <c r="E53" s="48"/>
      <c r="F53" s="22"/>
    </row>
    <row r="54" spans="2:6" x14ac:dyDescent="0.2">
      <c r="B54" s="197"/>
      <c r="C54" s="45"/>
      <c r="D54" s="500"/>
      <c r="E54" s="48"/>
      <c r="F54" s="22"/>
    </row>
    <row r="55" spans="2:6" x14ac:dyDescent="0.2">
      <c r="B55" s="197"/>
      <c r="C55" s="45"/>
      <c r="D55" s="500"/>
      <c r="E55" s="48"/>
      <c r="F55" s="22"/>
    </row>
    <row r="56" spans="2:6" x14ac:dyDescent="0.2">
      <c r="B56" s="197"/>
      <c r="C56" s="45"/>
      <c r="D56" s="500"/>
      <c r="E56" s="48"/>
      <c r="F56" s="22"/>
    </row>
  </sheetData>
  <mergeCells count="4">
    <mergeCell ref="A1:G1"/>
    <mergeCell ref="A2:G2"/>
    <mergeCell ref="A3:G3"/>
    <mergeCell ref="A4:G4"/>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09"/>
  <sheetViews>
    <sheetView zoomScale="90" zoomScaleNormal="90" zoomScaleSheetLayoutView="100" workbookViewId="0">
      <selection activeCell="A2" sqref="A2:J2"/>
    </sheetView>
  </sheetViews>
  <sheetFormatPr defaultRowHeight="12.75" x14ac:dyDescent="0.2"/>
  <cols>
    <col min="1" max="1" width="5.42578125" style="265" customWidth="1"/>
    <col min="2" max="2" width="4.5703125" style="264" customWidth="1"/>
    <col min="3" max="3" width="35.28515625" style="264" customWidth="1"/>
    <col min="4" max="4" width="8.42578125" style="267" customWidth="1"/>
    <col min="5" max="5" width="10.42578125" style="264" customWidth="1"/>
    <col min="6" max="6" width="13.7109375" style="264" customWidth="1"/>
    <col min="7" max="9" width="15.7109375" style="264" customWidth="1"/>
    <col min="10" max="10" width="13.28515625" style="264" bestFit="1" customWidth="1"/>
    <col min="11" max="11" width="14" style="264" bestFit="1" customWidth="1"/>
    <col min="12" max="12" width="14.85546875" style="264" bestFit="1" customWidth="1"/>
    <col min="13" max="14" width="14.85546875" style="264" customWidth="1"/>
    <col min="15" max="15" width="15.28515625" style="264" customWidth="1"/>
    <col min="16" max="16384" width="9.140625" style="264"/>
  </cols>
  <sheetData>
    <row r="1" spans="1:15" x14ac:dyDescent="0.2">
      <c r="A1" s="695"/>
      <c r="B1" s="695"/>
      <c r="C1" s="695"/>
      <c r="D1" s="695"/>
      <c r="E1" s="695"/>
      <c r="F1" s="695"/>
      <c r="G1" s="695"/>
    </row>
    <row r="2" spans="1:15" x14ac:dyDescent="0.2">
      <c r="A2" s="692" t="s">
        <v>39</v>
      </c>
      <c r="B2" s="692"/>
      <c r="C2" s="692"/>
      <c r="D2" s="692"/>
      <c r="E2" s="692"/>
      <c r="F2" s="692"/>
      <c r="G2" s="692"/>
      <c r="H2" s="692"/>
      <c r="I2" s="692"/>
      <c r="J2" s="692"/>
      <c r="K2" s="532"/>
      <c r="L2" s="532"/>
      <c r="M2" s="532"/>
      <c r="N2" s="532"/>
      <c r="O2" s="532"/>
    </row>
    <row r="3" spans="1:15" x14ac:dyDescent="0.2">
      <c r="A3" s="692" t="s">
        <v>367</v>
      </c>
      <c r="B3" s="692"/>
      <c r="C3" s="692"/>
      <c r="D3" s="692"/>
      <c r="E3" s="692"/>
      <c r="F3" s="692"/>
      <c r="G3" s="692"/>
      <c r="H3" s="692"/>
      <c r="I3" s="692"/>
      <c r="J3" s="692"/>
      <c r="K3" s="532"/>
      <c r="L3" s="532"/>
      <c r="M3" s="532"/>
      <c r="N3" s="532"/>
      <c r="O3" s="532"/>
    </row>
    <row r="4" spans="1:15" x14ac:dyDescent="0.2">
      <c r="A4" s="696" t="s">
        <v>1086</v>
      </c>
      <c r="B4" s="696"/>
      <c r="C4" s="696"/>
      <c r="D4" s="696"/>
      <c r="E4" s="696"/>
      <c r="F4" s="696"/>
      <c r="G4" s="696"/>
      <c r="H4" s="696"/>
      <c r="I4" s="696"/>
      <c r="J4" s="696"/>
      <c r="K4" s="532"/>
      <c r="L4" s="532"/>
      <c r="M4" s="532"/>
      <c r="N4" s="532"/>
      <c r="O4" s="532"/>
    </row>
    <row r="5" spans="1:15" x14ac:dyDescent="0.2">
      <c r="C5" s="508"/>
      <c r="D5" s="508"/>
      <c r="E5" s="508"/>
      <c r="F5" s="508"/>
      <c r="G5" s="508"/>
      <c r="H5" s="508"/>
    </row>
    <row r="6" spans="1:15" x14ac:dyDescent="0.2">
      <c r="C6" s="692"/>
      <c r="D6" s="692"/>
      <c r="E6" s="692"/>
      <c r="F6" s="692"/>
      <c r="G6" s="692"/>
      <c r="H6" s="508"/>
    </row>
    <row r="7" spans="1:15" x14ac:dyDescent="0.2">
      <c r="C7" s="692"/>
      <c r="D7" s="692"/>
      <c r="E7" s="692"/>
      <c r="F7" s="692"/>
      <c r="G7" s="692"/>
      <c r="H7" s="508"/>
    </row>
    <row r="8" spans="1:15" x14ac:dyDescent="0.2">
      <c r="A8" s="265">
        <v>1</v>
      </c>
      <c r="B8" s="266" t="s">
        <v>847</v>
      </c>
      <c r="C8" s="266"/>
      <c r="H8" s="508"/>
      <c r="I8" s="508"/>
      <c r="J8" s="508"/>
      <c r="K8" s="508"/>
      <c r="L8" s="508"/>
      <c r="M8" s="508"/>
      <c r="N8" s="508"/>
      <c r="O8" s="508"/>
    </row>
    <row r="9" spans="1:15" x14ac:dyDescent="0.2">
      <c r="A9" s="265">
        <f t="shared" ref="A9:A57" si="0">A8+1</f>
        <v>2</v>
      </c>
      <c r="C9" s="508"/>
      <c r="D9" s="268"/>
      <c r="E9" s="508"/>
      <c r="F9" s="508"/>
      <c r="G9" s="269" t="s">
        <v>1301</v>
      </c>
      <c r="H9" s="269" t="s">
        <v>1302</v>
      </c>
      <c r="I9" s="269" t="s">
        <v>539</v>
      </c>
      <c r="J9" s="508"/>
      <c r="K9" s="508"/>
      <c r="L9" s="508"/>
    </row>
    <row r="10" spans="1:15" ht="45" customHeight="1" x14ac:dyDescent="0.2">
      <c r="A10" s="265">
        <f t="shared" si="0"/>
        <v>3</v>
      </c>
      <c r="C10" s="270" t="s">
        <v>40</v>
      </c>
      <c r="D10" s="271" t="s">
        <v>41</v>
      </c>
      <c r="E10" s="270" t="s">
        <v>42</v>
      </c>
      <c r="F10" s="272" t="s">
        <v>1089</v>
      </c>
      <c r="G10" s="273" t="s">
        <v>1034</v>
      </c>
      <c r="H10" s="273" t="s">
        <v>1034</v>
      </c>
      <c r="I10" s="273" t="s">
        <v>160</v>
      </c>
      <c r="J10" s="533"/>
      <c r="K10" s="533"/>
      <c r="L10" s="533"/>
    </row>
    <row r="11" spans="1:15" ht="12.75" customHeight="1" x14ac:dyDescent="0.2">
      <c r="A11" s="392">
        <f>A10+1</f>
        <v>4</v>
      </c>
      <c r="C11" s="529"/>
      <c r="D11" s="394"/>
      <c r="E11" s="395"/>
      <c r="F11" s="396"/>
      <c r="G11" s="396">
        <f>($F11 *0.019)</f>
        <v>0</v>
      </c>
      <c r="H11" s="396">
        <f>($F11 *0.019)</f>
        <v>0</v>
      </c>
      <c r="I11" s="397">
        <f t="shared" ref="I11:I20" si="1">SUM(G11:H11)</f>
        <v>0</v>
      </c>
      <c r="J11" s="396"/>
      <c r="K11" s="396"/>
      <c r="L11" s="396"/>
    </row>
    <row r="12" spans="1:15" ht="12.75" customHeight="1" x14ac:dyDescent="0.2">
      <c r="A12" s="392">
        <f t="shared" ref="A12:A33" si="2">A11+1</f>
        <v>5</v>
      </c>
      <c r="C12" s="529"/>
      <c r="D12" s="394"/>
      <c r="E12" s="395"/>
      <c r="F12" s="396"/>
      <c r="G12" s="396">
        <f>($F12 *0.017)</f>
        <v>0</v>
      </c>
      <c r="H12" s="396">
        <f>($F12 *0.017)</f>
        <v>0</v>
      </c>
      <c r="I12" s="397">
        <f t="shared" si="1"/>
        <v>0</v>
      </c>
      <c r="J12" s="396"/>
      <c r="K12" s="396"/>
      <c r="L12" s="396"/>
    </row>
    <row r="13" spans="1:15" ht="12.75" customHeight="1" x14ac:dyDescent="0.2">
      <c r="A13" s="392">
        <f t="shared" si="2"/>
        <v>6</v>
      </c>
      <c r="C13" s="529"/>
      <c r="D13" s="394"/>
      <c r="E13" s="395"/>
      <c r="F13" s="396"/>
      <c r="G13" s="396">
        <f>($F13 *0.0277)</f>
        <v>0</v>
      </c>
      <c r="H13" s="396">
        <f>($F13 *0.0277)</f>
        <v>0</v>
      </c>
      <c r="I13" s="397">
        <f t="shared" si="1"/>
        <v>0</v>
      </c>
      <c r="J13" s="396"/>
      <c r="K13" s="396"/>
      <c r="L13" s="396"/>
    </row>
    <row r="14" spans="1:15" ht="12.75" customHeight="1" x14ac:dyDescent="0.2">
      <c r="A14" s="392">
        <f t="shared" si="2"/>
        <v>7</v>
      </c>
      <c r="C14" s="529"/>
      <c r="D14" s="394"/>
      <c r="E14" s="395"/>
      <c r="F14" s="396"/>
      <c r="G14" s="396">
        <f>($F14 *0.0225)</f>
        <v>0</v>
      </c>
      <c r="H14" s="396">
        <f>($F14 *0.0225)</f>
        <v>0</v>
      </c>
      <c r="I14" s="397">
        <f t="shared" si="1"/>
        <v>0</v>
      </c>
      <c r="J14" s="396"/>
      <c r="K14" s="396"/>
      <c r="L14" s="396"/>
    </row>
    <row r="15" spans="1:15" ht="12.75" customHeight="1" x14ac:dyDescent="0.2">
      <c r="A15" s="392">
        <f t="shared" si="2"/>
        <v>8</v>
      </c>
      <c r="C15" s="529"/>
      <c r="D15" s="394"/>
      <c r="E15" s="395"/>
      <c r="F15" s="396"/>
      <c r="G15" s="396">
        <f>($F15 *0.0308)</f>
        <v>0</v>
      </c>
      <c r="H15" s="396">
        <f>($F15 *0.0308)</f>
        <v>0</v>
      </c>
      <c r="I15" s="397">
        <f t="shared" si="1"/>
        <v>0</v>
      </c>
      <c r="J15" s="396"/>
      <c r="K15" s="396"/>
      <c r="L15" s="396"/>
    </row>
    <row r="16" spans="1:15" ht="12.75" customHeight="1" x14ac:dyDescent="0.2">
      <c r="A16" s="392">
        <f t="shared" si="2"/>
        <v>9</v>
      </c>
      <c r="C16" s="529"/>
      <c r="D16" s="394"/>
      <c r="E16" s="395"/>
      <c r="F16" s="396"/>
      <c r="G16" s="396">
        <f>($F16 *0.0298)</f>
        <v>0</v>
      </c>
      <c r="H16" s="396">
        <f>($F16 *0.0298)</f>
        <v>0</v>
      </c>
      <c r="I16" s="397">
        <f t="shared" si="1"/>
        <v>0</v>
      </c>
      <c r="J16" s="396"/>
      <c r="K16" s="396"/>
      <c r="L16" s="396"/>
    </row>
    <row r="17" spans="1:14" ht="12.75" customHeight="1" x14ac:dyDescent="0.2">
      <c r="A17" s="392">
        <f t="shared" si="2"/>
        <v>10</v>
      </c>
      <c r="C17" s="529"/>
      <c r="D17" s="394"/>
      <c r="E17" s="395"/>
      <c r="F17" s="396"/>
      <c r="G17" s="396">
        <f>($F17 *0.0195)</f>
        <v>0</v>
      </c>
      <c r="H17" s="396">
        <f>($F17 *0.0195)</f>
        <v>0</v>
      </c>
      <c r="I17" s="397">
        <f t="shared" si="1"/>
        <v>0</v>
      </c>
      <c r="J17" s="396"/>
      <c r="K17" s="396"/>
      <c r="L17" s="396"/>
    </row>
    <row r="18" spans="1:14" ht="12.75" customHeight="1" x14ac:dyDescent="0.2">
      <c r="A18" s="392">
        <f t="shared" si="2"/>
        <v>11</v>
      </c>
      <c r="C18" s="529"/>
      <c r="D18" s="394"/>
      <c r="E18" s="395"/>
      <c r="F18" s="396"/>
      <c r="G18" s="396">
        <f>($F18 *0.0226)</f>
        <v>0</v>
      </c>
      <c r="H18" s="396">
        <f>($F18 *0.0226)</f>
        <v>0</v>
      </c>
      <c r="I18" s="397">
        <f t="shared" si="1"/>
        <v>0</v>
      </c>
      <c r="J18" s="396"/>
      <c r="K18" s="396"/>
      <c r="L18" s="396"/>
    </row>
    <row r="19" spans="1:14" ht="12.75" customHeight="1" x14ac:dyDescent="0.2">
      <c r="A19" s="392">
        <f t="shared" si="2"/>
        <v>12</v>
      </c>
      <c r="C19" s="529"/>
      <c r="D19" s="394"/>
      <c r="E19" s="395"/>
      <c r="F19" s="396"/>
      <c r="G19" s="396">
        <f>($F19 *0.0258)</f>
        <v>0</v>
      </c>
      <c r="H19" s="396">
        <f>($F19 *0.0258)</f>
        <v>0</v>
      </c>
      <c r="I19" s="397">
        <f t="shared" si="1"/>
        <v>0</v>
      </c>
      <c r="J19" s="396"/>
      <c r="K19" s="396"/>
      <c r="L19" s="396"/>
    </row>
    <row r="20" spans="1:14" ht="12.75" customHeight="1" x14ac:dyDescent="0.2">
      <c r="A20" s="392">
        <f t="shared" si="2"/>
        <v>13</v>
      </c>
      <c r="C20" s="529"/>
      <c r="D20" s="393"/>
      <c r="E20" s="395"/>
      <c r="F20" s="398"/>
      <c r="G20" s="398">
        <f>($F20 *0.079)</f>
        <v>0</v>
      </c>
      <c r="H20" s="398">
        <f>($F20 *0.079)</f>
        <v>0</v>
      </c>
      <c r="I20" s="400">
        <f t="shared" si="1"/>
        <v>0</v>
      </c>
      <c r="J20" s="396"/>
      <c r="K20" s="396"/>
      <c r="L20" s="396"/>
    </row>
    <row r="21" spans="1:14" x14ac:dyDescent="0.2">
      <c r="A21" s="392">
        <f t="shared" si="2"/>
        <v>14</v>
      </c>
      <c r="C21" s="276" t="s">
        <v>539</v>
      </c>
      <c r="D21" s="274"/>
      <c r="E21" s="275"/>
      <c r="F21" s="399">
        <f>SUM(F11:F20)</f>
        <v>0</v>
      </c>
      <c r="G21" s="399">
        <f>SUM(G11:G20)</f>
        <v>0</v>
      </c>
      <c r="H21" s="399">
        <f>SUM(H11:H20)</f>
        <v>0</v>
      </c>
      <c r="I21" s="399">
        <f>SUM(I11:I20)</f>
        <v>0</v>
      </c>
      <c r="J21" s="397"/>
      <c r="K21" s="397"/>
      <c r="L21" s="397"/>
    </row>
    <row r="22" spans="1:14" x14ac:dyDescent="0.2">
      <c r="A22" s="392">
        <f t="shared" si="2"/>
        <v>15</v>
      </c>
      <c r="C22" s="187"/>
      <c r="D22" s="274"/>
      <c r="E22" s="275"/>
      <c r="F22" s="277"/>
      <c r="G22" s="278"/>
      <c r="H22" s="278"/>
      <c r="I22" s="278"/>
    </row>
    <row r="23" spans="1:14" x14ac:dyDescent="0.2">
      <c r="A23" s="392">
        <f t="shared" si="2"/>
        <v>16</v>
      </c>
      <c r="C23" s="187"/>
      <c r="D23" s="274"/>
      <c r="E23" s="275"/>
      <c r="F23" s="277"/>
      <c r="G23" s="278"/>
      <c r="H23" s="278"/>
      <c r="I23" s="278"/>
    </row>
    <row r="24" spans="1:14" x14ac:dyDescent="0.2">
      <c r="A24" s="392">
        <f t="shared" si="2"/>
        <v>17</v>
      </c>
      <c r="B24" s="266" t="s">
        <v>845</v>
      </c>
      <c r="C24" s="187"/>
      <c r="D24" s="274"/>
      <c r="E24" s="275"/>
      <c r="F24" s="277"/>
      <c r="G24" s="278"/>
      <c r="H24" s="278"/>
      <c r="I24" s="278"/>
    </row>
    <row r="25" spans="1:14" x14ac:dyDescent="0.2">
      <c r="A25" s="392">
        <f t="shared" si="2"/>
        <v>18</v>
      </c>
      <c r="C25" s="187"/>
      <c r="D25" s="274"/>
      <c r="E25" s="275"/>
      <c r="F25" s="277"/>
      <c r="G25" s="278"/>
      <c r="H25" s="278"/>
      <c r="I25" s="278"/>
      <c r="J25" s="279"/>
      <c r="K25" s="279"/>
      <c r="L25" s="279"/>
      <c r="M25" s="279"/>
      <c r="N25" s="279"/>
    </row>
    <row r="26" spans="1:14" ht="38.25" x14ac:dyDescent="0.2">
      <c r="A26" s="392">
        <f t="shared" si="2"/>
        <v>19</v>
      </c>
      <c r="C26" s="187"/>
      <c r="D26" s="274"/>
      <c r="E26" s="280" t="s">
        <v>43</v>
      </c>
      <c r="F26" s="281" t="s">
        <v>844</v>
      </c>
      <c r="G26" s="281" t="s">
        <v>160</v>
      </c>
      <c r="H26" s="281" t="s">
        <v>843</v>
      </c>
      <c r="I26" s="278"/>
      <c r="J26" s="279"/>
      <c r="K26" s="279"/>
      <c r="L26" s="279"/>
      <c r="M26" s="279"/>
      <c r="N26" s="279"/>
    </row>
    <row r="27" spans="1:14" x14ac:dyDescent="0.2">
      <c r="A27" s="392">
        <f t="shared" si="2"/>
        <v>20</v>
      </c>
      <c r="C27" s="187"/>
      <c r="D27" s="274"/>
      <c r="E27" s="277"/>
      <c r="F27" s="473"/>
      <c r="G27" s="530"/>
      <c r="H27" s="473"/>
      <c r="I27" s="278"/>
      <c r="J27" s="279"/>
      <c r="K27" s="279"/>
      <c r="L27" s="279"/>
      <c r="M27" s="279"/>
      <c r="N27" s="279"/>
    </row>
    <row r="28" spans="1:14" x14ac:dyDescent="0.2">
      <c r="A28" s="392">
        <f t="shared" si="2"/>
        <v>21</v>
      </c>
      <c r="C28" s="187" t="s">
        <v>539</v>
      </c>
      <c r="D28" s="274"/>
      <c r="E28" s="275"/>
      <c r="F28" s="282">
        <f>SUM(F27:F27)</f>
        <v>0</v>
      </c>
      <c r="G28" s="514">
        <f>SUM(G27:G27)</f>
        <v>0</v>
      </c>
      <c r="H28" s="474">
        <f>SUM(H27:H27)</f>
        <v>0</v>
      </c>
      <c r="I28" s="278"/>
      <c r="J28" s="279"/>
      <c r="K28" s="279"/>
      <c r="L28" s="279"/>
      <c r="M28" s="279"/>
      <c r="N28" s="279"/>
    </row>
    <row r="29" spans="1:14" x14ac:dyDescent="0.2">
      <c r="A29" s="392">
        <f t="shared" si="2"/>
        <v>22</v>
      </c>
      <c r="C29" s="187"/>
      <c r="D29" s="274"/>
      <c r="E29" s="275"/>
      <c r="F29" s="283"/>
      <c r="G29" s="283"/>
      <c r="H29" s="284"/>
      <c r="I29" s="278"/>
      <c r="J29" s="279"/>
      <c r="K29" s="279"/>
      <c r="L29" s="279"/>
      <c r="M29" s="279"/>
      <c r="N29" s="279"/>
    </row>
    <row r="30" spans="1:14" x14ac:dyDescent="0.2">
      <c r="A30" s="392">
        <f t="shared" si="2"/>
        <v>23</v>
      </c>
      <c r="C30" s="187"/>
      <c r="D30" s="274"/>
      <c r="E30" s="275"/>
      <c r="F30" s="283"/>
      <c r="G30" s="283"/>
      <c r="H30" s="284"/>
      <c r="I30" s="278"/>
      <c r="J30" s="279"/>
      <c r="K30" s="279"/>
      <c r="L30" s="279"/>
      <c r="M30" s="279"/>
      <c r="N30" s="279"/>
    </row>
    <row r="31" spans="1:14" x14ac:dyDescent="0.2">
      <c r="A31" s="392">
        <f t="shared" si="2"/>
        <v>24</v>
      </c>
      <c r="C31" s="187"/>
      <c r="D31" s="274"/>
      <c r="E31" s="275"/>
      <c r="F31" s="277"/>
      <c r="G31" s="278"/>
      <c r="H31" s="278"/>
      <c r="I31" s="278"/>
      <c r="J31" s="279"/>
      <c r="K31" s="279"/>
      <c r="L31" s="279"/>
      <c r="M31" s="279"/>
      <c r="N31" s="279"/>
    </row>
    <row r="32" spans="1:14" x14ac:dyDescent="0.2">
      <c r="A32" s="392">
        <f t="shared" si="2"/>
        <v>25</v>
      </c>
      <c r="B32" s="266" t="s">
        <v>513</v>
      </c>
      <c r="C32" s="187"/>
      <c r="D32" s="274"/>
      <c r="E32" s="275"/>
      <c r="F32" s="277"/>
      <c r="G32" s="278"/>
      <c r="H32" s="278"/>
      <c r="I32" s="278"/>
      <c r="J32" s="279"/>
      <c r="K32" s="279"/>
      <c r="L32" s="279"/>
      <c r="M32" s="279"/>
      <c r="N32" s="279"/>
    </row>
    <row r="33" spans="1:14" x14ac:dyDescent="0.2">
      <c r="A33" s="392">
        <f t="shared" si="2"/>
        <v>26</v>
      </c>
      <c r="C33" s="187"/>
      <c r="D33" s="274"/>
      <c r="E33" s="275"/>
      <c r="F33" s="277"/>
      <c r="G33" s="278"/>
      <c r="H33" s="278"/>
      <c r="I33" s="278"/>
      <c r="J33" s="279"/>
      <c r="K33" s="279"/>
      <c r="L33" s="279"/>
      <c r="M33" s="279"/>
      <c r="N33" s="279"/>
    </row>
    <row r="34" spans="1:14" ht="13.5" thickBot="1" x14ac:dyDescent="0.25">
      <c r="A34" s="392">
        <f t="shared" si="0"/>
        <v>27</v>
      </c>
      <c r="C34" s="285" t="s">
        <v>40</v>
      </c>
      <c r="D34" s="285" t="s">
        <v>43</v>
      </c>
      <c r="E34" s="286" t="s">
        <v>230</v>
      </c>
      <c r="F34" s="277"/>
      <c r="G34" s="278"/>
      <c r="H34" s="278"/>
      <c r="I34" s="278"/>
      <c r="J34" s="279"/>
      <c r="K34" s="279"/>
      <c r="L34" s="279"/>
      <c r="M34" s="279"/>
      <c r="N34" s="279"/>
    </row>
    <row r="35" spans="1:14" x14ac:dyDescent="0.2">
      <c r="A35" s="392">
        <f t="shared" si="0"/>
        <v>28</v>
      </c>
      <c r="C35" s="187"/>
      <c r="D35" s="274"/>
      <c r="E35" s="531">
        <v>0</v>
      </c>
      <c r="F35" s="277"/>
      <c r="G35" s="278"/>
      <c r="H35" s="278"/>
      <c r="I35" s="278"/>
      <c r="J35" s="279"/>
      <c r="K35" s="279"/>
      <c r="L35" s="279"/>
      <c r="M35" s="279"/>
      <c r="N35" s="279"/>
    </row>
    <row r="36" spans="1:14" x14ac:dyDescent="0.2">
      <c r="A36" s="392">
        <f t="shared" si="0"/>
        <v>29</v>
      </c>
      <c r="C36" s="187"/>
      <c r="D36" s="274"/>
      <c r="E36" s="275"/>
      <c r="F36" s="277"/>
      <c r="G36" s="278"/>
      <c r="H36" s="278"/>
      <c r="I36" s="278"/>
      <c r="J36" s="279"/>
      <c r="K36" s="279"/>
      <c r="L36" s="279"/>
      <c r="M36" s="279"/>
      <c r="N36" s="279"/>
    </row>
    <row r="37" spans="1:14" x14ac:dyDescent="0.2">
      <c r="A37" s="392">
        <f t="shared" si="0"/>
        <v>30</v>
      </c>
      <c r="C37" s="287" t="s">
        <v>539</v>
      </c>
      <c r="D37" s="274"/>
      <c r="E37" s="288">
        <f>SUM(E35:E35)</f>
        <v>0</v>
      </c>
      <c r="F37" s="277"/>
      <c r="G37" s="278"/>
      <c r="H37" s="278"/>
      <c r="I37" s="278"/>
      <c r="J37" s="279"/>
      <c r="K37" s="279"/>
      <c r="L37" s="279"/>
      <c r="M37" s="279"/>
      <c r="N37" s="279"/>
    </row>
    <row r="38" spans="1:14" x14ac:dyDescent="0.2">
      <c r="A38" s="392">
        <f t="shared" si="0"/>
        <v>31</v>
      </c>
      <c r="C38" s="287"/>
      <c r="D38" s="274"/>
      <c r="E38" s="289"/>
      <c r="F38" s="277"/>
      <c r="G38" s="278"/>
      <c r="H38" s="278"/>
      <c r="I38" s="278"/>
      <c r="J38" s="279"/>
      <c r="K38" s="279"/>
      <c r="L38" s="279"/>
      <c r="M38" s="279"/>
      <c r="N38" s="279"/>
    </row>
    <row r="39" spans="1:14" x14ac:dyDescent="0.2">
      <c r="A39" s="392">
        <f t="shared" si="0"/>
        <v>32</v>
      </c>
      <c r="C39" s="287"/>
      <c r="D39" s="274"/>
      <c r="E39" s="289"/>
      <c r="F39" s="277"/>
      <c r="G39" s="278"/>
      <c r="H39" s="278"/>
      <c r="I39" s="278"/>
      <c r="J39" s="279"/>
      <c r="K39" s="279"/>
      <c r="L39" s="279"/>
      <c r="M39" s="279"/>
      <c r="N39" s="279"/>
    </row>
    <row r="40" spans="1:14" x14ac:dyDescent="0.2">
      <c r="A40" s="392">
        <f t="shared" si="0"/>
        <v>33</v>
      </c>
      <c r="B40" s="266" t="s">
        <v>842</v>
      </c>
      <c r="C40" s="287"/>
      <c r="D40" s="274"/>
      <c r="E40" s="289"/>
      <c r="F40" s="277"/>
      <c r="G40" s="278"/>
      <c r="H40" s="278"/>
      <c r="I40" s="278"/>
      <c r="M40" s="279"/>
      <c r="N40" s="279"/>
    </row>
    <row r="41" spans="1:14" x14ac:dyDescent="0.2">
      <c r="A41" s="392">
        <f t="shared" si="0"/>
        <v>34</v>
      </c>
      <c r="B41" s="266"/>
      <c r="C41" s="287"/>
      <c r="D41" s="274"/>
      <c r="E41" s="289"/>
      <c r="F41" s="277"/>
      <c r="G41" s="278"/>
      <c r="H41" s="278"/>
      <c r="I41" s="278"/>
      <c r="M41" s="279"/>
      <c r="N41" s="279"/>
    </row>
    <row r="42" spans="1:14" x14ac:dyDescent="0.2">
      <c r="A42" s="392">
        <f t="shared" si="0"/>
        <v>35</v>
      </c>
      <c r="B42" s="266"/>
      <c r="C42" s="287"/>
      <c r="D42" s="274"/>
      <c r="E42" s="289"/>
      <c r="F42" s="277"/>
      <c r="G42" s="278"/>
      <c r="H42" s="278"/>
      <c r="I42" s="278"/>
      <c r="J42" s="279"/>
      <c r="K42" s="279"/>
      <c r="M42" s="291"/>
      <c r="N42" s="291"/>
    </row>
    <row r="43" spans="1:14" x14ac:dyDescent="0.2">
      <c r="A43" s="392">
        <f t="shared" si="0"/>
        <v>36</v>
      </c>
      <c r="B43" s="266"/>
      <c r="C43" s="287"/>
      <c r="D43" s="274"/>
      <c r="E43" s="290">
        <f>H28+E37</f>
        <v>0</v>
      </c>
      <c r="F43" s="534" t="s">
        <v>27</v>
      </c>
      <c r="G43" s="278"/>
      <c r="H43" s="278"/>
      <c r="I43" s="278"/>
      <c r="J43" s="279"/>
      <c r="K43" s="279"/>
      <c r="L43" s="291"/>
      <c r="M43" s="291"/>
      <c r="N43" s="291"/>
    </row>
    <row r="44" spans="1:14" x14ac:dyDescent="0.2">
      <c r="A44" s="392">
        <f t="shared" si="0"/>
        <v>37</v>
      </c>
      <c r="B44" s="266"/>
      <c r="C44" s="287"/>
      <c r="D44" s="274"/>
      <c r="E44" s="289"/>
      <c r="F44" s="277"/>
      <c r="G44" s="278"/>
      <c r="H44" s="278"/>
      <c r="I44" s="278"/>
      <c r="J44" s="279"/>
      <c r="K44" s="279"/>
      <c r="L44" s="291"/>
      <c r="M44" s="291"/>
      <c r="N44" s="291"/>
    </row>
    <row r="45" spans="1:14" x14ac:dyDescent="0.2">
      <c r="A45" s="392">
        <f t="shared" si="0"/>
        <v>38</v>
      </c>
      <c r="C45" s="287"/>
      <c r="D45" s="274"/>
      <c r="E45" s="289"/>
      <c r="F45" s="277"/>
      <c r="G45" s="278"/>
      <c r="H45" s="278"/>
      <c r="I45" s="278"/>
      <c r="J45" s="279"/>
      <c r="K45" s="279"/>
      <c r="L45" s="279"/>
      <c r="M45" s="279"/>
      <c r="N45" s="279"/>
    </row>
    <row r="46" spans="1:14" x14ac:dyDescent="0.2">
      <c r="A46" s="392">
        <f t="shared" si="0"/>
        <v>39</v>
      </c>
      <c r="B46" s="266" t="s">
        <v>1138</v>
      </c>
      <c r="C46" s="187"/>
      <c r="D46" s="274"/>
      <c r="E46" s="275"/>
      <c r="F46" s="277"/>
      <c r="G46" s="289"/>
      <c r="H46" s="278"/>
      <c r="I46" s="278"/>
      <c r="J46" s="279"/>
      <c r="K46" s="279"/>
      <c r="L46" s="279"/>
      <c r="M46" s="279"/>
      <c r="N46" s="279"/>
    </row>
    <row r="47" spans="1:14" x14ac:dyDescent="0.2">
      <c r="A47" s="392">
        <f t="shared" si="0"/>
        <v>40</v>
      </c>
      <c r="C47" s="187"/>
      <c r="D47" s="274"/>
      <c r="E47" s="275"/>
      <c r="F47" s="277"/>
      <c r="G47" s="278"/>
      <c r="H47" s="278"/>
      <c r="I47" s="278"/>
      <c r="J47" s="279"/>
      <c r="K47" s="279"/>
      <c r="L47" s="279"/>
      <c r="M47" s="279"/>
      <c r="N47" s="279"/>
    </row>
    <row r="48" spans="1:14" ht="13.5" thickBot="1" x14ac:dyDescent="0.25">
      <c r="A48" s="392">
        <f t="shared" si="0"/>
        <v>41</v>
      </c>
      <c r="C48" s="285" t="s">
        <v>40</v>
      </c>
      <c r="D48" s="285" t="s">
        <v>43</v>
      </c>
      <c r="E48" s="286" t="s">
        <v>230</v>
      </c>
      <c r="F48" s="277"/>
      <c r="G48" s="278"/>
      <c r="H48" s="278"/>
      <c r="I48" s="278"/>
      <c r="J48" s="279"/>
      <c r="K48" s="279"/>
      <c r="L48" s="279"/>
      <c r="M48" s="279"/>
      <c r="N48" s="279"/>
    </row>
    <row r="49" spans="1:14" x14ac:dyDescent="0.2">
      <c r="A49" s="392">
        <f t="shared" si="0"/>
        <v>42</v>
      </c>
      <c r="C49" s="187"/>
      <c r="D49" s="274"/>
      <c r="E49" s="415"/>
      <c r="F49" s="277"/>
      <c r="G49" s="278"/>
      <c r="H49" s="278"/>
      <c r="I49" s="278"/>
      <c r="J49" s="279"/>
      <c r="K49" s="279"/>
      <c r="L49" s="279"/>
      <c r="M49" s="279"/>
      <c r="N49" s="279"/>
    </row>
    <row r="50" spans="1:14" x14ac:dyDescent="0.2">
      <c r="A50" s="392">
        <f t="shared" si="0"/>
        <v>43</v>
      </c>
      <c r="C50" s="187"/>
      <c r="D50" s="274"/>
      <c r="E50" s="415"/>
      <c r="F50" s="277"/>
      <c r="G50" s="278"/>
      <c r="H50" s="278"/>
      <c r="I50" s="278"/>
      <c r="J50" s="279"/>
      <c r="K50" s="279"/>
      <c r="L50" s="279"/>
      <c r="M50" s="279"/>
      <c r="N50" s="279"/>
    </row>
    <row r="51" spans="1:14" x14ac:dyDescent="0.2">
      <c r="A51" s="392">
        <f t="shared" si="0"/>
        <v>44</v>
      </c>
      <c r="C51" s="187"/>
      <c r="D51" s="274"/>
      <c r="E51" s="158"/>
      <c r="F51" s="277"/>
      <c r="G51" s="278"/>
      <c r="H51" s="278"/>
      <c r="I51" s="278"/>
      <c r="J51" s="279"/>
      <c r="K51" s="279"/>
      <c r="L51" s="279"/>
      <c r="M51" s="279"/>
      <c r="N51" s="279"/>
    </row>
    <row r="52" spans="1:14" x14ac:dyDescent="0.2">
      <c r="A52" s="392">
        <f t="shared" si="0"/>
        <v>45</v>
      </c>
      <c r="C52" s="287" t="s">
        <v>539</v>
      </c>
      <c r="D52" s="274"/>
      <c r="E52" s="292">
        <f>SUM(E49:E50)</f>
        <v>0</v>
      </c>
      <c r="F52" s="277"/>
      <c r="G52" s="278"/>
      <c r="H52" s="278"/>
      <c r="I52" s="278"/>
      <c r="J52" s="279"/>
      <c r="K52" s="279"/>
      <c r="L52" s="279"/>
      <c r="M52" s="279"/>
      <c r="N52" s="279"/>
    </row>
    <row r="53" spans="1:14" x14ac:dyDescent="0.2">
      <c r="A53" s="392">
        <f t="shared" si="0"/>
        <v>46</v>
      </c>
      <c r="C53" s="187"/>
      <c r="D53" s="274"/>
      <c r="E53" s="275"/>
      <c r="F53" s="277"/>
      <c r="G53" s="278"/>
      <c r="H53" s="278"/>
      <c r="I53" s="278"/>
      <c r="J53" s="279"/>
      <c r="K53" s="279"/>
      <c r="L53" s="279"/>
      <c r="M53" s="279"/>
      <c r="N53" s="279"/>
    </row>
    <row r="54" spans="1:14" x14ac:dyDescent="0.2">
      <c r="A54" s="392">
        <f t="shared" si="0"/>
        <v>47</v>
      </c>
      <c r="C54" s="287" t="s">
        <v>539</v>
      </c>
      <c r="D54" s="274"/>
      <c r="E54" s="292">
        <f>SUM(E37,E52)</f>
        <v>0</v>
      </c>
      <c r="F54" s="293" t="s">
        <v>28</v>
      </c>
      <c r="G54" s="278"/>
      <c r="H54" s="278"/>
      <c r="I54" s="278"/>
      <c r="J54" s="279"/>
      <c r="K54" s="279"/>
      <c r="L54" s="279"/>
      <c r="M54" s="279"/>
      <c r="N54" s="279"/>
    </row>
    <row r="55" spans="1:14" x14ac:dyDescent="0.2">
      <c r="A55" s="392">
        <f t="shared" si="0"/>
        <v>48</v>
      </c>
      <c r="C55" s="287"/>
      <c r="D55" s="274"/>
      <c r="E55" s="294"/>
      <c r="F55" s="277"/>
      <c r="G55" s="278"/>
      <c r="H55" s="278"/>
      <c r="I55" s="278"/>
      <c r="J55" s="279"/>
      <c r="K55" s="279"/>
      <c r="L55" s="279"/>
      <c r="M55" s="279"/>
      <c r="N55" s="279"/>
    </row>
    <row r="56" spans="1:14" x14ac:dyDescent="0.2">
      <c r="A56" s="392">
        <f t="shared" si="0"/>
        <v>49</v>
      </c>
      <c r="C56" s="287"/>
      <c r="D56" s="274"/>
      <c r="E56" s="294"/>
      <c r="F56" s="277"/>
      <c r="G56" s="278"/>
      <c r="H56" s="278"/>
      <c r="I56" s="278"/>
      <c r="J56" s="279"/>
      <c r="K56" s="279"/>
      <c r="L56" s="279"/>
      <c r="M56" s="279"/>
      <c r="N56" s="279"/>
    </row>
    <row r="57" spans="1:14" ht="28.5" customHeight="1" x14ac:dyDescent="0.2">
      <c r="A57" s="392">
        <f t="shared" si="0"/>
        <v>50</v>
      </c>
      <c r="C57" s="694" t="s">
        <v>1139</v>
      </c>
      <c r="D57" s="694"/>
      <c r="E57" s="694"/>
      <c r="F57" s="694"/>
      <c r="G57" s="694"/>
      <c r="H57" s="694"/>
      <c r="I57" s="694"/>
      <c r="J57" s="279"/>
      <c r="K57" s="279"/>
      <c r="L57" s="279"/>
      <c r="M57" s="279"/>
      <c r="N57" s="279"/>
    </row>
    <row r="58" spans="1:14" x14ac:dyDescent="0.2">
      <c r="A58" s="392"/>
      <c r="C58" s="187"/>
      <c r="D58" s="274"/>
      <c r="E58" s="275"/>
      <c r="F58" s="277"/>
      <c r="G58" s="278"/>
      <c r="H58" s="278"/>
      <c r="I58" s="278"/>
      <c r="J58" s="279"/>
      <c r="K58" s="279"/>
      <c r="L58" s="279"/>
      <c r="M58" s="279"/>
      <c r="N58" s="279"/>
    </row>
    <row r="59" spans="1:14" x14ac:dyDescent="0.2">
      <c r="C59" s="187"/>
      <c r="D59" s="275"/>
      <c r="E59" s="275"/>
      <c r="F59" s="277"/>
      <c r="G59" s="278"/>
      <c r="H59" s="278"/>
      <c r="I59" s="278"/>
      <c r="J59" s="279"/>
      <c r="K59" s="279"/>
      <c r="L59" s="279"/>
      <c r="M59" s="279"/>
      <c r="N59" s="279"/>
    </row>
    <row r="60" spans="1:14" x14ac:dyDescent="0.2">
      <c r="C60" s="295"/>
      <c r="D60" s="275"/>
      <c r="E60" s="275"/>
      <c r="F60" s="277"/>
      <c r="G60" s="278"/>
      <c r="H60" s="278"/>
      <c r="I60" s="278"/>
      <c r="J60" s="279"/>
      <c r="K60" s="279"/>
      <c r="L60" s="279"/>
      <c r="M60" s="279"/>
      <c r="N60" s="279"/>
    </row>
    <row r="61" spans="1:14" x14ac:dyDescent="0.2">
      <c r="C61" s="187"/>
      <c r="D61" s="275"/>
      <c r="E61" s="275"/>
      <c r="F61" s="277"/>
      <c r="G61" s="278"/>
      <c r="H61" s="278"/>
      <c r="I61" s="278"/>
      <c r="J61" s="279"/>
      <c r="K61" s="279"/>
      <c r="L61" s="279"/>
      <c r="M61" s="279"/>
      <c r="N61" s="279"/>
    </row>
    <row r="62" spans="1:14" x14ac:dyDescent="0.2">
      <c r="C62" s="187"/>
      <c r="D62" s="275"/>
      <c r="E62" s="275"/>
      <c r="F62" s="277"/>
      <c r="G62" s="278"/>
      <c r="H62" s="278"/>
      <c r="I62" s="278"/>
      <c r="J62" s="279"/>
      <c r="K62" s="279"/>
      <c r="L62" s="279"/>
      <c r="M62" s="279"/>
      <c r="N62" s="279"/>
    </row>
    <row r="63" spans="1:14" x14ac:dyDescent="0.2">
      <c r="C63" s="187"/>
      <c r="D63" s="275"/>
      <c r="E63" s="275"/>
      <c r="F63" s="277"/>
      <c r="G63" s="278"/>
      <c r="H63" s="278"/>
      <c r="I63" s="278"/>
      <c r="J63" s="279"/>
      <c r="K63" s="279"/>
      <c r="L63" s="279"/>
      <c r="M63" s="279"/>
      <c r="N63" s="279"/>
    </row>
    <row r="64" spans="1:14" x14ac:dyDescent="0.2">
      <c r="C64" s="187"/>
      <c r="D64" s="275"/>
      <c r="E64" s="275"/>
      <c r="F64" s="277"/>
      <c r="G64" s="278"/>
      <c r="H64" s="278"/>
      <c r="I64" s="278"/>
      <c r="J64" s="279"/>
      <c r="K64" s="279"/>
      <c r="L64" s="279"/>
      <c r="M64" s="279"/>
      <c r="N64" s="279"/>
    </row>
    <row r="65" spans="1:14" x14ac:dyDescent="0.2">
      <c r="C65" s="187"/>
      <c r="D65" s="275"/>
      <c r="E65" s="275"/>
      <c r="F65" s="277"/>
      <c r="G65" s="278"/>
      <c r="H65" s="278"/>
      <c r="I65" s="278"/>
      <c r="J65" s="279"/>
      <c r="K65" s="279"/>
      <c r="L65" s="279"/>
      <c r="M65" s="279"/>
      <c r="N65" s="279"/>
    </row>
    <row r="66" spans="1:14" x14ac:dyDescent="0.2">
      <c r="C66" s="187"/>
      <c r="D66" s="275"/>
      <c r="E66" s="275"/>
      <c r="F66" s="277"/>
      <c r="G66" s="278"/>
      <c r="H66" s="278"/>
      <c r="I66" s="278"/>
      <c r="J66" s="279"/>
      <c r="K66" s="279"/>
      <c r="L66" s="279"/>
      <c r="M66" s="279"/>
      <c r="N66" s="279"/>
    </row>
    <row r="67" spans="1:14" x14ac:dyDescent="0.2">
      <c r="C67" s="187"/>
      <c r="D67" s="275"/>
      <c r="E67" s="275"/>
      <c r="F67" s="277"/>
      <c r="G67" s="278"/>
      <c r="H67" s="278"/>
      <c r="I67" s="278"/>
      <c r="J67" s="279"/>
      <c r="K67" s="279"/>
      <c r="L67" s="279"/>
      <c r="M67" s="279"/>
      <c r="N67" s="279"/>
    </row>
    <row r="68" spans="1:14" x14ac:dyDescent="0.2">
      <c r="C68" s="187"/>
      <c r="D68" s="275"/>
      <c r="E68" s="275"/>
      <c r="F68" s="277"/>
      <c r="G68" s="278"/>
      <c r="H68" s="278"/>
      <c r="I68" s="278"/>
      <c r="J68" s="279"/>
      <c r="K68" s="279"/>
      <c r="L68" s="279"/>
      <c r="M68" s="279"/>
      <c r="N68" s="279"/>
    </row>
    <row r="69" spans="1:14" x14ac:dyDescent="0.2">
      <c r="C69" s="187"/>
      <c r="D69" s="275"/>
      <c r="E69" s="275"/>
      <c r="F69" s="277"/>
      <c r="G69" s="278"/>
      <c r="H69" s="278"/>
      <c r="I69" s="278"/>
      <c r="J69" s="279"/>
      <c r="K69" s="279"/>
      <c r="L69" s="279"/>
      <c r="M69" s="279"/>
      <c r="N69" s="279"/>
    </row>
    <row r="70" spans="1:14" x14ac:dyDescent="0.2">
      <c r="C70" s="187"/>
      <c r="D70" s="275"/>
      <c r="E70" s="275"/>
      <c r="F70" s="277"/>
      <c r="G70" s="278"/>
      <c r="H70" s="278"/>
      <c r="I70" s="278"/>
      <c r="J70" s="279"/>
      <c r="K70" s="279"/>
      <c r="L70" s="279"/>
      <c r="M70" s="279"/>
      <c r="N70" s="279"/>
    </row>
    <row r="71" spans="1:14" x14ac:dyDescent="0.2">
      <c r="C71" s="187"/>
      <c r="D71" s="275"/>
      <c r="E71" s="275"/>
      <c r="F71" s="277"/>
      <c r="G71" s="278"/>
      <c r="H71" s="278"/>
      <c r="I71" s="278"/>
      <c r="J71" s="279"/>
      <c r="K71" s="279"/>
      <c r="L71" s="279"/>
      <c r="M71" s="279"/>
      <c r="N71" s="279"/>
    </row>
    <row r="72" spans="1:14" x14ac:dyDescent="0.2">
      <c r="C72" s="187"/>
      <c r="D72" s="275"/>
      <c r="E72" s="275"/>
      <c r="F72" s="277"/>
      <c r="G72" s="278"/>
      <c r="H72" s="278"/>
      <c r="I72" s="278"/>
      <c r="J72" s="279"/>
      <c r="K72" s="279"/>
      <c r="L72" s="279"/>
      <c r="M72" s="279"/>
      <c r="N72" s="279"/>
    </row>
    <row r="73" spans="1:14" x14ac:dyDescent="0.2">
      <c r="D73" s="275"/>
      <c r="E73" s="275"/>
      <c r="F73" s="277"/>
      <c r="G73" s="278"/>
      <c r="H73" s="278"/>
      <c r="I73" s="278"/>
      <c r="J73" s="279"/>
      <c r="K73" s="279"/>
      <c r="L73" s="279"/>
      <c r="M73" s="279"/>
      <c r="N73" s="279"/>
    </row>
    <row r="74" spans="1:14" x14ac:dyDescent="0.2">
      <c r="C74" s="187"/>
      <c r="D74" s="275"/>
      <c r="E74" s="275"/>
      <c r="F74" s="277"/>
      <c r="G74" s="278"/>
      <c r="H74" s="278"/>
      <c r="I74" s="278"/>
      <c r="J74" s="279"/>
      <c r="K74" s="279"/>
      <c r="L74" s="279"/>
      <c r="M74" s="279"/>
      <c r="N74" s="279"/>
    </row>
    <row r="75" spans="1:14" x14ac:dyDescent="0.2">
      <c r="C75" s="187"/>
      <c r="D75" s="275"/>
      <c r="E75" s="275"/>
      <c r="F75" s="277"/>
      <c r="G75" s="278"/>
      <c r="H75" s="278"/>
      <c r="I75" s="278"/>
      <c r="J75" s="279"/>
      <c r="K75" s="279"/>
      <c r="L75" s="279"/>
      <c r="M75" s="279"/>
      <c r="N75" s="279"/>
    </row>
    <row r="76" spans="1:14" x14ac:dyDescent="0.2">
      <c r="A76" s="264"/>
      <c r="C76" s="187"/>
      <c r="D76" s="275"/>
      <c r="E76" s="275"/>
      <c r="F76" s="277"/>
      <c r="G76" s="278"/>
      <c r="H76" s="278"/>
      <c r="I76" s="278"/>
      <c r="J76" s="279"/>
      <c r="K76" s="279"/>
      <c r="L76" s="279"/>
      <c r="M76" s="279"/>
      <c r="N76" s="279"/>
    </row>
    <row r="77" spans="1:14" x14ac:dyDescent="0.2">
      <c r="A77" s="264"/>
      <c r="C77" s="187"/>
      <c r="D77" s="275"/>
      <c r="E77" s="275"/>
      <c r="F77" s="277"/>
      <c r="G77" s="278"/>
      <c r="H77" s="278"/>
      <c r="I77" s="278"/>
      <c r="J77" s="279"/>
      <c r="K77" s="279"/>
      <c r="L77" s="279"/>
      <c r="M77" s="279"/>
      <c r="N77" s="279"/>
    </row>
    <row r="78" spans="1:14" x14ac:dyDescent="0.2">
      <c r="A78" s="264"/>
      <c r="C78" s="187"/>
      <c r="D78" s="275"/>
      <c r="E78" s="275"/>
      <c r="F78" s="277"/>
      <c r="G78" s="278"/>
      <c r="H78" s="278"/>
      <c r="I78" s="278"/>
      <c r="J78" s="279"/>
      <c r="K78" s="279"/>
      <c r="L78" s="279"/>
      <c r="M78" s="279"/>
      <c r="N78" s="279"/>
    </row>
    <row r="79" spans="1:14" x14ac:dyDescent="0.2">
      <c r="A79" s="264"/>
      <c r="C79" s="187"/>
      <c r="D79" s="275"/>
      <c r="E79" s="275"/>
      <c r="F79" s="277"/>
      <c r="G79" s="278"/>
      <c r="H79" s="278"/>
      <c r="I79" s="278"/>
      <c r="J79" s="279"/>
      <c r="K79" s="279"/>
      <c r="L79" s="279"/>
      <c r="M79" s="279"/>
      <c r="N79" s="279"/>
    </row>
    <row r="80" spans="1:14" x14ac:dyDescent="0.2">
      <c r="A80" s="264"/>
      <c r="C80" s="187"/>
      <c r="D80" s="275"/>
      <c r="E80" s="275"/>
      <c r="F80" s="277"/>
      <c r="G80" s="278"/>
      <c r="H80" s="278"/>
      <c r="I80" s="278"/>
      <c r="J80" s="279"/>
      <c r="K80" s="279"/>
      <c r="L80" s="279"/>
      <c r="M80" s="279"/>
      <c r="N80" s="279"/>
    </row>
    <row r="81" spans="1:14" x14ac:dyDescent="0.2">
      <c r="A81" s="264"/>
      <c r="C81" s="187"/>
      <c r="D81" s="275"/>
      <c r="E81" s="275"/>
      <c r="F81" s="277"/>
      <c r="G81" s="278"/>
      <c r="H81" s="278"/>
      <c r="I81" s="278"/>
      <c r="J81" s="279"/>
      <c r="K81" s="279"/>
      <c r="L81" s="279"/>
      <c r="M81" s="279"/>
      <c r="N81" s="279"/>
    </row>
    <row r="82" spans="1:14" x14ac:dyDescent="0.2">
      <c r="A82" s="264"/>
      <c r="C82" s="187"/>
      <c r="D82" s="275"/>
      <c r="E82" s="275"/>
      <c r="F82" s="277"/>
      <c r="G82" s="278"/>
      <c r="H82" s="278"/>
      <c r="I82" s="278"/>
      <c r="J82" s="279"/>
      <c r="K82" s="279"/>
      <c r="L82" s="279"/>
      <c r="M82" s="279"/>
      <c r="N82" s="279"/>
    </row>
    <row r="83" spans="1:14" x14ac:dyDescent="0.2">
      <c r="A83" s="264"/>
      <c r="C83" s="187"/>
      <c r="D83" s="275"/>
      <c r="E83" s="275"/>
      <c r="F83" s="277"/>
      <c r="G83" s="278"/>
      <c r="H83" s="278"/>
      <c r="I83" s="278"/>
      <c r="J83" s="279"/>
      <c r="K83" s="279"/>
      <c r="L83" s="279"/>
      <c r="M83" s="279"/>
      <c r="N83" s="279"/>
    </row>
    <row r="84" spans="1:14" x14ac:dyDescent="0.2">
      <c r="A84" s="264"/>
      <c r="C84" s="187"/>
      <c r="D84" s="275"/>
      <c r="E84" s="275"/>
      <c r="F84" s="277"/>
      <c r="G84" s="278"/>
      <c r="H84" s="278"/>
      <c r="I84" s="278"/>
      <c r="J84" s="279"/>
      <c r="K84" s="279"/>
      <c r="L84" s="279"/>
      <c r="M84" s="279"/>
      <c r="N84" s="279"/>
    </row>
    <row r="85" spans="1:14" x14ac:dyDescent="0.2">
      <c r="A85" s="264"/>
      <c r="C85" s="187"/>
      <c r="D85" s="274"/>
      <c r="E85" s="275"/>
      <c r="F85" s="277"/>
      <c r="G85" s="278"/>
      <c r="H85" s="278"/>
      <c r="I85" s="278"/>
      <c r="J85" s="279"/>
      <c r="K85" s="279"/>
      <c r="L85" s="279"/>
      <c r="M85" s="279"/>
      <c r="N85" s="279"/>
    </row>
    <row r="86" spans="1:14" x14ac:dyDescent="0.2">
      <c r="A86" s="264"/>
      <c r="C86" s="187"/>
      <c r="D86" s="274"/>
      <c r="E86" s="275"/>
      <c r="F86" s="277"/>
      <c r="G86" s="278"/>
      <c r="H86" s="278"/>
      <c r="I86" s="278"/>
      <c r="J86" s="279"/>
      <c r="K86" s="279"/>
      <c r="L86" s="279"/>
      <c r="M86" s="279"/>
      <c r="N86" s="279"/>
    </row>
    <row r="87" spans="1:14" x14ac:dyDescent="0.2">
      <c r="A87" s="264"/>
      <c r="C87" s="187"/>
      <c r="D87" s="274"/>
      <c r="E87" s="275"/>
      <c r="F87" s="277"/>
      <c r="G87" s="278"/>
      <c r="H87" s="278"/>
      <c r="I87" s="278"/>
      <c r="J87" s="279"/>
      <c r="K87" s="279"/>
      <c r="L87" s="279"/>
      <c r="M87" s="279"/>
      <c r="N87" s="279"/>
    </row>
    <row r="88" spans="1:14" x14ac:dyDescent="0.2">
      <c r="A88" s="264"/>
      <c r="C88" s="187"/>
      <c r="D88" s="274"/>
      <c r="E88" s="275"/>
      <c r="F88" s="277"/>
      <c r="G88" s="278"/>
      <c r="H88" s="278"/>
      <c r="I88" s="278"/>
      <c r="J88" s="279"/>
      <c r="K88" s="279"/>
      <c r="L88" s="279"/>
      <c r="M88" s="279"/>
      <c r="N88" s="279"/>
    </row>
    <row r="89" spans="1:14" x14ac:dyDescent="0.2">
      <c r="A89" s="264"/>
      <c r="C89" s="187"/>
      <c r="D89" s="274"/>
      <c r="E89" s="275"/>
      <c r="F89" s="277"/>
      <c r="G89" s="278"/>
      <c r="H89" s="278"/>
      <c r="I89" s="278"/>
      <c r="J89" s="279"/>
      <c r="K89" s="279"/>
      <c r="L89" s="279"/>
      <c r="M89" s="279"/>
      <c r="N89" s="279"/>
    </row>
    <row r="90" spans="1:14" x14ac:dyDescent="0.2">
      <c r="A90" s="264"/>
      <c r="C90" s="187"/>
      <c r="D90" s="274"/>
      <c r="E90" s="275"/>
      <c r="F90" s="277"/>
      <c r="G90" s="278"/>
      <c r="H90" s="278"/>
      <c r="I90" s="278"/>
      <c r="J90" s="279"/>
      <c r="K90" s="279"/>
      <c r="L90" s="279"/>
      <c r="M90" s="279"/>
      <c r="N90" s="279"/>
    </row>
    <row r="91" spans="1:14" x14ac:dyDescent="0.2">
      <c r="A91" s="264"/>
      <c r="C91" s="187"/>
      <c r="D91" s="274"/>
      <c r="E91" s="275"/>
      <c r="F91" s="277"/>
      <c r="G91" s="278"/>
      <c r="H91" s="278"/>
      <c r="I91" s="278"/>
      <c r="J91" s="279"/>
      <c r="K91" s="279"/>
      <c r="L91" s="279"/>
      <c r="M91" s="279"/>
      <c r="N91" s="279"/>
    </row>
    <row r="92" spans="1:14" x14ac:dyDescent="0.2">
      <c r="A92" s="264"/>
      <c r="C92" s="187"/>
      <c r="D92" s="274"/>
      <c r="E92" s="275"/>
      <c r="F92" s="277"/>
      <c r="G92" s="278"/>
      <c r="H92" s="278"/>
      <c r="I92" s="278"/>
      <c r="J92" s="279"/>
      <c r="K92" s="279"/>
      <c r="L92" s="279"/>
      <c r="M92" s="279"/>
      <c r="N92" s="279"/>
    </row>
    <row r="93" spans="1:14" x14ac:dyDescent="0.2">
      <c r="A93" s="264"/>
      <c r="C93" s="187"/>
      <c r="D93" s="274"/>
      <c r="E93" s="275"/>
      <c r="F93" s="277"/>
      <c r="G93" s="278"/>
      <c r="H93" s="278"/>
      <c r="I93" s="278"/>
      <c r="J93" s="279"/>
      <c r="K93" s="279"/>
      <c r="L93" s="279"/>
      <c r="M93" s="279"/>
      <c r="N93" s="279"/>
    </row>
    <row r="94" spans="1:14" x14ac:dyDescent="0.2">
      <c r="A94" s="264"/>
      <c r="C94" s="187"/>
      <c r="D94" s="274"/>
      <c r="E94" s="275"/>
      <c r="F94" s="277"/>
      <c r="G94" s="278"/>
      <c r="H94" s="278"/>
      <c r="I94" s="278"/>
      <c r="J94" s="279"/>
      <c r="K94" s="279"/>
      <c r="L94" s="279"/>
      <c r="M94" s="279"/>
      <c r="N94" s="279"/>
    </row>
    <row r="95" spans="1:14" x14ac:dyDescent="0.2">
      <c r="A95" s="264"/>
      <c r="C95" s="187"/>
      <c r="D95" s="274"/>
      <c r="E95" s="275"/>
      <c r="F95" s="277"/>
      <c r="G95" s="278"/>
      <c r="H95" s="278"/>
      <c r="I95" s="278"/>
      <c r="J95" s="279"/>
      <c r="K95" s="279"/>
      <c r="L95" s="279"/>
      <c r="M95" s="279"/>
      <c r="N95" s="279"/>
    </row>
    <row r="96" spans="1:14" x14ac:dyDescent="0.2">
      <c r="A96" s="264"/>
      <c r="C96" s="296"/>
      <c r="D96" s="274"/>
      <c r="E96" s="297"/>
      <c r="F96" s="277"/>
      <c r="G96" s="278"/>
      <c r="H96" s="278"/>
      <c r="I96" s="278"/>
      <c r="J96" s="279"/>
      <c r="K96" s="279"/>
      <c r="L96" s="279"/>
      <c r="M96" s="279"/>
      <c r="N96" s="279"/>
    </row>
    <row r="97" spans="1:14" x14ac:dyDescent="0.2">
      <c r="A97" s="264"/>
      <c r="C97" s="296"/>
      <c r="D97" s="274"/>
      <c r="E97" s="297"/>
      <c r="F97" s="277"/>
      <c r="G97" s="278"/>
      <c r="H97" s="278"/>
      <c r="I97" s="278"/>
      <c r="J97" s="279"/>
      <c r="K97" s="279"/>
      <c r="L97" s="279"/>
      <c r="M97" s="279"/>
      <c r="N97" s="279"/>
    </row>
    <row r="98" spans="1:14" x14ac:dyDescent="0.2">
      <c r="A98" s="264"/>
      <c r="C98" s="296"/>
      <c r="D98" s="274"/>
      <c r="E98" s="297"/>
      <c r="F98" s="277"/>
      <c r="G98" s="278"/>
      <c r="H98" s="278"/>
      <c r="I98" s="278"/>
      <c r="J98" s="279"/>
      <c r="K98" s="279"/>
      <c r="L98" s="279"/>
      <c r="M98" s="279"/>
      <c r="N98" s="279"/>
    </row>
    <row r="99" spans="1:14" x14ac:dyDescent="0.2">
      <c r="A99" s="264"/>
      <c r="C99" s="296"/>
      <c r="D99" s="274"/>
      <c r="E99" s="297"/>
      <c r="F99" s="277"/>
      <c r="G99" s="278"/>
      <c r="H99" s="278"/>
      <c r="I99" s="278"/>
      <c r="J99" s="279"/>
      <c r="K99" s="279"/>
      <c r="L99" s="279"/>
      <c r="M99" s="279"/>
      <c r="N99" s="279"/>
    </row>
    <row r="100" spans="1:14" x14ac:dyDescent="0.2">
      <c r="A100" s="264"/>
      <c r="C100" s="296"/>
      <c r="D100" s="274"/>
      <c r="E100" s="297"/>
      <c r="F100" s="277"/>
      <c r="G100" s="278"/>
      <c r="H100" s="278"/>
      <c r="I100" s="278"/>
      <c r="J100" s="279"/>
      <c r="K100" s="279"/>
      <c r="L100" s="279"/>
      <c r="M100" s="279"/>
      <c r="N100" s="279"/>
    </row>
    <row r="101" spans="1:14" x14ac:dyDescent="0.2">
      <c r="A101" s="264"/>
      <c r="C101" s="296"/>
      <c r="D101" s="274"/>
      <c r="E101" s="297"/>
      <c r="F101" s="277"/>
      <c r="G101" s="278"/>
      <c r="H101" s="278"/>
      <c r="I101" s="278"/>
      <c r="J101" s="279"/>
      <c r="K101" s="279"/>
      <c r="L101" s="279"/>
      <c r="M101" s="279"/>
      <c r="N101" s="279"/>
    </row>
    <row r="102" spans="1:14" x14ac:dyDescent="0.2">
      <c r="A102" s="264"/>
      <c r="C102" s="296"/>
      <c r="D102" s="274"/>
      <c r="E102" s="297"/>
      <c r="F102" s="277"/>
      <c r="G102" s="278"/>
      <c r="H102" s="278"/>
      <c r="I102" s="278"/>
      <c r="J102" s="279"/>
      <c r="K102" s="279"/>
      <c r="L102" s="279"/>
      <c r="M102" s="279"/>
      <c r="N102" s="279"/>
    </row>
    <row r="103" spans="1:14" x14ac:dyDescent="0.2">
      <c r="A103" s="264"/>
      <c r="C103" s="296"/>
      <c r="D103" s="274"/>
      <c r="E103" s="297"/>
      <c r="F103" s="277"/>
      <c r="G103" s="278"/>
      <c r="H103" s="278"/>
      <c r="I103" s="278"/>
      <c r="J103" s="279"/>
      <c r="K103" s="279"/>
      <c r="L103" s="279"/>
      <c r="M103" s="279"/>
      <c r="N103" s="279"/>
    </row>
    <row r="104" spans="1:14" x14ac:dyDescent="0.2">
      <c r="A104" s="264"/>
      <c r="C104" s="296"/>
      <c r="D104" s="274"/>
      <c r="E104" s="297"/>
      <c r="F104" s="277"/>
      <c r="G104" s="278"/>
      <c r="H104" s="278"/>
      <c r="I104" s="278"/>
      <c r="J104" s="279"/>
      <c r="K104" s="279"/>
      <c r="L104" s="279"/>
      <c r="M104" s="279"/>
      <c r="N104" s="279"/>
    </row>
    <row r="105" spans="1:14" x14ac:dyDescent="0.2">
      <c r="C105" s="296"/>
      <c r="D105" s="274"/>
      <c r="E105" s="297"/>
      <c r="F105" s="277"/>
      <c r="G105" s="278"/>
      <c r="H105" s="278"/>
      <c r="I105" s="278"/>
      <c r="J105" s="279"/>
      <c r="K105" s="279"/>
      <c r="L105" s="279"/>
      <c r="M105" s="279"/>
      <c r="N105" s="279"/>
    </row>
    <row r="106" spans="1:14" x14ac:dyDescent="0.2">
      <c r="C106" s="296"/>
      <c r="D106" s="274"/>
      <c r="E106" s="297"/>
      <c r="F106" s="277"/>
      <c r="G106" s="278"/>
      <c r="H106" s="278"/>
      <c r="I106" s="278"/>
      <c r="J106" s="279"/>
      <c r="K106" s="279"/>
      <c r="L106" s="279"/>
      <c r="M106" s="279"/>
      <c r="N106" s="279"/>
    </row>
    <row r="107" spans="1:14" x14ac:dyDescent="0.2">
      <c r="C107" s="296"/>
      <c r="D107" s="274"/>
      <c r="E107" s="297"/>
      <c r="F107" s="277"/>
      <c r="G107" s="278"/>
      <c r="H107" s="278"/>
      <c r="I107" s="278"/>
      <c r="J107" s="279"/>
      <c r="K107" s="279"/>
      <c r="L107" s="279"/>
      <c r="M107" s="279"/>
      <c r="N107" s="279"/>
    </row>
    <row r="108" spans="1:14" x14ac:dyDescent="0.2">
      <c r="C108" s="296"/>
      <c r="D108" s="298"/>
      <c r="E108" s="297"/>
      <c r="F108" s="297"/>
      <c r="G108" s="299"/>
      <c r="H108" s="299"/>
    </row>
    <row r="109" spans="1:14" x14ac:dyDescent="0.2">
      <c r="C109" s="296"/>
      <c r="D109" s="298"/>
      <c r="E109" s="297"/>
      <c r="F109" s="297"/>
      <c r="G109" s="300"/>
      <c r="H109" s="300"/>
    </row>
  </sheetData>
  <sheetProtection formatCells="0"/>
  <mergeCells count="7">
    <mergeCell ref="C57:I57"/>
    <mergeCell ref="C7:G7"/>
    <mergeCell ref="A1:G1"/>
    <mergeCell ref="C6:G6"/>
    <mergeCell ref="A2:J2"/>
    <mergeCell ref="A3:J3"/>
    <mergeCell ref="A4:J4"/>
  </mergeCells>
  <phoneticPr fontId="0" type="noConversion"/>
  <printOptions horizontalCentered="1"/>
  <pageMargins left="0.75" right="0.75" top="1" bottom="1" header="0.5" footer="0.5"/>
  <pageSetup scale="65" orientation="portrait" r:id="rId1"/>
  <headerFooter alignWithMargins="0">
    <oddHeader>&amp;CIDAHO POWER COMPANY
Transmission Cost of Service Rate Development
12 Months Ended 12/31/2016</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64"/>
  <sheetViews>
    <sheetView zoomScale="90" zoomScaleNormal="90" zoomScaleSheetLayoutView="100" workbookViewId="0">
      <selection sqref="A1:G1"/>
    </sheetView>
  </sheetViews>
  <sheetFormatPr defaultRowHeight="12.75" x14ac:dyDescent="0.2"/>
  <cols>
    <col min="1" max="1" width="3.85546875" style="500" customWidth="1"/>
    <col min="2" max="2" width="38.28515625" style="563" customWidth="1"/>
    <col min="3" max="3" width="128.7109375" style="563" customWidth="1"/>
    <col min="4" max="4" width="2.28515625" style="197" customWidth="1"/>
    <col min="5" max="5" width="16.5703125" style="197" bestFit="1" customWidth="1"/>
    <col min="6" max="6" width="1.85546875" style="197" customWidth="1"/>
    <col min="7" max="7" width="13.7109375" style="500" customWidth="1"/>
    <col min="8" max="16384" width="9.140625" style="197"/>
  </cols>
  <sheetData>
    <row r="1" spans="1:7" x14ac:dyDescent="0.2">
      <c r="A1" s="677" t="s">
        <v>579</v>
      </c>
      <c r="B1" s="677"/>
      <c r="C1" s="677"/>
      <c r="D1" s="677"/>
      <c r="E1" s="677"/>
      <c r="F1" s="677"/>
      <c r="G1" s="677"/>
    </row>
    <row r="2" spans="1:7" x14ac:dyDescent="0.2">
      <c r="A2" s="677" t="s">
        <v>580</v>
      </c>
      <c r="B2" s="677"/>
      <c r="C2" s="677"/>
      <c r="D2" s="677"/>
      <c r="E2" s="677"/>
      <c r="F2" s="677"/>
      <c r="G2" s="677"/>
    </row>
    <row r="3" spans="1:7" x14ac:dyDescent="0.2">
      <c r="A3" s="501"/>
      <c r="B3" s="564"/>
      <c r="C3" s="564"/>
      <c r="D3" s="501"/>
      <c r="E3" s="501"/>
      <c r="F3" s="501"/>
      <c r="G3" s="501"/>
    </row>
    <row r="4" spans="1:7" x14ac:dyDescent="0.2">
      <c r="A4" s="501"/>
      <c r="B4" s="564"/>
      <c r="C4" s="564"/>
      <c r="D4" s="501"/>
      <c r="E4" s="501"/>
      <c r="F4" s="501"/>
      <c r="G4" s="501"/>
    </row>
    <row r="6" spans="1:7" s="65" customFormat="1" ht="38.25" x14ac:dyDescent="0.2">
      <c r="A6" s="106"/>
      <c r="B6" s="697" t="s">
        <v>478</v>
      </c>
      <c r="C6" s="697"/>
      <c r="E6" s="28" t="s">
        <v>479</v>
      </c>
      <c r="F6" s="106"/>
      <c r="G6" s="28" t="s">
        <v>480</v>
      </c>
    </row>
    <row r="7" spans="1:7" ht="15" x14ac:dyDescent="0.3">
      <c r="A7" s="390">
        <v>1</v>
      </c>
      <c r="B7" s="625" t="s">
        <v>1243</v>
      </c>
      <c r="C7" s="625" t="s">
        <v>1305</v>
      </c>
      <c r="D7" s="148"/>
      <c r="E7" s="626">
        <v>768453.44</v>
      </c>
      <c r="F7" s="149"/>
      <c r="G7" s="627" t="s">
        <v>1272</v>
      </c>
    </row>
    <row r="8" spans="1:7" ht="15" x14ac:dyDescent="0.3">
      <c r="A8" s="390">
        <f t="shared" ref="A8:A35" si="0">A7+1</f>
        <v>2</v>
      </c>
      <c r="B8" s="625" t="s">
        <v>1244</v>
      </c>
      <c r="C8" s="625" t="s">
        <v>1306</v>
      </c>
      <c r="D8" s="148"/>
      <c r="E8" s="626">
        <v>364089.32</v>
      </c>
      <c r="F8" s="149"/>
      <c r="G8" s="627" t="s">
        <v>1273</v>
      </c>
    </row>
    <row r="9" spans="1:7" ht="15" x14ac:dyDescent="0.3">
      <c r="A9" s="390">
        <f t="shared" si="0"/>
        <v>3</v>
      </c>
      <c r="B9" s="625" t="s">
        <v>1245</v>
      </c>
      <c r="C9" s="625" t="s">
        <v>1307</v>
      </c>
      <c r="D9" s="148"/>
      <c r="E9" s="626">
        <v>358812.71</v>
      </c>
      <c r="F9" s="149"/>
      <c r="G9" s="627" t="s">
        <v>1274</v>
      </c>
    </row>
    <row r="10" spans="1:7" ht="15" x14ac:dyDescent="0.3">
      <c r="A10" s="390">
        <f t="shared" si="0"/>
        <v>4</v>
      </c>
      <c r="B10" s="625" t="s">
        <v>1246</v>
      </c>
      <c r="C10" s="669" t="s">
        <v>1325</v>
      </c>
      <c r="D10" s="148"/>
      <c r="E10" s="626">
        <v>295130.8</v>
      </c>
      <c r="F10" s="149"/>
      <c r="G10" s="627" t="s">
        <v>1275</v>
      </c>
    </row>
    <row r="11" spans="1:7" ht="15" x14ac:dyDescent="0.3">
      <c r="A11" s="390">
        <f t="shared" si="0"/>
        <v>5</v>
      </c>
      <c r="B11" s="625" t="s">
        <v>1247</v>
      </c>
      <c r="C11" s="625" t="s">
        <v>1308</v>
      </c>
      <c r="D11" s="148"/>
      <c r="E11" s="626">
        <v>3806778.34</v>
      </c>
      <c r="F11" s="149"/>
      <c r="G11" s="627" t="s">
        <v>1276</v>
      </c>
    </row>
    <row r="12" spans="1:7" ht="15" x14ac:dyDescent="0.3">
      <c r="A12" s="390">
        <f t="shared" si="0"/>
        <v>6</v>
      </c>
      <c r="B12" s="625" t="s">
        <v>1248</v>
      </c>
      <c r="C12" s="625" t="s">
        <v>1309</v>
      </c>
      <c r="D12" s="148"/>
      <c r="E12" s="626">
        <v>1890257.42</v>
      </c>
      <c r="F12" s="149"/>
      <c r="G12" s="627" t="s">
        <v>1277</v>
      </c>
    </row>
    <row r="13" spans="1:7" ht="15" x14ac:dyDescent="0.3">
      <c r="A13" s="390">
        <f t="shared" si="0"/>
        <v>7</v>
      </c>
      <c r="B13" s="625" t="s">
        <v>1249</v>
      </c>
      <c r="C13" s="625" t="s">
        <v>1310</v>
      </c>
      <c r="D13" s="148"/>
      <c r="E13" s="626">
        <v>12916091.58</v>
      </c>
      <c r="F13" s="149"/>
      <c r="G13" s="627" t="s">
        <v>1278</v>
      </c>
    </row>
    <row r="14" spans="1:7" ht="15" x14ac:dyDescent="0.3">
      <c r="A14" s="390">
        <f t="shared" si="0"/>
        <v>8</v>
      </c>
      <c r="B14" s="625" t="s">
        <v>1250</v>
      </c>
      <c r="C14" s="625" t="s">
        <v>1311</v>
      </c>
      <c r="D14" s="148"/>
      <c r="E14" s="626">
        <v>549156.42000000004</v>
      </c>
      <c r="F14" s="149"/>
      <c r="G14" s="627" t="s">
        <v>1279</v>
      </c>
    </row>
    <row r="15" spans="1:7" ht="15" x14ac:dyDescent="0.3">
      <c r="A15" s="390">
        <f t="shared" si="0"/>
        <v>9</v>
      </c>
      <c r="B15" s="625" t="s">
        <v>1251</v>
      </c>
      <c r="C15" s="625" t="s">
        <v>1312</v>
      </c>
      <c r="D15" s="148"/>
      <c r="E15" s="626">
        <v>1224007.22</v>
      </c>
      <c r="F15" s="149"/>
      <c r="G15" s="627" t="s">
        <v>1280</v>
      </c>
    </row>
    <row r="16" spans="1:7" ht="15" x14ac:dyDescent="0.3">
      <c r="A16" s="390">
        <f t="shared" si="0"/>
        <v>10</v>
      </c>
      <c r="B16" s="625" t="s">
        <v>1252</v>
      </c>
      <c r="C16" s="669" t="s">
        <v>1326</v>
      </c>
      <c r="D16" s="148"/>
      <c r="E16" s="626">
        <v>458330.57</v>
      </c>
      <c r="F16" s="149"/>
      <c r="G16" s="627" t="s">
        <v>1281</v>
      </c>
    </row>
    <row r="17" spans="1:7" ht="15" x14ac:dyDescent="0.3">
      <c r="A17" s="390">
        <f t="shared" si="0"/>
        <v>11</v>
      </c>
      <c r="B17" s="625" t="s">
        <v>1253</v>
      </c>
      <c r="C17" s="625" t="s">
        <v>1313</v>
      </c>
      <c r="D17" s="148"/>
      <c r="E17" s="626">
        <v>405953.39</v>
      </c>
      <c r="F17" s="149"/>
      <c r="G17" s="627" t="s">
        <v>1282</v>
      </c>
    </row>
    <row r="18" spans="1:7" ht="15" x14ac:dyDescent="0.3">
      <c r="A18" s="390">
        <f t="shared" si="0"/>
        <v>12</v>
      </c>
      <c r="B18" s="625" t="s">
        <v>1254</v>
      </c>
      <c r="C18" s="625" t="s">
        <v>1314</v>
      </c>
      <c r="D18" s="148"/>
      <c r="E18" s="626">
        <v>1943203.52</v>
      </c>
      <c r="F18" s="149"/>
      <c r="G18" s="627" t="s">
        <v>1283</v>
      </c>
    </row>
    <row r="19" spans="1:7" ht="15" x14ac:dyDescent="0.3">
      <c r="A19" s="390">
        <f t="shared" si="0"/>
        <v>13</v>
      </c>
      <c r="B19" s="625" t="s">
        <v>1255</v>
      </c>
      <c r="C19" s="669" t="s">
        <v>1327</v>
      </c>
      <c r="D19" s="148"/>
      <c r="E19" s="626">
        <v>334593.73</v>
      </c>
      <c r="F19" s="149"/>
      <c r="G19" s="627" t="s">
        <v>1284</v>
      </c>
    </row>
    <row r="20" spans="1:7" ht="15" x14ac:dyDescent="0.3">
      <c r="A20" s="390">
        <f t="shared" si="0"/>
        <v>14</v>
      </c>
      <c r="B20" s="625" t="s">
        <v>1256</v>
      </c>
      <c r="C20" s="625" t="s">
        <v>1315</v>
      </c>
      <c r="D20" s="148"/>
      <c r="E20" s="626">
        <v>381257.45</v>
      </c>
      <c r="F20" s="149"/>
      <c r="G20" s="627" t="s">
        <v>1285</v>
      </c>
    </row>
    <row r="21" spans="1:7" ht="15" x14ac:dyDescent="0.3">
      <c r="A21" s="390">
        <f t="shared" si="0"/>
        <v>15</v>
      </c>
      <c r="B21" s="625" t="s">
        <v>1257</v>
      </c>
      <c r="C21" s="625" t="s">
        <v>1316</v>
      </c>
      <c r="D21" s="148"/>
      <c r="E21" s="626">
        <v>2665693.5</v>
      </c>
      <c r="F21" s="149"/>
      <c r="G21" s="627" t="s">
        <v>1286</v>
      </c>
    </row>
    <row r="22" spans="1:7" ht="15" x14ac:dyDescent="0.3">
      <c r="A22" s="390">
        <f t="shared" si="0"/>
        <v>16</v>
      </c>
      <c r="B22" s="625" t="s">
        <v>1258</v>
      </c>
      <c r="C22" s="625" t="s">
        <v>1317</v>
      </c>
      <c r="D22" s="148"/>
      <c r="E22" s="626">
        <v>501815.28</v>
      </c>
      <c r="F22" s="149"/>
      <c r="G22" s="627" t="s">
        <v>1287</v>
      </c>
    </row>
    <row r="23" spans="1:7" ht="15" x14ac:dyDescent="0.3">
      <c r="A23" s="390">
        <f t="shared" si="0"/>
        <v>17</v>
      </c>
      <c r="B23" s="625" t="s">
        <v>1259</v>
      </c>
      <c r="C23" s="669" t="s">
        <v>1328</v>
      </c>
      <c r="D23" s="148"/>
      <c r="E23" s="626">
        <v>3292022.08</v>
      </c>
      <c r="F23" s="149"/>
      <c r="G23" s="627" t="s">
        <v>1288</v>
      </c>
    </row>
    <row r="24" spans="1:7" ht="15" x14ac:dyDescent="0.3">
      <c r="A24" s="390">
        <f t="shared" si="0"/>
        <v>18</v>
      </c>
      <c r="B24" s="625" t="s">
        <v>1260</v>
      </c>
      <c r="C24" s="669" t="s">
        <v>1329</v>
      </c>
      <c r="D24" s="148"/>
      <c r="E24" s="626">
        <v>1350970.3</v>
      </c>
      <c r="F24" s="149"/>
      <c r="G24" s="627" t="s">
        <v>1289</v>
      </c>
    </row>
    <row r="25" spans="1:7" ht="15" x14ac:dyDescent="0.3">
      <c r="A25" s="390">
        <f t="shared" si="0"/>
        <v>19</v>
      </c>
      <c r="B25" s="625" t="s">
        <v>1261</v>
      </c>
      <c r="C25" s="669" t="s">
        <v>1330</v>
      </c>
      <c r="D25" s="148"/>
      <c r="E25" s="626">
        <v>1453377.65</v>
      </c>
      <c r="F25" s="149"/>
      <c r="G25" s="627" t="s">
        <v>1290</v>
      </c>
    </row>
    <row r="26" spans="1:7" ht="15" x14ac:dyDescent="0.3">
      <c r="A26" s="390">
        <f t="shared" si="0"/>
        <v>20</v>
      </c>
      <c r="B26" s="625" t="s">
        <v>1262</v>
      </c>
      <c r="C26" s="625" t="s">
        <v>1318</v>
      </c>
      <c r="D26" s="148"/>
      <c r="E26" s="626">
        <v>342537.01</v>
      </c>
      <c r="F26" s="149"/>
      <c r="G26" s="627" t="s">
        <v>1291</v>
      </c>
    </row>
    <row r="27" spans="1:7" ht="15" x14ac:dyDescent="0.3">
      <c r="A27" s="390">
        <f t="shared" si="0"/>
        <v>21</v>
      </c>
      <c r="B27" s="625" t="s">
        <v>1263</v>
      </c>
      <c r="C27" s="669" t="s">
        <v>1313</v>
      </c>
      <c r="D27" s="148"/>
      <c r="E27" s="626">
        <v>1707130.67</v>
      </c>
      <c r="F27" s="149"/>
      <c r="G27" s="627" t="s">
        <v>1292</v>
      </c>
    </row>
    <row r="28" spans="1:7" ht="15" x14ac:dyDescent="0.3">
      <c r="A28" s="390">
        <f t="shared" si="0"/>
        <v>22</v>
      </c>
      <c r="B28" s="625" t="s">
        <v>1264</v>
      </c>
      <c r="C28" s="625" t="s">
        <v>1319</v>
      </c>
      <c r="D28" s="148"/>
      <c r="E28" s="626">
        <v>2569406.75</v>
      </c>
      <c r="F28" s="149"/>
      <c r="G28" s="627" t="s">
        <v>1293</v>
      </c>
    </row>
    <row r="29" spans="1:7" ht="15" x14ac:dyDescent="0.3">
      <c r="A29" s="390">
        <f t="shared" si="0"/>
        <v>23</v>
      </c>
      <c r="B29" s="625" t="s">
        <v>1265</v>
      </c>
      <c r="C29" s="625" t="s">
        <v>1320</v>
      </c>
      <c r="D29" s="148"/>
      <c r="E29" s="626">
        <v>530561.9</v>
      </c>
      <c r="F29" s="149"/>
      <c r="G29" s="627" t="s">
        <v>1294</v>
      </c>
    </row>
    <row r="30" spans="1:7" ht="15" x14ac:dyDescent="0.3">
      <c r="A30" s="390">
        <f t="shared" si="0"/>
        <v>24</v>
      </c>
      <c r="B30" s="625" t="s">
        <v>1266</v>
      </c>
      <c r="C30" s="625" t="s">
        <v>1321</v>
      </c>
      <c r="D30" s="127"/>
      <c r="E30" s="626">
        <v>481979.47</v>
      </c>
      <c r="F30" s="72"/>
      <c r="G30" s="627" t="s">
        <v>1295</v>
      </c>
    </row>
    <row r="31" spans="1:7" ht="15" x14ac:dyDescent="0.3">
      <c r="A31" s="390">
        <f t="shared" si="0"/>
        <v>25</v>
      </c>
      <c r="B31" s="625" t="s">
        <v>1267</v>
      </c>
      <c r="C31" s="625" t="s">
        <v>1322</v>
      </c>
      <c r="D31" s="127"/>
      <c r="E31" s="626">
        <v>585460.5</v>
      </c>
      <c r="F31" s="128"/>
      <c r="G31" s="627" t="s">
        <v>1296</v>
      </c>
    </row>
    <row r="32" spans="1:7" ht="15" x14ac:dyDescent="0.3">
      <c r="A32" s="390">
        <f t="shared" si="0"/>
        <v>26</v>
      </c>
      <c r="B32" s="625" t="s">
        <v>1268</v>
      </c>
      <c r="C32" s="625" t="s">
        <v>1323</v>
      </c>
      <c r="D32" s="127"/>
      <c r="E32" s="626">
        <v>888968.42</v>
      </c>
      <c r="F32" s="72"/>
      <c r="G32" s="627" t="s">
        <v>1297</v>
      </c>
    </row>
    <row r="33" spans="1:7" ht="15" x14ac:dyDescent="0.3">
      <c r="A33" s="390">
        <f t="shared" si="0"/>
        <v>27</v>
      </c>
      <c r="B33" s="625" t="s">
        <v>1269</v>
      </c>
      <c r="C33" s="669" t="s">
        <v>1331</v>
      </c>
      <c r="D33" s="129"/>
      <c r="E33" s="626">
        <v>291472.38</v>
      </c>
      <c r="F33" s="129"/>
      <c r="G33" s="627" t="s">
        <v>1298</v>
      </c>
    </row>
    <row r="34" spans="1:7" ht="15" x14ac:dyDescent="0.3">
      <c r="A34" s="390">
        <f t="shared" si="0"/>
        <v>28</v>
      </c>
      <c r="B34" s="625" t="s">
        <v>1270</v>
      </c>
      <c r="C34" s="625" t="s">
        <v>1324</v>
      </c>
      <c r="E34" s="626">
        <v>280860.84000000003</v>
      </c>
      <c r="G34" s="627" t="s">
        <v>1299</v>
      </c>
    </row>
    <row r="35" spans="1:7" ht="15" x14ac:dyDescent="0.3">
      <c r="A35" s="390">
        <f t="shared" si="0"/>
        <v>29</v>
      </c>
      <c r="B35" s="625" t="s">
        <v>1271</v>
      </c>
      <c r="C35" s="669" t="s">
        <v>1332</v>
      </c>
      <c r="E35" s="626">
        <v>381722.6</v>
      </c>
      <c r="G35" s="627" t="s">
        <v>1300</v>
      </c>
    </row>
    <row r="36" spans="1:7" ht="15" x14ac:dyDescent="0.3">
      <c r="A36" s="390"/>
      <c r="B36" s="623"/>
      <c r="C36" s="565"/>
      <c r="E36" s="624"/>
      <c r="G36" s="562"/>
    </row>
    <row r="37" spans="1:7" ht="15" x14ac:dyDescent="0.3">
      <c r="A37" s="390"/>
      <c r="B37" s="623"/>
      <c r="C37" s="565"/>
      <c r="E37" s="624"/>
      <c r="G37" s="562"/>
    </row>
    <row r="38" spans="1:7" ht="15" x14ac:dyDescent="0.3">
      <c r="A38" s="390"/>
      <c r="B38" s="623"/>
      <c r="C38" s="565"/>
      <c r="E38" s="624"/>
      <c r="G38" s="562"/>
    </row>
    <row r="39" spans="1:7" ht="15" x14ac:dyDescent="0.3">
      <c r="A39" s="390"/>
      <c r="B39" s="623"/>
      <c r="C39" s="565"/>
      <c r="E39" s="624"/>
      <c r="G39" s="562"/>
    </row>
    <row r="40" spans="1:7" ht="15" x14ac:dyDescent="0.3">
      <c r="A40" s="390"/>
      <c r="B40" s="623"/>
      <c r="C40" s="565"/>
      <c r="E40" s="624"/>
      <c r="G40" s="562"/>
    </row>
    <row r="41" spans="1:7" ht="15" x14ac:dyDescent="0.3">
      <c r="A41" s="513"/>
      <c r="B41" s="623"/>
      <c r="C41" s="565"/>
      <c r="E41" s="624"/>
      <c r="G41" s="562"/>
    </row>
    <row r="42" spans="1:7" ht="15" x14ac:dyDescent="0.3">
      <c r="A42" s="390"/>
      <c r="B42" s="623"/>
      <c r="C42" s="565"/>
      <c r="E42" s="624"/>
      <c r="G42" s="562"/>
    </row>
    <row r="43" spans="1:7" ht="15" x14ac:dyDescent="0.3">
      <c r="A43" s="513"/>
      <c r="B43" s="623"/>
      <c r="C43" s="565"/>
      <c r="E43" s="624"/>
      <c r="G43" s="562"/>
    </row>
    <row r="44" spans="1:7" ht="15" x14ac:dyDescent="0.3">
      <c r="A44" s="390"/>
      <c r="B44" s="623"/>
      <c r="C44" s="565"/>
      <c r="E44" s="624"/>
      <c r="G44" s="562"/>
    </row>
    <row r="45" spans="1:7" ht="15" x14ac:dyDescent="0.3">
      <c r="A45" s="390"/>
      <c r="B45" s="623"/>
      <c r="C45" s="565"/>
      <c r="E45" s="624"/>
      <c r="G45" s="562"/>
    </row>
    <row r="46" spans="1:7" ht="15" x14ac:dyDescent="0.3">
      <c r="A46" s="390"/>
      <c r="B46" s="623"/>
      <c r="C46" s="565"/>
      <c r="E46" s="624"/>
      <c r="G46" s="562"/>
    </row>
    <row r="47" spans="1:7" ht="15" x14ac:dyDescent="0.3">
      <c r="A47" s="390"/>
      <c r="B47" s="623"/>
      <c r="C47" s="565"/>
      <c r="E47" s="624"/>
      <c r="G47" s="562"/>
    </row>
    <row r="48" spans="1:7" ht="15" x14ac:dyDescent="0.3">
      <c r="A48" s="390"/>
      <c r="B48" s="623"/>
      <c r="C48" s="565"/>
      <c r="E48" s="624"/>
      <c r="G48" s="562"/>
    </row>
    <row r="49" spans="1:7" ht="15" x14ac:dyDescent="0.3">
      <c r="A49" s="390"/>
      <c r="B49" s="623"/>
      <c r="C49" s="565"/>
      <c r="E49" s="624"/>
      <c r="G49" s="562"/>
    </row>
    <row r="50" spans="1:7" ht="15" x14ac:dyDescent="0.3">
      <c r="A50" s="390"/>
      <c r="B50" s="623"/>
      <c r="C50" s="565"/>
      <c r="E50" s="624"/>
      <c r="G50" s="562"/>
    </row>
    <row r="51" spans="1:7" ht="15" x14ac:dyDescent="0.3">
      <c r="A51" s="390"/>
      <c r="B51" s="623"/>
      <c r="C51" s="565"/>
      <c r="E51" s="624"/>
      <c r="G51" s="562"/>
    </row>
    <row r="52" spans="1:7" ht="15" x14ac:dyDescent="0.3">
      <c r="A52" s="390"/>
      <c r="B52" s="623"/>
      <c r="C52" s="565"/>
      <c r="E52" s="624"/>
      <c r="G52" s="562"/>
    </row>
    <row r="53" spans="1:7" ht="15" x14ac:dyDescent="0.3">
      <c r="A53" s="390"/>
      <c r="B53" s="623"/>
      <c r="C53" s="565"/>
      <c r="E53" s="624"/>
      <c r="G53" s="562"/>
    </row>
    <row r="54" spans="1:7" ht="15" x14ac:dyDescent="0.3">
      <c r="A54" s="390"/>
      <c r="B54" s="623"/>
      <c r="C54" s="565"/>
      <c r="E54" s="624"/>
      <c r="G54" s="562"/>
    </row>
    <row r="55" spans="1:7" ht="15" x14ac:dyDescent="0.3">
      <c r="A55" s="390"/>
      <c r="B55" s="623"/>
      <c r="C55" s="565"/>
      <c r="E55" s="624"/>
      <c r="G55" s="562"/>
    </row>
    <row r="56" spans="1:7" ht="15" x14ac:dyDescent="0.3">
      <c r="A56" s="390"/>
      <c r="B56" s="623"/>
      <c r="C56" s="565"/>
      <c r="E56" s="624"/>
      <c r="G56" s="562"/>
    </row>
    <row r="57" spans="1:7" ht="15" x14ac:dyDescent="0.3">
      <c r="A57" s="390"/>
      <c r="B57" s="623"/>
      <c r="C57" s="565"/>
      <c r="E57" s="624"/>
      <c r="G57" s="562"/>
    </row>
    <row r="58" spans="1:7" ht="15" x14ac:dyDescent="0.3">
      <c r="A58" s="390"/>
      <c r="B58" s="623"/>
      <c r="C58" s="565"/>
      <c r="E58" s="624"/>
      <c r="G58" s="562"/>
    </row>
    <row r="59" spans="1:7" ht="15" x14ac:dyDescent="0.3">
      <c r="A59" s="390"/>
      <c r="B59" s="623"/>
      <c r="C59" s="565"/>
      <c r="E59" s="624"/>
      <c r="G59" s="562"/>
    </row>
    <row r="60" spans="1:7" ht="15" x14ac:dyDescent="0.3">
      <c r="A60" s="390"/>
      <c r="B60" s="623"/>
      <c r="C60" s="565"/>
      <c r="E60" s="624"/>
      <c r="G60" s="562"/>
    </row>
    <row r="61" spans="1:7" ht="15" x14ac:dyDescent="0.3">
      <c r="A61" s="390"/>
      <c r="B61" s="623"/>
      <c r="C61" s="565"/>
      <c r="E61" s="624"/>
      <c r="G61" s="562"/>
    </row>
    <row r="62" spans="1:7" ht="15" x14ac:dyDescent="0.3">
      <c r="A62" s="390"/>
      <c r="B62" s="623"/>
      <c r="C62" s="566"/>
      <c r="E62" s="624"/>
      <c r="G62" s="562"/>
    </row>
    <row r="63" spans="1:7" ht="15" x14ac:dyDescent="0.3">
      <c r="A63" s="390"/>
      <c r="B63" s="623"/>
      <c r="C63" s="566"/>
      <c r="E63" s="624"/>
      <c r="G63" s="562"/>
    </row>
    <row r="64" spans="1:7" ht="15" x14ac:dyDescent="0.3">
      <c r="A64" s="390"/>
      <c r="B64" s="623"/>
      <c r="E64" s="624"/>
      <c r="G64" s="562"/>
    </row>
  </sheetData>
  <mergeCells count="3">
    <mergeCell ref="A1:G1"/>
    <mergeCell ref="A2:G2"/>
    <mergeCell ref="B6:C6"/>
  </mergeCells>
  <phoneticPr fontId="18" type="noConversion"/>
  <printOptions horizontalCentered="1"/>
  <pageMargins left="0.75" right="0.75" top="1" bottom="1" header="0.5" footer="0.5"/>
  <pageSetup scale="44" orientation="portrait" r:id="rId1"/>
  <headerFooter alignWithMargins="0">
    <oddHeader>&amp;CIDAHO POWER COMPANY
Transmission Cost of Service Rate Development
12 Months Ended 12/31/2016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8"/>
  <sheetViews>
    <sheetView zoomScaleNormal="100" zoomScaleSheetLayoutView="100" workbookViewId="0">
      <selection sqref="A1:I1"/>
    </sheetView>
  </sheetViews>
  <sheetFormatPr defaultRowHeight="12.75" x14ac:dyDescent="0.2"/>
  <cols>
    <col min="1" max="9" width="9.85546875" style="197" customWidth="1"/>
    <col min="10" max="16384" width="9.140625" style="197"/>
  </cols>
  <sheetData>
    <row r="1" spans="1:9" x14ac:dyDescent="0.2">
      <c r="A1" s="677" t="s">
        <v>576</v>
      </c>
      <c r="B1" s="677"/>
      <c r="C1" s="677"/>
      <c r="D1" s="677"/>
      <c r="E1" s="677"/>
      <c r="F1" s="677"/>
      <c r="G1" s="677"/>
      <c r="H1" s="677"/>
      <c r="I1" s="677"/>
    </row>
    <row r="2" spans="1:9" x14ac:dyDescent="0.2">
      <c r="A2" s="677" t="s">
        <v>577</v>
      </c>
      <c r="B2" s="677"/>
      <c r="C2" s="677"/>
      <c r="D2" s="677"/>
      <c r="E2" s="677"/>
      <c r="F2" s="677"/>
      <c r="G2" s="677"/>
      <c r="H2" s="677"/>
      <c r="I2" s="677"/>
    </row>
    <row r="3" spans="1:9" x14ac:dyDescent="0.2">
      <c r="A3" s="677" t="s">
        <v>578</v>
      </c>
      <c r="B3" s="677"/>
      <c r="C3" s="677"/>
      <c r="D3" s="677"/>
      <c r="E3" s="677"/>
      <c r="F3" s="677"/>
      <c r="G3" s="677"/>
      <c r="H3" s="677"/>
      <c r="I3" s="677"/>
    </row>
    <row r="6" spans="1:9" ht="35.25" customHeight="1" x14ac:dyDescent="0.2">
      <c r="B6" s="700" t="s">
        <v>959</v>
      </c>
      <c r="C6" s="700"/>
      <c r="D6" s="700"/>
      <c r="E6" s="700"/>
      <c r="F6" s="700"/>
      <c r="G6" s="700"/>
      <c r="H6" s="700"/>
    </row>
    <row r="7" spans="1:9" x14ac:dyDescent="0.2">
      <c r="B7" s="699"/>
      <c r="C7" s="699"/>
      <c r="D7" s="699"/>
      <c r="E7" s="699"/>
      <c r="F7" s="699"/>
      <c r="G7" s="699"/>
      <c r="H7" s="699"/>
    </row>
    <row r="8" spans="1:9" x14ac:dyDescent="0.2">
      <c r="B8" s="698"/>
      <c r="C8" s="698"/>
      <c r="D8" s="698"/>
      <c r="E8" s="698"/>
      <c r="F8" s="698"/>
      <c r="G8" s="698"/>
      <c r="H8" s="698"/>
    </row>
  </sheetData>
  <mergeCells count="6">
    <mergeCell ref="B8:H8"/>
    <mergeCell ref="B7:H7"/>
    <mergeCell ref="A1:I1"/>
    <mergeCell ref="A2:I2"/>
    <mergeCell ref="A3:I3"/>
    <mergeCell ref="B6:H6"/>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113"/>
  <sheetViews>
    <sheetView zoomScaleNormal="100" zoomScaleSheetLayoutView="100" workbookViewId="0">
      <selection activeCell="F11" sqref="F11"/>
    </sheetView>
  </sheetViews>
  <sheetFormatPr defaultRowHeight="12.75" x14ac:dyDescent="0.2"/>
  <cols>
    <col min="1" max="1" width="5.140625" style="504" customWidth="1"/>
    <col min="2" max="2" width="4.140625" style="153" customWidth="1"/>
    <col min="3" max="3" width="4" style="153" customWidth="1"/>
    <col min="4" max="4" width="57.85546875" style="153" bestFit="1" customWidth="1"/>
    <col min="5" max="5" width="19.7109375" style="153" bestFit="1" customWidth="1"/>
    <col min="6" max="6" width="16.7109375" style="159" customWidth="1"/>
    <col min="7" max="7" width="10.85546875" style="153" bestFit="1" customWidth="1"/>
    <col min="8" max="16384" width="9.140625" style="153"/>
  </cols>
  <sheetData>
    <row r="1" spans="1:7" ht="15" customHeight="1" x14ac:dyDescent="0.2">
      <c r="A1" s="685" t="s">
        <v>368</v>
      </c>
      <c r="B1" s="685"/>
      <c r="C1" s="685"/>
      <c r="D1" s="685"/>
      <c r="E1" s="685"/>
      <c r="F1" s="685"/>
    </row>
    <row r="2" spans="1:7" ht="15.75" customHeight="1" x14ac:dyDescent="0.2">
      <c r="A2" s="685" t="s">
        <v>245</v>
      </c>
      <c r="B2" s="685"/>
      <c r="C2" s="685"/>
      <c r="D2" s="685"/>
      <c r="E2" s="685"/>
      <c r="F2" s="685"/>
    </row>
    <row r="4" spans="1:7" x14ac:dyDescent="0.2">
      <c r="A4" s="153" t="s">
        <v>246</v>
      </c>
    </row>
    <row r="5" spans="1:7" x14ac:dyDescent="0.2">
      <c r="A5" s="153"/>
      <c r="B5" s="301" t="s">
        <v>1240</v>
      </c>
    </row>
    <row r="6" spans="1:7" x14ac:dyDescent="0.2">
      <c r="B6" s="301" t="s">
        <v>1239</v>
      </c>
    </row>
    <row r="7" spans="1:7" x14ac:dyDescent="0.2">
      <c r="B7" s="301" t="s">
        <v>247</v>
      </c>
    </row>
    <row r="8" spans="1:7" x14ac:dyDescent="0.2">
      <c r="F8" s="155"/>
    </row>
    <row r="9" spans="1:7" x14ac:dyDescent="0.2">
      <c r="A9" s="504">
        <v>1</v>
      </c>
      <c r="B9" s="157" t="s">
        <v>245</v>
      </c>
      <c r="F9" s="155"/>
    </row>
    <row r="10" spans="1:7" x14ac:dyDescent="0.2">
      <c r="A10" s="504">
        <f t="shared" ref="A10:A41" si="0">A9+1</f>
        <v>2</v>
      </c>
      <c r="F10" s="155"/>
    </row>
    <row r="11" spans="1:7" x14ac:dyDescent="0.2">
      <c r="A11" s="504">
        <f t="shared" si="0"/>
        <v>3</v>
      </c>
      <c r="D11" s="153" t="s">
        <v>1304</v>
      </c>
      <c r="F11" s="302">
        <v>1418384.33</v>
      </c>
    </row>
    <row r="12" spans="1:7" x14ac:dyDescent="0.2">
      <c r="A12" s="504">
        <f t="shared" si="0"/>
        <v>4</v>
      </c>
      <c r="D12" s="153" t="s">
        <v>1303</v>
      </c>
      <c r="F12" s="668">
        <f>-1248456</f>
        <v>-1248456</v>
      </c>
      <c r="G12" s="163"/>
    </row>
    <row r="13" spans="1:7" x14ac:dyDescent="0.2">
      <c r="A13" s="504">
        <f t="shared" si="0"/>
        <v>5</v>
      </c>
      <c r="D13" s="153" t="s">
        <v>248</v>
      </c>
      <c r="F13" s="302">
        <f>F11+F12</f>
        <v>169928.33000000007</v>
      </c>
    </row>
    <row r="14" spans="1:7" x14ac:dyDescent="0.2">
      <c r="A14" s="504">
        <f t="shared" si="0"/>
        <v>6</v>
      </c>
      <c r="F14" s="303"/>
    </row>
    <row r="15" spans="1:7" x14ac:dyDescent="0.2">
      <c r="A15" s="504">
        <f t="shared" si="0"/>
        <v>7</v>
      </c>
      <c r="C15" s="304" t="s">
        <v>249</v>
      </c>
      <c r="F15" s="303"/>
    </row>
    <row r="16" spans="1:7" ht="15" x14ac:dyDescent="0.35">
      <c r="A16" s="504">
        <f t="shared" si="0"/>
        <v>8</v>
      </c>
      <c r="D16" s="153" t="s">
        <v>518</v>
      </c>
      <c r="E16" s="158" t="s">
        <v>315</v>
      </c>
      <c r="F16" s="305">
        <f>'Schedule 3'!F27</f>
        <v>0.12067612</v>
      </c>
    </row>
    <row r="17" spans="1:6" ht="15" customHeight="1" x14ac:dyDescent="0.2">
      <c r="A17" s="504">
        <f t="shared" si="0"/>
        <v>9</v>
      </c>
      <c r="D17" s="153" t="s">
        <v>250</v>
      </c>
      <c r="E17" s="158" t="s">
        <v>251</v>
      </c>
      <c r="F17" s="302">
        <f>F13*F16</f>
        <v>20506.291542479608</v>
      </c>
    </row>
    <row r="18" spans="1:6" x14ac:dyDescent="0.2">
      <c r="A18" s="504">
        <f t="shared" si="0"/>
        <v>10</v>
      </c>
      <c r="E18" s="159"/>
    </row>
    <row r="19" spans="1:6" x14ac:dyDescent="0.2">
      <c r="A19" s="504">
        <f t="shared" si="0"/>
        <v>11</v>
      </c>
      <c r="C19" s="304" t="s">
        <v>252</v>
      </c>
      <c r="E19" s="159"/>
      <c r="F19" s="303"/>
    </row>
    <row r="20" spans="1:6" ht="15" x14ac:dyDescent="0.35">
      <c r="A20" s="504">
        <f t="shared" si="0"/>
        <v>12</v>
      </c>
      <c r="D20" s="153" t="s">
        <v>387</v>
      </c>
      <c r="E20" s="158" t="s">
        <v>233</v>
      </c>
      <c r="F20" s="306">
        <v>0.125</v>
      </c>
    </row>
    <row r="21" spans="1:6" x14ac:dyDescent="0.2">
      <c r="A21" s="504">
        <f t="shared" si="0"/>
        <v>13</v>
      </c>
      <c r="D21" s="153" t="s">
        <v>253</v>
      </c>
      <c r="E21" s="158" t="s">
        <v>254</v>
      </c>
      <c r="F21" s="302">
        <f>F17*F20</f>
        <v>2563.286442809951</v>
      </c>
    </row>
    <row r="22" spans="1:6" x14ac:dyDescent="0.2">
      <c r="A22" s="504">
        <f t="shared" si="0"/>
        <v>14</v>
      </c>
      <c r="E22" s="159"/>
      <c r="F22" s="302"/>
    </row>
    <row r="23" spans="1:6" x14ac:dyDescent="0.2">
      <c r="A23" s="504">
        <f t="shared" si="0"/>
        <v>15</v>
      </c>
      <c r="C23" s="304" t="s">
        <v>255</v>
      </c>
      <c r="E23" s="159"/>
      <c r="F23" s="303"/>
    </row>
    <row r="24" spans="1:6" x14ac:dyDescent="0.2">
      <c r="A24" s="504">
        <f t="shared" si="0"/>
        <v>16</v>
      </c>
      <c r="D24" s="153" t="s">
        <v>236</v>
      </c>
      <c r="E24" s="158" t="s">
        <v>239</v>
      </c>
      <c r="F24" s="307">
        <f>'Schedule 6'!I20</f>
        <v>8.0473624600594429E-2</v>
      </c>
    </row>
    <row r="25" spans="1:6" ht="15" x14ac:dyDescent="0.35">
      <c r="A25" s="504">
        <f t="shared" si="0"/>
        <v>17</v>
      </c>
      <c r="D25" s="153" t="s">
        <v>474</v>
      </c>
      <c r="E25" s="158" t="s">
        <v>239</v>
      </c>
      <c r="F25" s="308">
        <f>'Schedule 6'!I34</f>
        <v>3.6220000000000002E-2</v>
      </c>
    </row>
    <row r="26" spans="1:6" x14ac:dyDescent="0.2">
      <c r="A26" s="504">
        <f t="shared" si="0"/>
        <v>18</v>
      </c>
      <c r="D26" s="153" t="s">
        <v>256</v>
      </c>
      <c r="E26" s="158" t="s">
        <v>257</v>
      </c>
      <c r="F26" s="309">
        <f>SUM(F24:F25)</f>
        <v>0.11669362460059443</v>
      </c>
    </row>
    <row r="27" spans="1:6" x14ac:dyDescent="0.2">
      <c r="A27" s="504">
        <f t="shared" si="0"/>
        <v>19</v>
      </c>
      <c r="E27" s="159"/>
      <c r="F27" s="309"/>
    </row>
    <row r="28" spans="1:6" x14ac:dyDescent="0.2">
      <c r="A28" s="504">
        <f t="shared" si="0"/>
        <v>20</v>
      </c>
      <c r="D28" s="153" t="s">
        <v>258</v>
      </c>
      <c r="E28" s="158" t="s">
        <v>259</v>
      </c>
      <c r="F28" s="302">
        <f>F21*(F26)</f>
        <v>299.11918590105751</v>
      </c>
    </row>
    <row r="29" spans="1:6" x14ac:dyDescent="0.2">
      <c r="A29" s="504">
        <f t="shared" si="0"/>
        <v>21</v>
      </c>
      <c r="E29" s="159"/>
    </row>
    <row r="30" spans="1:6" x14ac:dyDescent="0.2">
      <c r="A30" s="504">
        <f t="shared" si="0"/>
        <v>22</v>
      </c>
      <c r="C30" s="153" t="s">
        <v>260</v>
      </c>
      <c r="E30" s="158" t="s">
        <v>261</v>
      </c>
      <c r="F30" s="310">
        <f>F28+F17</f>
        <v>20805.410728380666</v>
      </c>
    </row>
    <row r="31" spans="1:6" x14ac:dyDescent="0.2">
      <c r="A31" s="504">
        <f t="shared" si="0"/>
        <v>23</v>
      </c>
      <c r="F31" s="161"/>
    </row>
    <row r="32" spans="1:6" x14ac:dyDescent="0.2">
      <c r="A32" s="504">
        <f t="shared" si="0"/>
        <v>24</v>
      </c>
      <c r="F32" s="161"/>
    </row>
    <row r="33" spans="1:6" x14ac:dyDescent="0.2">
      <c r="A33" s="504">
        <f t="shared" si="0"/>
        <v>25</v>
      </c>
      <c r="F33" s="161"/>
    </row>
    <row r="34" spans="1:6" x14ac:dyDescent="0.2">
      <c r="A34" s="504">
        <f t="shared" si="0"/>
        <v>26</v>
      </c>
      <c r="F34" s="161"/>
    </row>
    <row r="35" spans="1:6" x14ac:dyDescent="0.2">
      <c r="A35" s="504">
        <f t="shared" si="0"/>
        <v>27</v>
      </c>
      <c r="F35" s="161"/>
    </row>
    <row r="36" spans="1:6" x14ac:dyDescent="0.2">
      <c r="A36" s="504">
        <f t="shared" si="0"/>
        <v>28</v>
      </c>
      <c r="F36" s="505"/>
    </row>
    <row r="37" spans="1:6" x14ac:dyDescent="0.2">
      <c r="A37" s="504">
        <f t="shared" si="0"/>
        <v>29</v>
      </c>
      <c r="B37" s="157" t="s">
        <v>262</v>
      </c>
      <c r="F37" s="303"/>
    </row>
    <row r="38" spans="1:6" x14ac:dyDescent="0.2">
      <c r="A38" s="504">
        <f t="shared" si="0"/>
        <v>30</v>
      </c>
      <c r="B38" s="157"/>
      <c r="F38" s="303"/>
    </row>
    <row r="39" spans="1:6" x14ac:dyDescent="0.2">
      <c r="A39" s="504">
        <f t="shared" si="0"/>
        <v>31</v>
      </c>
      <c r="C39" s="304" t="s">
        <v>1241</v>
      </c>
      <c r="F39" s="303"/>
    </row>
    <row r="40" spans="1:6" x14ac:dyDescent="0.2">
      <c r="A40" s="504">
        <f t="shared" si="0"/>
        <v>32</v>
      </c>
      <c r="B40" s="157"/>
      <c r="D40" s="178" t="s">
        <v>271</v>
      </c>
      <c r="E40" s="179" t="s">
        <v>114</v>
      </c>
      <c r="F40" s="311">
        <f>'Rate Calculation'!E51</f>
        <v>130400066.35924567</v>
      </c>
    </row>
    <row r="41" spans="1:6" x14ac:dyDescent="0.2">
      <c r="A41" s="504">
        <f t="shared" si="0"/>
        <v>33</v>
      </c>
      <c r="E41" s="159"/>
      <c r="F41" s="303"/>
    </row>
    <row r="42" spans="1:6" x14ac:dyDescent="0.2">
      <c r="A42" s="504">
        <f t="shared" ref="A42:A58" si="1">A41+1</f>
        <v>34</v>
      </c>
      <c r="D42" s="178" t="s">
        <v>519</v>
      </c>
      <c r="E42" s="179" t="s">
        <v>304</v>
      </c>
      <c r="F42" s="311">
        <f>'Schedule 5'!H24</f>
        <v>3735.9166666666665</v>
      </c>
    </row>
    <row r="43" spans="1:6" x14ac:dyDescent="0.2">
      <c r="A43" s="504">
        <f t="shared" si="1"/>
        <v>35</v>
      </c>
      <c r="E43" s="159"/>
      <c r="F43" s="312"/>
    </row>
    <row r="44" spans="1:6" x14ac:dyDescent="0.2">
      <c r="A44" s="504">
        <f t="shared" si="1"/>
        <v>36</v>
      </c>
      <c r="D44" s="178" t="s">
        <v>305</v>
      </c>
      <c r="E44" s="158" t="s">
        <v>263</v>
      </c>
      <c r="F44" s="313">
        <f>ROUND(F40/(F42*1000), 2)</f>
        <v>34.9</v>
      </c>
    </row>
    <row r="45" spans="1:6" x14ac:dyDescent="0.2">
      <c r="A45" s="504">
        <f t="shared" si="1"/>
        <v>37</v>
      </c>
      <c r="D45" s="178" t="s">
        <v>306</v>
      </c>
      <c r="E45" s="179" t="s">
        <v>264</v>
      </c>
      <c r="F45" s="303">
        <f>ROUND(F44/12, 4)</f>
        <v>2.9083000000000001</v>
      </c>
    </row>
    <row r="46" spans="1:6" x14ac:dyDescent="0.2">
      <c r="A46" s="504">
        <f t="shared" si="1"/>
        <v>38</v>
      </c>
      <c r="E46" s="159"/>
    </row>
    <row r="47" spans="1:6" x14ac:dyDescent="0.2">
      <c r="A47" s="504">
        <f t="shared" si="1"/>
        <v>39</v>
      </c>
      <c r="E47" s="159"/>
    </row>
    <row r="48" spans="1:6" x14ac:dyDescent="0.2">
      <c r="A48" s="504">
        <f t="shared" si="1"/>
        <v>40</v>
      </c>
      <c r="C48" s="304" t="s">
        <v>1137</v>
      </c>
      <c r="E48" s="159"/>
      <c r="F48" s="303"/>
    </row>
    <row r="49" spans="1:6" x14ac:dyDescent="0.2">
      <c r="A49" s="504">
        <f t="shared" si="1"/>
        <v>41</v>
      </c>
      <c r="B49" s="157"/>
      <c r="D49" s="178" t="s">
        <v>271</v>
      </c>
      <c r="E49" s="179" t="s">
        <v>265</v>
      </c>
      <c r="F49" s="311">
        <f>F40-F30</f>
        <v>130379260.94851729</v>
      </c>
    </row>
    <row r="50" spans="1:6" x14ac:dyDescent="0.2">
      <c r="A50" s="504">
        <f t="shared" si="1"/>
        <v>42</v>
      </c>
      <c r="E50" s="159"/>
      <c r="F50" s="303"/>
    </row>
    <row r="51" spans="1:6" x14ac:dyDescent="0.2">
      <c r="A51" s="504">
        <f t="shared" si="1"/>
        <v>43</v>
      </c>
      <c r="D51" s="178" t="s">
        <v>519</v>
      </c>
      <c r="E51" s="179" t="s">
        <v>304</v>
      </c>
      <c r="F51" s="311">
        <f>'Schedule 5'!H24</f>
        <v>3735.9166666666665</v>
      </c>
    </row>
    <row r="52" spans="1:6" x14ac:dyDescent="0.2">
      <c r="A52" s="504">
        <f t="shared" si="1"/>
        <v>44</v>
      </c>
      <c r="E52" s="159"/>
      <c r="F52" s="312"/>
    </row>
    <row r="53" spans="1:6" x14ac:dyDescent="0.2">
      <c r="A53" s="504">
        <f t="shared" si="1"/>
        <v>45</v>
      </c>
      <c r="D53" s="178" t="s">
        <v>305</v>
      </c>
      <c r="E53" s="158" t="s">
        <v>266</v>
      </c>
      <c r="F53" s="313">
        <f>ROUND(F49/(F51*1000), 2)</f>
        <v>34.9</v>
      </c>
    </row>
    <row r="54" spans="1:6" x14ac:dyDescent="0.2">
      <c r="A54" s="504">
        <f t="shared" si="1"/>
        <v>46</v>
      </c>
      <c r="D54" s="178" t="s">
        <v>306</v>
      </c>
      <c r="E54" s="179" t="s">
        <v>267</v>
      </c>
      <c r="F54" s="314">
        <f>ROUND(F53/12, 4)</f>
        <v>2.9083000000000001</v>
      </c>
    </row>
    <row r="55" spans="1:6" x14ac:dyDescent="0.2">
      <c r="A55" s="504">
        <f t="shared" si="1"/>
        <v>47</v>
      </c>
      <c r="B55" s="157"/>
    </row>
    <row r="56" spans="1:6" x14ac:dyDescent="0.2">
      <c r="A56" s="504">
        <f t="shared" si="1"/>
        <v>48</v>
      </c>
      <c r="B56" s="157"/>
    </row>
    <row r="57" spans="1:6" x14ac:dyDescent="0.2">
      <c r="A57" s="504">
        <f t="shared" si="1"/>
        <v>49</v>
      </c>
      <c r="D57" s="157" t="s">
        <v>1242</v>
      </c>
      <c r="E57" s="179" t="s">
        <v>514</v>
      </c>
      <c r="F57" s="155">
        <f>F45-F54</f>
        <v>0</v>
      </c>
    </row>
    <row r="58" spans="1:6" x14ac:dyDescent="0.2">
      <c r="A58" s="504">
        <f t="shared" si="1"/>
        <v>50</v>
      </c>
      <c r="D58" s="157" t="s">
        <v>268</v>
      </c>
      <c r="E58" s="157"/>
      <c r="F58" s="155" t="str">
        <f>IF(F57&gt;0.049999999, "YES", "NO")</f>
        <v>NO</v>
      </c>
    </row>
    <row r="62" spans="1:6" x14ac:dyDescent="0.2">
      <c r="B62" s="157"/>
    </row>
    <row r="69" spans="2:6" x14ac:dyDescent="0.2">
      <c r="F69" s="161"/>
    </row>
    <row r="70" spans="2:6" x14ac:dyDescent="0.2">
      <c r="F70" s="161"/>
    </row>
    <row r="72" spans="2:6" x14ac:dyDescent="0.2">
      <c r="F72" s="153"/>
    </row>
    <row r="73" spans="2:6" x14ac:dyDescent="0.2">
      <c r="B73" s="157"/>
      <c r="F73" s="153"/>
    </row>
    <row r="76" spans="2:6" x14ac:dyDescent="0.2">
      <c r="F76" s="161"/>
    </row>
    <row r="77" spans="2:6" x14ac:dyDescent="0.2">
      <c r="F77" s="161"/>
    </row>
    <row r="80" spans="2:6" x14ac:dyDescent="0.2">
      <c r="B80" s="157"/>
    </row>
    <row r="86" spans="2:2" x14ac:dyDescent="0.2">
      <c r="B86" s="157"/>
    </row>
    <row r="87" spans="2:2" x14ac:dyDescent="0.2">
      <c r="B87" s="157"/>
    </row>
    <row r="102" spans="2:2" x14ac:dyDescent="0.2">
      <c r="B102" s="157"/>
    </row>
    <row r="108" spans="2:2" x14ac:dyDescent="0.2">
      <c r="B108" s="157"/>
    </row>
    <row r="113" spans="2:2" x14ac:dyDescent="0.2">
      <c r="B113" s="157"/>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zoomScaleNormal="100" zoomScaleSheetLayoutView="100" workbookViewId="0">
      <selection activeCell="D3" sqref="D3"/>
    </sheetView>
  </sheetViews>
  <sheetFormatPr defaultRowHeight="12.75" x14ac:dyDescent="0.2"/>
  <cols>
    <col min="1" max="1" width="1.7109375" style="197" customWidth="1"/>
    <col min="2" max="2" width="27.42578125" style="197" customWidth="1"/>
    <col min="3" max="3" width="3.140625" style="197" customWidth="1"/>
    <col min="4" max="4" width="73.5703125" style="197" bestFit="1" customWidth="1"/>
    <col min="5" max="5" width="2.28515625" style="197" customWidth="1"/>
    <col min="6" max="6" width="6.5703125" style="197" customWidth="1"/>
    <col min="7" max="7" width="12" style="197" customWidth="1"/>
    <col min="8" max="16384" width="9.140625" style="197"/>
  </cols>
  <sheetData>
    <row r="1" spans="1:7" x14ac:dyDescent="0.2">
      <c r="D1" s="26"/>
    </row>
    <row r="2" spans="1:7" x14ac:dyDescent="0.2">
      <c r="D2" s="501"/>
    </row>
    <row r="3" spans="1:7" x14ac:dyDescent="0.2">
      <c r="A3" s="500"/>
      <c r="D3" s="500" t="s">
        <v>47</v>
      </c>
    </row>
    <row r="4" spans="1:7" x14ac:dyDescent="0.2">
      <c r="A4" s="500"/>
      <c r="B4" s="500"/>
      <c r="C4" s="500"/>
      <c r="D4" s="501"/>
    </row>
    <row r="5" spans="1:7" x14ac:dyDescent="0.2">
      <c r="A5" s="500"/>
      <c r="B5" s="500"/>
      <c r="C5" s="500"/>
      <c r="D5" s="27"/>
    </row>
    <row r="6" spans="1:7" x14ac:dyDescent="0.2">
      <c r="D6" s="26"/>
      <c r="F6" s="676" t="s">
        <v>734</v>
      </c>
      <c r="G6" s="676"/>
    </row>
    <row r="7" spans="1:7" s="500" customFormat="1" x14ac:dyDescent="0.2">
      <c r="B7" s="52" t="s">
        <v>732</v>
      </c>
      <c r="D7" s="52" t="s">
        <v>733</v>
      </c>
      <c r="F7" s="675" t="s">
        <v>321</v>
      </c>
      <c r="G7" s="675"/>
    </row>
    <row r="8" spans="1:7" ht="25.5" x14ac:dyDescent="0.2">
      <c r="A8" s="500"/>
      <c r="B8" s="73" t="s">
        <v>46</v>
      </c>
      <c r="D8" s="152" t="s">
        <v>1333</v>
      </c>
    </row>
    <row r="9" spans="1:7" x14ac:dyDescent="0.2">
      <c r="A9" s="500"/>
      <c r="B9" s="197" t="s">
        <v>47</v>
      </c>
      <c r="D9" s="197" t="s">
        <v>47</v>
      </c>
    </row>
    <row r="10" spans="1:7" x14ac:dyDescent="0.2">
      <c r="A10" s="500"/>
      <c r="B10" s="197" t="s">
        <v>48</v>
      </c>
      <c r="D10" s="197" t="s">
        <v>728</v>
      </c>
      <c r="F10" s="197" t="s">
        <v>745</v>
      </c>
      <c r="G10" s="197" t="s">
        <v>731</v>
      </c>
    </row>
    <row r="11" spans="1:7" x14ac:dyDescent="0.2">
      <c r="A11" s="500"/>
      <c r="B11" s="197" t="s">
        <v>726</v>
      </c>
      <c r="D11" s="197" t="s">
        <v>709</v>
      </c>
      <c r="F11" s="197" t="s">
        <v>745</v>
      </c>
      <c r="G11" s="197" t="s">
        <v>731</v>
      </c>
    </row>
    <row r="12" spans="1:7" x14ac:dyDescent="0.2">
      <c r="A12" s="500"/>
      <c r="B12" s="197" t="s">
        <v>727</v>
      </c>
      <c r="D12" s="197" t="s">
        <v>729</v>
      </c>
      <c r="F12" s="197" t="s">
        <v>745</v>
      </c>
      <c r="G12" s="197" t="s">
        <v>731</v>
      </c>
    </row>
    <row r="13" spans="1:7" x14ac:dyDescent="0.2">
      <c r="A13" s="500"/>
      <c r="B13" s="197" t="s">
        <v>718</v>
      </c>
      <c r="D13" s="197" t="s">
        <v>302</v>
      </c>
      <c r="F13" s="197" t="s">
        <v>745</v>
      </c>
      <c r="G13" s="197" t="s">
        <v>731</v>
      </c>
    </row>
    <row r="14" spans="1:7" x14ac:dyDescent="0.2">
      <c r="A14" s="500"/>
      <c r="B14" s="197" t="s">
        <v>114</v>
      </c>
      <c r="D14" s="197" t="s">
        <v>322</v>
      </c>
      <c r="G14" s="197" t="s">
        <v>731</v>
      </c>
    </row>
    <row r="15" spans="1:7" x14ac:dyDescent="0.2">
      <c r="A15" s="500"/>
      <c r="B15" s="197" t="s">
        <v>233</v>
      </c>
      <c r="D15" s="197" t="s">
        <v>312</v>
      </c>
      <c r="G15" s="197" t="s">
        <v>731</v>
      </c>
    </row>
    <row r="16" spans="1:7" x14ac:dyDescent="0.2">
      <c r="A16" s="500"/>
      <c r="B16" s="197" t="s">
        <v>243</v>
      </c>
      <c r="D16" s="197" t="s">
        <v>388</v>
      </c>
      <c r="G16" s="197" t="s">
        <v>731</v>
      </c>
    </row>
    <row r="17" spans="1:7" x14ac:dyDescent="0.2">
      <c r="A17" s="500"/>
      <c r="B17" s="197" t="s">
        <v>315</v>
      </c>
      <c r="D17" s="197" t="s">
        <v>397</v>
      </c>
      <c r="G17" s="197" t="s">
        <v>731</v>
      </c>
    </row>
    <row r="18" spans="1:7" x14ac:dyDescent="0.2">
      <c r="A18" s="500"/>
      <c r="B18" s="197" t="s">
        <v>303</v>
      </c>
      <c r="D18" s="197" t="s">
        <v>302</v>
      </c>
      <c r="G18" s="197" t="s">
        <v>731</v>
      </c>
    </row>
    <row r="19" spans="1:7" x14ac:dyDescent="0.2">
      <c r="A19" s="500"/>
      <c r="B19" s="197" t="s">
        <v>304</v>
      </c>
      <c r="D19" s="197" t="s">
        <v>980</v>
      </c>
      <c r="F19" s="197" t="s">
        <v>746</v>
      </c>
      <c r="G19" s="197" t="s">
        <v>731</v>
      </c>
    </row>
    <row r="20" spans="1:7" x14ac:dyDescent="0.2">
      <c r="A20" s="500"/>
      <c r="B20" s="197" t="s">
        <v>239</v>
      </c>
      <c r="D20" s="197" t="s">
        <v>51</v>
      </c>
      <c r="G20" s="197" t="s">
        <v>731</v>
      </c>
    </row>
    <row r="21" spans="1:7" x14ac:dyDescent="0.2">
      <c r="A21" s="500"/>
      <c r="B21" s="197" t="s">
        <v>181</v>
      </c>
      <c r="D21" s="197" t="s">
        <v>54</v>
      </c>
      <c r="F21" s="197" t="s">
        <v>747</v>
      </c>
      <c r="G21" s="197" t="s">
        <v>731</v>
      </c>
    </row>
    <row r="22" spans="1:7" ht="25.5" x14ac:dyDescent="0.2">
      <c r="A22" s="500"/>
      <c r="B22" s="73" t="s">
        <v>571</v>
      </c>
      <c r="D22" s="65" t="s">
        <v>754</v>
      </c>
      <c r="F22" s="73" t="s">
        <v>756</v>
      </c>
      <c r="G22" s="73" t="s">
        <v>731</v>
      </c>
    </row>
    <row r="23" spans="1:7" x14ac:dyDescent="0.2">
      <c r="A23" s="500"/>
      <c r="B23" s="197" t="s">
        <v>44</v>
      </c>
      <c r="D23" s="197" t="s">
        <v>757</v>
      </c>
      <c r="F23" s="197" t="s">
        <v>755</v>
      </c>
      <c r="G23" s="197" t="s">
        <v>731</v>
      </c>
    </row>
    <row r="24" spans="1:7" x14ac:dyDescent="0.2">
      <c r="A24" s="500"/>
      <c r="B24" s="198" t="s">
        <v>694</v>
      </c>
      <c r="D24" s="197" t="s">
        <v>695</v>
      </c>
      <c r="F24" s="197" t="s">
        <v>696</v>
      </c>
    </row>
    <row r="25" spans="1:7" ht="25.5" x14ac:dyDescent="0.2">
      <c r="A25" s="500"/>
      <c r="B25" s="74" t="s">
        <v>697</v>
      </c>
      <c r="D25" s="65" t="s">
        <v>897</v>
      </c>
      <c r="F25" s="73" t="s">
        <v>698</v>
      </c>
    </row>
    <row r="26" spans="1:7" x14ac:dyDescent="0.2">
      <c r="A26" s="500"/>
      <c r="B26" s="197" t="s">
        <v>244</v>
      </c>
      <c r="D26" s="197" t="s">
        <v>245</v>
      </c>
      <c r="F26" s="197" t="s">
        <v>269</v>
      </c>
    </row>
    <row r="27" spans="1:7" x14ac:dyDescent="0.2">
      <c r="A27" s="500"/>
      <c r="B27" s="197" t="s">
        <v>706</v>
      </c>
      <c r="D27" s="65" t="s">
        <v>396</v>
      </c>
      <c r="F27" s="197" t="s">
        <v>707</v>
      </c>
    </row>
    <row r="28" spans="1:7" x14ac:dyDescent="0.2">
      <c r="A28" s="500"/>
      <c r="B28" s="74"/>
      <c r="D28" s="65"/>
      <c r="F28" s="73"/>
    </row>
    <row r="29" spans="1:7" x14ac:dyDescent="0.2">
      <c r="A29" s="500"/>
      <c r="B29" s="74" t="s">
        <v>481</v>
      </c>
      <c r="D29" s="65" t="s">
        <v>482</v>
      </c>
      <c r="F29" s="73"/>
    </row>
    <row r="30" spans="1:7" x14ac:dyDescent="0.2">
      <c r="A30" s="500"/>
      <c r="B30" s="197" t="s">
        <v>190</v>
      </c>
      <c r="D30" s="197" t="s">
        <v>214</v>
      </c>
      <c r="G30" s="197" t="s">
        <v>731</v>
      </c>
    </row>
    <row r="31" spans="1:7" x14ac:dyDescent="0.2">
      <c r="A31" s="500"/>
      <c r="B31" s="197" t="s">
        <v>78</v>
      </c>
      <c r="D31" s="197" t="s">
        <v>585</v>
      </c>
      <c r="F31" s="197" t="s">
        <v>747</v>
      </c>
      <c r="G31" s="197" t="s">
        <v>731</v>
      </c>
    </row>
    <row r="32" spans="1:7" x14ac:dyDescent="0.2">
      <c r="A32" s="500"/>
      <c r="B32" s="197" t="s">
        <v>79</v>
      </c>
      <c r="D32" s="197" t="s">
        <v>630</v>
      </c>
      <c r="G32" s="197" t="s">
        <v>731</v>
      </c>
    </row>
    <row r="33" spans="1:7" x14ac:dyDescent="0.2">
      <c r="A33" s="500"/>
      <c r="B33" s="197" t="s">
        <v>80</v>
      </c>
      <c r="D33" s="197" t="s">
        <v>49</v>
      </c>
      <c r="F33" s="197" t="s">
        <v>748</v>
      </c>
      <c r="G33" s="197" t="s">
        <v>731</v>
      </c>
    </row>
    <row r="34" spans="1:7" x14ac:dyDescent="0.2">
      <c r="A34" s="500"/>
      <c r="B34" s="197" t="s">
        <v>323</v>
      </c>
      <c r="D34" s="197" t="s">
        <v>324</v>
      </c>
      <c r="F34" s="197" t="s">
        <v>748</v>
      </c>
      <c r="G34" s="197" t="s">
        <v>731</v>
      </c>
    </row>
    <row r="35" spans="1:7" x14ac:dyDescent="0.2">
      <c r="A35" s="537"/>
      <c r="B35" s="197" t="s">
        <v>1080</v>
      </c>
      <c r="D35" s="197" t="s">
        <v>922</v>
      </c>
      <c r="F35" s="197" t="s">
        <v>747</v>
      </c>
    </row>
    <row r="36" spans="1:7" x14ac:dyDescent="0.2">
      <c r="A36" s="500"/>
      <c r="B36" s="197" t="s">
        <v>81</v>
      </c>
      <c r="D36" s="197" t="s">
        <v>87</v>
      </c>
      <c r="F36" s="197" t="s">
        <v>749</v>
      </c>
      <c r="G36" s="197" t="s">
        <v>731</v>
      </c>
    </row>
    <row r="37" spans="1:7" x14ac:dyDescent="0.2">
      <c r="A37" s="500"/>
      <c r="B37" s="197" t="s">
        <v>82</v>
      </c>
      <c r="D37" s="197" t="s">
        <v>88</v>
      </c>
      <c r="F37" s="197" t="s">
        <v>749</v>
      </c>
      <c r="G37" s="197" t="s">
        <v>731</v>
      </c>
    </row>
    <row r="38" spans="1:7" x14ac:dyDescent="0.2">
      <c r="A38" s="500"/>
      <c r="B38" s="197" t="s">
        <v>83</v>
      </c>
      <c r="D38" s="197" t="s">
        <v>591</v>
      </c>
      <c r="F38" s="197" t="s">
        <v>749</v>
      </c>
      <c r="G38" s="197" t="s">
        <v>731</v>
      </c>
    </row>
    <row r="39" spans="1:7" x14ac:dyDescent="0.2">
      <c r="A39" s="500"/>
      <c r="B39" s="197" t="s">
        <v>84</v>
      </c>
      <c r="D39" s="197" t="s">
        <v>89</v>
      </c>
      <c r="F39" s="197" t="s">
        <v>749</v>
      </c>
      <c r="G39" s="197" t="s">
        <v>731</v>
      </c>
    </row>
    <row r="40" spans="1:7" x14ac:dyDescent="0.2">
      <c r="A40" s="500"/>
      <c r="B40" s="197" t="s">
        <v>85</v>
      </c>
      <c r="D40" s="197" t="s">
        <v>979</v>
      </c>
      <c r="G40" s="197" t="s">
        <v>731</v>
      </c>
    </row>
    <row r="41" spans="1:7" ht="25.5" x14ac:dyDescent="0.2">
      <c r="A41" s="500"/>
      <c r="B41" s="73" t="s">
        <v>86</v>
      </c>
      <c r="D41" s="65" t="s">
        <v>97</v>
      </c>
      <c r="F41" s="73" t="s">
        <v>750</v>
      </c>
      <c r="G41" s="73" t="s">
        <v>731</v>
      </c>
    </row>
    <row r="42" spans="1:7" ht="25.5" x14ac:dyDescent="0.2">
      <c r="A42" s="500"/>
      <c r="B42" s="73" t="s">
        <v>95</v>
      </c>
      <c r="D42" s="65" t="s">
        <v>96</v>
      </c>
      <c r="F42" s="73" t="s">
        <v>750</v>
      </c>
      <c r="G42" s="73" t="s">
        <v>731</v>
      </c>
    </row>
    <row r="43" spans="1:7" x14ac:dyDescent="0.2">
      <c r="A43" s="500"/>
      <c r="B43" s="197" t="s">
        <v>50</v>
      </c>
      <c r="D43" s="197" t="s">
        <v>981</v>
      </c>
      <c r="F43" s="197" t="s">
        <v>746</v>
      </c>
      <c r="G43" s="197" t="s">
        <v>731</v>
      </c>
    </row>
    <row r="44" spans="1:7" x14ac:dyDescent="0.2">
      <c r="A44" s="500"/>
      <c r="B44" s="197" t="s">
        <v>52</v>
      </c>
      <c r="D44" s="197" t="s">
        <v>53</v>
      </c>
      <c r="F44" s="197" t="s">
        <v>751</v>
      </c>
      <c r="G44" s="197" t="s">
        <v>731</v>
      </c>
    </row>
    <row r="45" spans="1:7" x14ac:dyDescent="0.2">
      <c r="A45" s="500"/>
      <c r="B45" s="197" t="s">
        <v>105</v>
      </c>
      <c r="D45" s="197" t="s">
        <v>104</v>
      </c>
      <c r="F45" s="197" t="s">
        <v>753</v>
      </c>
      <c r="G45" s="197" t="s">
        <v>731</v>
      </c>
    </row>
    <row r="46" spans="1:7" x14ac:dyDescent="0.2">
      <c r="A46" s="500"/>
      <c r="B46" s="197" t="s">
        <v>108</v>
      </c>
      <c r="D46" s="197" t="s">
        <v>109</v>
      </c>
      <c r="F46" s="197" t="s">
        <v>752</v>
      </c>
      <c r="G46" s="197" t="s">
        <v>731</v>
      </c>
    </row>
    <row r="47" spans="1:7" x14ac:dyDescent="0.2">
      <c r="B47" s="197" t="s">
        <v>832</v>
      </c>
      <c r="D47" s="197" t="s">
        <v>54</v>
      </c>
      <c r="F47" s="197" t="s">
        <v>747</v>
      </c>
      <c r="G47" s="197" t="s">
        <v>731</v>
      </c>
    </row>
    <row r="48" spans="1:7" ht="25.5" x14ac:dyDescent="0.2">
      <c r="B48" s="73" t="s">
        <v>12</v>
      </c>
      <c r="D48" s="65" t="s">
        <v>754</v>
      </c>
      <c r="F48" s="73" t="s">
        <v>756</v>
      </c>
      <c r="G48" s="73" t="s">
        <v>731</v>
      </c>
    </row>
  </sheetData>
  <mergeCells count="2">
    <mergeCell ref="F7:G7"/>
    <mergeCell ref="F6:G6"/>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23"/>
  <sheetViews>
    <sheetView zoomScaleNormal="100" zoomScaleSheetLayoutView="100" workbookViewId="0">
      <selection sqref="A1:B1"/>
    </sheetView>
  </sheetViews>
  <sheetFormatPr defaultRowHeight="12.75" x14ac:dyDescent="0.2"/>
  <cols>
    <col min="1" max="1" width="4.7109375" style="500" customWidth="1"/>
    <col min="2" max="2" width="73.42578125" style="197" customWidth="1"/>
    <col min="3" max="16384" width="9.140625" style="197"/>
  </cols>
  <sheetData>
    <row r="1" spans="1:2" x14ac:dyDescent="0.2">
      <c r="A1" s="677" t="s">
        <v>705</v>
      </c>
      <c r="B1" s="677"/>
    </row>
    <row r="2" spans="1:2" x14ac:dyDescent="0.2">
      <c r="A2" s="677" t="s">
        <v>395</v>
      </c>
      <c r="B2" s="677"/>
    </row>
    <row r="3" spans="1:2" x14ac:dyDescent="0.2">
      <c r="B3" s="500"/>
    </row>
    <row r="5" spans="1:2" x14ac:dyDescent="0.2">
      <c r="B5" s="65"/>
    </row>
    <row r="6" spans="1:2" x14ac:dyDescent="0.2">
      <c r="A6" s="134"/>
      <c r="B6" s="65"/>
    </row>
    <row r="15" spans="1:2" x14ac:dyDescent="0.2">
      <c r="B15" s="198"/>
    </row>
    <row r="16" spans="1:2" x14ac:dyDescent="0.2">
      <c r="A16" s="134"/>
      <c r="B16" s="65"/>
    </row>
    <row r="23" spans="1:1" x14ac:dyDescent="0.2">
      <c r="A23" s="142"/>
    </row>
  </sheetData>
  <mergeCells count="2">
    <mergeCell ref="A1:B1"/>
    <mergeCell ref="A2:B2"/>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8:I8"/>
  <sheetViews>
    <sheetView zoomScaleNormal="100" zoomScaleSheetLayoutView="100" workbookViewId="0">
      <selection activeCell="A8" sqref="A8:I8"/>
    </sheetView>
  </sheetViews>
  <sheetFormatPr defaultRowHeight="12.75" x14ac:dyDescent="0.2"/>
  <cols>
    <col min="1" max="16384" width="9.140625" style="197"/>
  </cols>
  <sheetData>
    <row r="8" spans="1:9" x14ac:dyDescent="0.2">
      <c r="A8" s="677" t="s">
        <v>483</v>
      </c>
      <c r="B8" s="677"/>
      <c r="C8" s="677"/>
      <c r="D8" s="677"/>
      <c r="E8" s="677"/>
      <c r="F8" s="677"/>
      <c r="G8" s="677"/>
      <c r="H8" s="677"/>
      <c r="I8" s="677"/>
    </row>
  </sheetData>
  <mergeCells count="1">
    <mergeCell ref="A8:I8"/>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92"/>
  <sheetViews>
    <sheetView zoomScaleNormal="100" zoomScaleSheetLayoutView="100" workbookViewId="0">
      <selection activeCell="A19" sqref="A19"/>
    </sheetView>
  </sheetViews>
  <sheetFormatPr defaultRowHeight="12.75" x14ac:dyDescent="0.2"/>
  <cols>
    <col min="1" max="1" width="5.140625" style="504" customWidth="1"/>
    <col min="2" max="2" width="4.140625" style="153" customWidth="1"/>
    <col min="3" max="3" width="4" style="153" customWidth="1"/>
    <col min="4" max="4" width="40.42578125" style="153" customWidth="1"/>
    <col min="5" max="5" width="25.140625" style="159" bestFit="1" customWidth="1"/>
    <col min="6" max="6" width="17.85546875" style="158" customWidth="1"/>
    <col min="7" max="16384" width="9.140625" style="153"/>
  </cols>
  <sheetData>
    <row r="1" spans="1:6" ht="15" customHeight="1" x14ac:dyDescent="0.2">
      <c r="A1" s="685" t="s">
        <v>359</v>
      </c>
      <c r="B1" s="685"/>
      <c r="C1" s="685"/>
      <c r="D1" s="685"/>
      <c r="E1" s="685"/>
      <c r="F1" s="685"/>
    </row>
    <row r="2" spans="1:6" x14ac:dyDescent="0.2">
      <c r="A2" s="685" t="s">
        <v>214</v>
      </c>
      <c r="B2" s="685"/>
      <c r="C2" s="685"/>
      <c r="D2" s="685"/>
      <c r="E2" s="685"/>
      <c r="F2" s="685"/>
    </row>
    <row r="4" spans="1:6" x14ac:dyDescent="0.2">
      <c r="E4" s="155" t="s">
        <v>229</v>
      </c>
      <c r="F4" s="156" t="s">
        <v>230</v>
      </c>
    </row>
    <row r="5" spans="1:6" x14ac:dyDescent="0.2">
      <c r="A5" s="504">
        <v>1</v>
      </c>
      <c r="B5" s="157" t="s">
        <v>313</v>
      </c>
      <c r="E5" s="155"/>
    </row>
    <row r="6" spans="1:6" x14ac:dyDescent="0.2">
      <c r="A6" s="504">
        <f>A5+1</f>
        <v>2</v>
      </c>
      <c r="E6" s="155"/>
    </row>
    <row r="7" spans="1:6" x14ac:dyDescent="0.2">
      <c r="A7" s="504">
        <f>A6+1</f>
        <v>3</v>
      </c>
      <c r="D7" s="153" t="s">
        <v>461</v>
      </c>
      <c r="E7" s="159" t="s">
        <v>467</v>
      </c>
      <c r="F7" s="158">
        <v>260803740</v>
      </c>
    </row>
    <row r="8" spans="1:6" ht="15" x14ac:dyDescent="0.35">
      <c r="A8" s="504">
        <f>A7+1</f>
        <v>4</v>
      </c>
      <c r="D8" s="153" t="s">
        <v>978</v>
      </c>
      <c r="E8" s="159" t="s">
        <v>957</v>
      </c>
      <c r="F8" s="638">
        <v>-51326330</v>
      </c>
    </row>
    <row r="9" spans="1:6" x14ac:dyDescent="0.2">
      <c r="A9" s="504">
        <f>A8+1</f>
        <v>5</v>
      </c>
    </row>
    <row r="10" spans="1:6" x14ac:dyDescent="0.2">
      <c r="A10" s="504">
        <f>A9+1</f>
        <v>6</v>
      </c>
      <c r="D10" s="153" t="s">
        <v>191</v>
      </c>
      <c r="F10" s="158">
        <f>SUM(F7:F9)</f>
        <v>209477410</v>
      </c>
    </row>
    <row r="13" spans="1:6" x14ac:dyDescent="0.2">
      <c r="A13" s="153"/>
      <c r="E13" s="153"/>
      <c r="F13" s="153"/>
    </row>
    <row r="14" spans="1:6" ht="15" customHeight="1" x14ac:dyDescent="0.2">
      <c r="A14" s="153"/>
      <c r="D14" s="303"/>
      <c r="E14" s="153"/>
      <c r="F14" s="153"/>
    </row>
    <row r="21" spans="2:6" x14ac:dyDescent="0.2">
      <c r="B21" s="157"/>
    </row>
    <row r="24" spans="2:6" x14ac:dyDescent="0.2">
      <c r="E24" s="161"/>
      <c r="F24" s="160"/>
    </row>
    <row r="28" spans="2:6" x14ac:dyDescent="0.2">
      <c r="B28" s="157"/>
    </row>
    <row r="29" spans="2:6" x14ac:dyDescent="0.2">
      <c r="B29" s="157"/>
    </row>
    <row r="31" spans="2:6" x14ac:dyDescent="0.2">
      <c r="F31" s="160"/>
    </row>
    <row r="35" spans="2:6" x14ac:dyDescent="0.2">
      <c r="B35" s="157"/>
    </row>
    <row r="42" spans="2:6" x14ac:dyDescent="0.2">
      <c r="E42" s="161"/>
      <c r="F42" s="160"/>
    </row>
    <row r="43" spans="2:6" x14ac:dyDescent="0.2">
      <c r="E43" s="161"/>
    </row>
    <row r="45" spans="2:6" x14ac:dyDescent="0.2">
      <c r="E45" s="153"/>
      <c r="F45" s="153"/>
    </row>
    <row r="46" spans="2:6" x14ac:dyDescent="0.2">
      <c r="B46" s="157"/>
      <c r="E46" s="153"/>
      <c r="F46" s="153"/>
    </row>
    <row r="48" spans="2:6" x14ac:dyDescent="0.2">
      <c r="F48" s="163"/>
    </row>
    <row r="49" spans="2:6" x14ac:dyDescent="0.2">
      <c r="E49" s="161"/>
    </row>
    <row r="50" spans="2:6" x14ac:dyDescent="0.2">
      <c r="E50" s="161"/>
    </row>
    <row r="53" spans="2:6" x14ac:dyDescent="0.2">
      <c r="B53" s="157"/>
    </row>
    <row r="56" spans="2:6" x14ac:dyDescent="0.2">
      <c r="F56" s="160"/>
    </row>
    <row r="59" spans="2:6" x14ac:dyDescent="0.2">
      <c r="B59" s="157"/>
    </row>
    <row r="60" spans="2:6" x14ac:dyDescent="0.2">
      <c r="B60" s="157"/>
    </row>
    <row r="65" spans="2:6" x14ac:dyDescent="0.2">
      <c r="F65" s="160"/>
    </row>
    <row r="71" spans="2:6" x14ac:dyDescent="0.2">
      <c r="F71" s="162"/>
    </row>
    <row r="75" spans="2:6" x14ac:dyDescent="0.2">
      <c r="B75" s="157"/>
    </row>
    <row r="78" spans="2:6" x14ac:dyDescent="0.2">
      <c r="F78" s="160"/>
    </row>
    <row r="81" spans="2:6" x14ac:dyDescent="0.2">
      <c r="B81" s="157"/>
    </row>
    <row r="83" spans="2:6" x14ac:dyDescent="0.2">
      <c r="F83" s="160"/>
    </row>
    <row r="86" spans="2:6" x14ac:dyDescent="0.2">
      <c r="B86" s="157"/>
    </row>
    <row r="89" spans="2:6" x14ac:dyDescent="0.2">
      <c r="F89" s="160"/>
    </row>
    <row r="92" spans="2:6" x14ac:dyDescent="0.2">
      <c r="F92" s="160"/>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64"/>
  <sheetViews>
    <sheetView zoomScaleNormal="100" zoomScaleSheetLayoutView="100" workbookViewId="0">
      <selection activeCell="A19" sqref="A19"/>
    </sheetView>
  </sheetViews>
  <sheetFormatPr defaultRowHeight="12.75" x14ac:dyDescent="0.2"/>
  <cols>
    <col min="1" max="1" width="9.28515625" style="153" bestFit="1" customWidth="1"/>
    <col min="2" max="2" width="2.7109375" style="153" customWidth="1"/>
    <col min="3" max="3" width="56.42578125" style="178" customWidth="1"/>
    <col min="4" max="4" width="4.42578125" style="178" customWidth="1"/>
    <col min="5" max="5" width="13.28515625" style="177" customWidth="1"/>
    <col min="6" max="6" width="9.140625" style="153"/>
    <col min="7" max="7" width="11.28515625" style="153" bestFit="1" customWidth="1"/>
    <col min="8" max="16384" width="9.140625" style="153"/>
  </cols>
  <sheetData>
    <row r="1" spans="1:5" x14ac:dyDescent="0.2">
      <c r="A1" s="685" t="s">
        <v>584</v>
      </c>
      <c r="B1" s="685"/>
      <c r="C1" s="685"/>
      <c r="D1" s="685"/>
      <c r="E1" s="685"/>
    </row>
    <row r="2" spans="1:5" x14ac:dyDescent="0.2">
      <c r="A2" s="685" t="s">
        <v>585</v>
      </c>
      <c r="B2" s="685"/>
      <c r="C2" s="685"/>
      <c r="D2" s="685"/>
      <c r="E2" s="685"/>
    </row>
    <row r="4" spans="1:5" x14ac:dyDescent="0.2">
      <c r="A4" s="504">
        <v>1</v>
      </c>
      <c r="B4" s="171" t="s">
        <v>586</v>
      </c>
      <c r="C4" s="172"/>
      <c r="D4" s="172"/>
      <c r="E4" s="173"/>
    </row>
    <row r="5" spans="1:5" x14ac:dyDescent="0.2">
      <c r="A5" s="504">
        <f>A4+1</f>
        <v>2</v>
      </c>
      <c r="C5" s="174" t="s">
        <v>587</v>
      </c>
      <c r="D5" s="174"/>
      <c r="E5" s="128">
        <v>4703.8</v>
      </c>
    </row>
    <row r="6" spans="1:5" x14ac:dyDescent="0.2">
      <c r="A6" s="504">
        <f t="shared" ref="A6:A64" si="0">A5+1</f>
        <v>3</v>
      </c>
      <c r="C6" s="174" t="s">
        <v>588</v>
      </c>
      <c r="D6" s="174"/>
      <c r="E6" s="128">
        <v>0</v>
      </c>
    </row>
    <row r="7" spans="1:5" x14ac:dyDescent="0.2">
      <c r="A7" s="504">
        <f t="shared" si="0"/>
        <v>4</v>
      </c>
      <c r="C7" s="174" t="s">
        <v>589</v>
      </c>
      <c r="D7" s="174"/>
      <c r="E7" s="128">
        <v>13231.049999999997</v>
      </c>
    </row>
    <row r="8" spans="1:5" x14ac:dyDescent="0.2">
      <c r="A8" s="504">
        <f t="shared" si="0"/>
        <v>5</v>
      </c>
      <c r="C8" s="174" t="s">
        <v>590</v>
      </c>
      <c r="D8" s="174"/>
      <c r="E8" s="128">
        <v>0</v>
      </c>
    </row>
    <row r="9" spans="1:5" x14ac:dyDescent="0.2">
      <c r="A9" s="504">
        <f t="shared" si="0"/>
        <v>6</v>
      </c>
      <c r="C9" s="174" t="s">
        <v>594</v>
      </c>
      <c r="D9" s="174"/>
      <c r="E9" s="128">
        <v>2446.5999999999995</v>
      </c>
    </row>
    <row r="10" spans="1:5" x14ac:dyDescent="0.2">
      <c r="A10" s="504">
        <f t="shared" si="0"/>
        <v>7</v>
      </c>
      <c r="C10" s="174" t="s">
        <v>595</v>
      </c>
      <c r="D10" s="174"/>
      <c r="E10" s="128">
        <v>452.55999999999995</v>
      </c>
    </row>
    <row r="11" spans="1:5" x14ac:dyDescent="0.2">
      <c r="A11" s="504">
        <f t="shared" si="0"/>
        <v>8</v>
      </c>
      <c r="C11" s="174" t="s">
        <v>596</v>
      </c>
      <c r="D11" s="174"/>
      <c r="E11" s="128">
        <v>3288.2100000000005</v>
      </c>
    </row>
    <row r="12" spans="1:5" x14ac:dyDescent="0.2">
      <c r="A12" s="504">
        <f t="shared" si="0"/>
        <v>9</v>
      </c>
      <c r="C12" s="174" t="s">
        <v>597</v>
      </c>
      <c r="D12" s="174"/>
      <c r="E12" s="128">
        <v>4167.2199999999993</v>
      </c>
    </row>
    <row r="13" spans="1:5" x14ac:dyDescent="0.2">
      <c r="A13" s="504">
        <f t="shared" si="0"/>
        <v>10</v>
      </c>
      <c r="C13" s="174" t="s">
        <v>598</v>
      </c>
      <c r="D13" s="174"/>
      <c r="E13" s="128">
        <v>0</v>
      </c>
    </row>
    <row r="14" spans="1:5" x14ac:dyDescent="0.2">
      <c r="A14" s="504">
        <f t="shared" si="0"/>
        <v>11</v>
      </c>
      <c r="C14" s="174" t="s">
        <v>599</v>
      </c>
      <c r="D14" s="174"/>
      <c r="E14" s="128">
        <v>120.92</v>
      </c>
    </row>
    <row r="15" spans="1:5" x14ac:dyDescent="0.2">
      <c r="A15" s="504">
        <f t="shared" si="0"/>
        <v>12</v>
      </c>
      <c r="C15" s="174" t="s">
        <v>600</v>
      </c>
      <c r="D15" s="174"/>
      <c r="E15" s="128">
        <v>0</v>
      </c>
    </row>
    <row r="16" spans="1:5" x14ac:dyDescent="0.2">
      <c r="A16" s="504">
        <f t="shared" si="0"/>
        <v>13</v>
      </c>
      <c r="C16" s="174" t="s">
        <v>601</v>
      </c>
      <c r="D16" s="174"/>
      <c r="E16" s="128">
        <v>0</v>
      </c>
    </row>
    <row r="17" spans="1:5" x14ac:dyDescent="0.2">
      <c r="A17" s="504">
        <f t="shared" si="0"/>
        <v>14</v>
      </c>
      <c r="C17" s="174" t="s">
        <v>602</v>
      </c>
      <c r="D17" s="174"/>
      <c r="E17" s="128">
        <v>0</v>
      </c>
    </row>
    <row r="18" spans="1:5" x14ac:dyDescent="0.2">
      <c r="A18" s="504">
        <f t="shared" si="0"/>
        <v>15</v>
      </c>
      <c r="C18" s="174" t="s">
        <v>603</v>
      </c>
      <c r="D18" s="174"/>
      <c r="E18" s="128">
        <v>1373.5400000000002</v>
      </c>
    </row>
    <row r="19" spans="1:5" x14ac:dyDescent="0.2">
      <c r="A19" s="504">
        <f t="shared" si="0"/>
        <v>16</v>
      </c>
      <c r="C19" s="174" t="s">
        <v>604</v>
      </c>
      <c r="D19" s="174"/>
      <c r="E19" s="128">
        <v>0</v>
      </c>
    </row>
    <row r="20" spans="1:5" x14ac:dyDescent="0.2">
      <c r="A20" s="504">
        <f t="shared" si="0"/>
        <v>17</v>
      </c>
      <c r="C20" s="174" t="s">
        <v>605</v>
      </c>
      <c r="D20" s="174"/>
      <c r="E20" s="128">
        <v>205.7</v>
      </c>
    </row>
    <row r="21" spans="1:5" x14ac:dyDescent="0.2">
      <c r="A21" s="504">
        <f t="shared" si="0"/>
        <v>18</v>
      </c>
      <c r="C21" s="174" t="s">
        <v>606</v>
      </c>
      <c r="D21" s="174"/>
      <c r="E21" s="128">
        <v>10.73</v>
      </c>
    </row>
    <row r="22" spans="1:5" x14ac:dyDescent="0.2">
      <c r="A22" s="504">
        <f t="shared" si="0"/>
        <v>19</v>
      </c>
      <c r="C22" s="174" t="s">
        <v>607</v>
      </c>
      <c r="D22" s="174"/>
      <c r="E22" s="128">
        <v>1366.98</v>
      </c>
    </row>
    <row r="23" spans="1:5" x14ac:dyDescent="0.2">
      <c r="A23" s="504">
        <f t="shared" si="0"/>
        <v>20</v>
      </c>
      <c r="C23" s="174" t="s">
        <v>608</v>
      </c>
      <c r="D23" s="174"/>
      <c r="E23" s="128">
        <v>0</v>
      </c>
    </row>
    <row r="24" spans="1:5" x14ac:dyDescent="0.2">
      <c r="A24" s="667">
        <f t="shared" si="0"/>
        <v>21</v>
      </c>
      <c r="C24" s="174" t="s">
        <v>803</v>
      </c>
      <c r="D24" s="174"/>
      <c r="E24" s="128">
        <v>0</v>
      </c>
    </row>
    <row r="25" spans="1:5" x14ac:dyDescent="0.2">
      <c r="A25" s="504">
        <f t="shared" si="0"/>
        <v>22</v>
      </c>
      <c r="C25" s="174" t="s">
        <v>1031</v>
      </c>
      <c r="D25" s="174"/>
      <c r="E25" s="128">
        <v>0</v>
      </c>
    </row>
    <row r="26" spans="1:5" x14ac:dyDescent="0.2">
      <c r="A26" s="504">
        <f t="shared" si="0"/>
        <v>23</v>
      </c>
      <c r="C26" s="174" t="s">
        <v>609</v>
      </c>
      <c r="D26" s="174"/>
      <c r="E26" s="128">
        <v>4319.7199999999993</v>
      </c>
    </row>
    <row r="27" spans="1:5" x14ac:dyDescent="0.2">
      <c r="A27" s="504">
        <f t="shared" si="0"/>
        <v>24</v>
      </c>
      <c r="C27" s="174" t="s">
        <v>610</v>
      </c>
      <c r="D27" s="174"/>
      <c r="E27" s="128">
        <v>0</v>
      </c>
    </row>
    <row r="28" spans="1:5" x14ac:dyDescent="0.2">
      <c r="A28" s="504">
        <f t="shared" si="0"/>
        <v>25</v>
      </c>
      <c r="C28" s="174" t="s">
        <v>611</v>
      </c>
      <c r="D28" s="174"/>
      <c r="E28" s="128">
        <v>268.06</v>
      </c>
    </row>
    <row r="29" spans="1:5" x14ac:dyDescent="0.2">
      <c r="A29" s="504">
        <f t="shared" si="0"/>
        <v>26</v>
      </c>
      <c r="C29" s="174" t="s">
        <v>612</v>
      </c>
      <c r="D29" s="174"/>
      <c r="E29" s="128">
        <v>819.11000000000013</v>
      </c>
    </row>
    <row r="30" spans="1:5" x14ac:dyDescent="0.2">
      <c r="A30" s="504">
        <f t="shared" si="0"/>
        <v>27</v>
      </c>
      <c r="C30" s="174" t="s">
        <v>613</v>
      </c>
      <c r="D30" s="174"/>
      <c r="E30" s="128">
        <v>0</v>
      </c>
    </row>
    <row r="31" spans="1:5" x14ac:dyDescent="0.2">
      <c r="A31" s="504">
        <f t="shared" si="0"/>
        <v>28</v>
      </c>
      <c r="C31" s="174" t="s">
        <v>614</v>
      </c>
      <c r="D31" s="174"/>
      <c r="E31" s="128">
        <v>29375.989999999994</v>
      </c>
    </row>
    <row r="32" spans="1:5" x14ac:dyDescent="0.2">
      <c r="A32" s="504">
        <f t="shared" si="0"/>
        <v>29</v>
      </c>
      <c r="C32" s="174" t="s">
        <v>615</v>
      </c>
      <c r="D32" s="174"/>
      <c r="E32" s="128">
        <v>0</v>
      </c>
    </row>
    <row r="33" spans="1:5" x14ac:dyDescent="0.2">
      <c r="A33" s="504">
        <f t="shared" si="0"/>
        <v>30</v>
      </c>
      <c r="C33" s="174" t="s">
        <v>616</v>
      </c>
      <c r="D33" s="174"/>
      <c r="E33" s="128">
        <v>871.21</v>
      </c>
    </row>
    <row r="34" spans="1:5" x14ac:dyDescent="0.2">
      <c r="A34" s="504">
        <f t="shared" si="0"/>
        <v>31</v>
      </c>
      <c r="C34" s="174" t="s">
        <v>617</v>
      </c>
      <c r="D34" s="174"/>
      <c r="E34" s="128">
        <v>0</v>
      </c>
    </row>
    <row r="35" spans="1:5" x14ac:dyDescent="0.2">
      <c r="A35" s="504">
        <f t="shared" si="0"/>
        <v>32</v>
      </c>
      <c r="C35" s="174" t="s">
        <v>618</v>
      </c>
      <c r="D35" s="174"/>
      <c r="E35" s="128">
        <v>0</v>
      </c>
    </row>
    <row r="36" spans="1:5" x14ac:dyDescent="0.2">
      <c r="A36" s="504">
        <f t="shared" si="0"/>
        <v>33</v>
      </c>
      <c r="C36" s="174" t="s">
        <v>619</v>
      </c>
      <c r="D36" s="174"/>
      <c r="E36" s="128">
        <v>197.85000000000002</v>
      </c>
    </row>
    <row r="37" spans="1:5" x14ac:dyDescent="0.2">
      <c r="A37" s="504">
        <f t="shared" si="0"/>
        <v>34</v>
      </c>
      <c r="C37" s="174" t="s">
        <v>620</v>
      </c>
      <c r="D37" s="174"/>
      <c r="E37" s="128">
        <v>0</v>
      </c>
    </row>
    <row r="38" spans="1:5" x14ac:dyDescent="0.2">
      <c r="A38" s="504">
        <f t="shared" si="0"/>
        <v>35</v>
      </c>
      <c r="C38" s="174" t="s">
        <v>621</v>
      </c>
      <c r="D38" s="174"/>
      <c r="E38" s="128">
        <v>0</v>
      </c>
    </row>
    <row r="39" spans="1:5" x14ac:dyDescent="0.2">
      <c r="A39" s="504">
        <f t="shared" si="0"/>
        <v>36</v>
      </c>
      <c r="C39" s="174" t="s">
        <v>622</v>
      </c>
      <c r="D39" s="174"/>
      <c r="E39" s="128">
        <v>564.97</v>
      </c>
    </row>
    <row r="40" spans="1:5" x14ac:dyDescent="0.2">
      <c r="A40" s="504">
        <f t="shared" si="0"/>
        <v>37</v>
      </c>
      <c r="C40" s="174" t="s">
        <v>623</v>
      </c>
      <c r="D40" s="174"/>
      <c r="E40" s="128">
        <v>0</v>
      </c>
    </row>
    <row r="41" spans="1:5" x14ac:dyDescent="0.2">
      <c r="A41" s="504">
        <f t="shared" si="0"/>
        <v>38</v>
      </c>
      <c r="C41" s="174" t="s">
        <v>624</v>
      </c>
      <c r="D41" s="174"/>
      <c r="E41" s="128">
        <v>629.94000000000005</v>
      </c>
    </row>
    <row r="42" spans="1:5" x14ac:dyDescent="0.2">
      <c r="A42" s="504">
        <f t="shared" si="0"/>
        <v>39</v>
      </c>
      <c r="C42" s="174" t="s">
        <v>625</v>
      </c>
      <c r="D42" s="174"/>
      <c r="E42" s="128">
        <v>0</v>
      </c>
    </row>
    <row r="43" spans="1:5" x14ac:dyDescent="0.2">
      <c r="A43" s="504">
        <f t="shared" si="0"/>
        <v>40</v>
      </c>
      <c r="C43" s="174" t="s">
        <v>626</v>
      </c>
      <c r="D43" s="174"/>
      <c r="E43" s="128">
        <v>0</v>
      </c>
    </row>
    <row r="44" spans="1:5" x14ac:dyDescent="0.2">
      <c r="A44" s="504">
        <f t="shared" si="0"/>
        <v>41</v>
      </c>
      <c r="C44" s="174" t="s">
        <v>627</v>
      </c>
      <c r="D44" s="174"/>
      <c r="E44" s="128">
        <v>0</v>
      </c>
    </row>
    <row r="45" spans="1:5" x14ac:dyDescent="0.2">
      <c r="A45" s="504">
        <f t="shared" si="0"/>
        <v>42</v>
      </c>
      <c r="C45" s="174" t="s">
        <v>804</v>
      </c>
      <c r="D45" s="174"/>
      <c r="E45" s="128">
        <v>0</v>
      </c>
    </row>
    <row r="46" spans="1:5" x14ac:dyDescent="0.2">
      <c r="A46" s="504">
        <f t="shared" si="0"/>
        <v>43</v>
      </c>
      <c r="C46" s="153" t="s">
        <v>1040</v>
      </c>
      <c r="D46" s="174"/>
      <c r="E46" s="128">
        <v>0</v>
      </c>
    </row>
    <row r="47" spans="1:5" x14ac:dyDescent="0.2">
      <c r="A47" s="504">
        <f t="shared" si="0"/>
        <v>44</v>
      </c>
      <c r="C47" s="174" t="s">
        <v>1032</v>
      </c>
      <c r="D47" s="174"/>
      <c r="E47" s="128">
        <v>119.98</v>
      </c>
    </row>
    <row r="48" spans="1:5" x14ac:dyDescent="0.2">
      <c r="A48" s="504">
        <f t="shared" si="0"/>
        <v>45</v>
      </c>
      <c r="C48" s="176" t="s">
        <v>628</v>
      </c>
      <c r="D48" s="176"/>
      <c r="E48" s="557">
        <f>SUM(E5:E47)</f>
        <v>68534.14</v>
      </c>
    </row>
    <row r="49" spans="1:7" x14ac:dyDescent="0.2">
      <c r="A49" s="504">
        <f t="shared" si="0"/>
        <v>46</v>
      </c>
    </row>
    <row r="50" spans="1:7" x14ac:dyDescent="0.2">
      <c r="A50" s="504">
        <f t="shared" si="0"/>
        <v>47</v>
      </c>
      <c r="B50" s="171" t="s">
        <v>893</v>
      </c>
      <c r="C50" s="174"/>
    </row>
    <row r="51" spans="1:7" x14ac:dyDescent="0.2">
      <c r="A51" s="504">
        <f t="shared" si="0"/>
        <v>48</v>
      </c>
      <c r="C51" s="153" t="s">
        <v>927</v>
      </c>
      <c r="D51" s="153"/>
      <c r="E51" s="640">
        <f>(-242.44+1869.06)</f>
        <v>1626.62</v>
      </c>
    </row>
    <row r="52" spans="1:7" x14ac:dyDescent="0.2">
      <c r="A52" s="504">
        <f t="shared" si="0"/>
        <v>49</v>
      </c>
      <c r="C52" s="178" t="s">
        <v>928</v>
      </c>
      <c r="E52" s="177">
        <f>(0+92075.55)*$E$63</f>
        <v>9207.5550000000003</v>
      </c>
    </row>
    <row r="53" spans="1:7" x14ac:dyDescent="0.2">
      <c r="A53" s="504">
        <f t="shared" si="0"/>
        <v>50</v>
      </c>
      <c r="C53" s="178" t="s">
        <v>929</v>
      </c>
      <c r="E53" s="177">
        <v>4024.69</v>
      </c>
    </row>
    <row r="54" spans="1:7" x14ac:dyDescent="0.2">
      <c r="A54" s="504">
        <f t="shared" si="0"/>
        <v>51</v>
      </c>
      <c r="C54" s="178" t="s">
        <v>930</v>
      </c>
      <c r="E54" s="177">
        <v>4085.84</v>
      </c>
    </row>
    <row r="55" spans="1:7" x14ac:dyDescent="0.2">
      <c r="A55" s="504">
        <f t="shared" si="0"/>
        <v>52</v>
      </c>
      <c r="C55" s="178" t="s">
        <v>931</v>
      </c>
      <c r="E55" s="177">
        <v>2883.13</v>
      </c>
    </row>
    <row r="56" spans="1:7" x14ac:dyDescent="0.2">
      <c r="A56" s="504">
        <f t="shared" si="0"/>
        <v>53</v>
      </c>
      <c r="C56" s="178" t="s">
        <v>932</v>
      </c>
      <c r="E56" s="177">
        <v>37420.230000000003</v>
      </c>
    </row>
    <row r="57" spans="1:7" x14ac:dyDescent="0.2">
      <c r="A57" s="504">
        <f t="shared" si="0"/>
        <v>54</v>
      </c>
      <c r="C57" s="178" t="s">
        <v>933</v>
      </c>
      <c r="E57" s="639">
        <v>21187.47</v>
      </c>
    </row>
    <row r="58" spans="1:7" x14ac:dyDescent="0.2">
      <c r="A58" s="504">
        <f t="shared" si="0"/>
        <v>55</v>
      </c>
      <c r="C58" s="179" t="s">
        <v>628</v>
      </c>
      <c r="E58" s="177">
        <f>SUM(E51:E57)</f>
        <v>80435.535000000003</v>
      </c>
      <c r="G58" s="523"/>
    </row>
    <row r="59" spans="1:7" x14ac:dyDescent="0.2">
      <c r="A59" s="504">
        <f t="shared" si="0"/>
        <v>56</v>
      </c>
      <c r="B59" s="157"/>
    </row>
    <row r="60" spans="1:7" x14ac:dyDescent="0.2">
      <c r="A60" s="504">
        <f t="shared" si="0"/>
        <v>57</v>
      </c>
      <c r="B60" s="157" t="s">
        <v>443</v>
      </c>
      <c r="E60" s="641">
        <f>E48+E58</f>
        <v>148969.67499999999</v>
      </c>
    </row>
    <row r="61" spans="1:7" x14ac:dyDescent="0.2">
      <c r="A61" s="504">
        <f t="shared" si="0"/>
        <v>58</v>
      </c>
    </row>
    <row r="62" spans="1:7" x14ac:dyDescent="0.2">
      <c r="A62" s="504">
        <f t="shared" si="0"/>
        <v>59</v>
      </c>
      <c r="B62" s="178" t="s">
        <v>946</v>
      </c>
      <c r="C62" s="153" t="s">
        <v>948</v>
      </c>
      <c r="E62" s="180">
        <v>0.5</v>
      </c>
    </row>
    <row r="63" spans="1:7" x14ac:dyDescent="0.2">
      <c r="A63" s="504">
        <f t="shared" si="0"/>
        <v>60</v>
      </c>
      <c r="C63" s="178" t="s">
        <v>949</v>
      </c>
      <c r="E63" s="180">
        <v>0.1</v>
      </c>
    </row>
    <row r="64" spans="1:7" x14ac:dyDescent="0.2">
      <c r="A64" s="504">
        <f t="shared" si="0"/>
        <v>61</v>
      </c>
      <c r="C64" s="181" t="s">
        <v>947</v>
      </c>
      <c r="E64" s="180">
        <v>0.33333332999999998</v>
      </c>
    </row>
  </sheetData>
  <sheetProtection formatCells="0"/>
  <mergeCells count="2">
    <mergeCell ref="A1:E1"/>
    <mergeCell ref="A2:E2"/>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9"/>
  <sheetViews>
    <sheetView zoomScaleNormal="100" zoomScaleSheetLayoutView="100" workbookViewId="0">
      <selection activeCell="A19" sqref="A19"/>
    </sheetView>
  </sheetViews>
  <sheetFormatPr defaultRowHeight="12.75" x14ac:dyDescent="0.2"/>
  <cols>
    <col min="1" max="1" width="9.140625" style="197"/>
    <col min="2" max="2" width="2.7109375" style="500" customWidth="1"/>
    <col min="3" max="3" width="31.42578125" style="21" bestFit="1" customWidth="1"/>
    <col min="4" max="4" width="4.42578125" style="21" customWidth="1"/>
    <col min="5" max="5" width="13.28515625" style="66" customWidth="1"/>
    <col min="6" max="6" width="13.28515625" style="197" bestFit="1" customWidth="1"/>
    <col min="7" max="7" width="14.140625" style="197" customWidth="1"/>
    <col min="8" max="9" width="9.140625" style="197"/>
    <col min="10" max="10" width="10.28515625" style="197" bestFit="1" customWidth="1"/>
    <col min="11" max="16384" width="9.140625" style="197"/>
  </cols>
  <sheetData>
    <row r="1" spans="1:7" x14ac:dyDescent="0.2">
      <c r="A1" s="677" t="s">
        <v>629</v>
      </c>
      <c r="B1" s="677"/>
      <c r="C1" s="677"/>
      <c r="D1" s="677"/>
      <c r="E1" s="677"/>
      <c r="F1" s="677"/>
      <c r="G1" s="677"/>
    </row>
    <row r="2" spans="1:7" x14ac:dyDescent="0.2">
      <c r="A2" s="677" t="s">
        <v>630</v>
      </c>
      <c r="B2" s="677"/>
      <c r="C2" s="677"/>
      <c r="D2" s="677"/>
      <c r="E2" s="677"/>
      <c r="F2" s="677"/>
      <c r="G2" s="677"/>
    </row>
    <row r="4" spans="1:7" x14ac:dyDescent="0.2">
      <c r="A4" s="500"/>
      <c r="B4" s="2"/>
      <c r="C4" s="67"/>
      <c r="D4" s="67"/>
      <c r="E4" s="68"/>
    </row>
    <row r="5" spans="1:7" x14ac:dyDescent="0.2">
      <c r="A5" s="500"/>
      <c r="C5" s="69"/>
      <c r="D5" s="69"/>
    </row>
    <row r="6" spans="1:7" x14ac:dyDescent="0.2">
      <c r="A6" s="500"/>
      <c r="C6" s="69"/>
      <c r="D6" s="69"/>
    </row>
    <row r="7" spans="1:7" x14ac:dyDescent="0.2">
      <c r="A7" s="500"/>
      <c r="B7" s="500">
        <v>1</v>
      </c>
      <c r="C7" s="69" t="s">
        <v>631</v>
      </c>
      <c r="D7" s="69"/>
      <c r="E7" s="66" t="s">
        <v>243</v>
      </c>
      <c r="F7" s="16">
        <f>'Schedule 2'!F74</f>
        <v>25408262</v>
      </c>
    </row>
    <row r="8" spans="1:7" x14ac:dyDescent="0.2">
      <c r="A8" s="500"/>
      <c r="B8" s="500">
        <f>B7+1</f>
        <v>2</v>
      </c>
      <c r="C8" s="69" t="s">
        <v>632</v>
      </c>
      <c r="D8" s="69"/>
      <c r="E8" s="66" t="s">
        <v>315</v>
      </c>
      <c r="F8" s="197">
        <f>'Schedule 3'!F16</f>
        <v>9.2885000000000005E-4</v>
      </c>
    </row>
    <row r="9" spans="1:7" x14ac:dyDescent="0.2">
      <c r="A9" s="500"/>
      <c r="B9" s="500">
        <f>B8+1</f>
        <v>3</v>
      </c>
      <c r="C9" s="69" t="s">
        <v>633</v>
      </c>
      <c r="D9" s="69"/>
      <c r="E9" s="66" t="s">
        <v>634</v>
      </c>
      <c r="F9" s="85">
        <f>ROUND(F7 * F8,0)</f>
        <v>23600</v>
      </c>
    </row>
    <row r="10" spans="1:7" x14ac:dyDescent="0.2">
      <c r="A10" s="500"/>
      <c r="C10" s="69"/>
      <c r="D10" s="69"/>
    </row>
    <row r="11" spans="1:7" x14ac:dyDescent="0.2">
      <c r="A11" s="500"/>
      <c r="C11" s="69"/>
      <c r="D11" s="69"/>
    </row>
    <row r="12" spans="1:7" x14ac:dyDescent="0.2">
      <c r="A12" s="500"/>
      <c r="C12" s="69"/>
      <c r="D12" s="69"/>
    </row>
    <row r="13" spans="1:7" x14ac:dyDescent="0.2">
      <c r="A13" s="500"/>
      <c r="C13" s="69"/>
      <c r="D13" s="69"/>
    </row>
    <row r="14" spans="1:7" x14ac:dyDescent="0.2">
      <c r="A14" s="500"/>
      <c r="C14" s="69"/>
      <c r="D14" s="69"/>
    </row>
    <row r="15" spans="1:7" x14ac:dyDescent="0.2">
      <c r="A15" s="500"/>
      <c r="C15" s="69"/>
      <c r="D15" s="69"/>
    </row>
    <row r="16" spans="1:7" x14ac:dyDescent="0.2">
      <c r="A16" s="500"/>
      <c r="C16" s="69"/>
      <c r="D16" s="69"/>
    </row>
    <row r="17" spans="1:4" x14ac:dyDescent="0.2">
      <c r="A17" s="500"/>
      <c r="C17" s="69"/>
      <c r="D17" s="69"/>
    </row>
    <row r="18" spans="1:4" x14ac:dyDescent="0.2">
      <c r="A18" s="500"/>
      <c r="C18" s="69"/>
      <c r="D18" s="69"/>
    </row>
    <row r="19" spans="1:4" x14ac:dyDescent="0.2">
      <c r="A19" s="500"/>
      <c r="C19" s="69"/>
      <c r="D19" s="69"/>
    </row>
    <row r="20" spans="1:4" x14ac:dyDescent="0.2">
      <c r="A20" s="500"/>
      <c r="C20" s="69"/>
      <c r="D20" s="69"/>
    </row>
    <row r="21" spans="1:4" x14ac:dyDescent="0.2">
      <c r="A21" s="500"/>
      <c r="C21" s="69"/>
      <c r="D21" s="69"/>
    </row>
    <row r="22" spans="1:4" x14ac:dyDescent="0.2">
      <c r="A22" s="500"/>
      <c r="C22" s="69"/>
      <c r="D22" s="69"/>
    </row>
    <row r="23" spans="1:4" x14ac:dyDescent="0.2">
      <c r="A23" s="500"/>
      <c r="C23" s="69"/>
      <c r="D23" s="69"/>
    </row>
    <row r="24" spans="1:4" x14ac:dyDescent="0.2">
      <c r="A24" s="500"/>
      <c r="C24" s="69"/>
      <c r="D24" s="69"/>
    </row>
    <row r="25" spans="1:4" x14ac:dyDescent="0.2">
      <c r="A25" s="500"/>
      <c r="C25" s="69"/>
      <c r="D25" s="69"/>
    </row>
    <row r="26" spans="1:4" x14ac:dyDescent="0.2">
      <c r="A26" s="500"/>
      <c r="C26" s="69"/>
      <c r="D26" s="69"/>
    </row>
    <row r="27" spans="1:4" x14ac:dyDescent="0.2">
      <c r="A27" s="500"/>
      <c r="C27" s="69"/>
      <c r="D27" s="69"/>
    </row>
    <row r="28" spans="1:4" x14ac:dyDescent="0.2">
      <c r="A28" s="500"/>
      <c r="C28" s="69"/>
      <c r="D28" s="69"/>
    </row>
    <row r="29" spans="1:4" x14ac:dyDescent="0.2">
      <c r="A29" s="500"/>
      <c r="C29" s="69"/>
      <c r="D29" s="69"/>
    </row>
    <row r="30" spans="1:4" x14ac:dyDescent="0.2">
      <c r="A30" s="500"/>
      <c r="C30" s="69"/>
      <c r="D30" s="69"/>
    </row>
    <row r="31" spans="1:4" x14ac:dyDescent="0.2">
      <c r="A31" s="500"/>
      <c r="C31" s="69"/>
      <c r="D31" s="69"/>
    </row>
    <row r="32" spans="1:4" x14ac:dyDescent="0.2">
      <c r="A32" s="500"/>
      <c r="C32" s="69"/>
      <c r="D32" s="69"/>
    </row>
    <row r="33" spans="1:10" x14ac:dyDescent="0.2">
      <c r="A33" s="500"/>
      <c r="C33" s="69"/>
      <c r="D33" s="69"/>
    </row>
    <row r="34" spans="1:10" x14ac:dyDescent="0.2">
      <c r="A34" s="500"/>
      <c r="C34" s="69"/>
      <c r="D34" s="69"/>
    </row>
    <row r="35" spans="1:10" x14ac:dyDescent="0.2">
      <c r="A35" s="500"/>
      <c r="C35" s="69"/>
      <c r="D35" s="69"/>
    </row>
    <row r="36" spans="1:10" x14ac:dyDescent="0.2">
      <c r="A36" s="500"/>
      <c r="C36" s="69"/>
      <c r="D36" s="69"/>
    </row>
    <row r="37" spans="1:10" x14ac:dyDescent="0.2">
      <c r="A37" s="500"/>
      <c r="C37" s="69"/>
      <c r="D37" s="69"/>
    </row>
    <row r="38" spans="1:10" x14ac:dyDescent="0.2">
      <c r="A38" s="500"/>
      <c r="C38" s="69"/>
      <c r="D38" s="69"/>
    </row>
    <row r="39" spans="1:10" x14ac:dyDescent="0.2">
      <c r="A39" s="500"/>
      <c r="C39" s="69"/>
      <c r="D39" s="69"/>
    </row>
    <row r="40" spans="1:10" x14ac:dyDescent="0.2">
      <c r="A40" s="500"/>
      <c r="C40" s="69"/>
      <c r="D40" s="69"/>
    </row>
    <row r="41" spans="1:10" x14ac:dyDescent="0.2">
      <c r="A41" s="500"/>
      <c r="C41" s="69"/>
      <c r="D41" s="69"/>
    </row>
    <row r="42" spans="1:10" x14ac:dyDescent="0.2">
      <c r="A42" s="500"/>
      <c r="C42" s="69"/>
      <c r="D42" s="69"/>
    </row>
    <row r="43" spans="1:10" x14ac:dyDescent="0.2">
      <c r="A43" s="500"/>
      <c r="C43" s="69"/>
      <c r="D43" s="69"/>
    </row>
    <row r="44" spans="1:10" x14ac:dyDescent="0.2">
      <c r="A44" s="500"/>
      <c r="C44" s="69"/>
      <c r="D44" s="69"/>
    </row>
    <row r="45" spans="1:10" x14ac:dyDescent="0.2">
      <c r="A45" s="500"/>
      <c r="C45" s="70"/>
      <c r="D45" s="70"/>
    </row>
    <row r="46" spans="1:10" x14ac:dyDescent="0.2">
      <c r="A46" s="500"/>
    </row>
    <row r="47" spans="1:10" x14ac:dyDescent="0.2">
      <c r="A47" s="500"/>
      <c r="B47" s="2"/>
      <c r="C47" s="69"/>
    </row>
    <row r="48" spans="1:10" x14ac:dyDescent="0.2">
      <c r="A48" s="500"/>
      <c r="C48" s="197"/>
      <c r="D48" s="197"/>
      <c r="F48" s="103"/>
      <c r="G48" s="500"/>
      <c r="J48" s="104"/>
    </row>
    <row r="49" spans="1:10" x14ac:dyDescent="0.2">
      <c r="A49" s="500"/>
      <c r="C49" s="197"/>
      <c r="D49" s="197"/>
      <c r="F49" s="103"/>
      <c r="G49" s="500"/>
      <c r="J49" s="104"/>
    </row>
    <row r="50" spans="1:10" x14ac:dyDescent="0.2">
      <c r="A50" s="500"/>
      <c r="C50" s="197"/>
      <c r="D50" s="197"/>
      <c r="F50" s="103"/>
      <c r="G50" s="500"/>
      <c r="J50" s="104"/>
    </row>
    <row r="51" spans="1:10" x14ac:dyDescent="0.2">
      <c r="A51" s="500"/>
    </row>
    <row r="52" spans="1:10" x14ac:dyDescent="0.2">
      <c r="A52" s="500"/>
    </row>
    <row r="53" spans="1:10" x14ac:dyDescent="0.2">
      <c r="A53" s="500"/>
    </row>
    <row r="54" spans="1:10" x14ac:dyDescent="0.2">
      <c r="A54" s="500"/>
    </row>
    <row r="55" spans="1:10" x14ac:dyDescent="0.2">
      <c r="A55" s="500"/>
    </row>
    <row r="56" spans="1:10" x14ac:dyDescent="0.2">
      <c r="A56" s="500"/>
    </row>
    <row r="57" spans="1:10" x14ac:dyDescent="0.2">
      <c r="A57" s="500"/>
      <c r="C57" s="25"/>
    </row>
    <row r="58" spans="1:10" x14ac:dyDescent="0.2">
      <c r="A58" s="500"/>
      <c r="B58" s="501"/>
    </row>
    <row r="59" spans="1:10" x14ac:dyDescent="0.2">
      <c r="A59" s="500"/>
      <c r="B59" s="501"/>
    </row>
  </sheetData>
  <mergeCells count="2">
    <mergeCell ref="A1:G1"/>
    <mergeCell ref="A2:G2"/>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6"/>
  <sheetViews>
    <sheetView zoomScaleNormal="100" zoomScaleSheetLayoutView="148" workbookViewId="0">
      <selection activeCell="A19" sqref="A19"/>
    </sheetView>
  </sheetViews>
  <sheetFormatPr defaultRowHeight="12.75" x14ac:dyDescent="0.2"/>
  <cols>
    <col min="1" max="1" width="3" style="197" bestFit="1" customWidth="1"/>
    <col min="2" max="2" width="30.85546875" style="197" bestFit="1" customWidth="1"/>
    <col min="3" max="3" width="26.5703125" style="197" bestFit="1" customWidth="1"/>
    <col min="4" max="4" width="2.140625" style="197" customWidth="1"/>
    <col min="5" max="5" width="22.42578125" style="197" bestFit="1" customWidth="1"/>
    <col min="6" max="16384" width="9.140625" style="197"/>
  </cols>
  <sheetData>
    <row r="1" spans="1:7" x14ac:dyDescent="0.2">
      <c r="A1" s="677" t="s">
        <v>369</v>
      </c>
      <c r="B1" s="677"/>
      <c r="C1" s="677"/>
      <c r="D1" s="677"/>
      <c r="E1" s="677"/>
      <c r="F1" s="141"/>
      <c r="G1" s="141"/>
    </row>
    <row r="2" spans="1:7" x14ac:dyDescent="0.2">
      <c r="A2" s="677" t="s">
        <v>49</v>
      </c>
      <c r="B2" s="677"/>
      <c r="C2" s="677"/>
      <c r="D2" s="677"/>
      <c r="E2" s="677"/>
      <c r="F2" s="141"/>
      <c r="G2" s="141"/>
    </row>
    <row r="3" spans="1:7" x14ac:dyDescent="0.2">
      <c r="A3" s="500"/>
      <c r="B3" s="500"/>
      <c r="C3" s="500"/>
      <c r="D3" s="500"/>
      <c r="E3" s="500"/>
      <c r="F3" s="500"/>
    </row>
    <row r="4" spans="1:7" x14ac:dyDescent="0.2">
      <c r="A4" s="676" t="s">
        <v>90</v>
      </c>
      <c r="B4" s="676"/>
      <c r="C4" s="676"/>
      <c r="D4" s="676"/>
      <c r="E4" s="676"/>
      <c r="F4" s="500"/>
    </row>
    <row r="5" spans="1:7" x14ac:dyDescent="0.2">
      <c r="A5" s="676" t="s">
        <v>91</v>
      </c>
      <c r="B5" s="676"/>
      <c r="C5" s="676"/>
      <c r="D5" s="676"/>
      <c r="E5" s="676"/>
    </row>
    <row r="6" spans="1:7" x14ac:dyDescent="0.2">
      <c r="A6" s="676" t="s">
        <v>92</v>
      </c>
      <c r="B6" s="676"/>
      <c r="C6" s="676"/>
      <c r="D6" s="676"/>
      <c r="E6" s="676"/>
    </row>
    <row r="7" spans="1:7" x14ac:dyDescent="0.2">
      <c r="A7" s="500"/>
      <c r="B7" s="500"/>
      <c r="C7" s="500"/>
      <c r="D7" s="500"/>
      <c r="E7" s="500"/>
    </row>
    <row r="8" spans="1:7" x14ac:dyDescent="0.2">
      <c r="A8" s="500"/>
      <c r="B8" s="500"/>
      <c r="C8" s="500"/>
      <c r="D8" s="500"/>
      <c r="E8" s="500"/>
    </row>
    <row r="9" spans="1:7" x14ac:dyDescent="0.2">
      <c r="B9" s="500"/>
      <c r="C9" s="502"/>
      <c r="D9" s="502"/>
      <c r="E9" s="502"/>
    </row>
    <row r="10" spans="1:7" x14ac:dyDescent="0.2">
      <c r="C10" s="99"/>
      <c r="D10" s="99"/>
      <c r="E10" s="99"/>
    </row>
    <row r="11" spans="1:7" x14ac:dyDescent="0.2">
      <c r="B11" s="142" t="s">
        <v>521</v>
      </c>
      <c r="C11" s="3">
        <f>'Schedule 2 Workpaper page 4'!E20</f>
        <v>5890463.0299999993</v>
      </c>
      <c r="D11" s="99"/>
      <c r="E11" s="99"/>
    </row>
    <row r="12" spans="1:7" x14ac:dyDescent="0.2">
      <c r="B12" s="142"/>
      <c r="C12" s="99"/>
      <c r="D12" s="99"/>
      <c r="E12" s="99"/>
    </row>
    <row r="13" spans="1:7" x14ac:dyDescent="0.2">
      <c r="B13" s="142" t="s">
        <v>316</v>
      </c>
      <c r="C13" s="3">
        <f>'Schedule 2 Workpaper page 4'!E24</f>
        <v>2011936.84</v>
      </c>
      <c r="D13" s="99"/>
      <c r="E13" s="99"/>
    </row>
    <row r="14" spans="1:7" x14ac:dyDescent="0.2">
      <c r="C14" s="99"/>
      <c r="D14" s="99"/>
      <c r="E14" s="99"/>
    </row>
    <row r="15" spans="1:7" x14ac:dyDescent="0.2">
      <c r="C15" s="99"/>
      <c r="D15" s="99"/>
      <c r="E15" s="99"/>
    </row>
    <row r="16" spans="1:7" x14ac:dyDescent="0.2">
      <c r="C16" s="99"/>
      <c r="D16" s="99"/>
      <c r="E16" s="99"/>
    </row>
    <row r="17" spans="3:5" x14ac:dyDescent="0.2">
      <c r="C17" s="99"/>
      <c r="D17" s="99"/>
      <c r="E17" s="99"/>
    </row>
    <row r="18" spans="3:5" x14ac:dyDescent="0.2">
      <c r="C18" s="99"/>
      <c r="D18" s="99"/>
      <c r="E18" s="100"/>
    </row>
    <row r="19" spans="3:5" x14ac:dyDescent="0.2">
      <c r="C19" s="99"/>
      <c r="D19" s="99"/>
      <c r="E19" s="99"/>
    </row>
    <row r="20" spans="3:5" x14ac:dyDescent="0.2">
      <c r="C20" s="99"/>
      <c r="D20" s="99"/>
      <c r="E20" s="99"/>
    </row>
    <row r="21" spans="3:5" x14ac:dyDescent="0.2">
      <c r="C21" s="101"/>
      <c r="D21" s="101"/>
      <c r="E21" s="101"/>
    </row>
    <row r="22" spans="3:5" x14ac:dyDescent="0.2">
      <c r="C22" s="101"/>
      <c r="D22" s="101"/>
      <c r="E22" s="101"/>
    </row>
    <row r="23" spans="3:5" x14ac:dyDescent="0.2">
      <c r="C23" s="101"/>
      <c r="D23" s="101"/>
      <c r="E23" s="101"/>
    </row>
    <row r="24" spans="3:5" x14ac:dyDescent="0.2">
      <c r="C24" s="101"/>
      <c r="D24" s="101"/>
      <c r="E24" s="102"/>
    </row>
    <row r="25" spans="3:5" x14ac:dyDescent="0.2">
      <c r="C25" s="101"/>
      <c r="D25" s="101"/>
      <c r="E25" s="102"/>
    </row>
    <row r="26" spans="3:5" x14ac:dyDescent="0.2">
      <c r="C26" s="141"/>
      <c r="D26" s="141"/>
      <c r="E26" s="141"/>
    </row>
  </sheetData>
  <mergeCells count="5">
    <mergeCell ref="A5:E5"/>
    <mergeCell ref="A6:E6"/>
    <mergeCell ref="A1:E1"/>
    <mergeCell ref="A2:E2"/>
    <mergeCell ref="A4:E4"/>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78"/>
  <sheetViews>
    <sheetView zoomScaleNormal="100" zoomScaleSheetLayoutView="100" workbookViewId="0">
      <selection activeCell="A19" sqref="A19"/>
    </sheetView>
  </sheetViews>
  <sheetFormatPr defaultColWidth="12.5703125" defaultRowHeight="12.75" x14ac:dyDescent="0.2"/>
  <cols>
    <col min="1" max="1" width="0.85546875" style="153" customWidth="1"/>
    <col min="2" max="2" width="15.85546875" style="153" customWidth="1"/>
    <col min="3" max="3" width="10.5703125" style="153" customWidth="1"/>
    <col min="4" max="5" width="20.28515625" style="153" customWidth="1"/>
    <col min="6" max="6" width="17" style="153" customWidth="1"/>
    <col min="7" max="7" width="10.5703125" style="153" customWidth="1"/>
    <col min="8" max="8" width="15.7109375" style="153" customWidth="1"/>
    <col min="9" max="9" width="15.85546875" style="153" customWidth="1"/>
    <col min="10" max="16384" width="12.5703125" style="153"/>
  </cols>
  <sheetData>
    <row r="1" spans="1:8" x14ac:dyDescent="0.2">
      <c r="A1" s="87"/>
      <c r="B1" s="701" t="s">
        <v>370</v>
      </c>
      <c r="C1" s="701"/>
      <c r="D1" s="701"/>
      <c r="E1" s="701"/>
      <c r="F1" s="701"/>
      <c r="G1" s="701"/>
      <c r="H1" s="701"/>
    </row>
    <row r="2" spans="1:8" x14ac:dyDescent="0.2">
      <c r="A2" s="87"/>
      <c r="B2" s="701" t="s">
        <v>91</v>
      </c>
      <c r="C2" s="701"/>
      <c r="D2" s="701"/>
      <c r="E2" s="701"/>
      <c r="F2" s="701"/>
      <c r="G2" s="701"/>
      <c r="H2" s="701"/>
    </row>
    <row r="3" spans="1:8" x14ac:dyDescent="0.2">
      <c r="A3" s="125"/>
      <c r="B3" s="87"/>
      <c r="C3" s="87"/>
      <c r="D3" s="87"/>
      <c r="E3" s="87"/>
      <c r="F3" s="87"/>
      <c r="G3" s="87"/>
      <c r="H3" s="87"/>
    </row>
    <row r="4" spans="1:8" x14ac:dyDescent="0.2">
      <c r="A4" s="701" t="s">
        <v>528</v>
      </c>
      <c r="B4" s="701"/>
      <c r="C4" s="701"/>
      <c r="D4" s="701"/>
      <c r="E4" s="701"/>
      <c r="F4" s="701"/>
      <c r="G4" s="701"/>
      <c r="H4" s="701"/>
    </row>
    <row r="5" spans="1:8" x14ac:dyDescent="0.2">
      <c r="A5" s="701" t="s">
        <v>91</v>
      </c>
      <c r="B5" s="701"/>
      <c r="C5" s="701"/>
      <c r="D5" s="701"/>
      <c r="E5" s="701"/>
      <c r="F5" s="701"/>
      <c r="G5" s="701"/>
      <c r="H5" s="701"/>
    </row>
    <row r="6" spans="1:8" x14ac:dyDescent="0.2">
      <c r="A6" s="701" t="s">
        <v>116</v>
      </c>
      <c r="B6" s="701"/>
      <c r="C6" s="701"/>
      <c r="D6" s="701"/>
      <c r="E6" s="701"/>
      <c r="F6" s="701"/>
      <c r="G6" s="701"/>
      <c r="H6" s="701"/>
    </row>
    <row r="7" spans="1:8" x14ac:dyDescent="0.2">
      <c r="A7" s="87"/>
      <c r="B7" s="87"/>
      <c r="C7" s="87"/>
      <c r="D7" s="87"/>
      <c r="E7" s="87"/>
      <c r="F7" s="87"/>
      <c r="G7" s="87"/>
      <c r="H7" s="87"/>
    </row>
    <row r="8" spans="1:8" x14ac:dyDescent="0.2">
      <c r="A8" s="87"/>
      <c r="C8" s="126" t="s">
        <v>117</v>
      </c>
      <c r="D8" s="87"/>
      <c r="E8" s="87"/>
      <c r="F8" s="87"/>
      <c r="G8" s="87"/>
      <c r="H8" s="87"/>
    </row>
    <row r="9" spans="1:8" x14ac:dyDescent="0.2">
      <c r="A9" s="87"/>
      <c r="C9" s="88" t="s">
        <v>118</v>
      </c>
      <c r="D9" s="87"/>
      <c r="E9" s="87">
        <f>E160</f>
        <v>1484461</v>
      </c>
      <c r="F9" s="87"/>
      <c r="G9" s="87"/>
      <c r="H9" s="87"/>
    </row>
    <row r="10" spans="1:8" x14ac:dyDescent="0.2">
      <c r="A10" s="87"/>
      <c r="C10" s="87"/>
      <c r="D10" s="87"/>
      <c r="E10" s="87"/>
      <c r="F10" s="87"/>
      <c r="G10" s="87"/>
      <c r="H10" s="87"/>
    </row>
    <row r="11" spans="1:8" x14ac:dyDescent="0.2">
      <c r="A11" s="87"/>
      <c r="C11" s="88" t="s">
        <v>119</v>
      </c>
      <c r="D11" s="87"/>
      <c r="E11" s="87">
        <f>E87</f>
        <v>1013060.38</v>
      </c>
      <c r="F11" s="87"/>
      <c r="G11" s="87"/>
      <c r="H11" s="87"/>
    </row>
    <row r="12" spans="1:8" x14ac:dyDescent="0.2">
      <c r="A12" s="87"/>
      <c r="C12" s="87"/>
      <c r="D12" s="87"/>
      <c r="E12" s="87"/>
      <c r="F12" s="87"/>
      <c r="G12" s="87"/>
      <c r="H12" s="87"/>
    </row>
    <row r="13" spans="1:8" x14ac:dyDescent="0.2">
      <c r="A13" s="87"/>
      <c r="C13" s="88" t="s">
        <v>120</v>
      </c>
      <c r="D13" s="87"/>
      <c r="E13" s="89">
        <f>E111</f>
        <v>210303</v>
      </c>
      <c r="F13" s="87"/>
      <c r="G13" s="87"/>
      <c r="H13" s="87"/>
    </row>
    <row r="14" spans="1:8" x14ac:dyDescent="0.2">
      <c r="A14" s="87"/>
      <c r="C14" s="87"/>
      <c r="D14" s="87"/>
      <c r="E14" s="87"/>
      <c r="F14" s="87"/>
      <c r="G14" s="87"/>
      <c r="H14" s="87"/>
    </row>
    <row r="15" spans="1:8" x14ac:dyDescent="0.2">
      <c r="A15" s="87"/>
      <c r="C15" s="88" t="s">
        <v>121</v>
      </c>
      <c r="D15" s="87"/>
      <c r="E15" s="87"/>
      <c r="F15" s="87">
        <f>SUM(E9:E13)</f>
        <v>2707824.38</v>
      </c>
      <c r="G15" s="87" t="str">
        <f>IF(F15=F16,"","Error")</f>
        <v/>
      </c>
      <c r="H15" s="87"/>
    </row>
    <row r="16" spans="1:8" x14ac:dyDescent="0.2">
      <c r="A16" s="87"/>
      <c r="C16" s="87"/>
      <c r="D16" s="87"/>
      <c r="E16" s="87"/>
      <c r="F16" s="182">
        <f>F39+F64+F89+F113+F162</f>
        <v>2707824.38</v>
      </c>
      <c r="G16" s="87"/>
      <c r="H16" s="87"/>
    </row>
    <row r="17" spans="1:8" x14ac:dyDescent="0.2">
      <c r="A17" s="87"/>
      <c r="C17" s="126" t="s">
        <v>122</v>
      </c>
      <c r="D17" s="87"/>
      <c r="E17" s="87"/>
      <c r="F17" s="87"/>
      <c r="G17" s="87"/>
      <c r="H17" s="87"/>
    </row>
    <row r="18" spans="1:8" x14ac:dyDescent="0.2">
      <c r="A18" s="87"/>
      <c r="C18" s="88" t="s">
        <v>123</v>
      </c>
      <c r="D18" s="87"/>
      <c r="E18" s="87">
        <f>E43+E68+E92+E117+E141+E165</f>
        <v>7552093.21</v>
      </c>
      <c r="F18" s="87"/>
      <c r="G18" s="87"/>
      <c r="H18" s="87"/>
    </row>
    <row r="19" spans="1:8" x14ac:dyDescent="0.2">
      <c r="A19" s="87"/>
      <c r="C19" s="87"/>
      <c r="D19" s="87"/>
      <c r="E19" s="87"/>
      <c r="F19" s="87"/>
      <c r="G19" s="87"/>
      <c r="H19" s="87"/>
    </row>
    <row r="20" spans="1:8" x14ac:dyDescent="0.2">
      <c r="A20" s="87"/>
      <c r="C20" s="88" t="s">
        <v>124</v>
      </c>
      <c r="D20" s="87"/>
      <c r="E20" s="87">
        <f>E45+E70+E94+E119+E143+E167</f>
        <v>5890463.0299999993</v>
      </c>
      <c r="F20" s="87"/>
      <c r="G20" s="87"/>
      <c r="H20" s="87"/>
    </row>
    <row r="21" spans="1:8" x14ac:dyDescent="0.2">
      <c r="A21" s="87"/>
      <c r="C21" s="87"/>
      <c r="D21" s="87"/>
      <c r="E21" s="87"/>
      <c r="F21" s="87"/>
      <c r="G21" s="87"/>
      <c r="H21" s="87"/>
    </row>
    <row r="22" spans="1:8" x14ac:dyDescent="0.2">
      <c r="A22" s="87"/>
      <c r="C22" s="88" t="s">
        <v>125</v>
      </c>
      <c r="D22" s="87"/>
      <c r="E22" s="87">
        <f>E47+E72+E96+E121+E145+E169</f>
        <v>9992762.5099999998</v>
      </c>
      <c r="F22" s="87"/>
      <c r="G22" s="87"/>
      <c r="H22" s="87"/>
    </row>
    <row r="23" spans="1:8" x14ac:dyDescent="0.2">
      <c r="A23" s="87"/>
      <c r="C23" s="87"/>
      <c r="D23" s="87"/>
      <c r="E23" s="87"/>
      <c r="F23" s="87"/>
      <c r="G23" s="87"/>
      <c r="H23" s="87"/>
    </row>
    <row r="24" spans="1:8" x14ac:dyDescent="0.2">
      <c r="A24" s="87"/>
      <c r="C24" s="88" t="s">
        <v>126</v>
      </c>
      <c r="D24" s="87"/>
      <c r="E24" s="87">
        <f>E49+E74+E98+E123+E147+E171</f>
        <v>2011936.84</v>
      </c>
      <c r="F24" s="87"/>
      <c r="G24" s="87"/>
      <c r="H24" s="87"/>
    </row>
    <row r="25" spans="1:8" x14ac:dyDescent="0.2">
      <c r="A25" s="87"/>
      <c r="C25" s="87"/>
      <c r="D25" s="87"/>
      <c r="E25" s="87"/>
      <c r="F25" s="87"/>
      <c r="G25" s="87"/>
      <c r="H25" s="87"/>
    </row>
    <row r="26" spans="1:8" x14ac:dyDescent="0.2">
      <c r="A26" s="87"/>
      <c r="C26" s="88" t="s">
        <v>127</v>
      </c>
      <c r="D26" s="87"/>
      <c r="E26" s="87"/>
      <c r="F26" s="89">
        <f>ROUND(SUM(E18:E24),2)</f>
        <v>25447255.59</v>
      </c>
      <c r="G26" s="87" t="str">
        <f>IF(F26=F27,"","Error")</f>
        <v/>
      </c>
      <c r="H26" s="87"/>
    </row>
    <row r="27" spans="1:8" x14ac:dyDescent="0.2">
      <c r="A27" s="87"/>
      <c r="C27" s="87"/>
      <c r="D27" s="87"/>
      <c r="E27" s="87"/>
      <c r="F27" s="182">
        <f>F51+F76+F100+F125+F149+F173</f>
        <v>25447255.59</v>
      </c>
      <c r="G27" s="87"/>
      <c r="H27" s="87"/>
    </row>
    <row r="28" spans="1:8" ht="13.5" thickBot="1" x14ac:dyDescent="0.25">
      <c r="A28" s="87"/>
      <c r="C28" s="126" t="s">
        <v>128</v>
      </c>
      <c r="D28" s="87"/>
      <c r="E28" s="87"/>
      <c r="F28" s="90">
        <f>F15+F26</f>
        <v>28155079.969999999</v>
      </c>
      <c r="G28" s="87" t="str">
        <f>IF(F28=F29,"","Error")</f>
        <v/>
      </c>
      <c r="H28" s="87"/>
    </row>
    <row r="29" spans="1:8" ht="13.5" thickTop="1" x14ac:dyDescent="0.2">
      <c r="A29" s="87"/>
      <c r="B29" s="126"/>
      <c r="C29" s="87"/>
      <c r="D29" s="87"/>
      <c r="E29" s="91"/>
      <c r="F29" s="182">
        <f>F53+F78+F102+F127+F151+F175</f>
        <v>28155079.969999999</v>
      </c>
      <c r="G29" s="87"/>
      <c r="H29" s="87"/>
    </row>
    <row r="30" spans="1:8" x14ac:dyDescent="0.2">
      <c r="A30" s="87"/>
      <c r="B30" s="87"/>
      <c r="C30" s="87"/>
      <c r="D30" s="87"/>
      <c r="E30" s="87"/>
      <c r="F30" s="87"/>
      <c r="G30" s="87"/>
      <c r="H30" s="87"/>
    </row>
    <row r="31" spans="1:8" x14ac:dyDescent="0.2">
      <c r="A31" s="701" t="s">
        <v>528</v>
      </c>
      <c r="B31" s="701"/>
      <c r="C31" s="701"/>
      <c r="D31" s="701"/>
      <c r="E31" s="701"/>
      <c r="F31" s="701"/>
      <c r="G31" s="701"/>
      <c r="H31" s="701"/>
    </row>
    <row r="32" spans="1:8" x14ac:dyDescent="0.2">
      <c r="A32" s="701" t="s">
        <v>91</v>
      </c>
      <c r="B32" s="701"/>
      <c r="C32" s="701"/>
      <c r="D32" s="701"/>
      <c r="E32" s="701"/>
      <c r="F32" s="701"/>
      <c r="G32" s="701"/>
      <c r="H32" s="701"/>
    </row>
    <row r="33" spans="1:8" x14ac:dyDescent="0.2">
      <c r="A33" s="701" t="s">
        <v>99</v>
      </c>
      <c r="B33" s="701"/>
      <c r="C33" s="701"/>
      <c r="D33" s="701"/>
      <c r="E33" s="701"/>
      <c r="F33" s="701"/>
      <c r="G33" s="701"/>
      <c r="H33" s="701"/>
    </row>
    <row r="34" spans="1:8" x14ac:dyDescent="0.2">
      <c r="A34" s="87"/>
      <c r="B34" s="87"/>
      <c r="C34" s="87"/>
      <c r="D34" s="87"/>
      <c r="E34" s="87"/>
      <c r="F34" s="87"/>
      <c r="G34" s="87"/>
      <c r="H34" s="87"/>
    </row>
    <row r="35" spans="1:8" x14ac:dyDescent="0.2">
      <c r="A35" s="87"/>
      <c r="B35" s="87"/>
      <c r="C35" s="87"/>
      <c r="D35" s="87"/>
      <c r="E35" s="87"/>
      <c r="F35" s="87"/>
      <c r="G35" s="87"/>
      <c r="H35" s="87"/>
    </row>
    <row r="36" spans="1:8" x14ac:dyDescent="0.2">
      <c r="A36" s="87"/>
      <c r="C36" s="126" t="s">
        <v>129</v>
      </c>
      <c r="D36" s="87"/>
      <c r="E36" s="87"/>
      <c r="F36" s="87"/>
      <c r="G36" s="87"/>
      <c r="H36" s="87"/>
    </row>
    <row r="37" spans="1:8" x14ac:dyDescent="0.2">
      <c r="A37" s="87"/>
      <c r="C37" s="88" t="s">
        <v>130</v>
      </c>
      <c r="D37" s="87"/>
      <c r="E37" s="87">
        <v>0</v>
      </c>
      <c r="F37" s="87"/>
      <c r="G37" s="87"/>
      <c r="H37" s="87"/>
    </row>
    <row r="38" spans="1:8" x14ac:dyDescent="0.2">
      <c r="A38" s="87"/>
      <c r="C38" s="87"/>
      <c r="D38" s="87"/>
      <c r="E38" s="89"/>
      <c r="F38" s="87"/>
      <c r="G38" s="87"/>
      <c r="H38" s="87"/>
    </row>
    <row r="39" spans="1:8" x14ac:dyDescent="0.2">
      <c r="A39" s="87"/>
      <c r="C39" s="88" t="s">
        <v>131</v>
      </c>
      <c r="D39" s="87"/>
      <c r="E39" s="87"/>
      <c r="F39" s="87">
        <f>E37</f>
        <v>0</v>
      </c>
      <c r="G39" s="87"/>
      <c r="H39" s="87"/>
    </row>
    <row r="40" spans="1:8" x14ac:dyDescent="0.2">
      <c r="A40" s="87"/>
      <c r="C40" s="87"/>
      <c r="D40" s="87"/>
      <c r="E40" s="87"/>
      <c r="F40" s="87"/>
      <c r="G40" s="87"/>
      <c r="H40" s="87"/>
    </row>
    <row r="41" spans="1:8" x14ac:dyDescent="0.2">
      <c r="A41" s="87"/>
      <c r="C41" s="87"/>
      <c r="D41" s="87"/>
      <c r="E41" s="87"/>
      <c r="F41" s="87"/>
      <c r="G41" s="87"/>
      <c r="H41" s="87"/>
    </row>
    <row r="42" spans="1:8" x14ac:dyDescent="0.2">
      <c r="A42" s="87"/>
      <c r="C42" s="126" t="s">
        <v>132</v>
      </c>
      <c r="D42" s="87"/>
      <c r="E42" s="87"/>
      <c r="F42" s="87"/>
      <c r="G42" s="87"/>
      <c r="H42" s="87"/>
    </row>
    <row r="43" spans="1:8" x14ac:dyDescent="0.2">
      <c r="A43" s="87"/>
      <c r="C43" s="88" t="s">
        <v>123</v>
      </c>
      <c r="D43" s="87"/>
      <c r="E43" s="87">
        <v>6862309.21</v>
      </c>
      <c r="F43" s="87"/>
      <c r="G43" s="87"/>
      <c r="H43" s="87"/>
    </row>
    <row r="44" spans="1:8" x14ac:dyDescent="0.2">
      <c r="A44" s="87"/>
      <c r="C44" s="87"/>
      <c r="D44" s="87"/>
      <c r="E44" s="87"/>
      <c r="F44" s="87"/>
      <c r="G44" s="87"/>
      <c r="H44" s="87"/>
    </row>
    <row r="45" spans="1:8" x14ac:dyDescent="0.2">
      <c r="A45" s="87"/>
      <c r="C45" s="88" t="s">
        <v>124</v>
      </c>
      <c r="D45" s="87"/>
      <c r="E45" s="87">
        <v>4578123.68</v>
      </c>
      <c r="F45" s="87"/>
      <c r="G45" s="87"/>
      <c r="H45" s="87"/>
    </row>
    <row r="46" spans="1:8" x14ac:dyDescent="0.2">
      <c r="A46" s="87"/>
      <c r="C46" s="87"/>
      <c r="D46" s="87"/>
      <c r="E46" s="87"/>
      <c r="F46" s="87"/>
      <c r="G46" s="87"/>
      <c r="H46" s="87"/>
    </row>
    <row r="47" spans="1:8" x14ac:dyDescent="0.2">
      <c r="A47" s="87"/>
      <c r="C47" s="88" t="s">
        <v>125</v>
      </c>
      <c r="D47" s="87"/>
      <c r="E47" s="87">
        <v>8677400.5099999998</v>
      </c>
      <c r="F47" s="87"/>
      <c r="G47" s="87"/>
      <c r="H47" s="87"/>
    </row>
    <row r="48" spans="1:8" x14ac:dyDescent="0.2">
      <c r="A48" s="87"/>
      <c r="C48" s="87"/>
      <c r="D48" s="87"/>
      <c r="E48" s="87"/>
      <c r="F48" s="87"/>
      <c r="G48" s="87"/>
      <c r="H48" s="87"/>
    </row>
    <row r="49" spans="1:8" x14ac:dyDescent="0.2">
      <c r="A49" s="87"/>
      <c r="C49" s="88" t="s">
        <v>126</v>
      </c>
      <c r="D49" s="87"/>
      <c r="E49" s="89">
        <v>1990148.84</v>
      </c>
      <c r="F49" s="87"/>
      <c r="G49" s="87"/>
      <c r="H49" s="87"/>
    </row>
    <row r="50" spans="1:8" x14ac:dyDescent="0.2">
      <c r="A50" s="87"/>
      <c r="C50" s="87"/>
      <c r="D50" s="87"/>
      <c r="E50" s="87"/>
      <c r="F50" s="87"/>
      <c r="G50" s="87"/>
      <c r="H50" s="87"/>
    </row>
    <row r="51" spans="1:8" x14ac:dyDescent="0.2">
      <c r="A51" s="87"/>
      <c r="C51" s="88" t="s">
        <v>127</v>
      </c>
      <c r="D51" s="87"/>
      <c r="E51" s="87"/>
      <c r="F51" s="89">
        <f>SUM(E43:E49)</f>
        <v>22107982.239999998</v>
      </c>
      <c r="G51" s="87"/>
      <c r="H51" s="87"/>
    </row>
    <row r="52" spans="1:8" x14ac:dyDescent="0.2">
      <c r="A52" s="87"/>
      <c r="C52" s="87"/>
      <c r="D52" s="87"/>
      <c r="E52" s="87"/>
      <c r="F52" s="87"/>
      <c r="G52" s="87"/>
      <c r="H52" s="87"/>
    </row>
    <row r="53" spans="1:8" ht="13.5" thickBot="1" x14ac:dyDescent="0.25">
      <c r="A53" s="87"/>
      <c r="C53" s="126" t="s">
        <v>133</v>
      </c>
      <c r="D53" s="87"/>
      <c r="E53" s="87"/>
      <c r="F53" s="90">
        <f>SUM(F36:F51)</f>
        <v>22107982.239999998</v>
      </c>
      <c r="G53" s="87"/>
      <c r="H53" s="87"/>
    </row>
    <row r="54" spans="1:8" ht="13.5" thickTop="1" x14ac:dyDescent="0.2">
      <c r="A54" s="87"/>
      <c r="B54" s="126"/>
      <c r="C54" s="87"/>
      <c r="D54" s="87"/>
      <c r="E54" s="91"/>
      <c r="F54" s="87"/>
      <c r="G54" s="87"/>
      <c r="H54" s="87"/>
    </row>
    <row r="55" spans="1:8" x14ac:dyDescent="0.2">
      <c r="A55" s="87"/>
      <c r="B55" s="126"/>
      <c r="C55" s="87"/>
      <c r="D55" s="87"/>
      <c r="E55" s="91"/>
      <c r="F55" s="87"/>
      <c r="G55" s="87"/>
      <c r="H55" s="87"/>
    </row>
    <row r="56" spans="1:8" x14ac:dyDescent="0.2">
      <c r="A56" s="87"/>
      <c r="B56" s="126"/>
      <c r="C56" s="87"/>
      <c r="D56" s="87"/>
      <c r="E56" s="91"/>
      <c r="F56" s="87"/>
      <c r="G56" s="87"/>
      <c r="H56" s="87"/>
    </row>
    <row r="57" spans="1:8" x14ac:dyDescent="0.2">
      <c r="A57" s="701" t="s">
        <v>528</v>
      </c>
      <c r="B57" s="701"/>
      <c r="C57" s="701"/>
      <c r="D57" s="701"/>
      <c r="E57" s="701"/>
      <c r="F57" s="701"/>
      <c r="G57" s="701"/>
      <c r="H57" s="701"/>
    </row>
    <row r="58" spans="1:8" x14ac:dyDescent="0.2">
      <c r="A58" s="701" t="s">
        <v>91</v>
      </c>
      <c r="B58" s="701"/>
      <c r="C58" s="701"/>
      <c r="D58" s="701"/>
      <c r="E58" s="701"/>
      <c r="F58" s="701"/>
      <c r="G58" s="701"/>
      <c r="H58" s="701"/>
    </row>
    <row r="59" spans="1:8" x14ac:dyDescent="0.2">
      <c r="A59" s="701" t="s">
        <v>134</v>
      </c>
      <c r="B59" s="701"/>
      <c r="C59" s="701"/>
      <c r="D59" s="701"/>
      <c r="E59" s="701"/>
      <c r="F59" s="701"/>
      <c r="G59" s="701"/>
      <c r="H59" s="701"/>
    </row>
    <row r="60" spans="1:8" x14ac:dyDescent="0.2">
      <c r="A60" s="87"/>
      <c r="B60" s="87"/>
      <c r="C60" s="87"/>
      <c r="D60" s="87"/>
      <c r="E60" s="87"/>
      <c r="F60" s="87"/>
      <c r="G60" s="87"/>
      <c r="H60" s="87"/>
    </row>
    <row r="61" spans="1:8" x14ac:dyDescent="0.2">
      <c r="A61" s="87"/>
      <c r="C61" s="126" t="s">
        <v>135</v>
      </c>
      <c r="D61" s="87"/>
      <c r="E61" s="87"/>
      <c r="F61" s="87"/>
      <c r="G61" s="87"/>
      <c r="H61" s="87"/>
    </row>
    <row r="62" spans="1:8" x14ac:dyDescent="0.2">
      <c r="A62" s="87"/>
      <c r="C62" s="88" t="s">
        <v>130</v>
      </c>
      <c r="D62" s="87"/>
      <c r="E62" s="89">
        <v>0</v>
      </c>
      <c r="F62" s="87"/>
      <c r="G62" s="87"/>
      <c r="H62" s="87"/>
    </row>
    <row r="63" spans="1:8" x14ac:dyDescent="0.2">
      <c r="A63" s="87"/>
      <c r="C63" s="87"/>
      <c r="D63" s="87"/>
      <c r="E63" s="87"/>
      <c r="F63" s="87"/>
      <c r="G63" s="87"/>
      <c r="H63" s="87"/>
    </row>
    <row r="64" spans="1:8" x14ac:dyDescent="0.2">
      <c r="A64" s="87"/>
      <c r="C64" s="88" t="s">
        <v>121</v>
      </c>
      <c r="D64" s="87"/>
      <c r="E64" s="87"/>
      <c r="F64" s="89">
        <f>E62</f>
        <v>0</v>
      </c>
      <c r="G64" s="87"/>
      <c r="H64" s="87"/>
    </row>
    <row r="65" spans="1:8" x14ac:dyDescent="0.2">
      <c r="A65" s="87"/>
      <c r="C65" s="87"/>
      <c r="D65" s="87"/>
      <c r="E65" s="87"/>
      <c r="F65" s="87"/>
      <c r="G65" s="87"/>
      <c r="H65" s="87"/>
    </row>
    <row r="66" spans="1:8" x14ac:dyDescent="0.2">
      <c r="A66" s="87"/>
      <c r="C66" s="87"/>
      <c r="D66" s="87"/>
      <c r="E66" s="87"/>
      <c r="F66" s="87"/>
      <c r="G66" s="87"/>
      <c r="H66" s="87"/>
    </row>
    <row r="67" spans="1:8" x14ac:dyDescent="0.2">
      <c r="A67" s="87"/>
      <c r="C67" s="126" t="s">
        <v>132</v>
      </c>
      <c r="D67" s="87"/>
      <c r="E67" s="87"/>
      <c r="F67" s="87"/>
      <c r="G67" s="87"/>
      <c r="H67" s="87"/>
    </row>
    <row r="68" spans="1:8" x14ac:dyDescent="0.2">
      <c r="A68" s="87"/>
      <c r="C68" s="88" t="s">
        <v>123</v>
      </c>
      <c r="D68" s="87"/>
      <c r="E68" s="87">
        <v>0</v>
      </c>
      <c r="F68" s="87"/>
      <c r="G68" s="87"/>
      <c r="H68" s="87"/>
    </row>
    <row r="69" spans="1:8" x14ac:dyDescent="0.2">
      <c r="A69" s="87"/>
      <c r="C69" s="87"/>
      <c r="D69" s="87"/>
      <c r="E69" s="87"/>
      <c r="F69" s="87"/>
      <c r="G69" s="87"/>
      <c r="H69" s="87"/>
    </row>
    <row r="70" spans="1:8" x14ac:dyDescent="0.2">
      <c r="A70" s="87"/>
      <c r="C70" s="88" t="s">
        <v>124</v>
      </c>
      <c r="D70" s="87"/>
      <c r="E70" s="87">
        <v>322249</v>
      </c>
      <c r="F70" s="87"/>
      <c r="G70" s="87"/>
      <c r="H70" s="87"/>
    </row>
    <row r="71" spans="1:8" x14ac:dyDescent="0.2">
      <c r="A71" s="87"/>
      <c r="C71" s="87"/>
      <c r="D71" s="87"/>
      <c r="E71" s="87"/>
      <c r="F71" s="87"/>
      <c r="G71" s="87"/>
      <c r="H71" s="87"/>
    </row>
    <row r="72" spans="1:8" x14ac:dyDescent="0.2">
      <c r="A72" s="87"/>
      <c r="C72" s="88" t="s">
        <v>125</v>
      </c>
      <c r="D72" s="87"/>
      <c r="E72" s="87">
        <v>0</v>
      </c>
      <c r="F72" s="87"/>
      <c r="G72" s="87"/>
      <c r="H72" s="87"/>
    </row>
    <row r="73" spans="1:8" x14ac:dyDescent="0.2">
      <c r="A73" s="87"/>
      <c r="C73" s="87"/>
      <c r="D73" s="87"/>
      <c r="E73" s="87"/>
      <c r="F73" s="87"/>
      <c r="G73" s="87"/>
      <c r="H73" s="87"/>
    </row>
    <row r="74" spans="1:8" x14ac:dyDescent="0.2">
      <c r="A74" s="87"/>
      <c r="C74" s="88" t="s">
        <v>126</v>
      </c>
      <c r="D74" s="87"/>
      <c r="E74" s="89">
        <v>0</v>
      </c>
      <c r="F74" s="87"/>
      <c r="G74" s="87"/>
      <c r="H74" s="87"/>
    </row>
    <row r="75" spans="1:8" x14ac:dyDescent="0.2">
      <c r="A75" s="87"/>
      <c r="C75" s="87"/>
      <c r="D75" s="87"/>
      <c r="E75" s="87"/>
      <c r="F75" s="87"/>
      <c r="G75" s="87"/>
      <c r="H75" s="87"/>
    </row>
    <row r="76" spans="1:8" x14ac:dyDescent="0.2">
      <c r="A76" s="87"/>
      <c r="C76" s="88" t="s">
        <v>127</v>
      </c>
      <c r="D76" s="87"/>
      <c r="E76" s="87"/>
      <c r="F76" s="89">
        <f>SUM(E68:E74)</f>
        <v>322249</v>
      </c>
      <c r="G76" s="87"/>
      <c r="H76" s="87"/>
    </row>
    <row r="77" spans="1:8" x14ac:dyDescent="0.2">
      <c r="A77" s="87"/>
      <c r="C77" s="87"/>
      <c r="D77" s="87"/>
      <c r="E77" s="87"/>
      <c r="F77" s="87"/>
      <c r="G77" s="87"/>
      <c r="H77" s="87"/>
    </row>
    <row r="78" spans="1:8" ht="13.5" thickBot="1" x14ac:dyDescent="0.25">
      <c r="A78" s="87"/>
      <c r="C78" s="126" t="s">
        <v>1101</v>
      </c>
      <c r="D78" s="87"/>
      <c r="E78" s="87"/>
      <c r="F78" s="90">
        <f>SUM(F61:F76)</f>
        <v>322249</v>
      </c>
      <c r="G78" s="87"/>
      <c r="H78" s="87"/>
    </row>
    <row r="79" spans="1:8" ht="13.5" thickTop="1" x14ac:dyDescent="0.2">
      <c r="A79" s="87"/>
      <c r="B79" s="126"/>
      <c r="C79" s="87"/>
      <c r="D79" s="87"/>
      <c r="E79" s="91"/>
      <c r="F79" s="87"/>
      <c r="G79" s="87"/>
      <c r="H79" s="87"/>
    </row>
    <row r="80" spans="1:8" x14ac:dyDescent="0.2">
      <c r="A80" s="87"/>
      <c r="B80" s="126"/>
      <c r="C80" s="87"/>
      <c r="D80" s="87"/>
      <c r="E80" s="91"/>
      <c r="F80" s="87"/>
      <c r="G80" s="87"/>
      <c r="H80" s="87"/>
    </row>
    <row r="81" spans="1:8" x14ac:dyDescent="0.2">
      <c r="A81" s="701" t="s">
        <v>528</v>
      </c>
      <c r="B81" s="701"/>
      <c r="C81" s="701"/>
      <c r="D81" s="701"/>
      <c r="E81" s="701"/>
      <c r="F81" s="701"/>
      <c r="G81" s="701"/>
      <c r="H81" s="701"/>
    </row>
    <row r="82" spans="1:8" x14ac:dyDescent="0.2">
      <c r="A82" s="701" t="s">
        <v>91</v>
      </c>
      <c r="B82" s="701"/>
      <c r="C82" s="701"/>
      <c r="D82" s="701"/>
      <c r="E82" s="701"/>
      <c r="F82" s="701"/>
      <c r="G82" s="701"/>
      <c r="H82" s="701"/>
    </row>
    <row r="83" spans="1:8" x14ac:dyDescent="0.2">
      <c r="A83" s="701" t="s">
        <v>136</v>
      </c>
      <c r="B83" s="701"/>
      <c r="C83" s="701"/>
      <c r="D83" s="701"/>
      <c r="E83" s="701"/>
      <c r="F83" s="701"/>
      <c r="G83" s="701"/>
      <c r="H83" s="701"/>
    </row>
    <row r="84" spans="1:8" x14ac:dyDescent="0.2">
      <c r="A84" s="87"/>
      <c r="B84" s="87"/>
      <c r="C84" s="87"/>
      <c r="D84" s="87"/>
      <c r="E84" s="87"/>
      <c r="F84" s="87"/>
      <c r="G84" s="87"/>
      <c r="H84" s="87"/>
    </row>
    <row r="85" spans="1:8" x14ac:dyDescent="0.2">
      <c r="A85" s="87"/>
      <c r="B85" s="87"/>
      <c r="C85" s="87"/>
      <c r="D85" s="87"/>
      <c r="E85" s="87"/>
      <c r="F85" s="87"/>
      <c r="G85" s="87"/>
      <c r="H85" s="87"/>
    </row>
    <row r="86" spans="1:8" x14ac:dyDescent="0.2">
      <c r="A86" s="87"/>
      <c r="C86" s="126" t="s">
        <v>137</v>
      </c>
      <c r="D86" s="87"/>
      <c r="E86" s="87"/>
      <c r="F86" s="87"/>
      <c r="G86" s="87"/>
      <c r="H86" s="87"/>
    </row>
    <row r="87" spans="1:8" x14ac:dyDescent="0.2">
      <c r="A87" s="87"/>
      <c r="C87" s="88" t="s">
        <v>119</v>
      </c>
      <c r="D87" s="87"/>
      <c r="E87" s="89">
        <v>1013060.38</v>
      </c>
      <c r="F87" s="87"/>
      <c r="G87" s="87"/>
      <c r="H87" s="87"/>
    </row>
    <row r="88" spans="1:8" x14ac:dyDescent="0.2">
      <c r="A88" s="87"/>
      <c r="C88" s="87"/>
      <c r="D88" s="87"/>
      <c r="E88" s="87"/>
      <c r="F88" s="87"/>
      <c r="G88" s="87"/>
      <c r="H88" s="87"/>
    </row>
    <row r="89" spans="1:8" x14ac:dyDescent="0.2">
      <c r="A89" s="87"/>
      <c r="C89" s="88" t="s">
        <v>121</v>
      </c>
      <c r="D89" s="87"/>
      <c r="E89" s="87"/>
      <c r="F89" s="89">
        <f>E87</f>
        <v>1013060.38</v>
      </c>
      <c r="G89" s="87"/>
      <c r="H89" s="87"/>
    </row>
    <row r="90" spans="1:8" x14ac:dyDescent="0.2">
      <c r="A90" s="87"/>
      <c r="C90" s="87"/>
      <c r="D90" s="87"/>
      <c r="E90" s="87"/>
      <c r="F90" s="87"/>
      <c r="G90" s="87"/>
      <c r="H90" s="87"/>
    </row>
    <row r="91" spans="1:8" x14ac:dyDescent="0.2">
      <c r="A91" s="87"/>
      <c r="C91" s="126" t="s">
        <v>132</v>
      </c>
      <c r="D91" s="87"/>
      <c r="E91" s="87"/>
      <c r="F91" s="87"/>
      <c r="G91" s="87"/>
      <c r="H91" s="87"/>
    </row>
    <row r="92" spans="1:8" x14ac:dyDescent="0.2">
      <c r="A92" s="87"/>
      <c r="C92" s="88" t="s">
        <v>138</v>
      </c>
      <c r="D92" s="87"/>
      <c r="E92" s="87">
        <v>0</v>
      </c>
      <c r="F92" s="87"/>
      <c r="G92" s="87"/>
      <c r="H92" s="87"/>
    </row>
    <row r="93" spans="1:8" x14ac:dyDescent="0.2">
      <c r="A93" s="87"/>
      <c r="C93" s="87"/>
      <c r="D93" s="87"/>
      <c r="E93" s="87"/>
      <c r="F93" s="87"/>
      <c r="G93" s="87"/>
      <c r="H93" s="87"/>
    </row>
    <row r="94" spans="1:8" x14ac:dyDescent="0.2">
      <c r="A94" s="87"/>
      <c r="C94" s="88" t="s">
        <v>124</v>
      </c>
      <c r="D94" s="87"/>
      <c r="E94" s="87">
        <v>22750.35</v>
      </c>
      <c r="F94" s="87"/>
      <c r="G94" s="87"/>
      <c r="H94" s="87"/>
    </row>
    <row r="95" spans="1:8" x14ac:dyDescent="0.2">
      <c r="A95" s="87"/>
      <c r="C95" s="87"/>
      <c r="D95" s="87"/>
      <c r="E95" s="87"/>
      <c r="F95" s="87"/>
      <c r="G95" s="87"/>
      <c r="H95" s="87"/>
    </row>
    <row r="96" spans="1:8" x14ac:dyDescent="0.2">
      <c r="A96" s="87"/>
      <c r="C96" s="88" t="s">
        <v>125</v>
      </c>
      <c r="D96" s="87"/>
      <c r="E96" s="87">
        <v>0</v>
      </c>
      <c r="F96" s="87"/>
      <c r="G96" s="87"/>
      <c r="H96" s="87"/>
    </row>
    <row r="97" spans="1:8" x14ac:dyDescent="0.2">
      <c r="A97" s="87"/>
      <c r="C97" s="87"/>
      <c r="D97" s="87"/>
      <c r="E97" s="87"/>
      <c r="F97" s="87"/>
      <c r="G97" s="87"/>
      <c r="H97" s="87"/>
    </row>
    <row r="98" spans="1:8" x14ac:dyDescent="0.2">
      <c r="A98" s="87"/>
      <c r="C98" s="88" t="s">
        <v>126</v>
      </c>
      <c r="D98" s="87"/>
      <c r="E98" s="89">
        <v>0</v>
      </c>
      <c r="F98" s="87"/>
      <c r="G98" s="87"/>
      <c r="H98" s="87"/>
    </row>
    <row r="99" spans="1:8" x14ac:dyDescent="0.2">
      <c r="A99" s="87"/>
      <c r="C99" s="87"/>
      <c r="D99" s="87"/>
      <c r="E99" s="87"/>
      <c r="F99" s="87"/>
      <c r="G99" s="87"/>
      <c r="H99" s="87"/>
    </row>
    <row r="100" spans="1:8" x14ac:dyDescent="0.2">
      <c r="A100" s="87"/>
      <c r="C100" s="88" t="s">
        <v>127</v>
      </c>
      <c r="D100" s="87"/>
      <c r="E100" s="87"/>
      <c r="F100" s="89">
        <f>SUM(E92:E98)</f>
        <v>22750.35</v>
      </c>
      <c r="G100" s="87"/>
      <c r="H100" s="87"/>
    </row>
    <row r="101" spans="1:8" x14ac:dyDescent="0.2">
      <c r="A101" s="87"/>
      <c r="C101" s="87"/>
      <c r="D101" s="87"/>
      <c r="E101" s="87"/>
      <c r="F101" s="87"/>
      <c r="G101" s="87"/>
      <c r="H101" s="87"/>
    </row>
    <row r="102" spans="1:8" ht="13.5" thickBot="1" x14ac:dyDescent="0.25">
      <c r="A102" s="87"/>
      <c r="C102" s="126" t="s">
        <v>139</v>
      </c>
      <c r="D102" s="87"/>
      <c r="E102" s="87"/>
      <c r="F102" s="90">
        <f>SUM(F86:F100)</f>
        <v>1035810.73</v>
      </c>
      <c r="G102" s="87"/>
      <c r="H102" s="87"/>
    </row>
    <row r="103" spans="1:8" ht="13.5" thickTop="1" x14ac:dyDescent="0.2">
      <c r="A103" s="87"/>
      <c r="B103" s="126"/>
      <c r="C103" s="87"/>
      <c r="D103" s="87"/>
      <c r="E103" s="91"/>
      <c r="F103" s="87"/>
      <c r="G103" s="87"/>
      <c r="H103" s="87"/>
    </row>
    <row r="104" spans="1:8" x14ac:dyDescent="0.2">
      <c r="A104" s="88"/>
      <c r="B104" s="87"/>
      <c r="C104" s="87"/>
      <c r="D104" s="87"/>
      <c r="E104" s="87"/>
      <c r="F104" s="87"/>
      <c r="G104" s="87"/>
      <c r="H104" s="87"/>
    </row>
    <row r="105" spans="1:8" x14ac:dyDescent="0.2">
      <c r="A105" s="701" t="s">
        <v>528</v>
      </c>
      <c r="B105" s="701"/>
      <c r="C105" s="701"/>
      <c r="D105" s="701"/>
      <c r="E105" s="701"/>
      <c r="F105" s="701"/>
      <c r="G105" s="701"/>
      <c r="H105" s="701"/>
    </row>
    <row r="106" spans="1:8" x14ac:dyDescent="0.2">
      <c r="A106" s="701" t="s">
        <v>91</v>
      </c>
      <c r="B106" s="701"/>
      <c r="C106" s="701"/>
      <c r="D106" s="701"/>
      <c r="E106" s="701"/>
      <c r="F106" s="701"/>
      <c r="G106" s="701"/>
      <c r="H106" s="701"/>
    </row>
    <row r="107" spans="1:8" x14ac:dyDescent="0.2">
      <c r="A107" s="701" t="s">
        <v>100</v>
      </c>
      <c r="B107" s="701"/>
      <c r="C107" s="701"/>
      <c r="D107" s="701"/>
      <c r="E107" s="701"/>
      <c r="F107" s="701"/>
      <c r="G107" s="701"/>
      <c r="H107" s="701"/>
    </row>
    <row r="108" spans="1:8" x14ac:dyDescent="0.2">
      <c r="A108" s="87"/>
      <c r="B108" s="87"/>
      <c r="C108" s="87"/>
      <c r="D108" s="87"/>
      <c r="E108" s="87"/>
      <c r="F108" s="87"/>
      <c r="G108" s="87"/>
      <c r="H108" s="87"/>
    </row>
    <row r="109" spans="1:8" x14ac:dyDescent="0.2">
      <c r="A109" s="87"/>
      <c r="B109" s="87"/>
      <c r="C109" s="87"/>
      <c r="D109" s="87"/>
      <c r="E109" s="87"/>
      <c r="F109" s="87"/>
      <c r="G109" s="87"/>
      <c r="H109" s="87"/>
    </row>
    <row r="110" spans="1:8" x14ac:dyDescent="0.2">
      <c r="A110" s="87"/>
      <c r="C110" s="126" t="s">
        <v>140</v>
      </c>
      <c r="D110" s="87"/>
      <c r="E110" s="87"/>
      <c r="F110" s="87"/>
      <c r="G110" s="87"/>
      <c r="H110" s="87"/>
    </row>
    <row r="111" spans="1:8" x14ac:dyDescent="0.2">
      <c r="A111" s="87"/>
      <c r="C111" s="88" t="s">
        <v>120</v>
      </c>
      <c r="D111" s="87"/>
      <c r="E111" s="92">
        <v>210303</v>
      </c>
      <c r="F111" s="93"/>
      <c r="G111" s="87"/>
      <c r="H111" s="87"/>
    </row>
    <row r="112" spans="1:8" x14ac:dyDescent="0.2">
      <c r="A112" s="87"/>
      <c r="C112" s="87"/>
      <c r="D112" s="87"/>
      <c r="E112" s="93"/>
      <c r="F112" s="93"/>
      <c r="G112" s="87"/>
      <c r="H112" s="87"/>
    </row>
    <row r="113" spans="1:8" x14ac:dyDescent="0.2">
      <c r="A113" s="87"/>
      <c r="C113" s="88" t="s">
        <v>121</v>
      </c>
      <c r="D113" s="87"/>
      <c r="E113" s="93"/>
      <c r="F113" s="93">
        <f>E111</f>
        <v>210303</v>
      </c>
      <c r="G113" s="87"/>
      <c r="H113" s="87"/>
    </row>
    <row r="114" spans="1:8" x14ac:dyDescent="0.2">
      <c r="A114" s="87"/>
      <c r="C114" s="87"/>
      <c r="D114" s="87"/>
      <c r="E114" s="93"/>
      <c r="F114" s="93"/>
      <c r="G114" s="87"/>
      <c r="H114" s="87"/>
    </row>
    <row r="115" spans="1:8" x14ac:dyDescent="0.2">
      <c r="A115" s="87"/>
      <c r="C115" s="87"/>
      <c r="D115" s="87"/>
      <c r="E115" s="93"/>
      <c r="F115" s="93"/>
      <c r="G115" s="87"/>
      <c r="H115" s="87"/>
    </row>
    <row r="116" spans="1:8" x14ac:dyDescent="0.2">
      <c r="A116" s="87"/>
      <c r="C116" s="126" t="s">
        <v>132</v>
      </c>
      <c r="D116" s="87"/>
      <c r="E116" s="93"/>
      <c r="F116" s="93"/>
      <c r="G116" s="87"/>
      <c r="H116" s="87"/>
    </row>
    <row r="117" spans="1:8" x14ac:dyDescent="0.2">
      <c r="A117" s="87"/>
      <c r="C117" s="88" t="s">
        <v>123</v>
      </c>
      <c r="D117" s="87"/>
      <c r="E117" s="93">
        <v>689784</v>
      </c>
      <c r="F117" s="93"/>
      <c r="G117" s="87"/>
      <c r="H117" s="87"/>
    </row>
    <row r="118" spans="1:8" x14ac:dyDescent="0.2">
      <c r="A118" s="87"/>
      <c r="C118" s="87"/>
      <c r="D118" s="87"/>
      <c r="E118" s="93"/>
      <c r="F118" s="93"/>
      <c r="G118" s="87"/>
      <c r="H118" s="87"/>
    </row>
    <row r="119" spans="1:8" x14ac:dyDescent="0.2">
      <c r="A119" s="87"/>
      <c r="C119" s="88" t="s">
        <v>124</v>
      </c>
      <c r="D119" s="87"/>
      <c r="E119" s="93">
        <v>852346</v>
      </c>
      <c r="F119" s="93"/>
      <c r="G119" s="87"/>
      <c r="H119" s="87"/>
    </row>
    <row r="120" spans="1:8" x14ac:dyDescent="0.2">
      <c r="A120" s="87"/>
      <c r="C120" s="87"/>
      <c r="D120" s="87"/>
      <c r="E120" s="93"/>
      <c r="F120" s="93"/>
      <c r="G120" s="87"/>
      <c r="H120" s="87"/>
    </row>
    <row r="121" spans="1:8" x14ac:dyDescent="0.2">
      <c r="A121" s="87"/>
      <c r="C121" s="88" t="s">
        <v>125</v>
      </c>
      <c r="D121" s="87"/>
      <c r="E121" s="93">
        <v>1315362</v>
      </c>
      <c r="F121" s="93"/>
      <c r="G121" s="87"/>
      <c r="H121" s="87"/>
    </row>
    <row r="122" spans="1:8" x14ac:dyDescent="0.2">
      <c r="A122" s="87"/>
      <c r="C122" s="87"/>
      <c r="D122" s="87"/>
      <c r="E122" s="93"/>
      <c r="F122" s="93"/>
      <c r="G122" s="87"/>
      <c r="H122" s="87"/>
    </row>
    <row r="123" spans="1:8" x14ac:dyDescent="0.2">
      <c r="A123" s="87"/>
      <c r="C123" s="88" t="s">
        <v>126</v>
      </c>
      <c r="D123" s="87"/>
      <c r="E123" s="92">
        <v>21788</v>
      </c>
      <c r="F123" s="93"/>
      <c r="G123" s="87"/>
      <c r="H123" s="87"/>
    </row>
    <row r="124" spans="1:8" x14ac:dyDescent="0.2">
      <c r="A124" s="87"/>
      <c r="C124" s="87"/>
      <c r="D124" s="87"/>
      <c r="E124" s="93"/>
      <c r="F124" s="93"/>
      <c r="G124" s="87"/>
      <c r="H124" s="87"/>
    </row>
    <row r="125" spans="1:8" x14ac:dyDescent="0.2">
      <c r="A125" s="87"/>
      <c r="C125" s="88" t="s">
        <v>127</v>
      </c>
      <c r="D125" s="87"/>
      <c r="E125" s="93"/>
      <c r="F125" s="92">
        <f>SUM(E117:E123)</f>
        <v>2879280</v>
      </c>
      <c r="G125" s="87"/>
      <c r="H125" s="87"/>
    </row>
    <row r="126" spans="1:8" x14ac:dyDescent="0.2">
      <c r="A126" s="87"/>
      <c r="C126" s="87"/>
      <c r="D126" s="87"/>
      <c r="E126" s="93"/>
      <c r="F126" s="93"/>
      <c r="G126" s="87"/>
      <c r="H126" s="87"/>
    </row>
    <row r="127" spans="1:8" ht="13.5" thickBot="1" x14ac:dyDescent="0.25">
      <c r="A127" s="87"/>
      <c r="C127" s="126" t="s">
        <v>141</v>
      </c>
      <c r="D127" s="87"/>
      <c r="E127" s="93"/>
      <c r="F127" s="94">
        <f>F113+F125</f>
        <v>3089583</v>
      </c>
      <c r="G127" s="87"/>
      <c r="H127" s="87"/>
    </row>
    <row r="128" spans="1:8" ht="13.5" thickTop="1" x14ac:dyDescent="0.2">
      <c r="A128" s="87"/>
      <c r="B128" s="126"/>
      <c r="C128" s="87"/>
      <c r="D128" s="87"/>
      <c r="E128" s="91"/>
      <c r="F128" s="87"/>
      <c r="G128" s="87"/>
      <c r="H128" s="87"/>
    </row>
    <row r="129" spans="1:8" x14ac:dyDescent="0.2">
      <c r="A129" s="87"/>
      <c r="B129" s="126"/>
      <c r="C129" s="87"/>
      <c r="D129" s="87"/>
      <c r="E129" s="91"/>
      <c r="F129" s="87"/>
      <c r="G129" s="87"/>
      <c r="H129" s="87"/>
    </row>
    <row r="130" spans="1:8" x14ac:dyDescent="0.2">
      <c r="A130" s="701" t="s">
        <v>528</v>
      </c>
      <c r="B130" s="701"/>
      <c r="C130" s="701"/>
      <c r="D130" s="701"/>
      <c r="E130" s="701"/>
      <c r="F130" s="701"/>
      <c r="G130" s="701"/>
      <c r="H130" s="701"/>
    </row>
    <row r="131" spans="1:8" x14ac:dyDescent="0.2">
      <c r="A131" s="701" t="s">
        <v>91</v>
      </c>
      <c r="B131" s="701"/>
      <c r="C131" s="701"/>
      <c r="D131" s="701"/>
      <c r="E131" s="701"/>
      <c r="F131" s="701"/>
      <c r="G131" s="701"/>
      <c r="H131" s="701"/>
    </row>
    <row r="132" spans="1:8" x14ac:dyDescent="0.2">
      <c r="A132" s="701" t="s">
        <v>1098</v>
      </c>
      <c r="B132" s="701"/>
      <c r="C132" s="701"/>
      <c r="D132" s="701"/>
      <c r="E132" s="701"/>
      <c r="F132" s="701"/>
      <c r="G132" s="701"/>
      <c r="H132" s="701"/>
    </row>
    <row r="133" spans="1:8" x14ac:dyDescent="0.2">
      <c r="A133" s="87"/>
      <c r="B133" s="87"/>
      <c r="C133" s="87"/>
      <c r="D133" s="87"/>
      <c r="E133" s="87"/>
      <c r="F133" s="87"/>
      <c r="G133" s="87"/>
      <c r="H133" s="87"/>
    </row>
    <row r="134" spans="1:8" x14ac:dyDescent="0.2">
      <c r="A134" s="87"/>
      <c r="B134" s="87"/>
      <c r="C134" s="87"/>
      <c r="D134" s="87"/>
      <c r="E134" s="87"/>
      <c r="F134" s="87"/>
      <c r="G134" s="87"/>
      <c r="H134" s="87"/>
    </row>
    <row r="135" spans="1:8" x14ac:dyDescent="0.2">
      <c r="A135" s="87"/>
      <c r="C135" s="126" t="s">
        <v>1100</v>
      </c>
      <c r="D135" s="87"/>
      <c r="E135" s="87"/>
      <c r="F135" s="87"/>
      <c r="G135" s="87"/>
      <c r="H135" s="87"/>
    </row>
    <row r="136" spans="1:8" x14ac:dyDescent="0.2">
      <c r="A136" s="87"/>
      <c r="C136" s="88" t="s">
        <v>130</v>
      </c>
      <c r="D136" s="87"/>
      <c r="E136" s="87">
        <v>0</v>
      </c>
      <c r="F136" s="87"/>
      <c r="G136" s="87"/>
      <c r="H136" s="87"/>
    </row>
    <row r="137" spans="1:8" x14ac:dyDescent="0.2">
      <c r="A137" s="87"/>
      <c r="C137" s="87"/>
      <c r="D137" s="87"/>
      <c r="E137" s="87"/>
      <c r="F137" s="87"/>
      <c r="G137" s="87"/>
      <c r="H137" s="87"/>
    </row>
    <row r="138" spans="1:8" x14ac:dyDescent="0.2">
      <c r="A138" s="87"/>
      <c r="C138" s="88" t="s">
        <v>121</v>
      </c>
      <c r="D138" s="87"/>
      <c r="E138" s="87"/>
      <c r="F138" s="87">
        <f>E136</f>
        <v>0</v>
      </c>
      <c r="G138" s="87"/>
      <c r="H138" s="87"/>
    </row>
    <row r="139" spans="1:8" x14ac:dyDescent="0.2">
      <c r="A139" s="87"/>
      <c r="C139" s="87"/>
      <c r="D139" s="87"/>
      <c r="E139" s="87"/>
      <c r="F139" s="87"/>
      <c r="G139" s="87"/>
      <c r="H139" s="87"/>
    </row>
    <row r="140" spans="1:8" x14ac:dyDescent="0.2">
      <c r="A140" s="87"/>
      <c r="C140" s="126" t="s">
        <v>132</v>
      </c>
      <c r="D140" s="87"/>
      <c r="E140" s="87"/>
      <c r="F140" s="87"/>
      <c r="G140" s="87"/>
      <c r="H140" s="87"/>
    </row>
    <row r="141" spans="1:8" x14ac:dyDescent="0.2">
      <c r="A141" s="87"/>
      <c r="C141" s="88" t="s">
        <v>123</v>
      </c>
      <c r="D141" s="87"/>
      <c r="E141" s="87">
        <v>0</v>
      </c>
      <c r="F141" s="87"/>
      <c r="G141" s="87"/>
      <c r="H141" s="87"/>
    </row>
    <row r="142" spans="1:8" x14ac:dyDescent="0.2">
      <c r="A142" s="87"/>
      <c r="C142" s="87"/>
      <c r="D142" s="87"/>
      <c r="E142" s="87"/>
      <c r="F142" s="87"/>
      <c r="G142" s="87"/>
      <c r="H142" s="87"/>
    </row>
    <row r="143" spans="1:8" x14ac:dyDescent="0.2">
      <c r="A143" s="87"/>
      <c r="C143" s="88" t="s">
        <v>124</v>
      </c>
      <c r="D143" s="87"/>
      <c r="E143" s="87">
        <v>6000</v>
      </c>
      <c r="F143" s="87"/>
      <c r="G143" s="87"/>
      <c r="H143" s="87"/>
    </row>
    <row r="144" spans="1:8" x14ac:dyDescent="0.2">
      <c r="A144" s="87"/>
      <c r="C144" s="87"/>
      <c r="D144" s="87"/>
      <c r="E144" s="87"/>
      <c r="F144" s="87"/>
      <c r="G144" s="87"/>
      <c r="H144" s="87"/>
    </row>
    <row r="145" spans="1:8" x14ac:dyDescent="0.2">
      <c r="A145" s="87"/>
      <c r="C145" s="88" t="s">
        <v>125</v>
      </c>
      <c r="D145" s="87"/>
      <c r="E145" s="87">
        <v>0</v>
      </c>
      <c r="F145" s="87"/>
      <c r="G145" s="87"/>
      <c r="H145" s="87"/>
    </row>
    <row r="146" spans="1:8" x14ac:dyDescent="0.2">
      <c r="A146" s="87"/>
      <c r="C146" s="87"/>
      <c r="D146" s="87"/>
      <c r="E146" s="87"/>
      <c r="F146" s="87"/>
      <c r="G146" s="87"/>
      <c r="H146" s="87"/>
    </row>
    <row r="147" spans="1:8" x14ac:dyDescent="0.2">
      <c r="A147" s="87"/>
      <c r="C147" s="88" t="s">
        <v>126</v>
      </c>
      <c r="D147" s="87"/>
      <c r="E147" s="89">
        <v>0</v>
      </c>
      <c r="F147" s="87"/>
      <c r="G147" s="87"/>
      <c r="H147" s="87"/>
    </row>
    <row r="148" spans="1:8" x14ac:dyDescent="0.2">
      <c r="A148" s="87"/>
      <c r="C148" s="87"/>
      <c r="D148" s="87"/>
      <c r="E148" s="87"/>
      <c r="F148" s="87"/>
      <c r="G148" s="87"/>
      <c r="H148" s="87"/>
    </row>
    <row r="149" spans="1:8" x14ac:dyDescent="0.2">
      <c r="A149" s="87"/>
      <c r="C149" s="88" t="s">
        <v>127</v>
      </c>
      <c r="D149" s="87"/>
      <c r="E149" s="87"/>
      <c r="F149" s="96">
        <f>SUM(E141:E147)</f>
        <v>6000</v>
      </c>
      <c r="G149" s="87"/>
      <c r="H149" s="87"/>
    </row>
    <row r="150" spans="1:8" x14ac:dyDescent="0.2">
      <c r="A150" s="87"/>
      <c r="C150" s="87"/>
      <c r="D150" s="87"/>
      <c r="E150" s="87"/>
      <c r="F150" s="87"/>
      <c r="G150" s="87"/>
      <c r="H150" s="87"/>
    </row>
    <row r="151" spans="1:8" ht="13.5" thickBot="1" x14ac:dyDescent="0.25">
      <c r="A151" s="87"/>
      <c r="C151" s="126" t="s">
        <v>1099</v>
      </c>
      <c r="D151" s="87"/>
      <c r="E151" s="87"/>
      <c r="F151" s="97">
        <f>F138+F149</f>
        <v>6000</v>
      </c>
      <c r="G151" s="87"/>
      <c r="H151" s="87"/>
    </row>
    <row r="152" spans="1:8" ht="13.5" thickTop="1" x14ac:dyDescent="0.2">
      <c r="A152" s="87"/>
      <c r="B152" s="126"/>
      <c r="C152" s="87"/>
      <c r="D152" s="87"/>
      <c r="E152" s="91"/>
      <c r="F152" s="87"/>
      <c r="G152" s="87"/>
      <c r="H152" s="87"/>
    </row>
    <row r="153" spans="1:8" x14ac:dyDescent="0.2">
      <c r="A153" s="87"/>
      <c r="B153" s="126"/>
      <c r="C153" s="87"/>
      <c r="D153" s="87"/>
      <c r="E153" s="91"/>
      <c r="F153" s="87"/>
      <c r="G153" s="87"/>
      <c r="H153" s="87"/>
    </row>
    <row r="154" spans="1:8" x14ac:dyDescent="0.2">
      <c r="A154" s="701" t="s">
        <v>528</v>
      </c>
      <c r="B154" s="701"/>
      <c r="C154" s="701"/>
      <c r="D154" s="701"/>
      <c r="E154" s="701"/>
      <c r="F154" s="701"/>
      <c r="G154" s="701"/>
      <c r="H154" s="701"/>
    </row>
    <row r="155" spans="1:8" x14ac:dyDescent="0.2">
      <c r="A155" s="701" t="s">
        <v>91</v>
      </c>
      <c r="B155" s="701"/>
      <c r="C155" s="701"/>
      <c r="D155" s="701"/>
      <c r="E155" s="701"/>
      <c r="F155" s="701"/>
      <c r="G155" s="701"/>
      <c r="H155" s="701"/>
    </row>
    <row r="156" spans="1:8" x14ac:dyDescent="0.2">
      <c r="A156" s="701" t="s">
        <v>142</v>
      </c>
      <c r="B156" s="701"/>
      <c r="C156" s="701"/>
      <c r="D156" s="701"/>
      <c r="E156" s="701"/>
      <c r="F156" s="701"/>
      <c r="G156" s="701"/>
      <c r="H156" s="701"/>
    </row>
    <row r="157" spans="1:8" x14ac:dyDescent="0.2">
      <c r="A157" s="87"/>
      <c r="B157" s="87"/>
      <c r="C157" s="87"/>
      <c r="D157" s="87"/>
      <c r="E157" s="87"/>
      <c r="F157" s="87"/>
      <c r="G157" s="87"/>
      <c r="H157" s="87"/>
    </row>
    <row r="158" spans="1:8" x14ac:dyDescent="0.2">
      <c r="A158" s="87"/>
      <c r="B158" s="87"/>
      <c r="C158" s="87"/>
      <c r="D158" s="87"/>
      <c r="E158" s="87"/>
      <c r="F158" s="87"/>
      <c r="G158" s="87"/>
      <c r="H158" s="87"/>
    </row>
    <row r="159" spans="1:8" x14ac:dyDescent="0.2">
      <c r="A159" s="87"/>
      <c r="C159" s="126" t="s">
        <v>143</v>
      </c>
      <c r="D159" s="87"/>
      <c r="E159" s="87"/>
      <c r="F159" s="87"/>
      <c r="G159" s="87"/>
      <c r="H159" s="87"/>
    </row>
    <row r="160" spans="1:8" x14ac:dyDescent="0.2">
      <c r="A160" s="87"/>
      <c r="C160" s="88" t="s">
        <v>118</v>
      </c>
      <c r="D160" s="87"/>
      <c r="E160" s="87">
        <v>1484461</v>
      </c>
      <c r="F160" s="87"/>
      <c r="G160" s="87"/>
      <c r="H160" s="87"/>
    </row>
    <row r="161" spans="1:8" x14ac:dyDescent="0.2">
      <c r="A161" s="87"/>
      <c r="C161" s="87"/>
      <c r="D161" s="87"/>
      <c r="E161" s="87"/>
      <c r="F161" s="87"/>
      <c r="G161" s="87"/>
      <c r="H161" s="87"/>
    </row>
    <row r="162" spans="1:8" x14ac:dyDescent="0.2">
      <c r="A162" s="87"/>
      <c r="C162" s="88" t="s">
        <v>121</v>
      </c>
      <c r="D162" s="87"/>
      <c r="E162" s="87"/>
      <c r="F162" s="87">
        <f>E160</f>
        <v>1484461</v>
      </c>
      <c r="G162" s="87"/>
      <c r="H162" s="87"/>
    </row>
    <row r="163" spans="1:8" x14ac:dyDescent="0.2">
      <c r="A163" s="87"/>
      <c r="C163" s="87"/>
      <c r="D163" s="87"/>
      <c r="E163" s="87"/>
      <c r="F163" s="87"/>
      <c r="G163" s="87"/>
      <c r="H163" s="87"/>
    </row>
    <row r="164" spans="1:8" x14ac:dyDescent="0.2">
      <c r="A164" s="87"/>
      <c r="C164" s="126" t="s">
        <v>132</v>
      </c>
      <c r="D164" s="87"/>
      <c r="E164" s="87"/>
      <c r="F164" s="87"/>
      <c r="G164" s="87"/>
      <c r="H164" s="87"/>
    </row>
    <row r="165" spans="1:8" x14ac:dyDescent="0.2">
      <c r="A165" s="87"/>
      <c r="C165" s="88" t="s">
        <v>123</v>
      </c>
      <c r="D165" s="87"/>
      <c r="E165" s="87">
        <v>0</v>
      </c>
      <c r="F165" s="87"/>
      <c r="G165" s="87"/>
      <c r="H165" s="87"/>
    </row>
    <row r="166" spans="1:8" x14ac:dyDescent="0.2">
      <c r="A166" s="87"/>
      <c r="C166" s="87"/>
      <c r="D166" s="87"/>
      <c r="E166" s="87"/>
      <c r="F166" s="87"/>
      <c r="G166" s="87"/>
      <c r="H166" s="87"/>
    </row>
    <row r="167" spans="1:8" x14ac:dyDescent="0.2">
      <c r="A167" s="87"/>
      <c r="C167" s="88" t="s">
        <v>124</v>
      </c>
      <c r="D167" s="87"/>
      <c r="E167" s="87">
        <v>108994</v>
      </c>
      <c r="F167" s="87"/>
      <c r="G167" s="87"/>
      <c r="H167" s="87"/>
    </row>
    <row r="168" spans="1:8" x14ac:dyDescent="0.2">
      <c r="A168" s="87"/>
      <c r="C168" s="87"/>
      <c r="D168" s="87"/>
      <c r="E168" s="87"/>
      <c r="F168" s="87"/>
      <c r="G168" s="87"/>
      <c r="H168" s="87"/>
    </row>
    <row r="169" spans="1:8" x14ac:dyDescent="0.2">
      <c r="A169" s="87"/>
      <c r="C169" s="88" t="s">
        <v>125</v>
      </c>
      <c r="D169" s="87"/>
      <c r="E169" s="87">
        <v>0</v>
      </c>
      <c r="F169" s="87"/>
      <c r="G169" s="87"/>
      <c r="H169" s="87"/>
    </row>
    <row r="170" spans="1:8" x14ac:dyDescent="0.2">
      <c r="A170" s="87"/>
      <c r="C170" s="87"/>
      <c r="D170" s="87"/>
      <c r="E170" s="87"/>
      <c r="F170" s="87"/>
      <c r="G170" s="87"/>
      <c r="H170" s="87"/>
    </row>
    <row r="171" spans="1:8" x14ac:dyDescent="0.2">
      <c r="A171" s="87"/>
      <c r="C171" s="88" t="s">
        <v>126</v>
      </c>
      <c r="D171" s="87"/>
      <c r="E171" s="89">
        <v>0</v>
      </c>
      <c r="F171" s="87"/>
      <c r="G171" s="87"/>
      <c r="H171" s="87"/>
    </row>
    <row r="172" spans="1:8" x14ac:dyDescent="0.2">
      <c r="A172" s="87"/>
      <c r="C172" s="87"/>
      <c r="D172" s="87"/>
      <c r="E172" s="87"/>
      <c r="F172" s="87"/>
      <c r="G172" s="87"/>
      <c r="H172" s="87"/>
    </row>
    <row r="173" spans="1:8" x14ac:dyDescent="0.2">
      <c r="A173" s="87"/>
      <c r="C173" s="88" t="s">
        <v>127</v>
      </c>
      <c r="D173" s="87"/>
      <c r="E173" s="87"/>
      <c r="F173" s="96">
        <f>SUM(E165:E171)</f>
        <v>108994</v>
      </c>
      <c r="G173" s="87"/>
      <c r="H173" s="87"/>
    </row>
    <row r="174" spans="1:8" x14ac:dyDescent="0.2">
      <c r="A174" s="87"/>
      <c r="C174" s="87"/>
      <c r="D174" s="87"/>
      <c r="E174" s="87"/>
      <c r="F174" s="87"/>
      <c r="G174" s="87"/>
      <c r="H174" s="87"/>
    </row>
    <row r="175" spans="1:8" ht="13.5" thickBot="1" x14ac:dyDescent="0.25">
      <c r="A175" s="87"/>
      <c r="C175" s="126" t="s">
        <v>144</v>
      </c>
      <c r="D175" s="87"/>
      <c r="E175" s="87"/>
      <c r="F175" s="97">
        <f>F162+F173</f>
        <v>1593455</v>
      </c>
      <c r="G175" s="87"/>
      <c r="H175" s="87"/>
    </row>
    <row r="176" spans="1:8" ht="13.5" thickTop="1" x14ac:dyDescent="0.2">
      <c r="A176" s="87"/>
      <c r="B176" s="87"/>
      <c r="C176" s="87"/>
      <c r="D176" s="87"/>
      <c r="E176" s="87"/>
      <c r="F176" s="87"/>
      <c r="G176" s="87"/>
      <c r="H176" s="87"/>
    </row>
    <row r="177" spans="1:8" x14ac:dyDescent="0.2">
      <c r="A177" s="87"/>
      <c r="B177" s="87"/>
      <c r="C177" s="87"/>
      <c r="D177" s="87"/>
      <c r="E177" s="87"/>
      <c r="F177" s="87"/>
      <c r="G177" s="87"/>
      <c r="H177" s="87"/>
    </row>
    <row r="178" spans="1:8" x14ac:dyDescent="0.2">
      <c r="B178" s="95"/>
    </row>
  </sheetData>
  <sheetProtection formatCells="0"/>
  <mergeCells count="23">
    <mergeCell ref="A155:H155"/>
    <mergeCell ref="A156:H156"/>
    <mergeCell ref="A106:H106"/>
    <mergeCell ref="A107:H107"/>
    <mergeCell ref="A154:H154"/>
    <mergeCell ref="A130:H130"/>
    <mergeCell ref="A131:H131"/>
    <mergeCell ref="A132:H132"/>
    <mergeCell ref="A31:H31"/>
    <mergeCell ref="A32:H32"/>
    <mergeCell ref="A105:H105"/>
    <mergeCell ref="A33:H33"/>
    <mergeCell ref="A57:H57"/>
    <mergeCell ref="A58:H58"/>
    <mergeCell ref="A59:H59"/>
    <mergeCell ref="A81:H81"/>
    <mergeCell ref="A82:H82"/>
    <mergeCell ref="A83:H83"/>
    <mergeCell ref="B1:H1"/>
    <mergeCell ref="B2:H2"/>
    <mergeCell ref="A4:H4"/>
    <mergeCell ref="A5:H5"/>
    <mergeCell ref="A6:H6"/>
  </mergeCells>
  <phoneticPr fontId="18" type="noConversion"/>
  <conditionalFormatting sqref="A1:XFD1048576">
    <cfRule type="cellIs" dxfId="2" priority="1" operator="lessThan">
      <formula>0</formula>
    </cfRule>
  </conditionalFormatting>
  <printOptions horizontalCentered="1"/>
  <pageMargins left="0.75" right="0.75" top="1" bottom="1" header="0.5" footer="0.5"/>
  <pageSetup scale="71" fitToHeight="2" orientation="portrait" r:id="rId1"/>
  <headerFooter alignWithMargins="0">
    <oddHeader>&amp;CIDAHO POWER COMPANY
Transmission Cost of Service Rate Development
12 Months Ended 12/31/2016</oddHeader>
  </headerFooter>
  <rowBreaks count="3" manualBreakCount="3">
    <brk id="30" max="7" man="1"/>
    <brk id="80" max="7" man="1"/>
    <brk id="129" max="7" man="1"/>
  </rowBreaks>
  <ignoredErrors>
    <ignoredError sqref="E9:E11 E19 E12:E13 E21 E23" unlockedFormula="1"/>
    <ignoredError sqref="F28"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A19" sqref="A19"/>
    </sheetView>
  </sheetViews>
  <sheetFormatPr defaultRowHeight="15" x14ac:dyDescent="0.25"/>
  <cols>
    <col min="1" max="1" width="3.140625" style="540" customWidth="1"/>
    <col min="2" max="2" width="22.7109375" style="539" customWidth="1"/>
    <col min="3" max="3" width="15" style="539" customWidth="1"/>
    <col min="4" max="4" width="17.7109375" style="543" bestFit="1" customWidth="1"/>
    <col min="5" max="16384" width="9.140625" style="539"/>
  </cols>
  <sheetData>
    <row r="2" spans="1:11" s="197" customFormat="1" ht="12.75" x14ac:dyDescent="0.2">
      <c r="B2" s="677" t="s">
        <v>1083</v>
      </c>
      <c r="C2" s="677"/>
      <c r="D2" s="677"/>
      <c r="E2" s="5"/>
      <c r="F2" s="5"/>
      <c r="G2" s="5"/>
      <c r="H2" s="5"/>
    </row>
    <row r="3" spans="1:11" s="197" customFormat="1" ht="12.75" x14ac:dyDescent="0.2">
      <c r="B3" s="685" t="s">
        <v>922</v>
      </c>
      <c r="C3" s="685"/>
      <c r="D3" s="685"/>
      <c r="E3" s="5"/>
      <c r="F3" s="5"/>
      <c r="G3" s="5"/>
      <c r="H3" s="5"/>
    </row>
    <row r="4" spans="1:11" s="197" customFormat="1" ht="12.75" x14ac:dyDescent="0.2">
      <c r="B4" s="535"/>
      <c r="C4" s="535"/>
      <c r="D4" s="535"/>
      <c r="E4" s="535"/>
      <c r="F4" s="535"/>
      <c r="G4" s="535"/>
      <c r="H4" s="535"/>
    </row>
    <row r="5" spans="1:11" s="197" customFormat="1" ht="12.75" x14ac:dyDescent="0.2">
      <c r="A5" s="197">
        <v>1</v>
      </c>
      <c r="B5" s="535"/>
      <c r="C5" s="546" t="s">
        <v>229</v>
      </c>
      <c r="D5" s="535"/>
      <c r="E5" s="535"/>
      <c r="F5" s="535"/>
      <c r="G5" s="535"/>
      <c r="H5" s="535"/>
    </row>
    <row r="6" spans="1:11" x14ac:dyDescent="0.25">
      <c r="A6" s="540">
        <f>A5+1</f>
        <v>2</v>
      </c>
      <c r="B6" s="540" t="s">
        <v>1073</v>
      </c>
      <c r="D6" s="542"/>
      <c r="E6" s="540"/>
      <c r="F6" s="540"/>
      <c r="G6" s="540"/>
      <c r="H6" s="540"/>
      <c r="I6" s="540"/>
      <c r="J6" s="540"/>
      <c r="K6" s="540"/>
    </row>
    <row r="7" spans="1:11" x14ac:dyDescent="0.25">
      <c r="A7" s="540">
        <f t="shared" ref="A7:A20" si="0">A6+1</f>
        <v>3</v>
      </c>
      <c r="B7" s="540" t="s">
        <v>1074</v>
      </c>
      <c r="D7" s="72">
        <v>24952.28</v>
      </c>
      <c r="E7" s="541"/>
      <c r="F7" s="540"/>
      <c r="G7" s="540"/>
      <c r="H7" s="540"/>
      <c r="I7" s="540"/>
      <c r="J7" s="540"/>
      <c r="K7" s="540"/>
    </row>
    <row r="8" spans="1:11" x14ac:dyDescent="0.25">
      <c r="A8" s="540">
        <f t="shared" si="0"/>
        <v>4</v>
      </c>
      <c r="B8" s="540" t="s">
        <v>1075</v>
      </c>
      <c r="C8" s="541"/>
      <c r="D8" s="72">
        <v>4008.72</v>
      </c>
      <c r="E8" s="541"/>
      <c r="F8" s="540"/>
      <c r="G8" s="540"/>
      <c r="H8" s="540"/>
      <c r="I8" s="540"/>
      <c r="J8" s="540"/>
      <c r="K8" s="540"/>
    </row>
    <row r="9" spans="1:11" ht="15.75" thickBot="1" x14ac:dyDescent="0.3">
      <c r="A9" s="540">
        <f t="shared" si="0"/>
        <v>5</v>
      </c>
      <c r="B9" s="540" t="s">
        <v>539</v>
      </c>
      <c r="C9" s="540"/>
      <c r="D9" s="550">
        <f>SUM(D7:D8)</f>
        <v>28961</v>
      </c>
      <c r="E9" s="540"/>
      <c r="F9" s="540"/>
      <c r="G9" s="540"/>
      <c r="H9" s="540"/>
      <c r="I9" s="540"/>
      <c r="J9" s="540"/>
      <c r="K9" s="540"/>
    </row>
    <row r="10" spans="1:11" ht="15.75" thickTop="1" x14ac:dyDescent="0.25">
      <c r="A10" s="540">
        <f t="shared" si="0"/>
        <v>6</v>
      </c>
      <c r="B10" s="540"/>
      <c r="C10" s="540"/>
      <c r="D10" s="72"/>
      <c r="E10" s="540"/>
      <c r="F10" s="540"/>
      <c r="G10" s="540"/>
      <c r="H10" s="540"/>
      <c r="I10" s="540"/>
      <c r="J10" s="540"/>
      <c r="K10" s="540"/>
    </row>
    <row r="11" spans="1:11" x14ac:dyDescent="0.25">
      <c r="A11" s="540">
        <f t="shared" si="0"/>
        <v>7</v>
      </c>
      <c r="B11" s="540" t="s">
        <v>517</v>
      </c>
      <c r="C11" s="540"/>
      <c r="D11" s="72"/>
      <c r="E11" s="540"/>
      <c r="F11" s="540"/>
      <c r="G11" s="540"/>
      <c r="H11" s="540"/>
      <c r="I11" s="540"/>
      <c r="J11" s="540"/>
      <c r="K11" s="540"/>
    </row>
    <row r="12" spans="1:11" x14ac:dyDescent="0.25">
      <c r="A12" s="540">
        <f t="shared" si="0"/>
        <v>8</v>
      </c>
      <c r="B12" s="540" t="s">
        <v>521</v>
      </c>
      <c r="C12" s="545" t="s">
        <v>1081</v>
      </c>
      <c r="D12" s="642">
        <v>1120902541</v>
      </c>
      <c r="E12" s="540"/>
      <c r="F12" s="540"/>
      <c r="G12" s="540"/>
      <c r="H12" s="540"/>
      <c r="I12" s="540"/>
      <c r="J12" s="540"/>
      <c r="K12" s="540"/>
    </row>
    <row r="13" spans="1:11" x14ac:dyDescent="0.25">
      <c r="A13" s="540">
        <f t="shared" si="0"/>
        <v>9</v>
      </c>
      <c r="B13" s="540" t="s">
        <v>385</v>
      </c>
      <c r="C13" s="545" t="s">
        <v>1082</v>
      </c>
      <c r="D13" s="642">
        <v>1637131522</v>
      </c>
      <c r="E13" s="540"/>
      <c r="F13" s="540"/>
      <c r="G13" s="540"/>
      <c r="H13" s="540"/>
      <c r="I13" s="540"/>
      <c r="J13" s="540"/>
      <c r="K13" s="540"/>
    </row>
    <row r="14" spans="1:11" ht="15.75" thickBot="1" x14ac:dyDescent="0.3">
      <c r="A14" s="540">
        <f t="shared" si="0"/>
        <v>10</v>
      </c>
      <c r="B14" s="540"/>
      <c r="C14" s="540"/>
      <c r="D14" s="553">
        <f>SUM(D12:D13)</f>
        <v>2758034063</v>
      </c>
      <c r="E14" s="540"/>
      <c r="F14" s="540"/>
      <c r="G14" s="540"/>
      <c r="H14" s="540"/>
      <c r="I14" s="540"/>
      <c r="J14" s="540"/>
      <c r="K14" s="540"/>
    </row>
    <row r="15" spans="1:11" ht="15.75" thickTop="1" x14ac:dyDescent="0.25">
      <c r="A15" s="540">
        <f t="shared" si="0"/>
        <v>11</v>
      </c>
      <c r="B15" s="540"/>
      <c r="C15" s="540"/>
      <c r="D15" s="542"/>
      <c r="E15" s="540"/>
      <c r="F15" s="540"/>
      <c r="G15" s="540"/>
      <c r="H15" s="540"/>
      <c r="I15" s="540"/>
      <c r="J15" s="540"/>
      <c r="K15" s="540"/>
    </row>
    <row r="16" spans="1:11" x14ac:dyDescent="0.25">
      <c r="A16" s="540">
        <f t="shared" si="0"/>
        <v>12</v>
      </c>
      <c r="B16" s="540" t="s">
        <v>1076</v>
      </c>
      <c r="C16" s="540"/>
      <c r="D16" s="542">
        <f>D12/D14</f>
        <v>0.40641359584252529</v>
      </c>
      <c r="E16" s="540"/>
      <c r="F16" s="540"/>
      <c r="G16" s="540"/>
      <c r="H16" s="540"/>
      <c r="I16" s="540"/>
      <c r="J16" s="540"/>
      <c r="K16" s="540"/>
    </row>
    <row r="17" spans="1:11" x14ac:dyDescent="0.25">
      <c r="A17" s="540">
        <f t="shared" si="0"/>
        <v>13</v>
      </c>
      <c r="B17" s="540"/>
      <c r="C17" s="540"/>
      <c r="D17" s="542"/>
      <c r="E17" s="540"/>
      <c r="F17" s="540"/>
      <c r="G17" s="540"/>
      <c r="H17" s="540"/>
      <c r="I17" s="540"/>
      <c r="J17" s="540"/>
      <c r="K17" s="540"/>
    </row>
    <row r="18" spans="1:11" x14ac:dyDescent="0.25">
      <c r="A18" s="540">
        <f t="shared" si="0"/>
        <v>14</v>
      </c>
      <c r="B18" s="540" t="s">
        <v>1077</v>
      </c>
      <c r="C18" s="540"/>
      <c r="D18" s="551">
        <f>D9</f>
        <v>28961</v>
      </c>
      <c r="E18" s="540"/>
      <c r="F18" s="540"/>
      <c r="G18" s="540"/>
      <c r="H18" s="540"/>
      <c r="I18" s="540"/>
      <c r="J18" s="540"/>
      <c r="K18" s="540"/>
    </row>
    <row r="19" spans="1:11" x14ac:dyDescent="0.25">
      <c r="A19" s="540">
        <f t="shared" si="0"/>
        <v>15</v>
      </c>
      <c r="B19" s="540" t="s">
        <v>1078</v>
      </c>
      <c r="C19" s="540"/>
      <c r="D19" s="542">
        <f>D16</f>
        <v>0.40641359584252529</v>
      </c>
      <c r="E19" s="540"/>
      <c r="F19" s="540"/>
      <c r="G19" s="540"/>
      <c r="H19" s="540"/>
      <c r="I19" s="540"/>
      <c r="J19" s="540"/>
      <c r="K19" s="540"/>
    </row>
    <row r="20" spans="1:11" ht="15.75" thickBot="1" x14ac:dyDescent="0.3">
      <c r="A20" s="540">
        <f t="shared" si="0"/>
        <v>16</v>
      </c>
      <c r="B20" s="540" t="s">
        <v>1079</v>
      </c>
      <c r="C20" s="540"/>
      <c r="D20" s="552">
        <f>D18*D19</f>
        <v>11770.144149195376</v>
      </c>
      <c r="E20" s="540"/>
      <c r="F20" s="540"/>
      <c r="G20" s="540"/>
      <c r="H20" s="540"/>
      <c r="I20" s="540"/>
      <c r="J20" s="540"/>
      <c r="K20" s="540"/>
    </row>
    <row r="21" spans="1:11" ht="15.75" thickTop="1" x14ac:dyDescent="0.25">
      <c r="B21" s="540"/>
      <c r="C21" s="540"/>
      <c r="D21" s="542"/>
      <c r="E21" s="540"/>
      <c r="F21" s="540"/>
      <c r="G21" s="540"/>
      <c r="H21" s="540"/>
      <c r="I21" s="540"/>
      <c r="J21" s="540"/>
      <c r="K21" s="540"/>
    </row>
    <row r="23" spans="1:11" x14ac:dyDescent="0.25">
      <c r="C23" s="159"/>
    </row>
    <row r="24" spans="1:11" x14ac:dyDescent="0.25">
      <c r="D24" s="544">
        <v>12072.48</v>
      </c>
    </row>
    <row r="25" spans="1:11" x14ac:dyDescent="0.25">
      <c r="D25" s="544">
        <v>0.37793400300000002</v>
      </c>
    </row>
  </sheetData>
  <mergeCells count="2">
    <mergeCell ref="B2:D2"/>
    <mergeCell ref="B3:D3"/>
  </mergeCells>
  <printOptions horizontalCentered="1"/>
  <pageMargins left="0.75" right="0.75" top="1" bottom="1" header="0.5" footer="0.5"/>
  <pageSetup scale="71" orientation="portrait" verticalDpi="0" r:id="rId1"/>
  <headerFooter alignWithMargins="0">
    <oddHeader>&amp;CIDAHO POWER COMPANY
Transmission Cost of Service Rate Development
12 Months Ended 12/31/2016</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50"/>
  <sheetViews>
    <sheetView topLeftCell="A19" zoomScaleNormal="100" zoomScaleSheetLayoutView="100" workbookViewId="0">
      <selection activeCell="A19" sqref="A19"/>
    </sheetView>
  </sheetViews>
  <sheetFormatPr defaultRowHeight="12.75" x14ac:dyDescent="0.2"/>
  <cols>
    <col min="1" max="2" width="3.7109375" style="504" customWidth="1"/>
    <col min="3" max="3" width="48" style="153" customWidth="1"/>
    <col min="4" max="4" width="14.7109375" style="153" customWidth="1"/>
    <col min="5" max="5" width="3" style="153" customWidth="1"/>
    <col min="6" max="6" width="16.7109375" style="153" customWidth="1"/>
    <col min="7" max="7" width="1.7109375" style="153" customWidth="1"/>
    <col min="8" max="8" width="44.7109375" style="153" customWidth="1"/>
    <col min="9" max="9" width="11.7109375" style="153" bestFit="1" customWidth="1"/>
    <col min="10" max="10" width="8.7109375" style="153" bestFit="1" customWidth="1"/>
    <col min="11" max="16384" width="9.140625" style="153"/>
  </cols>
  <sheetData>
    <row r="1" spans="1:10" x14ac:dyDescent="0.2">
      <c r="A1" s="685" t="s">
        <v>371</v>
      </c>
      <c r="B1" s="685"/>
      <c r="C1" s="685"/>
      <c r="D1" s="685"/>
      <c r="E1" s="685"/>
      <c r="F1" s="685"/>
      <c r="G1" s="685"/>
      <c r="H1" s="685"/>
    </row>
    <row r="2" spans="1:10" x14ac:dyDescent="0.2">
      <c r="A2" s="685" t="s">
        <v>360</v>
      </c>
      <c r="B2" s="685"/>
      <c r="C2" s="685"/>
      <c r="D2" s="685"/>
      <c r="E2" s="685"/>
      <c r="F2" s="685"/>
      <c r="G2" s="685"/>
      <c r="H2" s="685"/>
    </row>
    <row r="3" spans="1:10" x14ac:dyDescent="0.2">
      <c r="A3" s="505"/>
      <c r="B3" s="505"/>
      <c r="C3" s="505"/>
      <c r="D3" s="629"/>
      <c r="E3" s="505"/>
      <c r="F3" s="505"/>
      <c r="G3" s="505"/>
      <c r="H3" s="505"/>
    </row>
    <row r="4" spans="1:10" x14ac:dyDescent="0.2">
      <c r="F4" s="505" t="s">
        <v>93</v>
      </c>
    </row>
    <row r="5" spans="1:10" x14ac:dyDescent="0.2">
      <c r="C5" s="157"/>
      <c r="D5" s="629" t="s">
        <v>539</v>
      </c>
      <c r="E5" s="505"/>
      <c r="F5" s="505" t="s">
        <v>636</v>
      </c>
      <c r="G5" s="505"/>
      <c r="H5" s="505" t="s">
        <v>763</v>
      </c>
    </row>
    <row r="6" spans="1:10" x14ac:dyDescent="0.2">
      <c r="B6" s="685" t="s">
        <v>762</v>
      </c>
      <c r="C6" s="685"/>
      <c r="D6" s="629" t="s">
        <v>230</v>
      </c>
      <c r="E6" s="505"/>
      <c r="F6" s="505" t="s">
        <v>638</v>
      </c>
      <c r="G6" s="505"/>
      <c r="H6" s="505" t="s">
        <v>639</v>
      </c>
    </row>
    <row r="7" spans="1:10" x14ac:dyDescent="0.2">
      <c r="C7" s="505" t="s">
        <v>459</v>
      </c>
      <c r="D7" s="629" t="s">
        <v>460</v>
      </c>
      <c r="E7" s="505"/>
      <c r="F7" s="505" t="s">
        <v>640</v>
      </c>
      <c r="G7" s="505"/>
      <c r="H7" s="505" t="s">
        <v>641</v>
      </c>
    </row>
    <row r="8" spans="1:10" x14ac:dyDescent="0.2">
      <c r="B8" s="315" t="s">
        <v>642</v>
      </c>
      <c r="C8" s="316"/>
      <c r="D8" s="317"/>
      <c r="E8" s="317"/>
      <c r="F8" s="317"/>
      <c r="G8" s="317"/>
      <c r="H8" s="318"/>
    </row>
    <row r="9" spans="1:10" x14ac:dyDescent="0.2">
      <c r="A9" s="319"/>
      <c r="B9" s="320"/>
      <c r="C9" s="321" t="s">
        <v>643</v>
      </c>
      <c r="D9" s="328">
        <v>17330</v>
      </c>
      <c r="E9" s="322"/>
      <c r="F9" s="326">
        <v>0</v>
      </c>
      <c r="G9" s="323"/>
      <c r="H9" s="324" t="s">
        <v>644</v>
      </c>
    </row>
    <row r="10" spans="1:10" x14ac:dyDescent="0.2">
      <c r="A10" s="319"/>
      <c r="B10" s="325"/>
      <c r="C10" s="321" t="s">
        <v>217</v>
      </c>
      <c r="D10" s="326">
        <v>252645.75</v>
      </c>
      <c r="E10" s="322"/>
      <c r="F10" s="326">
        <f>'Schedule 4 Workpaper page 2'!G639</f>
        <v>59896.868984243993</v>
      </c>
      <c r="G10" s="323"/>
      <c r="H10" s="324" t="s">
        <v>45</v>
      </c>
      <c r="J10" s="163"/>
    </row>
    <row r="11" spans="1:10" x14ac:dyDescent="0.2">
      <c r="A11" s="319"/>
      <c r="B11" s="325"/>
      <c r="C11" s="321" t="s">
        <v>646</v>
      </c>
      <c r="D11" s="326">
        <v>1360487.51</v>
      </c>
      <c r="E11" s="322"/>
      <c r="F11" s="326">
        <f>'Schedule 4 Workpaper page 3'!E72</f>
        <v>226923.32</v>
      </c>
      <c r="G11" s="323"/>
      <c r="H11" s="324" t="s">
        <v>647</v>
      </c>
      <c r="J11" s="163"/>
    </row>
    <row r="12" spans="1:10" x14ac:dyDescent="0.2">
      <c r="A12" s="319"/>
      <c r="B12" s="325"/>
      <c r="C12" s="321" t="s">
        <v>228</v>
      </c>
      <c r="D12" s="326">
        <v>1108042.32</v>
      </c>
      <c r="E12" s="322"/>
      <c r="F12" s="326">
        <f>'Schedule 4 Workpaper page 4'!C18</f>
        <v>280530.25</v>
      </c>
      <c r="G12" s="323"/>
      <c r="H12" s="324" t="s">
        <v>645</v>
      </c>
    </row>
    <row r="13" spans="1:10" ht="51" x14ac:dyDescent="0.2">
      <c r="A13" s="319"/>
      <c r="B13" s="325"/>
      <c r="C13" s="321" t="s">
        <v>648</v>
      </c>
      <c r="D13" s="326">
        <f>7111945.57+575761.71</f>
        <v>7687707.2800000003</v>
      </c>
      <c r="E13" s="322"/>
      <c r="F13" s="326">
        <v>0</v>
      </c>
      <c r="G13" s="323"/>
      <c r="H13" s="324" t="s">
        <v>1107</v>
      </c>
    </row>
    <row r="14" spans="1:10" x14ac:dyDescent="0.2">
      <c r="A14" s="319"/>
      <c r="B14" s="327"/>
      <c r="C14" s="321" t="s">
        <v>628</v>
      </c>
      <c r="D14" s="328">
        <f>SUM(D9:D13)</f>
        <v>10426212.859999999</v>
      </c>
      <c r="E14" s="322"/>
      <c r="F14" s="328">
        <f>SUM(F9:F13)</f>
        <v>567350.43898424401</v>
      </c>
      <c r="G14" s="323"/>
      <c r="H14" s="324" t="s">
        <v>764</v>
      </c>
    </row>
    <row r="15" spans="1:10" s="178" customFormat="1" x14ac:dyDescent="0.2">
      <c r="A15" s="319"/>
      <c r="B15" s="329"/>
      <c r="C15" s="330"/>
      <c r="D15" s="331"/>
      <c r="E15" s="331"/>
      <c r="F15" s="331"/>
      <c r="G15" s="332"/>
      <c r="H15" s="333"/>
    </row>
    <row r="16" spans="1:10" ht="13.5" customHeight="1" x14ac:dyDescent="0.2">
      <c r="A16" s="319"/>
      <c r="B16" s="334" t="s">
        <v>1227</v>
      </c>
      <c r="C16" s="335"/>
      <c r="D16" s="331"/>
      <c r="E16" s="331"/>
      <c r="F16" s="331"/>
      <c r="G16" s="332"/>
      <c r="H16" s="336"/>
    </row>
    <row r="17" spans="1:8" ht="39" customHeight="1" x14ac:dyDescent="0.2">
      <c r="A17" s="319"/>
      <c r="B17" s="320"/>
      <c r="C17" s="321" t="s">
        <v>649</v>
      </c>
      <c r="D17" s="326">
        <v>342821.82</v>
      </c>
      <c r="E17" s="328"/>
      <c r="F17" s="326">
        <v>0</v>
      </c>
      <c r="G17" s="323"/>
      <c r="H17" s="337" t="s">
        <v>650</v>
      </c>
    </row>
    <row r="18" spans="1:8" ht="39" customHeight="1" x14ac:dyDescent="0.2">
      <c r="A18" s="319"/>
      <c r="B18" s="325"/>
      <c r="C18" s="338" t="s">
        <v>1228</v>
      </c>
      <c r="D18" s="326">
        <v>46875.69</v>
      </c>
      <c r="E18" s="328"/>
      <c r="F18" s="326">
        <v>0</v>
      </c>
      <c r="G18" s="323"/>
      <c r="H18" s="337" t="s">
        <v>1229</v>
      </c>
    </row>
    <row r="19" spans="1:8" ht="11.25" customHeight="1" x14ac:dyDescent="0.2">
      <c r="A19" s="319"/>
      <c r="B19" s="327"/>
      <c r="C19" s="338" t="s">
        <v>628</v>
      </c>
      <c r="D19" s="574">
        <f>SUM(D17:D18)</f>
        <v>389697.51</v>
      </c>
      <c r="E19" s="328"/>
      <c r="F19" s="328">
        <f>SUM(F17)</f>
        <v>0</v>
      </c>
      <c r="G19" s="323"/>
      <c r="H19" s="337"/>
    </row>
    <row r="20" spans="1:8" s="178" customFormat="1" ht="11.25" customHeight="1" x14ac:dyDescent="0.2">
      <c r="A20" s="319"/>
      <c r="B20" s="329"/>
      <c r="C20" s="330"/>
      <c r="D20" s="339"/>
      <c r="E20" s="331"/>
      <c r="F20" s="331"/>
      <c r="G20" s="332"/>
      <c r="H20" s="340"/>
    </row>
    <row r="21" spans="1:8" ht="13.5" customHeight="1" x14ac:dyDescent="0.2">
      <c r="A21" s="319"/>
      <c r="B21" s="341" t="s">
        <v>651</v>
      </c>
      <c r="C21" s="342"/>
      <c r="D21" s="331"/>
      <c r="E21" s="331"/>
      <c r="F21" s="331"/>
      <c r="G21" s="332"/>
      <c r="H21" s="343"/>
    </row>
    <row r="22" spans="1:8" x14ac:dyDescent="0.2">
      <c r="A22" s="319"/>
      <c r="B22" s="319"/>
      <c r="C22" s="344" t="s">
        <v>652</v>
      </c>
      <c r="D22" s="452">
        <v>400000.12</v>
      </c>
      <c r="E22" s="328"/>
      <c r="F22" s="452">
        <v>0</v>
      </c>
      <c r="G22" s="323"/>
      <c r="H22" s="324" t="s">
        <v>94</v>
      </c>
    </row>
    <row r="23" spans="1:8" x14ac:dyDescent="0.2">
      <c r="A23" s="319"/>
      <c r="B23" s="319"/>
      <c r="C23" s="321" t="s">
        <v>628</v>
      </c>
      <c r="D23" s="328">
        <f>SUM(D22)</f>
        <v>400000.12</v>
      </c>
      <c r="E23" s="328"/>
      <c r="F23" s="328">
        <f>SUM(F22)</f>
        <v>0</v>
      </c>
      <c r="G23" s="323"/>
      <c r="H23" s="324"/>
    </row>
    <row r="24" spans="1:8" s="178" customFormat="1" x14ac:dyDescent="0.2">
      <c r="A24" s="319"/>
      <c r="B24" s="329"/>
      <c r="C24" s="330"/>
      <c r="D24" s="331"/>
      <c r="E24" s="331"/>
      <c r="F24" s="331"/>
      <c r="G24" s="332"/>
      <c r="H24" s="333"/>
    </row>
    <row r="25" spans="1:8" x14ac:dyDescent="0.2">
      <c r="A25" s="319"/>
      <c r="B25" s="341" t="s">
        <v>653</v>
      </c>
      <c r="C25" s="342"/>
      <c r="D25" s="331"/>
      <c r="E25" s="331"/>
      <c r="F25" s="331"/>
      <c r="G25" s="332"/>
      <c r="H25" s="336"/>
    </row>
    <row r="26" spans="1:8" ht="38.25" x14ac:dyDescent="0.2">
      <c r="A26" s="319"/>
      <c r="B26" s="320"/>
      <c r="C26" s="345" t="s">
        <v>903</v>
      </c>
      <c r="D26" s="326">
        <v>-15080</v>
      </c>
      <c r="E26" s="328"/>
      <c r="F26" s="326">
        <v>0</v>
      </c>
      <c r="G26" s="323"/>
      <c r="H26" s="337" t="s">
        <v>654</v>
      </c>
    </row>
    <row r="27" spans="1:8" ht="38.25" x14ac:dyDescent="0.2">
      <c r="A27" s="319"/>
      <c r="B27" s="325"/>
      <c r="C27" s="345" t="s">
        <v>904</v>
      </c>
      <c r="D27" s="326">
        <v>0</v>
      </c>
      <c r="E27" s="328"/>
      <c r="F27" s="326">
        <v>0</v>
      </c>
      <c r="G27" s="323"/>
      <c r="H27" s="337" t="s">
        <v>654</v>
      </c>
    </row>
    <row r="28" spans="1:8" ht="37.5" customHeight="1" x14ac:dyDescent="0.2">
      <c r="A28" s="319"/>
      <c r="B28" s="325"/>
      <c r="C28" s="345" t="s">
        <v>905</v>
      </c>
      <c r="D28" s="326">
        <v>0</v>
      </c>
      <c r="E28" s="328"/>
      <c r="F28" s="326">
        <v>0</v>
      </c>
      <c r="G28" s="323"/>
      <c r="H28" s="337" t="s">
        <v>654</v>
      </c>
    </row>
    <row r="29" spans="1:8" ht="38.25" x14ac:dyDescent="0.2">
      <c r="A29" s="319"/>
      <c r="B29" s="325"/>
      <c r="C29" s="321" t="s">
        <v>906</v>
      </c>
      <c r="D29" s="326">
        <v>12829.2</v>
      </c>
      <c r="E29" s="328"/>
      <c r="F29" s="326">
        <v>0</v>
      </c>
      <c r="G29" s="323"/>
      <c r="H29" s="558" t="s">
        <v>655</v>
      </c>
    </row>
    <row r="30" spans="1:8" ht="38.25" x14ac:dyDescent="0.2">
      <c r="A30" s="319"/>
      <c r="B30" s="325"/>
      <c r="C30" s="321" t="s">
        <v>907</v>
      </c>
      <c r="D30" s="326">
        <v>44170.2</v>
      </c>
      <c r="E30" s="328"/>
      <c r="F30" s="326">
        <v>0</v>
      </c>
      <c r="G30" s="323"/>
      <c r="H30" s="558" t="s">
        <v>655</v>
      </c>
    </row>
    <row r="31" spans="1:8" ht="38.25" x14ac:dyDescent="0.2">
      <c r="A31" s="319"/>
      <c r="B31" s="325"/>
      <c r="C31" s="321" t="s">
        <v>908</v>
      </c>
      <c r="D31" s="326">
        <v>0</v>
      </c>
      <c r="E31" s="328"/>
      <c r="F31" s="326">
        <f>D31</f>
        <v>0</v>
      </c>
      <c r="G31" s="323"/>
      <c r="H31" s="558" t="s">
        <v>1105</v>
      </c>
    </row>
    <row r="32" spans="1:8" ht="38.25" x14ac:dyDescent="0.2">
      <c r="A32" s="319"/>
      <c r="B32" s="325"/>
      <c r="C32" s="321" t="s">
        <v>1104</v>
      </c>
      <c r="D32" s="326">
        <v>3002519.2</v>
      </c>
      <c r="E32" s="328"/>
      <c r="F32" s="326">
        <f>D32</f>
        <v>3002519.2</v>
      </c>
      <c r="G32" s="323"/>
      <c r="H32" s="558" t="s">
        <v>1106</v>
      </c>
    </row>
    <row r="33" spans="1:9" x14ac:dyDescent="0.2">
      <c r="A33" s="319"/>
      <c r="B33" s="327"/>
      <c r="C33" s="321" t="s">
        <v>628</v>
      </c>
      <c r="D33" s="328">
        <f>SUM(D26:D32)</f>
        <v>3044438.6</v>
      </c>
      <c r="E33" s="328"/>
      <c r="F33" s="328">
        <f>SUM(F26:F32)</f>
        <v>3002519.2</v>
      </c>
      <c r="G33" s="323"/>
      <c r="H33" s="324"/>
    </row>
    <row r="34" spans="1:9" s="178" customFormat="1" x14ac:dyDescent="0.2">
      <c r="A34" s="319"/>
      <c r="B34" s="329"/>
      <c r="C34" s="346"/>
      <c r="D34" s="332"/>
      <c r="E34" s="332"/>
      <c r="F34" s="332"/>
      <c r="G34" s="332"/>
      <c r="H34" s="332"/>
    </row>
    <row r="35" spans="1:9" ht="15.75" customHeight="1" x14ac:dyDescent="0.2">
      <c r="A35" s="319"/>
      <c r="B35" s="347" t="s">
        <v>656</v>
      </c>
      <c r="C35" s="348"/>
      <c r="D35" s="323">
        <f>D14+D19+D23+D33</f>
        <v>14260349.089999998</v>
      </c>
      <c r="E35" s="323"/>
      <c r="F35" s="323">
        <f>F33+F23+F19+F14</f>
        <v>3569869.6389842443</v>
      </c>
      <c r="G35" s="323"/>
      <c r="H35" s="323" t="s">
        <v>29</v>
      </c>
      <c r="I35" s="523"/>
    </row>
    <row r="36" spans="1:9" s="178" customFormat="1" ht="15.75" customHeight="1" x14ac:dyDescent="0.2">
      <c r="A36" s="319"/>
      <c r="B36" s="349"/>
      <c r="C36" s="346"/>
      <c r="D36" s="332"/>
      <c r="E36" s="332"/>
      <c r="F36" s="332"/>
      <c r="G36" s="332"/>
      <c r="H36" s="332"/>
    </row>
    <row r="37" spans="1:9" ht="15.75" customHeight="1" x14ac:dyDescent="0.2">
      <c r="A37" s="319"/>
      <c r="B37" s="350" t="s">
        <v>657</v>
      </c>
      <c r="C37" s="351"/>
      <c r="D37" s="323"/>
      <c r="E37" s="323"/>
      <c r="F37" s="323">
        <f>F14+F19+F23+F33</f>
        <v>3569869.6389842443</v>
      </c>
      <c r="G37" s="323"/>
      <c r="H37" s="323" t="s">
        <v>936</v>
      </c>
    </row>
    <row r="38" spans="1:9" x14ac:dyDescent="0.2">
      <c r="C38" s="303"/>
      <c r="D38" s="352"/>
      <c r="E38" s="352"/>
      <c r="F38" s="352"/>
      <c r="G38" s="352"/>
      <c r="H38" s="352"/>
    </row>
    <row r="39" spans="1:9" x14ac:dyDescent="0.2">
      <c r="D39" s="352"/>
      <c r="E39" s="352"/>
      <c r="F39" s="352"/>
      <c r="G39" s="352"/>
      <c r="H39" s="352"/>
    </row>
    <row r="40" spans="1:9" x14ac:dyDescent="0.2">
      <c r="C40" s="240"/>
      <c r="D40" s="353"/>
      <c r="E40" s="353"/>
      <c r="F40" s="353"/>
      <c r="G40" s="354"/>
      <c r="H40" s="354"/>
    </row>
    <row r="41" spans="1:9" x14ac:dyDescent="0.2">
      <c r="C41" s="178"/>
      <c r="D41" s="353"/>
      <c r="E41" s="354"/>
      <c r="F41" s="353"/>
      <c r="G41" s="353"/>
      <c r="H41" s="355"/>
    </row>
    <row r="42" spans="1:9" x14ac:dyDescent="0.2">
      <c r="C42" s="229"/>
      <c r="D42" s="353"/>
      <c r="E42" s="354"/>
      <c r="F42" s="353"/>
      <c r="G42" s="353"/>
      <c r="H42" s="356"/>
    </row>
    <row r="43" spans="1:9" x14ac:dyDescent="0.2">
      <c r="C43" s="178"/>
      <c r="D43" s="632"/>
      <c r="E43" s="178"/>
      <c r="F43" s="510"/>
      <c r="G43" s="510"/>
      <c r="H43" s="357"/>
    </row>
    <row r="44" spans="1:9" x14ac:dyDescent="0.2">
      <c r="C44" s="178"/>
      <c r="D44" s="632"/>
      <c r="E44" s="178"/>
      <c r="F44" s="510"/>
      <c r="G44" s="510"/>
      <c r="H44" s="358"/>
    </row>
    <row r="45" spans="1:9" x14ac:dyDescent="0.2">
      <c r="C45" s="178"/>
      <c r="D45" s="632"/>
      <c r="E45" s="178"/>
      <c r="F45" s="510"/>
      <c r="G45" s="510"/>
      <c r="H45" s="358"/>
    </row>
    <row r="46" spans="1:9" x14ac:dyDescent="0.2">
      <c r="C46" s="359"/>
      <c r="D46" s="353"/>
      <c r="E46" s="510"/>
      <c r="F46" s="353"/>
      <c r="G46" s="354"/>
      <c r="H46" s="360"/>
    </row>
    <row r="47" spans="1:9" x14ac:dyDescent="0.2">
      <c r="C47" s="359"/>
      <c r="D47" s="353"/>
      <c r="E47" s="510"/>
      <c r="F47" s="353"/>
      <c r="G47" s="354"/>
      <c r="H47" s="360"/>
    </row>
    <row r="48" spans="1:9" x14ac:dyDescent="0.2">
      <c r="C48" s="359"/>
      <c r="D48" s="353"/>
      <c r="E48" s="353"/>
      <c r="F48" s="353"/>
      <c r="G48" s="354"/>
      <c r="H48" s="360"/>
    </row>
    <row r="49" spans="3:8" x14ac:dyDescent="0.2">
      <c r="C49" s="361"/>
      <c r="D49" s="354"/>
      <c r="E49" s="178"/>
      <c r="F49" s="178"/>
      <c r="G49" s="178"/>
      <c r="H49" s="362"/>
    </row>
    <row r="50" spans="3:8" x14ac:dyDescent="0.2">
      <c r="C50" s="178"/>
      <c r="D50" s="178"/>
      <c r="E50" s="178"/>
      <c r="F50" s="353"/>
      <c r="G50" s="178"/>
      <c r="H50" s="360"/>
    </row>
  </sheetData>
  <sheetProtection formatCells="0"/>
  <mergeCells count="3">
    <mergeCell ref="A1:H1"/>
    <mergeCell ref="A2:H2"/>
    <mergeCell ref="B6:C6"/>
  </mergeCells>
  <phoneticPr fontId="18" type="noConversion"/>
  <printOptions horizontalCentered="1"/>
  <pageMargins left="0.75" right="0.75" top="1" bottom="1" header="0.5" footer="0.5"/>
  <pageSetup scale="66" orientation="portrait" r:id="rId1"/>
  <headerFooter alignWithMargins="0">
    <oddHeader>&amp;CIDAHO POWER COMPANY
Transmission Cost of Service Rate Development
12 Months Ended 12/31/2016</oddHeader>
  </headerFooter>
  <ignoredErrors>
    <ignoredError sqref="F32"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K645"/>
  <sheetViews>
    <sheetView zoomScaleNormal="100" zoomScaleSheetLayoutView="100" workbookViewId="0">
      <selection activeCell="B6" sqref="B6"/>
    </sheetView>
  </sheetViews>
  <sheetFormatPr defaultRowHeight="12.75" x14ac:dyDescent="0.2"/>
  <cols>
    <col min="1" max="1" width="4" style="153" bestFit="1" customWidth="1"/>
    <col min="2" max="2" width="12.85546875" style="628" customWidth="1"/>
    <col min="3" max="3" width="8.42578125" style="628" bestFit="1" customWidth="1"/>
    <col min="4" max="4" width="8.5703125" style="628" bestFit="1" customWidth="1"/>
    <col min="5" max="5" width="31.7109375" style="628" customWidth="1"/>
    <col min="6" max="6" width="13.85546875" style="628" customWidth="1"/>
    <col min="7" max="7" width="14.85546875" style="440" bestFit="1" customWidth="1"/>
    <col min="8" max="8" width="4.42578125" style="628" bestFit="1" customWidth="1"/>
    <col min="9" max="9" width="32.85546875" style="153" bestFit="1" customWidth="1"/>
    <col min="10" max="10" width="24.85546875" style="153" customWidth="1"/>
    <col min="11" max="12" width="9.140625" style="153"/>
    <col min="13" max="13" width="14.7109375" style="153" customWidth="1"/>
    <col min="14" max="14" width="9.140625" style="153"/>
    <col min="15" max="15" width="15" style="153" customWidth="1"/>
    <col min="16" max="16" width="9.140625" style="153" customWidth="1"/>
    <col min="17" max="17" width="25.7109375" style="153" customWidth="1"/>
    <col min="18" max="18" width="9.140625" style="153" customWidth="1"/>
    <col min="19" max="19" width="31.140625" style="153" customWidth="1"/>
    <col min="20" max="20" width="9.140625" style="153" customWidth="1"/>
    <col min="21" max="21" width="32.140625" style="153" customWidth="1"/>
    <col min="22" max="16384" width="9.140625" style="153"/>
  </cols>
  <sheetData>
    <row r="1" spans="1:10" x14ac:dyDescent="0.2">
      <c r="B1" s="685" t="s">
        <v>372</v>
      </c>
      <c r="C1" s="685"/>
      <c r="D1" s="685"/>
      <c r="E1" s="685"/>
      <c r="F1" s="685"/>
      <c r="G1" s="685"/>
      <c r="H1" s="685"/>
      <c r="I1" s="685"/>
      <c r="J1" s="629"/>
    </row>
    <row r="2" spans="1:10" x14ac:dyDescent="0.2">
      <c r="B2" s="685" t="s">
        <v>935</v>
      </c>
      <c r="C2" s="685"/>
      <c r="D2" s="685"/>
      <c r="E2" s="685"/>
      <c r="F2" s="685"/>
      <c r="G2" s="685"/>
      <c r="H2" s="685"/>
      <c r="I2" s="685"/>
      <c r="J2" s="629"/>
    </row>
    <row r="3" spans="1:10" x14ac:dyDescent="0.2">
      <c r="A3" s="685"/>
      <c r="B3" s="685"/>
      <c r="C3" s="685"/>
      <c r="D3" s="685"/>
      <c r="E3" s="685"/>
      <c r="F3" s="685"/>
      <c r="G3" s="685"/>
      <c r="H3" s="685"/>
      <c r="I3" s="685"/>
    </row>
    <row r="4" spans="1:10" ht="13.5" thickBot="1" x14ac:dyDescent="0.25">
      <c r="C4" s="439"/>
    </row>
    <row r="5" spans="1:10" ht="27" thickTop="1" thickBot="1" x14ac:dyDescent="0.25">
      <c r="A5" s="628"/>
      <c r="B5" s="441" t="s">
        <v>686</v>
      </c>
      <c r="C5" s="441" t="s">
        <v>110</v>
      </c>
      <c r="D5" s="441" t="s">
        <v>687</v>
      </c>
      <c r="E5" s="441" t="s">
        <v>688</v>
      </c>
      <c r="F5" s="442" t="s">
        <v>735</v>
      </c>
      <c r="G5" s="443" t="s">
        <v>689</v>
      </c>
      <c r="H5" s="441" t="s">
        <v>690</v>
      </c>
      <c r="I5" s="441" t="s">
        <v>691</v>
      </c>
      <c r="J5" s="444"/>
    </row>
    <row r="6" spans="1:10" ht="13.5" thickTop="1" x14ac:dyDescent="0.2">
      <c r="A6" s="628">
        <v>1</v>
      </c>
      <c r="B6" s="643">
        <v>42400</v>
      </c>
      <c r="C6" s="644" t="s">
        <v>1155</v>
      </c>
      <c r="D6" s="644" t="s">
        <v>768</v>
      </c>
      <c r="E6" s="644" t="s">
        <v>1118</v>
      </c>
      <c r="F6" s="644" t="s">
        <v>918</v>
      </c>
      <c r="G6" s="559">
        <v>-61.645000000000003</v>
      </c>
      <c r="H6" s="644">
        <v>856</v>
      </c>
      <c r="I6" s="644" t="s">
        <v>1056</v>
      </c>
    </row>
    <row r="7" spans="1:10" x14ac:dyDescent="0.2">
      <c r="A7" s="628">
        <f>A6+1</f>
        <v>2</v>
      </c>
      <c r="B7" s="643">
        <v>42429</v>
      </c>
      <c r="C7" s="644" t="s">
        <v>1155</v>
      </c>
      <c r="D7" s="644" t="s">
        <v>770</v>
      </c>
      <c r="E7" s="644" t="s">
        <v>1118</v>
      </c>
      <c r="F7" s="644" t="s">
        <v>918</v>
      </c>
      <c r="G7" s="559">
        <v>-61.645000000000003</v>
      </c>
      <c r="H7" s="644">
        <v>856</v>
      </c>
      <c r="I7" s="644" t="s">
        <v>1056</v>
      </c>
      <c r="J7" s="480"/>
    </row>
    <row r="8" spans="1:10" x14ac:dyDescent="0.2">
      <c r="A8" s="628">
        <f t="shared" ref="A8:A71" si="0">A7+1</f>
        <v>3</v>
      </c>
      <c r="B8" s="643">
        <v>42460</v>
      </c>
      <c r="C8" s="644" t="s">
        <v>1155</v>
      </c>
      <c r="D8" s="644" t="s">
        <v>13</v>
      </c>
      <c r="E8" s="644" t="s">
        <v>1118</v>
      </c>
      <c r="F8" s="644" t="s">
        <v>918</v>
      </c>
      <c r="G8" s="559">
        <v>-61.645000000000003</v>
      </c>
      <c r="H8" s="644">
        <v>856</v>
      </c>
      <c r="I8" s="644" t="s">
        <v>1056</v>
      </c>
    </row>
    <row r="9" spans="1:10" x14ac:dyDescent="0.2">
      <c r="A9" s="628">
        <f t="shared" si="0"/>
        <v>4</v>
      </c>
      <c r="B9" s="643">
        <v>42490</v>
      </c>
      <c r="C9" s="644" t="s">
        <v>1155</v>
      </c>
      <c r="D9" s="644" t="s">
        <v>771</v>
      </c>
      <c r="E9" s="644" t="s">
        <v>1118</v>
      </c>
      <c r="F9" s="644" t="s">
        <v>918</v>
      </c>
      <c r="G9" s="559">
        <v>-61.645000000000003</v>
      </c>
      <c r="H9" s="644">
        <v>856</v>
      </c>
      <c r="I9" s="644" t="s">
        <v>1056</v>
      </c>
    </row>
    <row r="10" spans="1:10" x14ac:dyDescent="0.2">
      <c r="A10" s="628">
        <f t="shared" si="0"/>
        <v>5</v>
      </c>
      <c r="B10" s="643">
        <v>42521</v>
      </c>
      <c r="C10" s="644" t="s">
        <v>1155</v>
      </c>
      <c r="D10" s="644" t="s">
        <v>772</v>
      </c>
      <c r="E10" s="644" t="s">
        <v>1118</v>
      </c>
      <c r="F10" s="644" t="s">
        <v>918</v>
      </c>
      <c r="G10" s="559">
        <v>-63.7</v>
      </c>
      <c r="H10" s="644">
        <v>856</v>
      </c>
      <c r="I10" s="644" t="s">
        <v>1056</v>
      </c>
    </row>
    <row r="11" spans="1:10" x14ac:dyDescent="0.2">
      <c r="A11" s="628">
        <f t="shared" si="0"/>
        <v>6</v>
      </c>
      <c r="B11" s="643">
        <v>42551</v>
      </c>
      <c r="C11" s="644" t="s">
        <v>1155</v>
      </c>
      <c r="D11" s="644" t="s">
        <v>773</v>
      </c>
      <c r="E11" s="644" t="s">
        <v>1118</v>
      </c>
      <c r="F11" s="644" t="s">
        <v>918</v>
      </c>
      <c r="G11" s="559">
        <v>-61.64</v>
      </c>
      <c r="H11" s="644">
        <v>856</v>
      </c>
      <c r="I11" s="644" t="s">
        <v>1056</v>
      </c>
    </row>
    <row r="12" spans="1:10" x14ac:dyDescent="0.2">
      <c r="A12" s="628">
        <f t="shared" si="0"/>
        <v>7</v>
      </c>
      <c r="B12" s="643">
        <v>42582</v>
      </c>
      <c r="C12" s="644" t="s">
        <v>1155</v>
      </c>
      <c r="D12" s="644" t="s">
        <v>14</v>
      </c>
      <c r="E12" s="644" t="s">
        <v>1118</v>
      </c>
      <c r="F12" s="644" t="s">
        <v>918</v>
      </c>
      <c r="G12" s="559">
        <v>-63.7</v>
      </c>
      <c r="H12" s="644">
        <v>856</v>
      </c>
      <c r="I12" s="644" t="s">
        <v>1056</v>
      </c>
    </row>
    <row r="13" spans="1:10" x14ac:dyDescent="0.2">
      <c r="A13" s="628">
        <f t="shared" si="0"/>
        <v>8</v>
      </c>
      <c r="B13" s="643">
        <v>42613</v>
      </c>
      <c r="C13" s="644" t="s">
        <v>1155</v>
      </c>
      <c r="D13" s="644" t="s">
        <v>774</v>
      </c>
      <c r="E13" s="644" t="s">
        <v>1118</v>
      </c>
      <c r="F13" s="644" t="s">
        <v>918</v>
      </c>
      <c r="G13" s="559">
        <v>-63.7</v>
      </c>
      <c r="H13" s="644">
        <v>856</v>
      </c>
      <c r="I13" s="644" t="s">
        <v>1056</v>
      </c>
    </row>
    <row r="14" spans="1:10" s="178" customFormat="1" x14ac:dyDescent="0.2">
      <c r="A14" s="628">
        <f t="shared" si="0"/>
        <v>9</v>
      </c>
      <c r="B14" s="643">
        <v>42643</v>
      </c>
      <c r="C14" s="644" t="s">
        <v>1155</v>
      </c>
      <c r="D14" s="644" t="s">
        <v>775</v>
      </c>
      <c r="E14" s="644" t="s">
        <v>1118</v>
      </c>
      <c r="F14" s="644" t="s">
        <v>918</v>
      </c>
      <c r="G14" s="559">
        <v>-61.64</v>
      </c>
      <c r="H14" s="644">
        <v>856</v>
      </c>
      <c r="I14" s="644" t="s">
        <v>1056</v>
      </c>
      <c r="J14" s="153"/>
    </row>
    <row r="15" spans="1:10" ht="13.5" customHeight="1" x14ac:dyDescent="0.2">
      <c r="A15" s="628">
        <f t="shared" si="0"/>
        <v>10</v>
      </c>
      <c r="B15" s="643">
        <v>42674</v>
      </c>
      <c r="C15" s="644" t="s">
        <v>1155</v>
      </c>
      <c r="D15" s="644" t="s">
        <v>776</v>
      </c>
      <c r="E15" s="644" t="s">
        <v>1118</v>
      </c>
      <c r="F15" s="644" t="s">
        <v>918</v>
      </c>
      <c r="G15" s="559">
        <v>-63.7</v>
      </c>
      <c r="H15" s="644">
        <v>856</v>
      </c>
      <c r="I15" s="644" t="s">
        <v>1056</v>
      </c>
    </row>
    <row r="16" spans="1:10" x14ac:dyDescent="0.2">
      <c r="A16" s="628">
        <f t="shared" si="0"/>
        <v>11</v>
      </c>
      <c r="B16" s="643">
        <v>42704</v>
      </c>
      <c r="C16" s="644" t="s">
        <v>1155</v>
      </c>
      <c r="D16" s="644" t="s">
        <v>777</v>
      </c>
      <c r="E16" s="644" t="s">
        <v>1118</v>
      </c>
      <c r="F16" s="644" t="s">
        <v>918</v>
      </c>
      <c r="G16" s="559">
        <v>-61.64</v>
      </c>
      <c r="H16" s="644">
        <v>856</v>
      </c>
      <c r="I16" s="644" t="s">
        <v>1056</v>
      </c>
    </row>
    <row r="17" spans="1:10" x14ac:dyDescent="0.2">
      <c r="A17" s="628">
        <f t="shared" si="0"/>
        <v>12</v>
      </c>
      <c r="B17" s="643">
        <v>42735</v>
      </c>
      <c r="C17" s="644" t="s">
        <v>1155</v>
      </c>
      <c r="D17" s="644" t="s">
        <v>146</v>
      </c>
      <c r="E17" s="644" t="s">
        <v>1118</v>
      </c>
      <c r="F17" s="644" t="s">
        <v>918</v>
      </c>
      <c r="G17" s="559">
        <v>-63.7</v>
      </c>
      <c r="H17" s="644">
        <v>856</v>
      </c>
      <c r="I17" s="644" t="s">
        <v>1056</v>
      </c>
    </row>
    <row r="18" spans="1:10" s="178" customFormat="1" x14ac:dyDescent="0.2">
      <c r="A18" s="628">
        <f t="shared" si="0"/>
        <v>13</v>
      </c>
      <c r="B18" s="643">
        <v>42613</v>
      </c>
      <c r="C18" s="644" t="s">
        <v>1155</v>
      </c>
      <c r="D18" s="644" t="s">
        <v>774</v>
      </c>
      <c r="E18" s="644" t="s">
        <v>1025</v>
      </c>
      <c r="F18" s="644" t="s">
        <v>918</v>
      </c>
      <c r="G18" s="559">
        <v>-100</v>
      </c>
      <c r="H18" s="644">
        <v>856</v>
      </c>
      <c r="I18" s="644" t="s">
        <v>1057</v>
      </c>
      <c r="J18" s="153"/>
    </row>
    <row r="19" spans="1:10" ht="13.5" customHeight="1" x14ac:dyDescent="0.2">
      <c r="A19" s="628">
        <f t="shared" si="0"/>
        <v>14</v>
      </c>
      <c r="B19" s="643">
        <v>42400</v>
      </c>
      <c r="C19" s="644" t="s">
        <v>1155</v>
      </c>
      <c r="D19" s="644" t="s">
        <v>768</v>
      </c>
      <c r="E19" s="644" t="s">
        <v>1156</v>
      </c>
      <c r="F19" s="644" t="s">
        <v>918</v>
      </c>
      <c r="G19" s="559">
        <v>-8.4700000000000006</v>
      </c>
      <c r="H19" s="644">
        <v>856</v>
      </c>
      <c r="I19" s="644" t="s">
        <v>1056</v>
      </c>
    </row>
    <row r="20" spans="1:10" x14ac:dyDescent="0.2">
      <c r="A20" s="628">
        <f t="shared" si="0"/>
        <v>15</v>
      </c>
      <c r="B20" s="643">
        <v>42429</v>
      </c>
      <c r="C20" s="644" t="s">
        <v>1155</v>
      </c>
      <c r="D20" s="644" t="s">
        <v>770</v>
      </c>
      <c r="E20" s="644" t="s">
        <v>1156</v>
      </c>
      <c r="F20" s="644" t="s">
        <v>918</v>
      </c>
      <c r="G20" s="559">
        <v>-7.92</v>
      </c>
      <c r="H20" s="644">
        <v>856</v>
      </c>
      <c r="I20" s="644" t="s">
        <v>1056</v>
      </c>
    </row>
    <row r="21" spans="1:10" x14ac:dyDescent="0.2">
      <c r="A21" s="628">
        <f t="shared" si="0"/>
        <v>16</v>
      </c>
      <c r="B21" s="643">
        <v>42460</v>
      </c>
      <c r="C21" s="644" t="s">
        <v>1155</v>
      </c>
      <c r="D21" s="644" t="s">
        <v>13</v>
      </c>
      <c r="E21" s="644" t="s">
        <v>1156</v>
      </c>
      <c r="F21" s="644" t="s">
        <v>918</v>
      </c>
      <c r="G21" s="559">
        <v>-8.4700000000000006</v>
      </c>
      <c r="H21" s="644">
        <v>856</v>
      </c>
      <c r="I21" s="644" t="s">
        <v>1056</v>
      </c>
    </row>
    <row r="22" spans="1:10" s="178" customFormat="1" x14ac:dyDescent="0.2">
      <c r="A22" s="628">
        <f t="shared" si="0"/>
        <v>17</v>
      </c>
      <c r="B22" s="643">
        <v>42490</v>
      </c>
      <c r="C22" s="644" t="s">
        <v>1155</v>
      </c>
      <c r="D22" s="644" t="s">
        <v>771</v>
      </c>
      <c r="E22" s="644" t="s">
        <v>1156</v>
      </c>
      <c r="F22" s="644" t="s">
        <v>918</v>
      </c>
      <c r="G22" s="559">
        <v>-8.1999999999999993</v>
      </c>
      <c r="H22" s="644">
        <v>856</v>
      </c>
      <c r="I22" s="644" t="s">
        <v>1056</v>
      </c>
      <c r="J22" s="153"/>
    </row>
    <row r="23" spans="1:10" x14ac:dyDescent="0.2">
      <c r="A23" s="628">
        <f t="shared" si="0"/>
        <v>18</v>
      </c>
      <c r="B23" s="643">
        <v>42521</v>
      </c>
      <c r="C23" s="644" t="s">
        <v>1155</v>
      </c>
      <c r="D23" s="644" t="s">
        <v>772</v>
      </c>
      <c r="E23" s="644" t="s">
        <v>1156</v>
      </c>
      <c r="F23" s="644" t="s">
        <v>918</v>
      </c>
      <c r="G23" s="559">
        <v>-8.4700000000000006</v>
      </c>
      <c r="H23" s="644">
        <v>856</v>
      </c>
      <c r="I23" s="644" t="s">
        <v>1056</v>
      </c>
    </row>
    <row r="24" spans="1:10" x14ac:dyDescent="0.2">
      <c r="A24" s="628">
        <f t="shared" si="0"/>
        <v>19</v>
      </c>
      <c r="B24" s="643">
        <v>42551</v>
      </c>
      <c r="C24" s="644" t="s">
        <v>1155</v>
      </c>
      <c r="D24" s="644" t="s">
        <v>773</v>
      </c>
      <c r="E24" s="644" t="s">
        <v>1156</v>
      </c>
      <c r="F24" s="644" t="s">
        <v>918</v>
      </c>
      <c r="G24" s="559">
        <v>-8.1999999999999993</v>
      </c>
      <c r="H24" s="644">
        <v>856</v>
      </c>
      <c r="I24" s="644" t="s">
        <v>1056</v>
      </c>
    </row>
    <row r="25" spans="1:10" x14ac:dyDescent="0.2">
      <c r="A25" s="628">
        <f t="shared" si="0"/>
        <v>20</v>
      </c>
      <c r="B25" s="643">
        <v>42582</v>
      </c>
      <c r="C25" s="644" t="s">
        <v>1155</v>
      </c>
      <c r="D25" s="644" t="s">
        <v>14</v>
      </c>
      <c r="E25" s="644" t="s">
        <v>1156</v>
      </c>
      <c r="F25" s="644" t="s">
        <v>918</v>
      </c>
      <c r="G25" s="559">
        <v>-8.4700000000000006</v>
      </c>
      <c r="H25" s="644">
        <v>856</v>
      </c>
      <c r="I25" s="644" t="s">
        <v>1056</v>
      </c>
    </row>
    <row r="26" spans="1:10" x14ac:dyDescent="0.2">
      <c r="A26" s="628">
        <f t="shared" si="0"/>
        <v>21</v>
      </c>
      <c r="B26" s="643">
        <v>42613</v>
      </c>
      <c r="C26" s="644" t="s">
        <v>1155</v>
      </c>
      <c r="D26" s="644" t="s">
        <v>774</v>
      </c>
      <c r="E26" s="644" t="s">
        <v>1156</v>
      </c>
      <c r="F26" s="644" t="s">
        <v>918</v>
      </c>
      <c r="G26" s="559">
        <v>-8.4700000000000006</v>
      </c>
      <c r="H26" s="644">
        <v>856</v>
      </c>
      <c r="I26" s="644" t="s">
        <v>1056</v>
      </c>
      <c r="J26" s="526"/>
    </row>
    <row r="27" spans="1:10" x14ac:dyDescent="0.2">
      <c r="A27" s="628">
        <f t="shared" si="0"/>
        <v>22</v>
      </c>
      <c r="B27" s="643">
        <v>42643</v>
      </c>
      <c r="C27" s="644" t="s">
        <v>1155</v>
      </c>
      <c r="D27" s="644" t="s">
        <v>775</v>
      </c>
      <c r="E27" s="644" t="s">
        <v>1156</v>
      </c>
      <c r="F27" s="644" t="s">
        <v>918</v>
      </c>
      <c r="G27" s="559">
        <v>-8.1999999999999993</v>
      </c>
      <c r="H27" s="644">
        <v>856</v>
      </c>
      <c r="I27" s="644" t="s">
        <v>1056</v>
      </c>
    </row>
    <row r="28" spans="1:10" x14ac:dyDescent="0.2">
      <c r="A28" s="628">
        <f t="shared" si="0"/>
        <v>23</v>
      </c>
      <c r="B28" s="643">
        <v>42674</v>
      </c>
      <c r="C28" s="644" t="s">
        <v>1155</v>
      </c>
      <c r="D28" s="644" t="s">
        <v>776</v>
      </c>
      <c r="E28" s="644" t="s">
        <v>1156</v>
      </c>
      <c r="F28" s="644" t="s">
        <v>918</v>
      </c>
      <c r="G28" s="559">
        <v>-8.4700000000000006</v>
      </c>
      <c r="H28" s="644">
        <v>856</v>
      </c>
      <c r="I28" s="644" t="s">
        <v>1056</v>
      </c>
    </row>
    <row r="29" spans="1:10" x14ac:dyDescent="0.2">
      <c r="A29" s="628">
        <f t="shared" si="0"/>
        <v>24</v>
      </c>
      <c r="B29" s="643">
        <v>42704</v>
      </c>
      <c r="C29" s="644" t="s">
        <v>1155</v>
      </c>
      <c r="D29" s="644" t="s">
        <v>777</v>
      </c>
      <c r="E29" s="644" t="s">
        <v>1156</v>
      </c>
      <c r="F29" s="644" t="s">
        <v>918</v>
      </c>
      <c r="G29" s="559">
        <v>-8.1999999999999993</v>
      </c>
      <c r="H29" s="644">
        <v>856</v>
      </c>
      <c r="I29" s="644" t="s">
        <v>1056</v>
      </c>
    </row>
    <row r="30" spans="1:10" x14ac:dyDescent="0.2">
      <c r="A30" s="628">
        <f t="shared" si="0"/>
        <v>25</v>
      </c>
      <c r="B30" s="643">
        <v>42735</v>
      </c>
      <c r="C30" s="644" t="s">
        <v>1155</v>
      </c>
      <c r="D30" s="644" t="s">
        <v>146</v>
      </c>
      <c r="E30" s="644" t="s">
        <v>1156</v>
      </c>
      <c r="F30" s="644" t="s">
        <v>918</v>
      </c>
      <c r="G30" s="559">
        <v>-8.4600000000000009</v>
      </c>
      <c r="H30" s="644">
        <v>856</v>
      </c>
      <c r="I30" s="644" t="s">
        <v>1056</v>
      </c>
      <c r="J30" s="527"/>
    </row>
    <row r="31" spans="1:10" s="178" customFormat="1" x14ac:dyDescent="0.2">
      <c r="A31" s="628">
        <f t="shared" si="0"/>
        <v>26</v>
      </c>
      <c r="B31" s="643">
        <v>42400</v>
      </c>
      <c r="C31" s="644">
        <v>454151</v>
      </c>
      <c r="D31" s="644" t="s">
        <v>768</v>
      </c>
      <c r="E31" s="644" t="s">
        <v>1053</v>
      </c>
      <c r="F31" s="644" t="s">
        <v>693</v>
      </c>
      <c r="G31" s="559">
        <v>-151</v>
      </c>
      <c r="H31" s="644">
        <v>856</v>
      </c>
      <c r="I31" s="644" t="s">
        <v>1056</v>
      </c>
      <c r="J31" s="153"/>
    </row>
    <row r="32" spans="1:10" ht="15.75" customHeight="1" x14ac:dyDescent="0.2">
      <c r="A32" s="628">
        <f t="shared" si="0"/>
        <v>27</v>
      </c>
      <c r="B32" s="643">
        <v>42429</v>
      </c>
      <c r="C32" s="644">
        <v>454151</v>
      </c>
      <c r="D32" s="644" t="s">
        <v>770</v>
      </c>
      <c r="E32" s="644" t="s">
        <v>1053</v>
      </c>
      <c r="F32" s="644" t="s">
        <v>693</v>
      </c>
      <c r="G32" s="559">
        <v>-141.26</v>
      </c>
      <c r="H32" s="644">
        <v>856</v>
      </c>
      <c r="I32" s="644" t="s">
        <v>1056</v>
      </c>
    </row>
    <row r="33" spans="1:10" s="178" customFormat="1" ht="15.75" customHeight="1" x14ac:dyDescent="0.2">
      <c r="A33" s="628">
        <f t="shared" si="0"/>
        <v>28</v>
      </c>
      <c r="B33" s="643">
        <v>42460</v>
      </c>
      <c r="C33" s="644">
        <v>454151</v>
      </c>
      <c r="D33" s="644" t="s">
        <v>13</v>
      </c>
      <c r="E33" s="644" t="s">
        <v>1053</v>
      </c>
      <c r="F33" s="644" t="s">
        <v>693</v>
      </c>
      <c r="G33" s="559">
        <v>-107.16</v>
      </c>
      <c r="H33" s="644">
        <v>856</v>
      </c>
      <c r="I33" s="644" t="s">
        <v>1056</v>
      </c>
      <c r="J33" s="153"/>
    </row>
    <row r="34" spans="1:10" ht="15.75" customHeight="1" x14ac:dyDescent="0.2">
      <c r="A34" s="628">
        <f t="shared" si="0"/>
        <v>29</v>
      </c>
      <c r="B34" s="643">
        <v>42460</v>
      </c>
      <c r="C34" s="644">
        <v>454151</v>
      </c>
      <c r="D34" s="644" t="s">
        <v>13</v>
      </c>
      <c r="E34" s="644" t="s">
        <v>1053</v>
      </c>
      <c r="F34" s="644" t="s">
        <v>693</v>
      </c>
      <c r="G34" s="559">
        <v>-113.11</v>
      </c>
      <c r="H34" s="644">
        <v>856</v>
      </c>
      <c r="I34" s="644" t="s">
        <v>1056</v>
      </c>
      <c r="J34" s="528"/>
    </row>
    <row r="35" spans="1:10" x14ac:dyDescent="0.2">
      <c r="A35" s="628">
        <f t="shared" si="0"/>
        <v>30</v>
      </c>
      <c r="B35" s="643">
        <v>42490</v>
      </c>
      <c r="C35" s="644">
        <v>454151</v>
      </c>
      <c r="D35" s="644" t="s">
        <v>771</v>
      </c>
      <c r="E35" s="644" t="s">
        <v>1053</v>
      </c>
      <c r="F35" s="644" t="s">
        <v>693</v>
      </c>
      <c r="G35" s="559">
        <v>-147.54</v>
      </c>
      <c r="H35" s="644">
        <v>856</v>
      </c>
      <c r="I35" s="644" t="s">
        <v>1056</v>
      </c>
    </row>
    <row r="36" spans="1:10" x14ac:dyDescent="0.2">
      <c r="A36" s="628">
        <f t="shared" si="0"/>
        <v>31</v>
      </c>
      <c r="B36" s="643">
        <v>42521</v>
      </c>
      <c r="C36" s="644">
        <v>454151</v>
      </c>
      <c r="D36" s="644" t="s">
        <v>772</v>
      </c>
      <c r="E36" s="644" t="s">
        <v>1053</v>
      </c>
      <c r="F36" s="644" t="s">
        <v>693</v>
      </c>
      <c r="G36" s="559">
        <v>-152.46</v>
      </c>
      <c r="H36" s="644">
        <v>856</v>
      </c>
      <c r="I36" s="644" t="s">
        <v>1056</v>
      </c>
    </row>
    <row r="37" spans="1:10" x14ac:dyDescent="0.2">
      <c r="A37" s="628">
        <f t="shared" si="0"/>
        <v>32</v>
      </c>
      <c r="B37" s="643">
        <v>42551</v>
      </c>
      <c r="C37" s="644">
        <v>454151</v>
      </c>
      <c r="D37" s="644" t="s">
        <v>773</v>
      </c>
      <c r="E37" s="644" t="s">
        <v>1053</v>
      </c>
      <c r="F37" s="644" t="s">
        <v>693</v>
      </c>
      <c r="G37" s="559">
        <v>-147.54</v>
      </c>
      <c r="H37" s="644">
        <v>856</v>
      </c>
      <c r="I37" s="644" t="s">
        <v>1056</v>
      </c>
    </row>
    <row r="38" spans="1:10" x14ac:dyDescent="0.2">
      <c r="A38" s="628">
        <f t="shared" si="0"/>
        <v>33</v>
      </c>
      <c r="B38" s="643">
        <v>42582</v>
      </c>
      <c r="C38" s="644">
        <v>454151</v>
      </c>
      <c r="D38" s="644" t="s">
        <v>14</v>
      </c>
      <c r="E38" s="644" t="s">
        <v>1053</v>
      </c>
      <c r="F38" s="644" t="s">
        <v>693</v>
      </c>
      <c r="G38" s="559">
        <v>-152.46</v>
      </c>
      <c r="H38" s="644">
        <v>856</v>
      </c>
      <c r="I38" s="644" t="s">
        <v>1056</v>
      </c>
    </row>
    <row r="39" spans="1:10" x14ac:dyDescent="0.2">
      <c r="A39" s="628">
        <f t="shared" si="0"/>
        <v>34</v>
      </c>
      <c r="B39" s="643">
        <v>42613</v>
      </c>
      <c r="C39" s="644">
        <v>454151</v>
      </c>
      <c r="D39" s="644" t="s">
        <v>774</v>
      </c>
      <c r="E39" s="644" t="s">
        <v>1053</v>
      </c>
      <c r="F39" s="644" t="s">
        <v>693</v>
      </c>
      <c r="G39" s="559">
        <v>-152.46</v>
      </c>
      <c r="H39" s="644">
        <v>856</v>
      </c>
      <c r="I39" s="644" t="s">
        <v>1056</v>
      </c>
    </row>
    <row r="40" spans="1:10" x14ac:dyDescent="0.2">
      <c r="A40" s="628">
        <f t="shared" si="0"/>
        <v>35</v>
      </c>
      <c r="B40" s="643">
        <v>42643</v>
      </c>
      <c r="C40" s="644">
        <v>454151</v>
      </c>
      <c r="D40" s="644" t="s">
        <v>775</v>
      </c>
      <c r="E40" s="644" t="s">
        <v>1053</v>
      </c>
      <c r="F40" s="644" t="s">
        <v>693</v>
      </c>
      <c r="G40" s="559">
        <v>-147.54</v>
      </c>
      <c r="H40" s="644">
        <v>856</v>
      </c>
      <c r="I40" s="644" t="s">
        <v>1056</v>
      </c>
    </row>
    <row r="41" spans="1:10" x14ac:dyDescent="0.2">
      <c r="A41" s="628">
        <f t="shared" si="0"/>
        <v>36</v>
      </c>
      <c r="B41" s="643">
        <v>42674</v>
      </c>
      <c r="C41" s="644">
        <v>454151</v>
      </c>
      <c r="D41" s="644" t="s">
        <v>776</v>
      </c>
      <c r="E41" s="644" t="s">
        <v>1053</v>
      </c>
      <c r="F41" s="644" t="s">
        <v>693</v>
      </c>
      <c r="G41" s="559">
        <v>-152.46</v>
      </c>
      <c r="H41" s="644">
        <v>856</v>
      </c>
      <c r="I41" s="644" t="s">
        <v>1056</v>
      </c>
    </row>
    <row r="42" spans="1:10" x14ac:dyDescent="0.2">
      <c r="A42" s="628">
        <f t="shared" si="0"/>
        <v>37</v>
      </c>
      <c r="B42" s="643">
        <v>42704</v>
      </c>
      <c r="C42" s="644">
        <v>454151</v>
      </c>
      <c r="D42" s="644" t="s">
        <v>777</v>
      </c>
      <c r="E42" s="644" t="s">
        <v>1053</v>
      </c>
      <c r="F42" s="644" t="s">
        <v>693</v>
      </c>
      <c r="G42" s="559">
        <v>-147.54</v>
      </c>
      <c r="H42" s="644">
        <v>856</v>
      </c>
      <c r="I42" s="644" t="s">
        <v>1056</v>
      </c>
    </row>
    <row r="43" spans="1:10" x14ac:dyDescent="0.2">
      <c r="A43" s="628">
        <f t="shared" si="0"/>
        <v>38</v>
      </c>
      <c r="B43" s="643">
        <v>42735</v>
      </c>
      <c r="C43" s="644">
        <v>454151</v>
      </c>
      <c r="D43" s="644" t="s">
        <v>146</v>
      </c>
      <c r="E43" s="644" t="s">
        <v>1053</v>
      </c>
      <c r="F43" s="644" t="s">
        <v>693</v>
      </c>
      <c r="G43" s="559">
        <v>-152.46</v>
      </c>
      <c r="H43" s="644">
        <v>856</v>
      </c>
      <c r="I43" s="644" t="s">
        <v>1056</v>
      </c>
    </row>
    <row r="44" spans="1:10" x14ac:dyDescent="0.2">
      <c r="A44" s="628">
        <f t="shared" si="0"/>
        <v>39</v>
      </c>
      <c r="B44" s="643">
        <v>42551</v>
      </c>
      <c r="C44" s="644" t="s">
        <v>1155</v>
      </c>
      <c r="D44" s="644" t="s">
        <v>773</v>
      </c>
      <c r="E44" s="644" t="s">
        <v>1020</v>
      </c>
      <c r="F44" s="644" t="s">
        <v>918</v>
      </c>
      <c r="G44" s="559">
        <v>-100</v>
      </c>
      <c r="H44" s="644">
        <v>856</v>
      </c>
      <c r="I44" s="644" t="s">
        <v>1057</v>
      </c>
    </row>
    <row r="45" spans="1:10" x14ac:dyDescent="0.2">
      <c r="A45" s="628">
        <f t="shared" si="0"/>
        <v>40</v>
      </c>
      <c r="B45" s="643">
        <v>42551</v>
      </c>
      <c r="C45" s="644" t="s">
        <v>1155</v>
      </c>
      <c r="D45" s="644" t="s">
        <v>773</v>
      </c>
      <c r="E45" s="644" t="s">
        <v>1012</v>
      </c>
      <c r="F45" s="644" t="s">
        <v>918</v>
      </c>
      <c r="G45" s="559">
        <v>-100</v>
      </c>
      <c r="H45" s="644">
        <v>856</v>
      </c>
      <c r="I45" s="644" t="s">
        <v>1057</v>
      </c>
      <c r="J45" s="526"/>
    </row>
    <row r="46" spans="1:10" x14ac:dyDescent="0.2">
      <c r="A46" s="628">
        <f t="shared" si="0"/>
        <v>41</v>
      </c>
      <c r="B46" s="645">
        <v>42400</v>
      </c>
      <c r="C46" s="644" t="s">
        <v>1052</v>
      </c>
      <c r="D46" s="644" t="s">
        <v>768</v>
      </c>
      <c r="E46" s="644" t="s">
        <v>1119</v>
      </c>
      <c r="F46" s="646" t="s">
        <v>918</v>
      </c>
      <c r="G46" s="647">
        <v>-500</v>
      </c>
      <c r="H46" s="644" t="s">
        <v>890</v>
      </c>
      <c r="I46" s="644" t="s">
        <v>1056</v>
      </c>
      <c r="J46" s="528"/>
    </row>
    <row r="47" spans="1:10" x14ac:dyDescent="0.2">
      <c r="A47" s="628">
        <f t="shared" si="0"/>
        <v>42</v>
      </c>
      <c r="B47" s="645">
        <v>42429</v>
      </c>
      <c r="C47" s="644" t="s">
        <v>1052</v>
      </c>
      <c r="D47" s="644" t="s">
        <v>770</v>
      </c>
      <c r="E47" s="644" t="s">
        <v>1119</v>
      </c>
      <c r="F47" s="646" t="s">
        <v>918</v>
      </c>
      <c r="G47" s="647">
        <v>-500</v>
      </c>
      <c r="H47" s="644" t="s">
        <v>890</v>
      </c>
      <c r="I47" s="644" t="s">
        <v>1056</v>
      </c>
    </row>
    <row r="48" spans="1:10" x14ac:dyDescent="0.2">
      <c r="A48" s="628">
        <f t="shared" si="0"/>
        <v>43</v>
      </c>
      <c r="B48" s="645">
        <v>42460</v>
      </c>
      <c r="C48" s="644" t="s">
        <v>1052</v>
      </c>
      <c r="D48" s="644" t="s">
        <v>13</v>
      </c>
      <c r="E48" s="644" t="s">
        <v>1119</v>
      </c>
      <c r="F48" s="646" t="s">
        <v>918</v>
      </c>
      <c r="G48" s="647">
        <v>-500</v>
      </c>
      <c r="H48" s="644" t="s">
        <v>890</v>
      </c>
      <c r="I48" s="644" t="s">
        <v>1056</v>
      </c>
    </row>
    <row r="49" spans="1:10" x14ac:dyDescent="0.2">
      <c r="A49" s="628">
        <f t="shared" si="0"/>
        <v>44</v>
      </c>
      <c r="B49" s="645">
        <v>42490</v>
      </c>
      <c r="C49" s="644" t="s">
        <v>1052</v>
      </c>
      <c r="D49" s="644" t="s">
        <v>771</v>
      </c>
      <c r="E49" s="644" t="s">
        <v>1119</v>
      </c>
      <c r="F49" s="646" t="s">
        <v>918</v>
      </c>
      <c r="G49" s="647">
        <v>-500</v>
      </c>
      <c r="H49" s="644" t="s">
        <v>890</v>
      </c>
      <c r="I49" s="644" t="s">
        <v>1056</v>
      </c>
    </row>
    <row r="50" spans="1:10" x14ac:dyDescent="0.2">
      <c r="A50" s="628">
        <f t="shared" si="0"/>
        <v>45</v>
      </c>
      <c r="B50" s="645">
        <v>42521</v>
      </c>
      <c r="C50" s="644" t="s">
        <v>1052</v>
      </c>
      <c r="D50" s="644" t="s">
        <v>772</v>
      </c>
      <c r="E50" s="644" t="s">
        <v>1119</v>
      </c>
      <c r="F50" s="646" t="s">
        <v>918</v>
      </c>
      <c r="G50" s="647">
        <v>-500</v>
      </c>
      <c r="H50" s="644" t="s">
        <v>890</v>
      </c>
      <c r="I50" s="644" t="s">
        <v>1056</v>
      </c>
    </row>
    <row r="51" spans="1:10" x14ac:dyDescent="0.2">
      <c r="A51" s="628">
        <f t="shared" si="0"/>
        <v>46</v>
      </c>
      <c r="B51" s="645">
        <v>42551</v>
      </c>
      <c r="C51" s="644" t="s">
        <v>1052</v>
      </c>
      <c r="D51" s="644" t="s">
        <v>773</v>
      </c>
      <c r="E51" s="644" t="s">
        <v>1119</v>
      </c>
      <c r="F51" s="646" t="s">
        <v>918</v>
      </c>
      <c r="G51" s="647">
        <v>-500</v>
      </c>
      <c r="H51" s="644" t="s">
        <v>890</v>
      </c>
      <c r="I51" s="644" t="s">
        <v>1056</v>
      </c>
    </row>
    <row r="52" spans="1:10" x14ac:dyDescent="0.2">
      <c r="A52" s="628">
        <f t="shared" si="0"/>
        <v>47</v>
      </c>
      <c r="B52" s="645">
        <v>42582</v>
      </c>
      <c r="C52" s="644" t="s">
        <v>1052</v>
      </c>
      <c r="D52" s="644" t="s">
        <v>14</v>
      </c>
      <c r="E52" s="644" t="s">
        <v>1119</v>
      </c>
      <c r="F52" s="646" t="s">
        <v>918</v>
      </c>
      <c r="G52" s="647">
        <v>-500</v>
      </c>
      <c r="H52" s="644" t="s">
        <v>890</v>
      </c>
      <c r="I52" s="644" t="s">
        <v>1056</v>
      </c>
      <c r="J52" s="526"/>
    </row>
    <row r="53" spans="1:10" x14ac:dyDescent="0.2">
      <c r="A53" s="628">
        <f t="shared" si="0"/>
        <v>48</v>
      </c>
      <c r="B53" s="645">
        <v>42613</v>
      </c>
      <c r="C53" s="644" t="s">
        <v>1052</v>
      </c>
      <c r="D53" s="644" t="s">
        <v>774</v>
      </c>
      <c r="E53" s="644" t="s">
        <v>1119</v>
      </c>
      <c r="F53" s="646" t="s">
        <v>918</v>
      </c>
      <c r="G53" s="647">
        <v>-500</v>
      </c>
      <c r="H53" s="644" t="s">
        <v>890</v>
      </c>
      <c r="I53" s="644" t="s">
        <v>1056</v>
      </c>
    </row>
    <row r="54" spans="1:10" x14ac:dyDescent="0.2">
      <c r="A54" s="628">
        <f t="shared" si="0"/>
        <v>49</v>
      </c>
      <c r="B54" s="645">
        <v>42643</v>
      </c>
      <c r="C54" s="644" t="s">
        <v>1052</v>
      </c>
      <c r="D54" s="644" t="s">
        <v>775</v>
      </c>
      <c r="E54" s="644" t="s">
        <v>1119</v>
      </c>
      <c r="F54" s="646" t="s">
        <v>918</v>
      </c>
      <c r="G54" s="647">
        <v>-500</v>
      </c>
      <c r="H54" s="644" t="s">
        <v>890</v>
      </c>
      <c r="I54" s="644" t="s">
        <v>1056</v>
      </c>
    </row>
    <row r="55" spans="1:10" x14ac:dyDescent="0.2">
      <c r="A55" s="628">
        <f t="shared" si="0"/>
        <v>50</v>
      </c>
      <c r="B55" s="645">
        <v>42674</v>
      </c>
      <c r="C55" s="644" t="s">
        <v>1052</v>
      </c>
      <c r="D55" s="644" t="s">
        <v>776</v>
      </c>
      <c r="E55" s="644" t="s">
        <v>1119</v>
      </c>
      <c r="F55" s="646" t="s">
        <v>918</v>
      </c>
      <c r="G55" s="647">
        <v>-500</v>
      </c>
      <c r="H55" s="644" t="s">
        <v>890</v>
      </c>
      <c r="I55" s="644" t="s">
        <v>1056</v>
      </c>
    </row>
    <row r="56" spans="1:10" x14ac:dyDescent="0.2">
      <c r="A56" s="628">
        <f t="shared" si="0"/>
        <v>51</v>
      </c>
      <c r="B56" s="645">
        <v>42704</v>
      </c>
      <c r="C56" s="644" t="s">
        <v>1052</v>
      </c>
      <c r="D56" s="644" t="s">
        <v>777</v>
      </c>
      <c r="E56" s="644" t="s">
        <v>1119</v>
      </c>
      <c r="F56" s="646" t="s">
        <v>918</v>
      </c>
      <c r="G56" s="647">
        <v>-500</v>
      </c>
      <c r="H56" s="644" t="s">
        <v>890</v>
      </c>
      <c r="I56" s="644" t="s">
        <v>1056</v>
      </c>
    </row>
    <row r="57" spans="1:10" x14ac:dyDescent="0.2">
      <c r="A57" s="628">
        <f t="shared" si="0"/>
        <v>52</v>
      </c>
      <c r="B57" s="645">
        <v>42735</v>
      </c>
      <c r="C57" s="644" t="s">
        <v>1052</v>
      </c>
      <c r="D57" s="644" t="s">
        <v>146</v>
      </c>
      <c r="E57" s="644" t="s">
        <v>1119</v>
      </c>
      <c r="F57" s="646" t="s">
        <v>918</v>
      </c>
      <c r="G57" s="647">
        <v>-500</v>
      </c>
      <c r="H57" s="644" t="s">
        <v>890</v>
      </c>
      <c r="I57" s="644" t="s">
        <v>1056</v>
      </c>
    </row>
    <row r="58" spans="1:10" x14ac:dyDescent="0.2">
      <c r="A58" s="628">
        <f t="shared" si="0"/>
        <v>53</v>
      </c>
      <c r="B58" s="645">
        <v>42400</v>
      </c>
      <c r="C58" s="644" t="s">
        <v>1052</v>
      </c>
      <c r="D58" s="644" t="s">
        <v>768</v>
      </c>
      <c r="E58" s="644" t="s">
        <v>1120</v>
      </c>
      <c r="F58" s="646" t="s">
        <v>918</v>
      </c>
      <c r="G58" s="647">
        <v>-500</v>
      </c>
      <c r="H58" s="644" t="s">
        <v>890</v>
      </c>
      <c r="I58" s="644" t="s">
        <v>1056</v>
      </c>
    </row>
    <row r="59" spans="1:10" x14ac:dyDescent="0.2">
      <c r="A59" s="628">
        <f t="shared" si="0"/>
        <v>54</v>
      </c>
      <c r="B59" s="645">
        <v>42429</v>
      </c>
      <c r="C59" s="644" t="s">
        <v>1052</v>
      </c>
      <c r="D59" s="644" t="s">
        <v>770</v>
      </c>
      <c r="E59" s="644" t="s">
        <v>1120</v>
      </c>
      <c r="F59" s="646" t="s">
        <v>918</v>
      </c>
      <c r="G59" s="647">
        <v>-500</v>
      </c>
      <c r="H59" s="644" t="s">
        <v>890</v>
      </c>
      <c r="I59" s="644" t="s">
        <v>1056</v>
      </c>
    </row>
    <row r="60" spans="1:10" x14ac:dyDescent="0.2">
      <c r="A60" s="628">
        <f t="shared" si="0"/>
        <v>55</v>
      </c>
      <c r="B60" s="645">
        <v>42460</v>
      </c>
      <c r="C60" s="644" t="s">
        <v>1052</v>
      </c>
      <c r="D60" s="644" t="s">
        <v>13</v>
      </c>
      <c r="E60" s="644" t="s">
        <v>1120</v>
      </c>
      <c r="F60" s="646" t="s">
        <v>918</v>
      </c>
      <c r="G60" s="647">
        <v>-500</v>
      </c>
      <c r="H60" s="644" t="s">
        <v>890</v>
      </c>
      <c r="I60" s="644" t="s">
        <v>1056</v>
      </c>
    </row>
    <row r="61" spans="1:10" x14ac:dyDescent="0.2">
      <c r="A61" s="628">
        <f t="shared" si="0"/>
        <v>56</v>
      </c>
      <c r="B61" s="645">
        <v>42490</v>
      </c>
      <c r="C61" s="644" t="s">
        <v>1052</v>
      </c>
      <c r="D61" s="644" t="s">
        <v>771</v>
      </c>
      <c r="E61" s="644" t="s">
        <v>1120</v>
      </c>
      <c r="F61" s="646" t="s">
        <v>918</v>
      </c>
      <c r="G61" s="647">
        <v>-500</v>
      </c>
      <c r="H61" s="644" t="s">
        <v>890</v>
      </c>
      <c r="I61" s="644" t="s">
        <v>1056</v>
      </c>
    </row>
    <row r="62" spans="1:10" x14ac:dyDescent="0.2">
      <c r="A62" s="628">
        <f t="shared" si="0"/>
        <v>57</v>
      </c>
      <c r="B62" s="645">
        <v>42521</v>
      </c>
      <c r="C62" s="644" t="s">
        <v>1052</v>
      </c>
      <c r="D62" s="644" t="s">
        <v>772</v>
      </c>
      <c r="E62" s="644" t="s">
        <v>1120</v>
      </c>
      <c r="F62" s="646" t="s">
        <v>918</v>
      </c>
      <c r="G62" s="647">
        <v>-500</v>
      </c>
      <c r="H62" s="644" t="s">
        <v>890</v>
      </c>
      <c r="I62" s="644" t="s">
        <v>1056</v>
      </c>
    </row>
    <row r="63" spans="1:10" x14ac:dyDescent="0.2">
      <c r="A63" s="628">
        <f t="shared" si="0"/>
        <v>58</v>
      </c>
      <c r="B63" s="645">
        <v>42551</v>
      </c>
      <c r="C63" s="644" t="s">
        <v>1052</v>
      </c>
      <c r="D63" s="644" t="s">
        <v>773</v>
      </c>
      <c r="E63" s="644" t="s">
        <v>1120</v>
      </c>
      <c r="F63" s="646" t="s">
        <v>918</v>
      </c>
      <c r="G63" s="647">
        <v>-500</v>
      </c>
      <c r="H63" s="644" t="s">
        <v>890</v>
      </c>
      <c r="I63" s="644" t="s">
        <v>1056</v>
      </c>
      <c r="J63" s="526"/>
    </row>
    <row r="64" spans="1:10" x14ac:dyDescent="0.2">
      <c r="A64" s="628">
        <f t="shared" si="0"/>
        <v>59</v>
      </c>
      <c r="B64" s="645">
        <v>42582</v>
      </c>
      <c r="C64" s="644" t="s">
        <v>1052</v>
      </c>
      <c r="D64" s="644" t="s">
        <v>14</v>
      </c>
      <c r="E64" s="644" t="s">
        <v>1120</v>
      </c>
      <c r="F64" s="646" t="s">
        <v>918</v>
      </c>
      <c r="G64" s="647">
        <v>-500</v>
      </c>
      <c r="H64" s="644" t="s">
        <v>890</v>
      </c>
      <c r="I64" s="644" t="s">
        <v>1056</v>
      </c>
    </row>
    <row r="65" spans="1:10" x14ac:dyDescent="0.2">
      <c r="A65" s="628">
        <f t="shared" si="0"/>
        <v>60</v>
      </c>
      <c r="B65" s="645">
        <v>42613</v>
      </c>
      <c r="C65" s="644" t="s">
        <v>1052</v>
      </c>
      <c r="D65" s="644" t="s">
        <v>774</v>
      </c>
      <c r="E65" s="644" t="s">
        <v>1120</v>
      </c>
      <c r="F65" s="646" t="s">
        <v>918</v>
      </c>
      <c r="G65" s="647">
        <v>-216.67</v>
      </c>
      <c r="H65" s="644" t="s">
        <v>890</v>
      </c>
      <c r="I65" s="644" t="s">
        <v>1056</v>
      </c>
      <c r="J65" s="445"/>
    </row>
    <row r="66" spans="1:10" x14ac:dyDescent="0.2">
      <c r="A66" s="628">
        <f t="shared" si="0"/>
        <v>61</v>
      </c>
      <c r="B66" s="643">
        <v>42613</v>
      </c>
      <c r="C66" s="644">
        <v>454151</v>
      </c>
      <c r="D66" s="644" t="s">
        <v>774</v>
      </c>
      <c r="E66" s="644" t="s">
        <v>1157</v>
      </c>
      <c r="F66" s="644" t="s">
        <v>918</v>
      </c>
      <c r="G66" s="559">
        <v>-817.6</v>
      </c>
      <c r="H66" s="644">
        <v>856</v>
      </c>
      <c r="I66" s="644" t="s">
        <v>1057</v>
      </c>
      <c r="J66" s="445"/>
    </row>
    <row r="67" spans="1:10" x14ac:dyDescent="0.2">
      <c r="A67" s="628">
        <f t="shared" si="0"/>
        <v>62</v>
      </c>
      <c r="B67" s="643">
        <v>42400</v>
      </c>
      <c r="C67" s="644">
        <v>454151</v>
      </c>
      <c r="D67" s="644" t="s">
        <v>768</v>
      </c>
      <c r="E67" s="644" t="s">
        <v>1158</v>
      </c>
      <c r="F67" s="644" t="s">
        <v>641</v>
      </c>
      <c r="G67" s="559">
        <v>-41.99</v>
      </c>
      <c r="H67" s="644">
        <v>856</v>
      </c>
      <c r="I67" s="644" t="s">
        <v>1056</v>
      </c>
      <c r="J67" s="445"/>
    </row>
    <row r="68" spans="1:10" x14ac:dyDescent="0.2">
      <c r="A68" s="628">
        <f t="shared" si="0"/>
        <v>63</v>
      </c>
      <c r="B68" s="643">
        <v>42429</v>
      </c>
      <c r="C68" s="644">
        <v>454151</v>
      </c>
      <c r="D68" s="644" t="s">
        <v>770</v>
      </c>
      <c r="E68" s="644" t="s">
        <v>1158</v>
      </c>
      <c r="F68" s="644" t="s">
        <v>641</v>
      </c>
      <c r="G68" s="559">
        <v>-39.28</v>
      </c>
      <c r="H68" s="644">
        <v>856</v>
      </c>
      <c r="I68" s="644" t="s">
        <v>1056</v>
      </c>
      <c r="J68" s="445"/>
    </row>
    <row r="69" spans="1:10" x14ac:dyDescent="0.2">
      <c r="A69" s="628">
        <f t="shared" si="0"/>
        <v>64</v>
      </c>
      <c r="B69" s="643">
        <v>42460</v>
      </c>
      <c r="C69" s="644">
        <v>454151</v>
      </c>
      <c r="D69" s="644" t="s">
        <v>13</v>
      </c>
      <c r="E69" s="644" t="s">
        <v>1158</v>
      </c>
      <c r="F69" s="644" t="s">
        <v>641</v>
      </c>
      <c r="G69" s="559">
        <v>-41.980000000000004</v>
      </c>
      <c r="H69" s="644">
        <v>856</v>
      </c>
      <c r="I69" s="644" t="s">
        <v>1056</v>
      </c>
      <c r="J69" s="445"/>
    </row>
    <row r="70" spans="1:10" x14ac:dyDescent="0.2">
      <c r="A70" s="628">
        <f t="shared" si="0"/>
        <v>65</v>
      </c>
      <c r="B70" s="643">
        <v>42490</v>
      </c>
      <c r="C70" s="644">
        <v>454151</v>
      </c>
      <c r="D70" s="644" t="s">
        <v>771</v>
      </c>
      <c r="E70" s="644" t="s">
        <v>1158</v>
      </c>
      <c r="F70" s="644" t="s">
        <v>641</v>
      </c>
      <c r="G70" s="559">
        <v>-41.1</v>
      </c>
      <c r="H70" s="644">
        <v>856</v>
      </c>
      <c r="I70" s="644" t="s">
        <v>1056</v>
      </c>
      <c r="J70" s="445"/>
    </row>
    <row r="71" spans="1:10" x14ac:dyDescent="0.2">
      <c r="A71" s="628">
        <f t="shared" si="0"/>
        <v>66</v>
      </c>
      <c r="B71" s="643">
        <v>42521</v>
      </c>
      <c r="C71" s="644">
        <v>454151</v>
      </c>
      <c r="D71" s="644" t="s">
        <v>772</v>
      </c>
      <c r="E71" s="644" t="s">
        <v>1158</v>
      </c>
      <c r="F71" s="644" t="s">
        <v>641</v>
      </c>
      <c r="G71" s="559">
        <v>-42.47</v>
      </c>
      <c r="H71" s="644">
        <v>856</v>
      </c>
      <c r="I71" s="644" t="s">
        <v>1056</v>
      </c>
      <c r="J71" s="445"/>
    </row>
    <row r="72" spans="1:10" x14ac:dyDescent="0.2">
      <c r="A72" s="628">
        <f t="shared" ref="A72:A135" si="1">A71+1</f>
        <v>67</v>
      </c>
      <c r="B72" s="643">
        <v>42551</v>
      </c>
      <c r="C72" s="644">
        <v>454151</v>
      </c>
      <c r="D72" s="644" t="s">
        <v>773</v>
      </c>
      <c r="E72" s="644" t="s">
        <v>1158</v>
      </c>
      <c r="F72" s="644" t="s">
        <v>641</v>
      </c>
      <c r="G72" s="559">
        <v>-41.1</v>
      </c>
      <c r="H72" s="644">
        <v>856</v>
      </c>
      <c r="I72" s="644" t="s">
        <v>1056</v>
      </c>
      <c r="J72" s="445"/>
    </row>
    <row r="73" spans="1:10" x14ac:dyDescent="0.2">
      <c r="A73" s="628">
        <f t="shared" si="1"/>
        <v>68</v>
      </c>
      <c r="B73" s="643">
        <v>42582</v>
      </c>
      <c r="C73" s="644">
        <v>454151</v>
      </c>
      <c r="D73" s="644" t="s">
        <v>14</v>
      </c>
      <c r="E73" s="644" t="s">
        <v>1158</v>
      </c>
      <c r="F73" s="644" t="s">
        <v>641</v>
      </c>
      <c r="G73" s="559">
        <v>-42.47</v>
      </c>
      <c r="H73" s="644">
        <v>856</v>
      </c>
      <c r="I73" s="644" t="s">
        <v>1056</v>
      </c>
      <c r="J73" s="445"/>
    </row>
    <row r="74" spans="1:10" x14ac:dyDescent="0.2">
      <c r="A74" s="628">
        <f t="shared" si="1"/>
        <v>69</v>
      </c>
      <c r="B74" s="643">
        <v>42613</v>
      </c>
      <c r="C74" s="644">
        <v>454151</v>
      </c>
      <c r="D74" s="644" t="s">
        <v>774</v>
      </c>
      <c r="E74" s="644" t="s">
        <v>1158</v>
      </c>
      <c r="F74" s="644" t="s">
        <v>641</v>
      </c>
      <c r="G74" s="559">
        <v>-42.47</v>
      </c>
      <c r="H74" s="644">
        <v>856</v>
      </c>
      <c r="I74" s="644" t="s">
        <v>1056</v>
      </c>
      <c r="J74" s="445"/>
    </row>
    <row r="75" spans="1:10" x14ac:dyDescent="0.2">
      <c r="A75" s="628">
        <f t="shared" si="1"/>
        <v>70</v>
      </c>
      <c r="B75" s="643">
        <v>42643</v>
      </c>
      <c r="C75" s="644">
        <v>454151</v>
      </c>
      <c r="D75" s="644" t="s">
        <v>775</v>
      </c>
      <c r="E75" s="644" t="s">
        <v>1158</v>
      </c>
      <c r="F75" s="644" t="s">
        <v>641</v>
      </c>
      <c r="G75" s="559">
        <v>-41.1</v>
      </c>
      <c r="H75" s="644">
        <v>856</v>
      </c>
      <c r="I75" s="644" t="s">
        <v>1056</v>
      </c>
      <c r="J75" s="445"/>
    </row>
    <row r="76" spans="1:10" x14ac:dyDescent="0.2">
      <c r="A76" s="628">
        <f t="shared" si="1"/>
        <v>71</v>
      </c>
      <c r="B76" s="643">
        <v>42674</v>
      </c>
      <c r="C76" s="644">
        <v>454151</v>
      </c>
      <c r="D76" s="644" t="s">
        <v>776</v>
      </c>
      <c r="E76" s="644" t="s">
        <v>1158</v>
      </c>
      <c r="F76" s="644" t="s">
        <v>641</v>
      </c>
      <c r="G76" s="559">
        <v>-42.47</v>
      </c>
      <c r="H76" s="644">
        <v>856</v>
      </c>
      <c r="I76" s="644" t="s">
        <v>1056</v>
      </c>
      <c r="J76" s="445"/>
    </row>
    <row r="77" spans="1:10" x14ac:dyDescent="0.2">
      <c r="A77" s="628">
        <f t="shared" si="1"/>
        <v>72</v>
      </c>
      <c r="B77" s="643">
        <v>42704</v>
      </c>
      <c r="C77" s="644">
        <v>454151</v>
      </c>
      <c r="D77" s="644" t="s">
        <v>777</v>
      </c>
      <c r="E77" s="644" t="s">
        <v>1158</v>
      </c>
      <c r="F77" s="644" t="s">
        <v>641</v>
      </c>
      <c r="G77" s="559">
        <v>-41.1</v>
      </c>
      <c r="H77" s="644">
        <v>856</v>
      </c>
      <c r="I77" s="644" t="s">
        <v>1056</v>
      </c>
      <c r="J77" s="445"/>
    </row>
    <row r="78" spans="1:10" x14ac:dyDescent="0.2">
      <c r="A78" s="628">
        <f t="shared" si="1"/>
        <v>73</v>
      </c>
      <c r="B78" s="643">
        <v>42735</v>
      </c>
      <c r="C78" s="644">
        <v>454151</v>
      </c>
      <c r="D78" s="644" t="s">
        <v>146</v>
      </c>
      <c r="E78" s="644" t="s">
        <v>1158</v>
      </c>
      <c r="F78" s="644" t="s">
        <v>641</v>
      </c>
      <c r="G78" s="559">
        <v>-42.47</v>
      </c>
      <c r="H78" s="644">
        <v>856</v>
      </c>
      <c r="I78" s="644" t="s">
        <v>1056</v>
      </c>
      <c r="J78" s="445"/>
    </row>
    <row r="79" spans="1:10" x14ac:dyDescent="0.2">
      <c r="A79" s="628">
        <f t="shared" si="1"/>
        <v>74</v>
      </c>
      <c r="B79" s="643">
        <v>42551</v>
      </c>
      <c r="C79" s="644" t="s">
        <v>1155</v>
      </c>
      <c r="D79" s="644" t="s">
        <v>773</v>
      </c>
      <c r="E79" s="644" t="s">
        <v>1159</v>
      </c>
      <c r="F79" s="644" t="s">
        <v>918</v>
      </c>
      <c r="G79" s="559">
        <v>-300</v>
      </c>
      <c r="H79" s="644">
        <v>856</v>
      </c>
      <c r="I79" s="644" t="s">
        <v>1057</v>
      </c>
      <c r="J79" s="445"/>
    </row>
    <row r="80" spans="1:10" x14ac:dyDescent="0.2">
      <c r="A80" s="628">
        <f t="shared" si="1"/>
        <v>75</v>
      </c>
      <c r="B80" s="643">
        <v>42400</v>
      </c>
      <c r="C80" s="644" t="s">
        <v>1155</v>
      </c>
      <c r="D80" s="644" t="s">
        <v>768</v>
      </c>
      <c r="E80" s="644" t="s">
        <v>1160</v>
      </c>
      <c r="F80" s="644" t="s">
        <v>918</v>
      </c>
      <c r="G80" s="559">
        <v>-49.197499999999998</v>
      </c>
      <c r="H80" s="644">
        <v>856</v>
      </c>
      <c r="I80" s="644" t="s">
        <v>1056</v>
      </c>
      <c r="J80" s="445"/>
    </row>
    <row r="81" spans="1:10" x14ac:dyDescent="0.2">
      <c r="A81" s="628">
        <f t="shared" si="1"/>
        <v>76</v>
      </c>
      <c r="B81" s="643">
        <v>42429</v>
      </c>
      <c r="C81" s="644" t="s">
        <v>1155</v>
      </c>
      <c r="D81" s="644" t="s">
        <v>770</v>
      </c>
      <c r="E81" s="644" t="s">
        <v>1160</v>
      </c>
      <c r="F81" s="644" t="s">
        <v>918</v>
      </c>
      <c r="G81" s="559">
        <v>-49.197499999999998</v>
      </c>
      <c r="H81" s="644">
        <v>856</v>
      </c>
      <c r="I81" s="644" t="s">
        <v>1056</v>
      </c>
      <c r="J81" s="445"/>
    </row>
    <row r="82" spans="1:10" x14ac:dyDescent="0.2">
      <c r="A82" s="628">
        <f t="shared" si="1"/>
        <v>77</v>
      </c>
      <c r="B82" s="643">
        <v>42460</v>
      </c>
      <c r="C82" s="644" t="s">
        <v>1155</v>
      </c>
      <c r="D82" s="644" t="s">
        <v>13</v>
      </c>
      <c r="E82" s="644" t="s">
        <v>1160</v>
      </c>
      <c r="F82" s="644" t="s">
        <v>918</v>
      </c>
      <c r="G82" s="559">
        <v>-49.197499999999998</v>
      </c>
      <c r="H82" s="644">
        <v>856</v>
      </c>
      <c r="I82" s="644" t="s">
        <v>1056</v>
      </c>
      <c r="J82" s="445"/>
    </row>
    <row r="83" spans="1:10" x14ac:dyDescent="0.2">
      <c r="A83" s="628">
        <f t="shared" si="1"/>
        <v>78</v>
      </c>
      <c r="B83" s="643">
        <v>42490</v>
      </c>
      <c r="C83" s="644" t="s">
        <v>1155</v>
      </c>
      <c r="D83" s="644" t="s">
        <v>771</v>
      </c>
      <c r="E83" s="644" t="s">
        <v>1160</v>
      </c>
      <c r="F83" s="644" t="s">
        <v>918</v>
      </c>
      <c r="G83" s="559">
        <v>-49.197499999999998</v>
      </c>
      <c r="H83" s="644">
        <v>856</v>
      </c>
      <c r="I83" s="644" t="s">
        <v>1056</v>
      </c>
      <c r="J83" s="445"/>
    </row>
    <row r="84" spans="1:10" x14ac:dyDescent="0.2">
      <c r="A84" s="628">
        <f t="shared" si="1"/>
        <v>79</v>
      </c>
      <c r="B84" s="643">
        <v>42551</v>
      </c>
      <c r="C84" s="644" t="s">
        <v>1155</v>
      </c>
      <c r="D84" s="644" t="s">
        <v>773</v>
      </c>
      <c r="E84" s="644" t="s">
        <v>1160</v>
      </c>
      <c r="F84" s="644" t="s">
        <v>918</v>
      </c>
      <c r="G84" s="559">
        <v>-150.41</v>
      </c>
      <c r="H84" s="644">
        <v>856</v>
      </c>
      <c r="I84" s="644" t="s">
        <v>1056</v>
      </c>
      <c r="J84" s="445"/>
    </row>
    <row r="85" spans="1:10" x14ac:dyDescent="0.2">
      <c r="A85" s="628">
        <f t="shared" si="1"/>
        <v>80</v>
      </c>
      <c r="B85" s="643">
        <v>42582</v>
      </c>
      <c r="C85" s="644" t="s">
        <v>1155</v>
      </c>
      <c r="D85" s="644" t="s">
        <v>14</v>
      </c>
      <c r="E85" s="644" t="s">
        <v>1160</v>
      </c>
      <c r="F85" s="644" t="s">
        <v>918</v>
      </c>
      <c r="G85" s="559">
        <v>-76.44</v>
      </c>
      <c r="H85" s="644">
        <v>856</v>
      </c>
      <c r="I85" s="644" t="s">
        <v>1056</v>
      </c>
      <c r="J85" s="445"/>
    </row>
    <row r="86" spans="1:10" x14ac:dyDescent="0.2">
      <c r="A86" s="628">
        <f t="shared" si="1"/>
        <v>81</v>
      </c>
      <c r="B86" s="643">
        <v>42613</v>
      </c>
      <c r="C86" s="644" t="s">
        <v>1155</v>
      </c>
      <c r="D86" s="644" t="s">
        <v>774</v>
      </c>
      <c r="E86" s="644" t="s">
        <v>1160</v>
      </c>
      <c r="F86" s="644" t="s">
        <v>918</v>
      </c>
      <c r="G86" s="559">
        <v>-76.44</v>
      </c>
      <c r="H86" s="644">
        <v>856</v>
      </c>
      <c r="I86" s="644" t="s">
        <v>1056</v>
      </c>
      <c r="J86" s="445"/>
    </row>
    <row r="87" spans="1:10" x14ac:dyDescent="0.2">
      <c r="A87" s="628">
        <f t="shared" si="1"/>
        <v>82</v>
      </c>
      <c r="B87" s="643">
        <v>42643</v>
      </c>
      <c r="C87" s="644" t="s">
        <v>1155</v>
      </c>
      <c r="D87" s="644" t="s">
        <v>775</v>
      </c>
      <c r="E87" s="644" t="s">
        <v>1160</v>
      </c>
      <c r="F87" s="644" t="s">
        <v>918</v>
      </c>
      <c r="G87" s="559">
        <v>-73.97</v>
      </c>
      <c r="H87" s="644">
        <v>856</v>
      </c>
      <c r="I87" s="644" t="s">
        <v>1056</v>
      </c>
      <c r="J87" s="445"/>
    </row>
    <row r="88" spans="1:10" x14ac:dyDescent="0.2">
      <c r="A88" s="628">
        <f t="shared" si="1"/>
        <v>83</v>
      </c>
      <c r="B88" s="643">
        <v>42674</v>
      </c>
      <c r="C88" s="644" t="s">
        <v>1155</v>
      </c>
      <c r="D88" s="644" t="s">
        <v>776</v>
      </c>
      <c r="E88" s="644" t="s">
        <v>1160</v>
      </c>
      <c r="F88" s="644" t="s">
        <v>918</v>
      </c>
      <c r="G88" s="559">
        <v>-76.44</v>
      </c>
      <c r="H88" s="644">
        <v>856</v>
      </c>
      <c r="I88" s="644" t="s">
        <v>1056</v>
      </c>
      <c r="J88" s="445"/>
    </row>
    <row r="89" spans="1:10" x14ac:dyDescent="0.2">
      <c r="A89" s="628">
        <f t="shared" si="1"/>
        <v>84</v>
      </c>
      <c r="B89" s="643">
        <v>42704</v>
      </c>
      <c r="C89" s="644" t="s">
        <v>1155</v>
      </c>
      <c r="D89" s="644" t="s">
        <v>777</v>
      </c>
      <c r="E89" s="644" t="s">
        <v>1160</v>
      </c>
      <c r="F89" s="644" t="s">
        <v>918</v>
      </c>
      <c r="G89" s="559">
        <v>-73.97</v>
      </c>
      <c r="H89" s="644">
        <v>856</v>
      </c>
      <c r="I89" s="644" t="s">
        <v>1056</v>
      </c>
      <c r="J89" s="445"/>
    </row>
    <row r="90" spans="1:10" x14ac:dyDescent="0.2">
      <c r="A90" s="628">
        <f t="shared" si="1"/>
        <v>85</v>
      </c>
      <c r="B90" s="643">
        <v>42735</v>
      </c>
      <c r="C90" s="644" t="s">
        <v>1155</v>
      </c>
      <c r="D90" s="644" t="s">
        <v>146</v>
      </c>
      <c r="E90" s="644" t="s">
        <v>1160</v>
      </c>
      <c r="F90" s="644" t="s">
        <v>918</v>
      </c>
      <c r="G90" s="559">
        <v>-76.44</v>
      </c>
      <c r="H90" s="644">
        <v>856</v>
      </c>
      <c r="I90" s="644" t="s">
        <v>1056</v>
      </c>
      <c r="J90" s="445"/>
    </row>
    <row r="91" spans="1:10" x14ac:dyDescent="0.2">
      <c r="A91" s="628">
        <f t="shared" si="1"/>
        <v>86</v>
      </c>
      <c r="B91" s="643">
        <v>42643</v>
      </c>
      <c r="C91" s="644">
        <v>454151</v>
      </c>
      <c r="D91" s="644" t="s">
        <v>775</v>
      </c>
      <c r="E91" s="644" t="s">
        <v>1013</v>
      </c>
      <c r="F91" s="644" t="s">
        <v>641</v>
      </c>
      <c r="G91" s="559">
        <v>-100</v>
      </c>
      <c r="H91" s="644">
        <v>856</v>
      </c>
      <c r="I91" s="644" t="s">
        <v>1057</v>
      </c>
      <c r="J91" s="445"/>
    </row>
    <row r="92" spans="1:10" x14ac:dyDescent="0.2">
      <c r="A92" s="628">
        <f t="shared" si="1"/>
        <v>87</v>
      </c>
      <c r="B92" s="643">
        <v>42460</v>
      </c>
      <c r="C92" s="644" t="s">
        <v>1155</v>
      </c>
      <c r="D92" s="644" t="s">
        <v>13</v>
      </c>
      <c r="E92" s="644" t="s">
        <v>1161</v>
      </c>
      <c r="F92" s="644" t="s">
        <v>918</v>
      </c>
      <c r="G92" s="559">
        <v>-329.03</v>
      </c>
      <c r="H92" s="644">
        <v>856</v>
      </c>
      <c r="I92" s="644" t="s">
        <v>1056</v>
      </c>
      <c r="J92" s="445"/>
    </row>
    <row r="93" spans="1:10" x14ac:dyDescent="0.2">
      <c r="A93" s="628">
        <f t="shared" si="1"/>
        <v>88</v>
      </c>
      <c r="B93" s="643">
        <v>42490</v>
      </c>
      <c r="C93" s="644" t="s">
        <v>1155</v>
      </c>
      <c r="D93" s="644" t="s">
        <v>771</v>
      </c>
      <c r="E93" s="644" t="s">
        <v>1161</v>
      </c>
      <c r="F93" s="644" t="s">
        <v>918</v>
      </c>
      <c r="G93" s="559">
        <v>-580.65</v>
      </c>
      <c r="H93" s="644">
        <v>856</v>
      </c>
      <c r="I93" s="644" t="s">
        <v>1056</v>
      </c>
      <c r="J93" s="445"/>
    </row>
    <row r="94" spans="1:10" x14ac:dyDescent="0.2">
      <c r="A94" s="628">
        <f t="shared" si="1"/>
        <v>89</v>
      </c>
      <c r="B94" s="643">
        <v>42521</v>
      </c>
      <c r="C94" s="644" t="s">
        <v>1155</v>
      </c>
      <c r="D94" s="644" t="s">
        <v>772</v>
      </c>
      <c r="E94" s="644" t="s">
        <v>1161</v>
      </c>
      <c r="F94" s="644" t="s">
        <v>918</v>
      </c>
      <c r="G94" s="559">
        <v>-290.32</v>
      </c>
      <c r="H94" s="644">
        <v>856</v>
      </c>
      <c r="I94" s="644" t="s">
        <v>1056</v>
      </c>
      <c r="J94" s="445"/>
    </row>
    <row r="95" spans="1:10" x14ac:dyDescent="0.2">
      <c r="A95" s="628">
        <f t="shared" si="1"/>
        <v>90</v>
      </c>
      <c r="B95" s="643">
        <v>42400</v>
      </c>
      <c r="C95" s="644">
        <v>454151</v>
      </c>
      <c r="D95" s="644" t="s">
        <v>768</v>
      </c>
      <c r="E95" s="644" t="s">
        <v>1058</v>
      </c>
      <c r="F95" s="644" t="s">
        <v>918</v>
      </c>
      <c r="G95" s="559">
        <v>-41.92</v>
      </c>
      <c r="H95" s="644">
        <v>856</v>
      </c>
      <c r="I95" s="644" t="s">
        <v>1056</v>
      </c>
      <c r="J95" s="445"/>
    </row>
    <row r="96" spans="1:10" x14ac:dyDescent="0.2">
      <c r="A96" s="628">
        <f t="shared" si="1"/>
        <v>91</v>
      </c>
      <c r="B96" s="643">
        <v>42429</v>
      </c>
      <c r="C96" s="644">
        <v>454151</v>
      </c>
      <c r="D96" s="644" t="s">
        <v>770</v>
      </c>
      <c r="E96" s="644" t="s">
        <v>1058</v>
      </c>
      <c r="F96" s="644" t="s">
        <v>918</v>
      </c>
      <c r="G96" s="559">
        <v>-39.22</v>
      </c>
      <c r="H96" s="644">
        <v>856</v>
      </c>
      <c r="I96" s="644" t="s">
        <v>1056</v>
      </c>
      <c r="J96" s="445"/>
    </row>
    <row r="97" spans="1:10" x14ac:dyDescent="0.2">
      <c r="A97" s="628">
        <f t="shared" si="1"/>
        <v>92</v>
      </c>
      <c r="B97" s="643">
        <v>42460</v>
      </c>
      <c r="C97" s="644">
        <v>454151</v>
      </c>
      <c r="D97" s="644" t="s">
        <v>13</v>
      </c>
      <c r="E97" s="644" t="s">
        <v>1058</v>
      </c>
      <c r="F97" s="644" t="s">
        <v>918</v>
      </c>
      <c r="G97" s="559">
        <v>-27.04</v>
      </c>
      <c r="H97" s="644">
        <v>856</v>
      </c>
      <c r="I97" s="644" t="s">
        <v>1056</v>
      </c>
    </row>
    <row r="98" spans="1:10" x14ac:dyDescent="0.2">
      <c r="A98" s="628">
        <f t="shared" si="1"/>
        <v>93</v>
      </c>
      <c r="B98" s="643">
        <v>42460</v>
      </c>
      <c r="C98" s="644">
        <v>454151</v>
      </c>
      <c r="D98" s="644" t="s">
        <v>13</v>
      </c>
      <c r="E98" s="644" t="s">
        <v>1058</v>
      </c>
      <c r="F98" s="644" t="s">
        <v>918</v>
      </c>
      <c r="G98" s="559">
        <v>-28.69</v>
      </c>
      <c r="H98" s="644">
        <v>856</v>
      </c>
      <c r="I98" s="644" t="s">
        <v>1056</v>
      </c>
    </row>
    <row r="99" spans="1:10" x14ac:dyDescent="0.2">
      <c r="A99" s="628">
        <f t="shared" si="1"/>
        <v>94</v>
      </c>
      <c r="B99" s="643">
        <v>42490</v>
      </c>
      <c r="C99" s="644">
        <v>454151</v>
      </c>
      <c r="D99" s="644" t="s">
        <v>771</v>
      </c>
      <c r="E99" s="644" t="s">
        <v>1058</v>
      </c>
      <c r="F99" s="644" t="s">
        <v>918</v>
      </c>
      <c r="G99" s="559">
        <v>-40.98</v>
      </c>
      <c r="H99" s="644">
        <v>856</v>
      </c>
      <c r="I99" s="644" t="s">
        <v>1056</v>
      </c>
    </row>
    <row r="100" spans="1:10" x14ac:dyDescent="0.2">
      <c r="A100" s="628">
        <f t="shared" si="1"/>
        <v>95</v>
      </c>
      <c r="B100" s="643">
        <v>42521</v>
      </c>
      <c r="C100" s="644">
        <v>454151</v>
      </c>
      <c r="D100" s="644" t="s">
        <v>772</v>
      </c>
      <c r="E100" s="644" t="s">
        <v>1058</v>
      </c>
      <c r="F100" s="644" t="s">
        <v>918</v>
      </c>
      <c r="G100" s="559">
        <v>-42.35</v>
      </c>
      <c r="H100" s="644">
        <v>856</v>
      </c>
      <c r="I100" s="644" t="s">
        <v>1056</v>
      </c>
    </row>
    <row r="101" spans="1:10" x14ac:dyDescent="0.2">
      <c r="A101" s="628">
        <f t="shared" si="1"/>
        <v>96</v>
      </c>
      <c r="B101" s="643">
        <v>42551</v>
      </c>
      <c r="C101" s="644">
        <v>454151</v>
      </c>
      <c r="D101" s="644" t="s">
        <v>773</v>
      </c>
      <c r="E101" s="644" t="s">
        <v>1058</v>
      </c>
      <c r="F101" s="644" t="s">
        <v>918</v>
      </c>
      <c r="G101" s="559">
        <v>-40.98</v>
      </c>
      <c r="H101" s="644">
        <v>856</v>
      </c>
      <c r="I101" s="644" t="s">
        <v>1056</v>
      </c>
    </row>
    <row r="102" spans="1:10" x14ac:dyDescent="0.2">
      <c r="A102" s="628">
        <f t="shared" si="1"/>
        <v>97</v>
      </c>
      <c r="B102" s="643">
        <v>42582</v>
      </c>
      <c r="C102" s="644">
        <v>454151</v>
      </c>
      <c r="D102" s="644" t="s">
        <v>14</v>
      </c>
      <c r="E102" s="644" t="s">
        <v>1058</v>
      </c>
      <c r="F102" s="644" t="s">
        <v>918</v>
      </c>
      <c r="G102" s="559">
        <v>-42.35</v>
      </c>
      <c r="H102" s="644">
        <v>856</v>
      </c>
      <c r="I102" s="644" t="s">
        <v>1056</v>
      </c>
    </row>
    <row r="103" spans="1:10" x14ac:dyDescent="0.2">
      <c r="A103" s="628">
        <f t="shared" si="1"/>
        <v>98</v>
      </c>
      <c r="B103" s="643">
        <v>42613</v>
      </c>
      <c r="C103" s="644">
        <v>454151</v>
      </c>
      <c r="D103" s="644" t="s">
        <v>774</v>
      </c>
      <c r="E103" s="644" t="s">
        <v>1058</v>
      </c>
      <c r="F103" s="644" t="s">
        <v>918</v>
      </c>
      <c r="G103" s="559">
        <v>-42.35</v>
      </c>
      <c r="H103" s="644">
        <v>856</v>
      </c>
      <c r="I103" s="644" t="s">
        <v>1056</v>
      </c>
    </row>
    <row r="104" spans="1:10" x14ac:dyDescent="0.2">
      <c r="A104" s="628">
        <f t="shared" si="1"/>
        <v>99</v>
      </c>
      <c r="B104" s="643">
        <v>42643</v>
      </c>
      <c r="C104" s="644">
        <v>454151</v>
      </c>
      <c r="D104" s="644" t="s">
        <v>775</v>
      </c>
      <c r="E104" s="644" t="s">
        <v>1058</v>
      </c>
      <c r="F104" s="644" t="s">
        <v>918</v>
      </c>
      <c r="G104" s="559">
        <v>-40.98</v>
      </c>
      <c r="H104" s="644">
        <v>856</v>
      </c>
      <c r="I104" s="644" t="s">
        <v>1056</v>
      </c>
    </row>
    <row r="105" spans="1:10" x14ac:dyDescent="0.2">
      <c r="A105" s="628">
        <f t="shared" si="1"/>
        <v>100</v>
      </c>
      <c r="B105" s="643">
        <v>42674</v>
      </c>
      <c r="C105" s="644">
        <v>454151</v>
      </c>
      <c r="D105" s="644" t="s">
        <v>776</v>
      </c>
      <c r="E105" s="644" t="s">
        <v>1058</v>
      </c>
      <c r="F105" s="644" t="s">
        <v>918</v>
      </c>
      <c r="G105" s="559">
        <v>-42.35</v>
      </c>
      <c r="H105" s="644">
        <v>856</v>
      </c>
      <c r="I105" s="644" t="s">
        <v>1056</v>
      </c>
    </row>
    <row r="106" spans="1:10" x14ac:dyDescent="0.2">
      <c r="A106" s="628">
        <f t="shared" si="1"/>
        <v>101</v>
      </c>
      <c r="B106" s="643">
        <v>42704</v>
      </c>
      <c r="C106" s="644">
        <v>454151</v>
      </c>
      <c r="D106" s="644" t="s">
        <v>777</v>
      </c>
      <c r="E106" s="644" t="s">
        <v>1058</v>
      </c>
      <c r="F106" s="644" t="s">
        <v>918</v>
      </c>
      <c r="G106" s="559">
        <v>-40.98</v>
      </c>
      <c r="H106" s="644">
        <v>856</v>
      </c>
      <c r="I106" s="644" t="s">
        <v>1056</v>
      </c>
    </row>
    <row r="107" spans="1:10" x14ac:dyDescent="0.2">
      <c r="A107" s="628">
        <f t="shared" si="1"/>
        <v>102</v>
      </c>
      <c r="B107" s="643">
        <v>42735</v>
      </c>
      <c r="C107" s="644">
        <v>454151</v>
      </c>
      <c r="D107" s="644" t="s">
        <v>146</v>
      </c>
      <c r="E107" s="644" t="s">
        <v>1058</v>
      </c>
      <c r="F107" s="644" t="s">
        <v>918</v>
      </c>
      <c r="G107" s="559">
        <v>-42.35</v>
      </c>
      <c r="H107" s="644">
        <v>856</v>
      </c>
      <c r="I107" s="644" t="s">
        <v>1056</v>
      </c>
    </row>
    <row r="108" spans="1:10" x14ac:dyDescent="0.2">
      <c r="A108" s="628">
        <f t="shared" si="1"/>
        <v>103</v>
      </c>
      <c r="B108" s="645">
        <v>42400</v>
      </c>
      <c r="C108" s="644" t="s">
        <v>1052</v>
      </c>
      <c r="D108" s="644" t="s">
        <v>768</v>
      </c>
      <c r="E108" s="644" t="s">
        <v>1162</v>
      </c>
      <c r="F108" s="646" t="s">
        <v>693</v>
      </c>
      <c r="G108" s="647">
        <v>-500</v>
      </c>
      <c r="H108" s="644">
        <v>856</v>
      </c>
      <c r="I108" s="644" t="s">
        <v>1056</v>
      </c>
    </row>
    <row r="109" spans="1:10" x14ac:dyDescent="0.2">
      <c r="A109" s="628">
        <f t="shared" si="1"/>
        <v>104</v>
      </c>
      <c r="B109" s="643">
        <v>42400</v>
      </c>
      <c r="C109" s="644">
        <v>454151</v>
      </c>
      <c r="D109" s="644" t="s">
        <v>768</v>
      </c>
      <c r="E109" s="644" t="s">
        <v>1163</v>
      </c>
      <c r="F109" s="644" t="s">
        <v>693</v>
      </c>
      <c r="G109" s="559">
        <v>-10414.629999999999</v>
      </c>
      <c r="H109" s="644">
        <v>856</v>
      </c>
      <c r="I109" s="644" t="s">
        <v>1056</v>
      </c>
      <c r="J109" s="526"/>
    </row>
    <row r="110" spans="1:10" x14ac:dyDescent="0.2">
      <c r="A110" s="628">
        <f t="shared" si="1"/>
        <v>105</v>
      </c>
      <c r="B110" s="643">
        <v>42400</v>
      </c>
      <c r="C110" s="644">
        <v>454151</v>
      </c>
      <c r="D110" s="644" t="s">
        <v>768</v>
      </c>
      <c r="E110" s="644" t="s">
        <v>1163</v>
      </c>
      <c r="F110" s="644" t="s">
        <v>693</v>
      </c>
      <c r="G110" s="559">
        <v>-734.07</v>
      </c>
      <c r="H110" s="644">
        <v>856</v>
      </c>
      <c r="I110" s="644" t="s">
        <v>1056</v>
      </c>
      <c r="J110" s="528"/>
    </row>
    <row r="111" spans="1:10" x14ac:dyDescent="0.2">
      <c r="A111" s="628">
        <f t="shared" si="1"/>
        <v>106</v>
      </c>
      <c r="B111" s="643">
        <v>42674</v>
      </c>
      <c r="C111" s="644">
        <v>454151</v>
      </c>
      <c r="D111" s="644" t="s">
        <v>776</v>
      </c>
      <c r="E111" s="644" t="s">
        <v>1026</v>
      </c>
      <c r="F111" s="644" t="s">
        <v>641</v>
      </c>
      <c r="G111" s="559">
        <v>-42.47</v>
      </c>
      <c r="H111" s="644">
        <v>856</v>
      </c>
      <c r="I111" s="644" t="s">
        <v>1056</v>
      </c>
    </row>
    <row r="112" spans="1:10" x14ac:dyDescent="0.2">
      <c r="A112" s="628">
        <f t="shared" si="1"/>
        <v>107</v>
      </c>
      <c r="B112" s="643">
        <v>42704</v>
      </c>
      <c r="C112" s="644">
        <v>454151</v>
      </c>
      <c r="D112" s="644" t="s">
        <v>777</v>
      </c>
      <c r="E112" s="644" t="s">
        <v>1026</v>
      </c>
      <c r="F112" s="644" t="s">
        <v>641</v>
      </c>
      <c r="G112" s="559">
        <v>-42.47</v>
      </c>
      <c r="H112" s="644">
        <v>856</v>
      </c>
      <c r="I112" s="644" t="s">
        <v>1056</v>
      </c>
    </row>
    <row r="113" spans="1:10" x14ac:dyDescent="0.2">
      <c r="A113" s="628">
        <f t="shared" si="1"/>
        <v>108</v>
      </c>
      <c r="B113" s="643">
        <v>42735</v>
      </c>
      <c r="C113" s="644">
        <v>454151</v>
      </c>
      <c r="D113" s="644" t="s">
        <v>146</v>
      </c>
      <c r="E113" s="644" t="s">
        <v>1026</v>
      </c>
      <c r="F113" s="644" t="s">
        <v>641</v>
      </c>
      <c r="G113" s="559">
        <v>-42.47</v>
      </c>
      <c r="H113" s="644">
        <v>856</v>
      </c>
      <c r="I113" s="644" t="s">
        <v>1056</v>
      </c>
    </row>
    <row r="114" spans="1:10" x14ac:dyDescent="0.2">
      <c r="A114" s="628">
        <f t="shared" si="1"/>
        <v>109</v>
      </c>
      <c r="B114" s="643">
        <v>42429</v>
      </c>
      <c r="C114" s="644" t="s">
        <v>1155</v>
      </c>
      <c r="D114" s="644" t="s">
        <v>770</v>
      </c>
      <c r="E114" s="644" t="s">
        <v>1164</v>
      </c>
      <c r="F114" s="644" t="s">
        <v>918</v>
      </c>
      <c r="G114" s="559">
        <v>-175</v>
      </c>
      <c r="H114" s="644">
        <v>856</v>
      </c>
      <c r="I114" s="644" t="s">
        <v>1057</v>
      </c>
      <c r="J114" s="528"/>
    </row>
    <row r="115" spans="1:10" x14ac:dyDescent="0.2">
      <c r="A115" s="628">
        <f t="shared" si="1"/>
        <v>110</v>
      </c>
      <c r="B115" s="643">
        <v>42429</v>
      </c>
      <c r="C115" s="644" t="s">
        <v>1155</v>
      </c>
      <c r="D115" s="644" t="s">
        <v>770</v>
      </c>
      <c r="E115" s="644" t="s">
        <v>1165</v>
      </c>
      <c r="F115" s="644" t="s">
        <v>918</v>
      </c>
      <c r="G115" s="559">
        <v>-100</v>
      </c>
      <c r="H115" s="644">
        <v>856</v>
      </c>
      <c r="I115" s="644" t="s">
        <v>1057</v>
      </c>
    </row>
    <row r="116" spans="1:10" x14ac:dyDescent="0.2">
      <c r="A116" s="628">
        <f t="shared" si="1"/>
        <v>111</v>
      </c>
      <c r="B116" s="643">
        <v>42400</v>
      </c>
      <c r="C116" s="644">
        <v>454151</v>
      </c>
      <c r="D116" s="644" t="s">
        <v>768</v>
      </c>
      <c r="E116" s="644" t="s">
        <v>1166</v>
      </c>
      <c r="F116" s="644" t="s">
        <v>693</v>
      </c>
      <c r="G116" s="559">
        <v>-179.16636363636363</v>
      </c>
      <c r="H116" s="644">
        <v>856</v>
      </c>
      <c r="I116" s="644" t="s">
        <v>1056</v>
      </c>
    </row>
    <row r="117" spans="1:10" x14ac:dyDescent="0.2">
      <c r="A117" s="628">
        <f t="shared" si="1"/>
        <v>112</v>
      </c>
      <c r="B117" s="643">
        <v>42429</v>
      </c>
      <c r="C117" s="644">
        <v>454151</v>
      </c>
      <c r="D117" s="644" t="s">
        <v>770</v>
      </c>
      <c r="E117" s="644" t="s">
        <v>1166</v>
      </c>
      <c r="F117" s="644" t="s">
        <v>693</v>
      </c>
      <c r="G117" s="559">
        <v>-179.16636363636363</v>
      </c>
      <c r="H117" s="644">
        <v>856</v>
      </c>
      <c r="I117" s="644" t="s">
        <v>1056</v>
      </c>
    </row>
    <row r="118" spans="1:10" x14ac:dyDescent="0.2">
      <c r="A118" s="628">
        <f t="shared" si="1"/>
        <v>113</v>
      </c>
      <c r="B118" s="643">
        <v>42460</v>
      </c>
      <c r="C118" s="644">
        <v>454151</v>
      </c>
      <c r="D118" s="644" t="s">
        <v>13</v>
      </c>
      <c r="E118" s="644" t="s">
        <v>1166</v>
      </c>
      <c r="F118" s="644" t="s">
        <v>693</v>
      </c>
      <c r="G118" s="559">
        <v>-179.16636363636363</v>
      </c>
      <c r="H118" s="644">
        <v>856</v>
      </c>
      <c r="I118" s="644" t="s">
        <v>1056</v>
      </c>
    </row>
    <row r="119" spans="1:10" x14ac:dyDescent="0.2">
      <c r="A119" s="628">
        <f t="shared" si="1"/>
        <v>114</v>
      </c>
      <c r="B119" s="643">
        <v>42490</v>
      </c>
      <c r="C119" s="644">
        <v>454151</v>
      </c>
      <c r="D119" s="644" t="s">
        <v>771</v>
      </c>
      <c r="E119" s="644" t="s">
        <v>1166</v>
      </c>
      <c r="F119" s="644" t="s">
        <v>693</v>
      </c>
      <c r="G119" s="559">
        <v>-179.16636363636363</v>
      </c>
      <c r="H119" s="644">
        <v>856</v>
      </c>
      <c r="I119" s="644" t="s">
        <v>1056</v>
      </c>
    </row>
    <row r="120" spans="1:10" x14ac:dyDescent="0.2">
      <c r="A120" s="628">
        <f t="shared" si="1"/>
        <v>115</v>
      </c>
      <c r="B120" s="643">
        <v>42521</v>
      </c>
      <c r="C120" s="644">
        <v>454151</v>
      </c>
      <c r="D120" s="644" t="s">
        <v>772</v>
      </c>
      <c r="E120" s="644" t="s">
        <v>1166</v>
      </c>
      <c r="F120" s="644" t="s">
        <v>693</v>
      </c>
      <c r="G120" s="559">
        <v>-179.16636363636363</v>
      </c>
      <c r="H120" s="644">
        <v>856</v>
      </c>
      <c r="I120" s="644" t="s">
        <v>1056</v>
      </c>
    </row>
    <row r="121" spans="1:10" x14ac:dyDescent="0.2">
      <c r="A121" s="628">
        <f t="shared" si="1"/>
        <v>116</v>
      </c>
      <c r="B121" s="643">
        <v>42551</v>
      </c>
      <c r="C121" s="644">
        <v>454151</v>
      </c>
      <c r="D121" s="644" t="s">
        <v>773</v>
      </c>
      <c r="E121" s="644" t="s">
        <v>1166</v>
      </c>
      <c r="F121" s="644" t="s">
        <v>693</v>
      </c>
      <c r="G121" s="559">
        <v>-179.16636363636363</v>
      </c>
      <c r="H121" s="644">
        <v>856</v>
      </c>
      <c r="I121" s="644" t="s">
        <v>1056</v>
      </c>
    </row>
    <row r="122" spans="1:10" x14ac:dyDescent="0.2">
      <c r="A122" s="628">
        <f t="shared" si="1"/>
        <v>117</v>
      </c>
      <c r="B122" s="643">
        <v>42582</v>
      </c>
      <c r="C122" s="644">
        <v>454151</v>
      </c>
      <c r="D122" s="644" t="s">
        <v>14</v>
      </c>
      <c r="E122" s="644" t="s">
        <v>1166</v>
      </c>
      <c r="F122" s="644" t="s">
        <v>693</v>
      </c>
      <c r="G122" s="559">
        <v>-179.16636363636363</v>
      </c>
      <c r="H122" s="644">
        <v>856</v>
      </c>
      <c r="I122" s="644" t="s">
        <v>1056</v>
      </c>
    </row>
    <row r="123" spans="1:10" x14ac:dyDescent="0.2">
      <c r="A123" s="628">
        <f t="shared" si="1"/>
        <v>118</v>
      </c>
      <c r="B123" s="643">
        <v>42613</v>
      </c>
      <c r="C123" s="644">
        <v>454151</v>
      </c>
      <c r="D123" s="644" t="s">
        <v>774</v>
      </c>
      <c r="E123" s="644" t="s">
        <v>1166</v>
      </c>
      <c r="F123" s="644" t="s">
        <v>693</v>
      </c>
      <c r="G123" s="559">
        <v>-179.16636363636363</v>
      </c>
      <c r="H123" s="644">
        <v>856</v>
      </c>
      <c r="I123" s="644" t="s">
        <v>1056</v>
      </c>
    </row>
    <row r="124" spans="1:10" x14ac:dyDescent="0.2">
      <c r="A124" s="628">
        <f t="shared" si="1"/>
        <v>119</v>
      </c>
      <c r="B124" s="643">
        <v>42643</v>
      </c>
      <c r="C124" s="644">
        <v>454151</v>
      </c>
      <c r="D124" s="644" t="s">
        <v>775</v>
      </c>
      <c r="E124" s="644" t="s">
        <v>1166</v>
      </c>
      <c r="F124" s="644" t="s">
        <v>693</v>
      </c>
      <c r="G124" s="559">
        <v>-179.16636363636363</v>
      </c>
      <c r="H124" s="644">
        <v>856</v>
      </c>
      <c r="I124" s="644" t="s">
        <v>1056</v>
      </c>
    </row>
    <row r="125" spans="1:10" x14ac:dyDescent="0.2">
      <c r="A125" s="628">
        <f t="shared" si="1"/>
        <v>120</v>
      </c>
      <c r="B125" s="643">
        <v>42674</v>
      </c>
      <c r="C125" s="644">
        <v>454151</v>
      </c>
      <c r="D125" s="644" t="s">
        <v>776</v>
      </c>
      <c r="E125" s="644" t="s">
        <v>1166</v>
      </c>
      <c r="F125" s="644" t="s">
        <v>693</v>
      </c>
      <c r="G125" s="559">
        <v>-179.16636363636363</v>
      </c>
      <c r="H125" s="644">
        <v>856</v>
      </c>
      <c r="I125" s="644" t="s">
        <v>1056</v>
      </c>
    </row>
    <row r="126" spans="1:10" x14ac:dyDescent="0.2">
      <c r="A126" s="628">
        <f t="shared" si="1"/>
        <v>121</v>
      </c>
      <c r="B126" s="643">
        <v>42704</v>
      </c>
      <c r="C126" s="644">
        <v>454151</v>
      </c>
      <c r="D126" s="644" t="s">
        <v>777</v>
      </c>
      <c r="E126" s="644" t="s">
        <v>1166</v>
      </c>
      <c r="F126" s="644" t="s">
        <v>693</v>
      </c>
      <c r="G126" s="559">
        <v>-179.16636363636363</v>
      </c>
      <c r="H126" s="644">
        <v>856</v>
      </c>
      <c r="I126" s="644" t="s">
        <v>1056</v>
      </c>
    </row>
    <row r="127" spans="1:10" x14ac:dyDescent="0.2">
      <c r="A127" s="628">
        <f t="shared" si="1"/>
        <v>122</v>
      </c>
      <c r="B127" s="643">
        <v>42735</v>
      </c>
      <c r="C127" s="644">
        <v>454151</v>
      </c>
      <c r="D127" s="644" t="s">
        <v>146</v>
      </c>
      <c r="E127" s="644" t="s">
        <v>1166</v>
      </c>
      <c r="F127" s="644" t="s">
        <v>693</v>
      </c>
      <c r="G127" s="559">
        <v>-182.6</v>
      </c>
      <c r="H127" s="644">
        <v>856</v>
      </c>
      <c r="I127" s="644" t="s">
        <v>1056</v>
      </c>
    </row>
    <row r="128" spans="1:10" x14ac:dyDescent="0.2">
      <c r="A128" s="628">
        <f t="shared" si="1"/>
        <v>123</v>
      </c>
      <c r="B128" s="643">
        <v>42704</v>
      </c>
      <c r="C128" s="644" t="s">
        <v>1155</v>
      </c>
      <c r="D128" s="644" t="s">
        <v>777</v>
      </c>
      <c r="E128" s="644" t="s">
        <v>1167</v>
      </c>
      <c r="F128" s="644" t="s">
        <v>918</v>
      </c>
      <c r="G128" s="559">
        <v>-100</v>
      </c>
      <c r="H128" s="644">
        <v>856</v>
      </c>
      <c r="I128" s="644" t="s">
        <v>1057</v>
      </c>
    </row>
    <row r="129" spans="1:10" x14ac:dyDescent="0.2">
      <c r="A129" s="628">
        <f t="shared" si="1"/>
        <v>124</v>
      </c>
      <c r="B129" s="643">
        <v>42400</v>
      </c>
      <c r="C129" s="644">
        <v>454151</v>
      </c>
      <c r="D129" s="644" t="s">
        <v>768</v>
      </c>
      <c r="E129" s="644" t="s">
        <v>1168</v>
      </c>
      <c r="F129" s="644" t="s">
        <v>641</v>
      </c>
      <c r="G129" s="559">
        <v>-41.93</v>
      </c>
      <c r="H129" s="644">
        <v>856</v>
      </c>
      <c r="I129" s="644" t="s">
        <v>1056</v>
      </c>
    </row>
    <row r="130" spans="1:10" x14ac:dyDescent="0.2">
      <c r="A130" s="628">
        <f t="shared" si="1"/>
        <v>125</v>
      </c>
      <c r="B130" s="643">
        <v>42429</v>
      </c>
      <c r="C130" s="644">
        <v>454151</v>
      </c>
      <c r="D130" s="644" t="s">
        <v>770</v>
      </c>
      <c r="E130" s="644" t="s">
        <v>1168</v>
      </c>
      <c r="F130" s="644" t="s">
        <v>641</v>
      </c>
      <c r="G130" s="559">
        <v>-39.229999999999997</v>
      </c>
      <c r="H130" s="644">
        <v>856</v>
      </c>
      <c r="I130" s="644" t="s">
        <v>1056</v>
      </c>
    </row>
    <row r="131" spans="1:10" x14ac:dyDescent="0.2">
      <c r="A131" s="628">
        <f t="shared" si="1"/>
        <v>126</v>
      </c>
      <c r="B131" s="643">
        <v>42460</v>
      </c>
      <c r="C131" s="644">
        <v>454151</v>
      </c>
      <c r="D131" s="644" t="s">
        <v>13</v>
      </c>
      <c r="E131" s="644" t="s">
        <v>1168</v>
      </c>
      <c r="F131" s="644" t="s">
        <v>641</v>
      </c>
      <c r="G131" s="559">
        <v>-29.76</v>
      </c>
      <c r="H131" s="644">
        <v>856</v>
      </c>
      <c r="I131" s="644" t="s">
        <v>1056</v>
      </c>
    </row>
    <row r="132" spans="1:10" x14ac:dyDescent="0.2">
      <c r="A132" s="628">
        <f t="shared" si="1"/>
        <v>127</v>
      </c>
      <c r="B132" s="643">
        <v>42460</v>
      </c>
      <c r="C132" s="644">
        <v>454151</v>
      </c>
      <c r="D132" s="644" t="s">
        <v>13</v>
      </c>
      <c r="E132" s="644" t="s">
        <v>1168</v>
      </c>
      <c r="F132" s="644" t="s">
        <v>641</v>
      </c>
      <c r="G132" s="559">
        <v>-30.05</v>
      </c>
      <c r="H132" s="644">
        <v>856</v>
      </c>
      <c r="I132" s="644" t="s">
        <v>1056</v>
      </c>
    </row>
    <row r="133" spans="1:10" x14ac:dyDescent="0.2">
      <c r="A133" s="628">
        <f t="shared" si="1"/>
        <v>128</v>
      </c>
      <c r="B133" s="643">
        <v>42490</v>
      </c>
      <c r="C133" s="644">
        <v>454151</v>
      </c>
      <c r="D133" s="644" t="s">
        <v>771</v>
      </c>
      <c r="E133" s="644" t="s">
        <v>1168</v>
      </c>
      <c r="F133" s="644" t="s">
        <v>641</v>
      </c>
      <c r="G133" s="559">
        <v>-40.98</v>
      </c>
      <c r="H133" s="644">
        <v>856</v>
      </c>
      <c r="I133" s="644" t="s">
        <v>1056</v>
      </c>
      <c r="J133" s="526"/>
    </row>
    <row r="134" spans="1:10" x14ac:dyDescent="0.2">
      <c r="A134" s="628">
        <f t="shared" si="1"/>
        <v>129</v>
      </c>
      <c r="B134" s="643">
        <v>42521</v>
      </c>
      <c r="C134" s="644">
        <v>454151</v>
      </c>
      <c r="D134" s="644" t="s">
        <v>772</v>
      </c>
      <c r="E134" s="644" t="s">
        <v>1168</v>
      </c>
      <c r="F134" s="644" t="s">
        <v>641</v>
      </c>
      <c r="G134" s="559">
        <v>-42.35</v>
      </c>
      <c r="H134" s="644">
        <v>856</v>
      </c>
      <c r="I134" s="644" t="s">
        <v>1056</v>
      </c>
      <c r="J134" s="526"/>
    </row>
    <row r="135" spans="1:10" x14ac:dyDescent="0.2">
      <c r="A135" s="628">
        <f t="shared" si="1"/>
        <v>130</v>
      </c>
      <c r="B135" s="643">
        <v>42551</v>
      </c>
      <c r="C135" s="644">
        <v>454151</v>
      </c>
      <c r="D135" s="644" t="s">
        <v>773</v>
      </c>
      <c r="E135" s="644" t="s">
        <v>1168</v>
      </c>
      <c r="F135" s="644" t="s">
        <v>641</v>
      </c>
      <c r="G135" s="559">
        <v>-40.98</v>
      </c>
      <c r="H135" s="644">
        <v>856</v>
      </c>
      <c r="I135" s="644" t="s">
        <v>1056</v>
      </c>
    </row>
    <row r="136" spans="1:10" x14ac:dyDescent="0.2">
      <c r="A136" s="628">
        <f t="shared" ref="A136:A199" si="2">A135+1</f>
        <v>131</v>
      </c>
      <c r="B136" s="643">
        <v>42582</v>
      </c>
      <c r="C136" s="644">
        <v>454151</v>
      </c>
      <c r="D136" s="644" t="s">
        <v>14</v>
      </c>
      <c r="E136" s="644" t="s">
        <v>1168</v>
      </c>
      <c r="F136" s="644" t="s">
        <v>641</v>
      </c>
      <c r="G136" s="559">
        <v>-42.35</v>
      </c>
      <c r="H136" s="644">
        <v>856</v>
      </c>
      <c r="I136" s="644" t="s">
        <v>1056</v>
      </c>
    </row>
    <row r="137" spans="1:10" x14ac:dyDescent="0.2">
      <c r="A137" s="628">
        <f t="shared" si="2"/>
        <v>132</v>
      </c>
      <c r="B137" s="643">
        <v>42613</v>
      </c>
      <c r="C137" s="644">
        <v>454151</v>
      </c>
      <c r="D137" s="644" t="s">
        <v>774</v>
      </c>
      <c r="E137" s="644" t="s">
        <v>1168</v>
      </c>
      <c r="F137" s="644" t="s">
        <v>641</v>
      </c>
      <c r="G137" s="559">
        <v>-42.35</v>
      </c>
      <c r="H137" s="644">
        <v>856</v>
      </c>
      <c r="I137" s="644" t="s">
        <v>1056</v>
      </c>
    </row>
    <row r="138" spans="1:10" x14ac:dyDescent="0.2">
      <c r="A138" s="628">
        <f t="shared" si="2"/>
        <v>133</v>
      </c>
      <c r="B138" s="643">
        <v>42643</v>
      </c>
      <c r="C138" s="644">
        <v>454151</v>
      </c>
      <c r="D138" s="644" t="s">
        <v>775</v>
      </c>
      <c r="E138" s="644" t="s">
        <v>1168</v>
      </c>
      <c r="F138" s="644" t="s">
        <v>641</v>
      </c>
      <c r="G138" s="559">
        <v>-40.98</v>
      </c>
      <c r="H138" s="644">
        <v>856</v>
      </c>
      <c r="I138" s="644" t="s">
        <v>1056</v>
      </c>
    </row>
    <row r="139" spans="1:10" x14ac:dyDescent="0.2">
      <c r="A139" s="628">
        <f t="shared" si="2"/>
        <v>134</v>
      </c>
      <c r="B139" s="643">
        <v>42674</v>
      </c>
      <c r="C139" s="644">
        <v>454151</v>
      </c>
      <c r="D139" s="644" t="s">
        <v>776</v>
      </c>
      <c r="E139" s="644" t="s">
        <v>1168</v>
      </c>
      <c r="F139" s="644" t="s">
        <v>641</v>
      </c>
      <c r="G139" s="559">
        <v>-42.35</v>
      </c>
      <c r="H139" s="644">
        <v>856</v>
      </c>
      <c r="I139" s="644" t="s">
        <v>1056</v>
      </c>
    </row>
    <row r="140" spans="1:10" x14ac:dyDescent="0.2">
      <c r="A140" s="628">
        <f t="shared" si="2"/>
        <v>135</v>
      </c>
      <c r="B140" s="643">
        <v>42704</v>
      </c>
      <c r="C140" s="644">
        <v>454151</v>
      </c>
      <c r="D140" s="644" t="s">
        <v>777</v>
      </c>
      <c r="E140" s="644" t="s">
        <v>1168</v>
      </c>
      <c r="F140" s="644" t="s">
        <v>641</v>
      </c>
      <c r="G140" s="559">
        <v>-40.98</v>
      </c>
      <c r="H140" s="644">
        <v>856</v>
      </c>
      <c r="I140" s="644" t="s">
        <v>1056</v>
      </c>
    </row>
    <row r="141" spans="1:10" x14ac:dyDescent="0.2">
      <c r="A141" s="628">
        <f t="shared" si="2"/>
        <v>136</v>
      </c>
      <c r="B141" s="643">
        <v>42735</v>
      </c>
      <c r="C141" s="644">
        <v>454151</v>
      </c>
      <c r="D141" s="644" t="s">
        <v>146</v>
      </c>
      <c r="E141" s="644" t="s">
        <v>1168</v>
      </c>
      <c r="F141" s="644" t="s">
        <v>641</v>
      </c>
      <c r="G141" s="559">
        <v>-42.35</v>
      </c>
      <c r="H141" s="644">
        <v>856</v>
      </c>
      <c r="I141" s="644" t="s">
        <v>1056</v>
      </c>
      <c r="J141" s="528"/>
    </row>
    <row r="142" spans="1:10" x14ac:dyDescent="0.2">
      <c r="A142" s="628">
        <f t="shared" si="2"/>
        <v>137</v>
      </c>
      <c r="B142" s="643">
        <v>42400</v>
      </c>
      <c r="C142" s="644" t="s">
        <v>1155</v>
      </c>
      <c r="D142" s="644" t="s">
        <v>768</v>
      </c>
      <c r="E142" s="644" t="s">
        <v>1022</v>
      </c>
      <c r="F142" s="644" t="s">
        <v>641</v>
      </c>
      <c r="G142" s="559">
        <v>-41.083333333333336</v>
      </c>
      <c r="H142" s="644">
        <v>856</v>
      </c>
      <c r="I142" s="644" t="s">
        <v>1056</v>
      </c>
    </row>
    <row r="143" spans="1:10" x14ac:dyDescent="0.2">
      <c r="A143" s="628">
        <f t="shared" si="2"/>
        <v>138</v>
      </c>
      <c r="B143" s="643">
        <v>42429</v>
      </c>
      <c r="C143" s="644" t="s">
        <v>1155</v>
      </c>
      <c r="D143" s="644" t="s">
        <v>770</v>
      </c>
      <c r="E143" s="644" t="s">
        <v>1022</v>
      </c>
      <c r="F143" s="644" t="s">
        <v>641</v>
      </c>
      <c r="G143" s="559">
        <v>-41.083333333333336</v>
      </c>
      <c r="H143" s="644">
        <v>856</v>
      </c>
      <c r="I143" s="644" t="s">
        <v>1056</v>
      </c>
    </row>
    <row r="144" spans="1:10" x14ac:dyDescent="0.2">
      <c r="A144" s="628">
        <f t="shared" si="2"/>
        <v>139</v>
      </c>
      <c r="B144" s="643">
        <v>42460</v>
      </c>
      <c r="C144" s="644" t="s">
        <v>1155</v>
      </c>
      <c r="D144" s="644" t="s">
        <v>13</v>
      </c>
      <c r="E144" s="644" t="s">
        <v>1022</v>
      </c>
      <c r="F144" s="644" t="s">
        <v>641</v>
      </c>
      <c r="G144" s="559">
        <v>-41.083333333333336</v>
      </c>
      <c r="H144" s="644">
        <v>856</v>
      </c>
      <c r="I144" s="644" t="s">
        <v>1056</v>
      </c>
    </row>
    <row r="145" spans="1:10" x14ac:dyDescent="0.2">
      <c r="A145" s="628">
        <f t="shared" si="2"/>
        <v>140</v>
      </c>
      <c r="B145" s="643">
        <v>42490</v>
      </c>
      <c r="C145" s="644" t="s">
        <v>1155</v>
      </c>
      <c r="D145" s="644" t="s">
        <v>771</v>
      </c>
      <c r="E145" s="644" t="s">
        <v>1022</v>
      </c>
      <c r="F145" s="644" t="s">
        <v>641</v>
      </c>
      <c r="G145" s="559">
        <v>-41.1</v>
      </c>
      <c r="H145" s="644">
        <v>856</v>
      </c>
      <c r="I145" s="644" t="s">
        <v>1056</v>
      </c>
    </row>
    <row r="146" spans="1:10" x14ac:dyDescent="0.2">
      <c r="A146" s="628">
        <f t="shared" si="2"/>
        <v>141</v>
      </c>
      <c r="B146" s="643">
        <v>42521</v>
      </c>
      <c r="C146" s="644" t="s">
        <v>1155</v>
      </c>
      <c r="D146" s="644" t="s">
        <v>772</v>
      </c>
      <c r="E146" s="644" t="s">
        <v>1022</v>
      </c>
      <c r="F146" s="644" t="s">
        <v>641</v>
      </c>
      <c r="G146" s="559">
        <v>-42.47</v>
      </c>
      <c r="H146" s="644">
        <v>856</v>
      </c>
      <c r="I146" s="644" t="s">
        <v>1056</v>
      </c>
      <c r="J146" s="528"/>
    </row>
    <row r="147" spans="1:10" x14ac:dyDescent="0.2">
      <c r="A147" s="628">
        <f t="shared" si="2"/>
        <v>142</v>
      </c>
      <c r="B147" s="643">
        <v>42551</v>
      </c>
      <c r="C147" s="644" t="s">
        <v>1155</v>
      </c>
      <c r="D147" s="644" t="s">
        <v>773</v>
      </c>
      <c r="E147" s="644" t="s">
        <v>1022</v>
      </c>
      <c r="F147" s="644" t="s">
        <v>641</v>
      </c>
      <c r="G147" s="559">
        <v>-41.1</v>
      </c>
      <c r="H147" s="644">
        <v>856</v>
      </c>
      <c r="I147" s="644" t="s">
        <v>1056</v>
      </c>
    </row>
    <row r="148" spans="1:10" x14ac:dyDescent="0.2">
      <c r="A148" s="628">
        <f t="shared" si="2"/>
        <v>143</v>
      </c>
      <c r="B148" s="643">
        <v>42582</v>
      </c>
      <c r="C148" s="644" t="s">
        <v>1155</v>
      </c>
      <c r="D148" s="644" t="s">
        <v>14</v>
      </c>
      <c r="E148" s="644" t="s">
        <v>1022</v>
      </c>
      <c r="F148" s="644" t="s">
        <v>641</v>
      </c>
      <c r="G148" s="559">
        <v>-42.47</v>
      </c>
      <c r="H148" s="644">
        <v>856</v>
      </c>
      <c r="I148" s="644" t="s">
        <v>1056</v>
      </c>
    </row>
    <row r="149" spans="1:10" x14ac:dyDescent="0.2">
      <c r="A149" s="628">
        <f t="shared" si="2"/>
        <v>144</v>
      </c>
      <c r="B149" s="643">
        <v>42613</v>
      </c>
      <c r="C149" s="644" t="s">
        <v>1155</v>
      </c>
      <c r="D149" s="644" t="s">
        <v>774</v>
      </c>
      <c r="E149" s="644" t="s">
        <v>1022</v>
      </c>
      <c r="F149" s="644" t="s">
        <v>641</v>
      </c>
      <c r="G149" s="559">
        <v>-42.47</v>
      </c>
      <c r="H149" s="644">
        <v>856</v>
      </c>
      <c r="I149" s="644" t="s">
        <v>1056</v>
      </c>
    </row>
    <row r="150" spans="1:10" x14ac:dyDescent="0.2">
      <c r="A150" s="628">
        <f t="shared" si="2"/>
        <v>145</v>
      </c>
      <c r="B150" s="643">
        <v>42643</v>
      </c>
      <c r="C150" s="644" t="s">
        <v>1155</v>
      </c>
      <c r="D150" s="644" t="s">
        <v>775</v>
      </c>
      <c r="E150" s="644" t="s">
        <v>1022</v>
      </c>
      <c r="F150" s="644" t="s">
        <v>641</v>
      </c>
      <c r="G150" s="559">
        <v>-41.1</v>
      </c>
      <c r="H150" s="644">
        <v>856</v>
      </c>
      <c r="I150" s="644" t="s">
        <v>1056</v>
      </c>
    </row>
    <row r="151" spans="1:10" x14ac:dyDescent="0.2">
      <c r="A151" s="628">
        <f t="shared" si="2"/>
        <v>146</v>
      </c>
      <c r="B151" s="643">
        <v>42674</v>
      </c>
      <c r="C151" s="644" t="s">
        <v>1155</v>
      </c>
      <c r="D151" s="644" t="s">
        <v>776</v>
      </c>
      <c r="E151" s="644" t="s">
        <v>1022</v>
      </c>
      <c r="F151" s="644" t="s">
        <v>641</v>
      </c>
      <c r="G151" s="559">
        <v>-42.47</v>
      </c>
      <c r="H151" s="644">
        <v>856</v>
      </c>
      <c r="I151" s="644" t="s">
        <v>1056</v>
      </c>
    </row>
    <row r="152" spans="1:10" x14ac:dyDescent="0.2">
      <c r="A152" s="628">
        <f t="shared" si="2"/>
        <v>147</v>
      </c>
      <c r="B152" s="643">
        <v>42704</v>
      </c>
      <c r="C152" s="644" t="s">
        <v>1155</v>
      </c>
      <c r="D152" s="644" t="s">
        <v>777</v>
      </c>
      <c r="E152" s="644" t="s">
        <v>1022</v>
      </c>
      <c r="F152" s="644" t="s">
        <v>641</v>
      </c>
      <c r="G152" s="559">
        <v>-41.1</v>
      </c>
      <c r="H152" s="644">
        <v>856</v>
      </c>
      <c r="I152" s="644" t="s">
        <v>1056</v>
      </c>
    </row>
    <row r="153" spans="1:10" x14ac:dyDescent="0.2">
      <c r="A153" s="628">
        <f t="shared" si="2"/>
        <v>148</v>
      </c>
      <c r="B153" s="643">
        <v>42735</v>
      </c>
      <c r="C153" s="644" t="s">
        <v>1155</v>
      </c>
      <c r="D153" s="644" t="s">
        <v>146</v>
      </c>
      <c r="E153" s="644" t="s">
        <v>1022</v>
      </c>
      <c r="F153" s="644" t="s">
        <v>641</v>
      </c>
      <c r="G153" s="559">
        <v>-42.47</v>
      </c>
      <c r="H153" s="644">
        <v>856</v>
      </c>
      <c r="I153" s="644" t="s">
        <v>1056</v>
      </c>
    </row>
    <row r="154" spans="1:10" x14ac:dyDescent="0.2">
      <c r="A154" s="628">
        <f t="shared" si="2"/>
        <v>149</v>
      </c>
      <c r="B154" s="643">
        <v>42400</v>
      </c>
      <c r="C154" s="644">
        <v>454151</v>
      </c>
      <c r="D154" s="644" t="s">
        <v>768</v>
      </c>
      <c r="E154" s="644" t="s">
        <v>1169</v>
      </c>
      <c r="F154" s="644" t="s">
        <v>918</v>
      </c>
      <c r="G154" s="559">
        <v>-8.4700000000000006</v>
      </c>
      <c r="H154" s="644">
        <v>856</v>
      </c>
      <c r="I154" s="644" t="s">
        <v>1056</v>
      </c>
    </row>
    <row r="155" spans="1:10" x14ac:dyDescent="0.2">
      <c r="A155" s="628">
        <f t="shared" si="2"/>
        <v>150</v>
      </c>
      <c r="B155" s="643">
        <v>42429</v>
      </c>
      <c r="C155" s="644">
        <v>454151</v>
      </c>
      <c r="D155" s="644" t="s">
        <v>770</v>
      </c>
      <c r="E155" s="644" t="s">
        <v>1169</v>
      </c>
      <c r="F155" s="644" t="s">
        <v>918</v>
      </c>
      <c r="G155" s="559">
        <v>-7.92</v>
      </c>
      <c r="H155" s="644">
        <v>856</v>
      </c>
      <c r="I155" s="644" t="s">
        <v>1056</v>
      </c>
    </row>
    <row r="156" spans="1:10" x14ac:dyDescent="0.2">
      <c r="A156" s="628">
        <f t="shared" si="2"/>
        <v>151</v>
      </c>
      <c r="B156" s="643">
        <v>42460</v>
      </c>
      <c r="C156" s="644">
        <v>454151</v>
      </c>
      <c r="D156" s="644" t="s">
        <v>13</v>
      </c>
      <c r="E156" s="644" t="s">
        <v>1169</v>
      </c>
      <c r="F156" s="644" t="s">
        <v>918</v>
      </c>
      <c r="G156" s="559">
        <v>-8.4700000000000006</v>
      </c>
      <c r="H156" s="644">
        <v>856</v>
      </c>
      <c r="I156" s="644" t="s">
        <v>1056</v>
      </c>
    </row>
    <row r="157" spans="1:10" x14ac:dyDescent="0.2">
      <c r="A157" s="628">
        <f t="shared" si="2"/>
        <v>152</v>
      </c>
      <c r="B157" s="643">
        <v>42490</v>
      </c>
      <c r="C157" s="644">
        <v>454151</v>
      </c>
      <c r="D157" s="644" t="s">
        <v>771</v>
      </c>
      <c r="E157" s="644" t="s">
        <v>1169</v>
      </c>
      <c r="F157" s="644" t="s">
        <v>918</v>
      </c>
      <c r="G157" s="559">
        <v>-8.1999999999999993</v>
      </c>
      <c r="H157" s="644">
        <v>856</v>
      </c>
      <c r="I157" s="644" t="s">
        <v>1056</v>
      </c>
    </row>
    <row r="158" spans="1:10" x14ac:dyDescent="0.2">
      <c r="A158" s="628">
        <f t="shared" si="2"/>
        <v>153</v>
      </c>
      <c r="B158" s="643">
        <v>42521</v>
      </c>
      <c r="C158" s="644">
        <v>454151</v>
      </c>
      <c r="D158" s="644" t="s">
        <v>772</v>
      </c>
      <c r="E158" s="644" t="s">
        <v>1169</v>
      </c>
      <c r="F158" s="644" t="s">
        <v>918</v>
      </c>
      <c r="G158" s="559">
        <v>-8.4700000000000006</v>
      </c>
      <c r="H158" s="644">
        <v>856</v>
      </c>
      <c r="I158" s="644" t="s">
        <v>1056</v>
      </c>
    </row>
    <row r="159" spans="1:10" x14ac:dyDescent="0.2">
      <c r="A159" s="628">
        <f t="shared" si="2"/>
        <v>154</v>
      </c>
      <c r="B159" s="643">
        <v>42551</v>
      </c>
      <c r="C159" s="644">
        <v>454151</v>
      </c>
      <c r="D159" s="644" t="s">
        <v>773</v>
      </c>
      <c r="E159" s="644" t="s">
        <v>1169</v>
      </c>
      <c r="F159" s="644" t="s">
        <v>918</v>
      </c>
      <c r="G159" s="559">
        <v>-8.1999999999999993</v>
      </c>
      <c r="H159" s="644">
        <v>856</v>
      </c>
      <c r="I159" s="644" t="s">
        <v>1056</v>
      </c>
    </row>
    <row r="160" spans="1:10" x14ac:dyDescent="0.2">
      <c r="A160" s="628">
        <f t="shared" si="2"/>
        <v>155</v>
      </c>
      <c r="B160" s="643">
        <v>42582</v>
      </c>
      <c r="C160" s="644">
        <v>454151</v>
      </c>
      <c r="D160" s="644" t="s">
        <v>14</v>
      </c>
      <c r="E160" s="644" t="s">
        <v>1169</v>
      </c>
      <c r="F160" s="644" t="s">
        <v>918</v>
      </c>
      <c r="G160" s="559">
        <v>-8.4700000000000006</v>
      </c>
      <c r="H160" s="644">
        <v>856</v>
      </c>
      <c r="I160" s="644" t="s">
        <v>1056</v>
      </c>
    </row>
    <row r="161" spans="1:10" x14ac:dyDescent="0.2">
      <c r="A161" s="628">
        <f t="shared" si="2"/>
        <v>156</v>
      </c>
      <c r="B161" s="643">
        <v>42613</v>
      </c>
      <c r="C161" s="644">
        <v>454151</v>
      </c>
      <c r="D161" s="644" t="s">
        <v>774</v>
      </c>
      <c r="E161" s="644" t="s">
        <v>1169</v>
      </c>
      <c r="F161" s="644" t="s">
        <v>918</v>
      </c>
      <c r="G161" s="559">
        <v>-8.4700000000000006</v>
      </c>
      <c r="H161" s="644">
        <v>856</v>
      </c>
      <c r="I161" s="644" t="s">
        <v>1056</v>
      </c>
    </row>
    <row r="162" spans="1:10" x14ac:dyDescent="0.2">
      <c r="A162" s="628">
        <f t="shared" si="2"/>
        <v>157</v>
      </c>
      <c r="B162" s="643">
        <v>42643</v>
      </c>
      <c r="C162" s="644">
        <v>454151</v>
      </c>
      <c r="D162" s="644" t="s">
        <v>775</v>
      </c>
      <c r="E162" s="644" t="s">
        <v>1169</v>
      </c>
      <c r="F162" s="644" t="s">
        <v>918</v>
      </c>
      <c r="G162" s="559">
        <v>-8.1999999999999993</v>
      </c>
      <c r="H162" s="644">
        <v>856</v>
      </c>
      <c r="I162" s="644" t="s">
        <v>1056</v>
      </c>
    </row>
    <row r="163" spans="1:10" x14ac:dyDescent="0.2">
      <c r="A163" s="628">
        <f t="shared" si="2"/>
        <v>158</v>
      </c>
      <c r="B163" s="643">
        <v>42674</v>
      </c>
      <c r="C163" s="644">
        <v>454151</v>
      </c>
      <c r="D163" s="644" t="s">
        <v>776</v>
      </c>
      <c r="E163" s="644" t="s">
        <v>1169</v>
      </c>
      <c r="F163" s="644" t="s">
        <v>918</v>
      </c>
      <c r="G163" s="559">
        <v>-8.4700000000000006</v>
      </c>
      <c r="H163" s="644">
        <v>856</v>
      </c>
      <c r="I163" s="644" t="s">
        <v>1056</v>
      </c>
    </row>
    <row r="164" spans="1:10" x14ac:dyDescent="0.2">
      <c r="A164" s="628">
        <f t="shared" si="2"/>
        <v>159</v>
      </c>
      <c r="B164" s="643">
        <v>42704</v>
      </c>
      <c r="C164" s="644">
        <v>454151</v>
      </c>
      <c r="D164" s="644" t="s">
        <v>777</v>
      </c>
      <c r="E164" s="644" t="s">
        <v>1169</v>
      </c>
      <c r="F164" s="644" t="s">
        <v>918</v>
      </c>
      <c r="G164" s="559">
        <v>-8.1999999999999993</v>
      </c>
      <c r="H164" s="644">
        <v>856</v>
      </c>
      <c r="I164" s="644" t="s">
        <v>1056</v>
      </c>
    </row>
    <row r="165" spans="1:10" x14ac:dyDescent="0.2">
      <c r="A165" s="628">
        <f t="shared" si="2"/>
        <v>160</v>
      </c>
      <c r="B165" s="643">
        <v>42735</v>
      </c>
      <c r="C165" s="644">
        <v>454151</v>
      </c>
      <c r="D165" s="644" t="s">
        <v>146</v>
      </c>
      <c r="E165" s="644" t="s">
        <v>1169</v>
      </c>
      <c r="F165" s="644" t="s">
        <v>918</v>
      </c>
      <c r="G165" s="559">
        <v>-8.4600000000000009</v>
      </c>
      <c r="H165" s="644">
        <v>856</v>
      </c>
      <c r="I165" s="644" t="s">
        <v>1056</v>
      </c>
    </row>
    <row r="166" spans="1:10" x14ac:dyDescent="0.2">
      <c r="A166" s="628">
        <f t="shared" si="2"/>
        <v>161</v>
      </c>
      <c r="B166" s="643">
        <v>42704</v>
      </c>
      <c r="C166" s="644">
        <v>454151</v>
      </c>
      <c r="D166" s="644" t="s">
        <v>777</v>
      </c>
      <c r="E166" s="644" t="s">
        <v>1170</v>
      </c>
      <c r="F166" s="644" t="s">
        <v>693</v>
      </c>
      <c r="G166" s="559">
        <v>-141.38</v>
      </c>
      <c r="H166" s="644">
        <v>856</v>
      </c>
      <c r="I166" s="644" t="s">
        <v>1056</v>
      </c>
    </row>
    <row r="167" spans="1:10" x14ac:dyDescent="0.2">
      <c r="A167" s="628">
        <f t="shared" si="2"/>
        <v>162</v>
      </c>
      <c r="B167" s="643">
        <v>42735</v>
      </c>
      <c r="C167" s="644">
        <v>454151</v>
      </c>
      <c r="D167" s="644" t="s">
        <v>146</v>
      </c>
      <c r="E167" s="644" t="s">
        <v>1170</v>
      </c>
      <c r="F167" s="644" t="s">
        <v>693</v>
      </c>
      <c r="G167" s="559">
        <v>-146.09</v>
      </c>
      <c r="H167" s="644">
        <v>856</v>
      </c>
      <c r="I167" s="644" t="s">
        <v>1056</v>
      </c>
    </row>
    <row r="168" spans="1:10" x14ac:dyDescent="0.2">
      <c r="A168" s="628">
        <f t="shared" si="2"/>
        <v>163</v>
      </c>
      <c r="B168" s="643">
        <v>42704</v>
      </c>
      <c r="C168" s="644">
        <v>454151</v>
      </c>
      <c r="D168" s="644" t="s">
        <v>777</v>
      </c>
      <c r="E168" s="644" t="s">
        <v>1171</v>
      </c>
      <c r="F168" s="644" t="s">
        <v>693</v>
      </c>
      <c r="G168" s="559">
        <v>-143.56</v>
      </c>
      <c r="H168" s="644">
        <v>856</v>
      </c>
      <c r="I168" s="644" t="s">
        <v>1056</v>
      </c>
      <c r="J168" s="528"/>
    </row>
    <row r="169" spans="1:10" x14ac:dyDescent="0.2">
      <c r="A169" s="628">
        <f t="shared" si="2"/>
        <v>164</v>
      </c>
      <c r="B169" s="643">
        <v>42735</v>
      </c>
      <c r="C169" s="644">
        <v>454151</v>
      </c>
      <c r="D169" s="644" t="s">
        <v>146</v>
      </c>
      <c r="E169" s="644" t="s">
        <v>1171</v>
      </c>
      <c r="F169" s="644" t="s">
        <v>693</v>
      </c>
      <c r="G169" s="559">
        <v>-148.34</v>
      </c>
      <c r="H169" s="644">
        <v>856</v>
      </c>
      <c r="I169" s="644" t="s">
        <v>1056</v>
      </c>
    </row>
    <row r="170" spans="1:10" x14ac:dyDescent="0.2">
      <c r="A170" s="628">
        <f t="shared" si="2"/>
        <v>165</v>
      </c>
      <c r="B170" s="643">
        <v>42674</v>
      </c>
      <c r="C170" s="644">
        <v>454151</v>
      </c>
      <c r="D170" s="644" t="s">
        <v>776</v>
      </c>
      <c r="E170" s="644" t="s">
        <v>1172</v>
      </c>
      <c r="F170" s="644" t="s">
        <v>693</v>
      </c>
      <c r="G170" s="559">
        <v>-1409.05</v>
      </c>
      <c r="H170" s="644">
        <v>856</v>
      </c>
      <c r="I170" s="644" t="s">
        <v>1056</v>
      </c>
    </row>
    <row r="171" spans="1:10" x14ac:dyDescent="0.2">
      <c r="A171" s="628">
        <f t="shared" si="2"/>
        <v>166</v>
      </c>
      <c r="B171" s="643">
        <v>42704</v>
      </c>
      <c r="C171" s="644">
        <v>454151</v>
      </c>
      <c r="D171" s="644" t="s">
        <v>777</v>
      </c>
      <c r="E171" s="644" t="s">
        <v>1172</v>
      </c>
      <c r="F171" s="644" t="s">
        <v>693</v>
      </c>
      <c r="G171" s="559">
        <v>-214.58</v>
      </c>
      <c r="H171" s="644">
        <v>856</v>
      </c>
      <c r="I171" s="644" t="s">
        <v>1056</v>
      </c>
    </row>
    <row r="172" spans="1:10" x14ac:dyDescent="0.2">
      <c r="A172" s="628">
        <f t="shared" si="2"/>
        <v>167</v>
      </c>
      <c r="B172" s="643">
        <v>42735</v>
      </c>
      <c r="C172" s="644">
        <v>454151</v>
      </c>
      <c r="D172" s="644" t="s">
        <v>146</v>
      </c>
      <c r="E172" s="644" t="s">
        <v>1172</v>
      </c>
      <c r="F172" s="644" t="s">
        <v>693</v>
      </c>
      <c r="G172" s="559">
        <v>-221.73</v>
      </c>
      <c r="H172" s="644">
        <v>856</v>
      </c>
      <c r="I172" s="644" t="s">
        <v>1056</v>
      </c>
    </row>
    <row r="173" spans="1:10" x14ac:dyDescent="0.2">
      <c r="A173" s="628">
        <f t="shared" si="2"/>
        <v>168</v>
      </c>
      <c r="B173" s="643">
        <v>42400</v>
      </c>
      <c r="C173" s="644">
        <v>454151</v>
      </c>
      <c r="D173" s="644" t="s">
        <v>768</v>
      </c>
      <c r="E173" s="644" t="s">
        <v>1173</v>
      </c>
      <c r="F173" s="644" t="s">
        <v>693</v>
      </c>
      <c r="G173" s="559">
        <v>-142.79124999999999</v>
      </c>
      <c r="H173" s="644">
        <v>856</v>
      </c>
      <c r="I173" s="644" t="s">
        <v>1056</v>
      </c>
    </row>
    <row r="174" spans="1:10" x14ac:dyDescent="0.2">
      <c r="A174" s="628">
        <f t="shared" si="2"/>
        <v>169</v>
      </c>
      <c r="B174" s="643">
        <v>42429</v>
      </c>
      <c r="C174" s="644">
        <v>454151</v>
      </c>
      <c r="D174" s="644" t="s">
        <v>770</v>
      </c>
      <c r="E174" s="644" t="s">
        <v>1173</v>
      </c>
      <c r="F174" s="644" t="s">
        <v>693</v>
      </c>
      <c r="G174" s="559">
        <v>-142.79124999999999</v>
      </c>
      <c r="H174" s="644">
        <v>856</v>
      </c>
      <c r="I174" s="644" t="s">
        <v>1056</v>
      </c>
    </row>
    <row r="175" spans="1:10" x14ac:dyDescent="0.2">
      <c r="A175" s="628">
        <f t="shared" si="2"/>
        <v>170</v>
      </c>
      <c r="B175" s="643">
        <v>42460</v>
      </c>
      <c r="C175" s="644">
        <v>454151</v>
      </c>
      <c r="D175" s="644" t="s">
        <v>13</v>
      </c>
      <c r="E175" s="644" t="s">
        <v>1173</v>
      </c>
      <c r="F175" s="644" t="s">
        <v>693</v>
      </c>
      <c r="G175" s="559">
        <v>-142.79124999999999</v>
      </c>
      <c r="H175" s="644">
        <v>856</v>
      </c>
      <c r="I175" s="644" t="s">
        <v>1056</v>
      </c>
    </row>
    <row r="176" spans="1:10" x14ac:dyDescent="0.2">
      <c r="A176" s="628">
        <f t="shared" si="2"/>
        <v>171</v>
      </c>
      <c r="B176" s="643">
        <v>42490</v>
      </c>
      <c r="C176" s="644">
        <v>454151</v>
      </c>
      <c r="D176" s="644" t="s">
        <v>771</v>
      </c>
      <c r="E176" s="644" t="s">
        <v>1173</v>
      </c>
      <c r="F176" s="644" t="s">
        <v>693</v>
      </c>
      <c r="G176" s="559">
        <v>-142.79124999999999</v>
      </c>
      <c r="H176" s="644">
        <v>856</v>
      </c>
      <c r="I176" s="644" t="s">
        <v>1056</v>
      </c>
    </row>
    <row r="177" spans="1:10" x14ac:dyDescent="0.2">
      <c r="A177" s="628">
        <f t="shared" si="2"/>
        <v>172</v>
      </c>
      <c r="B177" s="643">
        <v>42521</v>
      </c>
      <c r="C177" s="644">
        <v>454151</v>
      </c>
      <c r="D177" s="644" t="s">
        <v>772</v>
      </c>
      <c r="E177" s="644" t="s">
        <v>1173</v>
      </c>
      <c r="F177" s="644" t="s">
        <v>693</v>
      </c>
      <c r="G177" s="559">
        <v>-142.79124999999999</v>
      </c>
      <c r="H177" s="644">
        <v>856</v>
      </c>
      <c r="I177" s="644" t="s">
        <v>1056</v>
      </c>
    </row>
    <row r="178" spans="1:10" x14ac:dyDescent="0.2">
      <c r="A178" s="628">
        <f t="shared" si="2"/>
        <v>173</v>
      </c>
      <c r="B178" s="643">
        <v>42551</v>
      </c>
      <c r="C178" s="644">
        <v>454151</v>
      </c>
      <c r="D178" s="644" t="s">
        <v>773</v>
      </c>
      <c r="E178" s="644" t="s">
        <v>1173</v>
      </c>
      <c r="F178" s="644" t="s">
        <v>693</v>
      </c>
      <c r="G178" s="559">
        <v>-142.79124999999999</v>
      </c>
      <c r="H178" s="644">
        <v>856</v>
      </c>
      <c r="I178" s="644" t="s">
        <v>1056</v>
      </c>
    </row>
    <row r="179" spans="1:10" x14ac:dyDescent="0.2">
      <c r="A179" s="628">
        <f t="shared" si="2"/>
        <v>174</v>
      </c>
      <c r="B179" s="643">
        <v>42582</v>
      </c>
      <c r="C179" s="644">
        <v>454151</v>
      </c>
      <c r="D179" s="644" t="s">
        <v>14</v>
      </c>
      <c r="E179" s="644" t="s">
        <v>1173</v>
      </c>
      <c r="F179" s="644" t="s">
        <v>693</v>
      </c>
      <c r="G179" s="559">
        <v>-142.79124999999999</v>
      </c>
      <c r="H179" s="644">
        <v>856</v>
      </c>
      <c r="I179" s="644" t="s">
        <v>1056</v>
      </c>
    </row>
    <row r="180" spans="1:10" x14ac:dyDescent="0.2">
      <c r="A180" s="628">
        <f t="shared" si="2"/>
        <v>175</v>
      </c>
      <c r="B180" s="643">
        <v>42613</v>
      </c>
      <c r="C180" s="644">
        <v>454151</v>
      </c>
      <c r="D180" s="644" t="s">
        <v>774</v>
      </c>
      <c r="E180" s="644" t="s">
        <v>1173</v>
      </c>
      <c r="F180" s="644" t="s">
        <v>693</v>
      </c>
      <c r="G180" s="559">
        <v>-142.79124999999999</v>
      </c>
      <c r="H180" s="644">
        <v>856</v>
      </c>
      <c r="I180" s="644" t="s">
        <v>1056</v>
      </c>
    </row>
    <row r="181" spans="1:10" x14ac:dyDescent="0.2">
      <c r="A181" s="628">
        <f t="shared" si="2"/>
        <v>176</v>
      </c>
      <c r="B181" s="643">
        <v>42400</v>
      </c>
      <c r="C181" s="644">
        <v>454151</v>
      </c>
      <c r="D181" s="644" t="s">
        <v>768</v>
      </c>
      <c r="E181" s="644" t="s">
        <v>1174</v>
      </c>
      <c r="F181" s="644" t="s">
        <v>693</v>
      </c>
      <c r="G181" s="559">
        <v>-142.79124999999999</v>
      </c>
      <c r="H181" s="644">
        <v>856</v>
      </c>
      <c r="I181" s="644" t="s">
        <v>1056</v>
      </c>
    </row>
    <row r="182" spans="1:10" x14ac:dyDescent="0.2">
      <c r="A182" s="628">
        <f t="shared" si="2"/>
        <v>177</v>
      </c>
      <c r="B182" s="643">
        <v>42429</v>
      </c>
      <c r="C182" s="644">
        <v>454151</v>
      </c>
      <c r="D182" s="644" t="s">
        <v>770</v>
      </c>
      <c r="E182" s="644" t="s">
        <v>1174</v>
      </c>
      <c r="F182" s="644" t="s">
        <v>693</v>
      </c>
      <c r="G182" s="559">
        <v>-142.79124999999999</v>
      </c>
      <c r="H182" s="644">
        <v>856</v>
      </c>
      <c r="I182" s="644" t="s">
        <v>1056</v>
      </c>
      <c r="J182" s="526"/>
    </row>
    <row r="183" spans="1:10" x14ac:dyDescent="0.2">
      <c r="A183" s="628">
        <f t="shared" si="2"/>
        <v>178</v>
      </c>
      <c r="B183" s="643">
        <v>42460</v>
      </c>
      <c r="C183" s="644">
        <v>454151</v>
      </c>
      <c r="D183" s="644" t="s">
        <v>13</v>
      </c>
      <c r="E183" s="644" t="s">
        <v>1174</v>
      </c>
      <c r="F183" s="644" t="s">
        <v>693</v>
      </c>
      <c r="G183" s="559">
        <v>-142.79124999999999</v>
      </c>
      <c r="H183" s="644">
        <v>856</v>
      </c>
      <c r="I183" s="644" t="s">
        <v>1056</v>
      </c>
    </row>
    <row r="184" spans="1:10" x14ac:dyDescent="0.2">
      <c r="A184" s="628">
        <f t="shared" si="2"/>
        <v>179</v>
      </c>
      <c r="B184" s="643">
        <v>42490</v>
      </c>
      <c r="C184" s="644">
        <v>454151</v>
      </c>
      <c r="D184" s="644" t="s">
        <v>771</v>
      </c>
      <c r="E184" s="644" t="s">
        <v>1174</v>
      </c>
      <c r="F184" s="644" t="s">
        <v>693</v>
      </c>
      <c r="G184" s="559">
        <v>-142.79124999999999</v>
      </c>
      <c r="H184" s="644">
        <v>856</v>
      </c>
      <c r="I184" s="644" t="s">
        <v>1056</v>
      </c>
    </row>
    <row r="185" spans="1:10" x14ac:dyDescent="0.2">
      <c r="A185" s="628">
        <f t="shared" si="2"/>
        <v>180</v>
      </c>
      <c r="B185" s="643">
        <v>42521</v>
      </c>
      <c r="C185" s="644">
        <v>454151</v>
      </c>
      <c r="D185" s="644" t="s">
        <v>772</v>
      </c>
      <c r="E185" s="644" t="s">
        <v>1174</v>
      </c>
      <c r="F185" s="644" t="s">
        <v>693</v>
      </c>
      <c r="G185" s="559">
        <v>-142.79124999999999</v>
      </c>
      <c r="H185" s="644">
        <v>856</v>
      </c>
      <c r="I185" s="644" t="s">
        <v>1056</v>
      </c>
    </row>
    <row r="186" spans="1:10" x14ac:dyDescent="0.2">
      <c r="A186" s="628">
        <f t="shared" si="2"/>
        <v>181</v>
      </c>
      <c r="B186" s="643">
        <v>42551</v>
      </c>
      <c r="C186" s="644">
        <v>454151</v>
      </c>
      <c r="D186" s="644" t="s">
        <v>773</v>
      </c>
      <c r="E186" s="644" t="s">
        <v>1174</v>
      </c>
      <c r="F186" s="644" t="s">
        <v>693</v>
      </c>
      <c r="G186" s="559">
        <v>-142.79124999999999</v>
      </c>
      <c r="H186" s="644">
        <v>856</v>
      </c>
      <c r="I186" s="644" t="s">
        <v>1056</v>
      </c>
    </row>
    <row r="187" spans="1:10" x14ac:dyDescent="0.2">
      <c r="A187" s="628">
        <f t="shared" si="2"/>
        <v>182</v>
      </c>
      <c r="B187" s="643">
        <v>42582</v>
      </c>
      <c r="C187" s="644">
        <v>454151</v>
      </c>
      <c r="D187" s="644" t="s">
        <v>14</v>
      </c>
      <c r="E187" s="644" t="s">
        <v>1174</v>
      </c>
      <c r="F187" s="644" t="s">
        <v>693</v>
      </c>
      <c r="G187" s="559">
        <v>-142.79124999999999</v>
      </c>
      <c r="H187" s="644">
        <v>856</v>
      </c>
      <c r="I187" s="644" t="s">
        <v>1056</v>
      </c>
    </row>
    <row r="188" spans="1:10" x14ac:dyDescent="0.2">
      <c r="A188" s="628">
        <f t="shared" si="2"/>
        <v>183</v>
      </c>
      <c r="B188" s="643">
        <v>42613</v>
      </c>
      <c r="C188" s="644">
        <v>454151</v>
      </c>
      <c r="D188" s="644" t="s">
        <v>774</v>
      </c>
      <c r="E188" s="644" t="s">
        <v>1174</v>
      </c>
      <c r="F188" s="644" t="s">
        <v>693</v>
      </c>
      <c r="G188" s="559">
        <v>-142.79124999999999</v>
      </c>
      <c r="H188" s="644">
        <v>856</v>
      </c>
      <c r="I188" s="644" t="s">
        <v>1056</v>
      </c>
    </row>
    <row r="189" spans="1:10" x14ac:dyDescent="0.2">
      <c r="A189" s="628">
        <f t="shared" si="2"/>
        <v>184</v>
      </c>
      <c r="B189" s="643">
        <v>42400</v>
      </c>
      <c r="C189" s="644">
        <v>454151</v>
      </c>
      <c r="D189" s="644" t="s">
        <v>768</v>
      </c>
      <c r="E189" s="644" t="s">
        <v>1175</v>
      </c>
      <c r="F189" s="644" t="s">
        <v>693</v>
      </c>
      <c r="G189" s="559">
        <v>-141.27699999999999</v>
      </c>
      <c r="H189" s="644">
        <v>856</v>
      </c>
      <c r="I189" s="644" t="s">
        <v>1056</v>
      </c>
    </row>
    <row r="190" spans="1:10" x14ac:dyDescent="0.2">
      <c r="A190" s="628">
        <f t="shared" si="2"/>
        <v>185</v>
      </c>
      <c r="B190" s="643">
        <v>42400</v>
      </c>
      <c r="C190" s="644">
        <v>454151</v>
      </c>
      <c r="D190" s="644" t="s">
        <v>768</v>
      </c>
      <c r="E190" s="644" t="s">
        <v>1175</v>
      </c>
      <c r="F190" s="644" t="s">
        <v>693</v>
      </c>
      <c r="G190" s="559">
        <v>-143.45400000000001</v>
      </c>
      <c r="H190" s="644">
        <v>856</v>
      </c>
      <c r="I190" s="644" t="s">
        <v>1056</v>
      </c>
    </row>
    <row r="191" spans="1:10" x14ac:dyDescent="0.2">
      <c r="A191" s="628">
        <f t="shared" si="2"/>
        <v>186</v>
      </c>
      <c r="B191" s="643">
        <v>42429</v>
      </c>
      <c r="C191" s="644">
        <v>454151</v>
      </c>
      <c r="D191" s="644" t="s">
        <v>770</v>
      </c>
      <c r="E191" s="644" t="s">
        <v>1175</v>
      </c>
      <c r="F191" s="644" t="s">
        <v>693</v>
      </c>
      <c r="G191" s="559">
        <v>-141.27699999999999</v>
      </c>
      <c r="H191" s="644">
        <v>856</v>
      </c>
      <c r="I191" s="644" t="s">
        <v>1056</v>
      </c>
    </row>
    <row r="192" spans="1:10" x14ac:dyDescent="0.2">
      <c r="A192" s="628">
        <f t="shared" si="2"/>
        <v>187</v>
      </c>
      <c r="B192" s="643">
        <v>42429</v>
      </c>
      <c r="C192" s="644">
        <v>454151</v>
      </c>
      <c r="D192" s="644" t="s">
        <v>770</v>
      </c>
      <c r="E192" s="644" t="s">
        <v>1175</v>
      </c>
      <c r="F192" s="644" t="s">
        <v>693</v>
      </c>
      <c r="G192" s="559">
        <v>-143.45400000000001</v>
      </c>
      <c r="H192" s="644">
        <v>856</v>
      </c>
      <c r="I192" s="644" t="s">
        <v>1056</v>
      </c>
    </row>
    <row r="193" spans="1:10" x14ac:dyDescent="0.2">
      <c r="A193" s="628">
        <f t="shared" si="2"/>
        <v>188</v>
      </c>
      <c r="B193" s="643">
        <v>42460</v>
      </c>
      <c r="C193" s="644">
        <v>454151</v>
      </c>
      <c r="D193" s="644" t="s">
        <v>13</v>
      </c>
      <c r="E193" s="644" t="s">
        <v>1175</v>
      </c>
      <c r="F193" s="644" t="s">
        <v>693</v>
      </c>
      <c r="G193" s="559">
        <v>-141.27699999999999</v>
      </c>
      <c r="H193" s="644">
        <v>856</v>
      </c>
      <c r="I193" s="644" t="s">
        <v>1056</v>
      </c>
    </row>
    <row r="194" spans="1:10" x14ac:dyDescent="0.2">
      <c r="A194" s="628">
        <f t="shared" si="2"/>
        <v>189</v>
      </c>
      <c r="B194" s="643">
        <v>42460</v>
      </c>
      <c r="C194" s="644">
        <v>454151</v>
      </c>
      <c r="D194" s="644" t="s">
        <v>13</v>
      </c>
      <c r="E194" s="644" t="s">
        <v>1175</v>
      </c>
      <c r="F194" s="644" t="s">
        <v>693</v>
      </c>
      <c r="G194" s="559">
        <v>-143.45400000000001</v>
      </c>
      <c r="H194" s="644">
        <v>856</v>
      </c>
      <c r="I194" s="644" t="s">
        <v>1056</v>
      </c>
      <c r="J194" s="445"/>
    </row>
    <row r="195" spans="1:10" x14ac:dyDescent="0.2">
      <c r="A195" s="628">
        <f t="shared" si="2"/>
        <v>190</v>
      </c>
      <c r="B195" s="643">
        <v>42490</v>
      </c>
      <c r="C195" s="644">
        <v>454151</v>
      </c>
      <c r="D195" s="644" t="s">
        <v>771</v>
      </c>
      <c r="E195" s="644" t="s">
        <v>1175</v>
      </c>
      <c r="F195" s="644" t="s">
        <v>693</v>
      </c>
      <c r="G195" s="559">
        <v>-141.27699999999999</v>
      </c>
      <c r="H195" s="644">
        <v>856</v>
      </c>
      <c r="I195" s="644" t="s">
        <v>1056</v>
      </c>
      <c r="J195" s="445"/>
    </row>
    <row r="196" spans="1:10" x14ac:dyDescent="0.2">
      <c r="A196" s="628">
        <f t="shared" si="2"/>
        <v>191</v>
      </c>
      <c r="B196" s="643">
        <v>42490</v>
      </c>
      <c r="C196" s="644">
        <v>454151</v>
      </c>
      <c r="D196" s="644" t="s">
        <v>771</v>
      </c>
      <c r="E196" s="644" t="s">
        <v>1175</v>
      </c>
      <c r="F196" s="644" t="s">
        <v>693</v>
      </c>
      <c r="G196" s="559">
        <v>-143.45400000000001</v>
      </c>
      <c r="H196" s="644">
        <v>856</v>
      </c>
      <c r="I196" s="644" t="s">
        <v>1056</v>
      </c>
      <c r="J196" s="445"/>
    </row>
    <row r="197" spans="1:10" x14ac:dyDescent="0.2">
      <c r="A197" s="628">
        <f t="shared" si="2"/>
        <v>192</v>
      </c>
      <c r="B197" s="643">
        <v>42521</v>
      </c>
      <c r="C197" s="644">
        <v>454151</v>
      </c>
      <c r="D197" s="644" t="s">
        <v>772</v>
      </c>
      <c r="E197" s="644" t="s">
        <v>1175</v>
      </c>
      <c r="F197" s="644" t="s">
        <v>693</v>
      </c>
      <c r="G197" s="559">
        <v>-141.27699999999999</v>
      </c>
      <c r="H197" s="644">
        <v>856</v>
      </c>
      <c r="I197" s="644" t="s">
        <v>1056</v>
      </c>
      <c r="J197" s="445"/>
    </row>
    <row r="198" spans="1:10" x14ac:dyDescent="0.2">
      <c r="A198" s="628">
        <f t="shared" si="2"/>
        <v>193</v>
      </c>
      <c r="B198" s="643">
        <v>42521</v>
      </c>
      <c r="C198" s="644">
        <v>454151</v>
      </c>
      <c r="D198" s="644" t="s">
        <v>772</v>
      </c>
      <c r="E198" s="644" t="s">
        <v>1175</v>
      </c>
      <c r="F198" s="644" t="s">
        <v>693</v>
      </c>
      <c r="G198" s="559">
        <v>-143.45400000000001</v>
      </c>
      <c r="H198" s="644">
        <v>856</v>
      </c>
      <c r="I198" s="644" t="s">
        <v>1056</v>
      </c>
      <c r="J198" s="445"/>
    </row>
    <row r="199" spans="1:10" x14ac:dyDescent="0.2">
      <c r="A199" s="628">
        <f t="shared" si="2"/>
        <v>194</v>
      </c>
      <c r="B199" s="643">
        <v>42551</v>
      </c>
      <c r="C199" s="644">
        <v>454151</v>
      </c>
      <c r="D199" s="644" t="s">
        <v>773</v>
      </c>
      <c r="E199" s="644" t="s">
        <v>1175</v>
      </c>
      <c r="F199" s="644" t="s">
        <v>693</v>
      </c>
      <c r="G199" s="559">
        <v>-141.27699999999999</v>
      </c>
      <c r="H199" s="644">
        <v>856</v>
      </c>
      <c r="I199" s="644" t="s">
        <v>1056</v>
      </c>
      <c r="J199" s="445"/>
    </row>
    <row r="200" spans="1:10" x14ac:dyDescent="0.2">
      <c r="A200" s="628">
        <f t="shared" ref="A200:A278" si="3">A199+1</f>
        <v>195</v>
      </c>
      <c r="B200" s="643">
        <v>42551</v>
      </c>
      <c r="C200" s="644">
        <v>454151</v>
      </c>
      <c r="D200" s="644" t="s">
        <v>773</v>
      </c>
      <c r="E200" s="644" t="s">
        <v>1175</v>
      </c>
      <c r="F200" s="644" t="s">
        <v>693</v>
      </c>
      <c r="G200" s="559">
        <v>-143.45400000000001</v>
      </c>
      <c r="H200" s="644">
        <v>856</v>
      </c>
      <c r="I200" s="644" t="s">
        <v>1056</v>
      </c>
      <c r="J200" s="445"/>
    </row>
    <row r="201" spans="1:10" x14ac:dyDescent="0.2">
      <c r="A201" s="628">
        <f t="shared" si="3"/>
        <v>196</v>
      </c>
      <c r="B201" s="643">
        <v>42582</v>
      </c>
      <c r="C201" s="644">
        <v>454151</v>
      </c>
      <c r="D201" s="644" t="s">
        <v>14</v>
      </c>
      <c r="E201" s="644" t="s">
        <v>1175</v>
      </c>
      <c r="F201" s="644" t="s">
        <v>693</v>
      </c>
      <c r="G201" s="559">
        <v>-141.27699999999999</v>
      </c>
      <c r="H201" s="644">
        <v>856</v>
      </c>
      <c r="I201" s="644" t="s">
        <v>1056</v>
      </c>
      <c r="J201" s="445"/>
    </row>
    <row r="202" spans="1:10" x14ac:dyDescent="0.2">
      <c r="A202" s="628">
        <f t="shared" si="3"/>
        <v>197</v>
      </c>
      <c r="B202" s="643">
        <v>42582</v>
      </c>
      <c r="C202" s="644">
        <v>454151</v>
      </c>
      <c r="D202" s="644" t="s">
        <v>14</v>
      </c>
      <c r="E202" s="644" t="s">
        <v>1175</v>
      </c>
      <c r="F202" s="644" t="s">
        <v>693</v>
      </c>
      <c r="G202" s="559">
        <v>-143.45400000000001</v>
      </c>
      <c r="H202" s="644">
        <v>856</v>
      </c>
      <c r="I202" s="644" t="s">
        <v>1056</v>
      </c>
      <c r="J202" s="445"/>
    </row>
    <row r="203" spans="1:10" x14ac:dyDescent="0.2">
      <c r="A203" s="628">
        <f t="shared" si="3"/>
        <v>198</v>
      </c>
      <c r="B203" s="643">
        <v>42613</v>
      </c>
      <c r="C203" s="644">
        <v>454151</v>
      </c>
      <c r="D203" s="644" t="s">
        <v>774</v>
      </c>
      <c r="E203" s="644" t="s">
        <v>1175</v>
      </c>
      <c r="F203" s="644" t="s">
        <v>693</v>
      </c>
      <c r="G203" s="559">
        <v>-141.27699999999999</v>
      </c>
      <c r="H203" s="644">
        <v>856</v>
      </c>
      <c r="I203" s="644" t="s">
        <v>1056</v>
      </c>
      <c r="J203" s="445"/>
    </row>
    <row r="204" spans="1:10" x14ac:dyDescent="0.2">
      <c r="A204" s="628">
        <f t="shared" si="3"/>
        <v>199</v>
      </c>
      <c r="B204" s="643">
        <v>42613</v>
      </c>
      <c r="C204" s="644">
        <v>454151</v>
      </c>
      <c r="D204" s="644" t="s">
        <v>774</v>
      </c>
      <c r="E204" s="644" t="s">
        <v>1175</v>
      </c>
      <c r="F204" s="644" t="s">
        <v>693</v>
      </c>
      <c r="G204" s="559">
        <v>-143.45400000000001</v>
      </c>
      <c r="H204" s="644">
        <v>856</v>
      </c>
      <c r="I204" s="644" t="s">
        <v>1056</v>
      </c>
      <c r="J204" s="445"/>
    </row>
    <row r="205" spans="1:10" x14ac:dyDescent="0.2">
      <c r="A205" s="628">
        <f t="shared" si="3"/>
        <v>200</v>
      </c>
      <c r="B205" s="643">
        <v>42643</v>
      </c>
      <c r="C205" s="644">
        <v>454151</v>
      </c>
      <c r="D205" s="644" t="s">
        <v>775</v>
      </c>
      <c r="E205" s="644" t="s">
        <v>1175</v>
      </c>
      <c r="F205" s="644" t="s">
        <v>693</v>
      </c>
      <c r="G205" s="559">
        <v>-141.27699999999999</v>
      </c>
      <c r="H205" s="644">
        <v>856</v>
      </c>
      <c r="I205" s="644" t="s">
        <v>1056</v>
      </c>
      <c r="J205" s="445"/>
    </row>
    <row r="206" spans="1:10" x14ac:dyDescent="0.2">
      <c r="A206" s="628">
        <f t="shared" si="3"/>
        <v>201</v>
      </c>
      <c r="B206" s="643">
        <v>42643</v>
      </c>
      <c r="C206" s="644">
        <v>454151</v>
      </c>
      <c r="D206" s="644" t="s">
        <v>775</v>
      </c>
      <c r="E206" s="644" t="s">
        <v>1175</v>
      </c>
      <c r="F206" s="644" t="s">
        <v>693</v>
      </c>
      <c r="G206" s="559">
        <v>-143.45400000000001</v>
      </c>
      <c r="H206" s="644">
        <v>856</v>
      </c>
      <c r="I206" s="644" t="s">
        <v>1056</v>
      </c>
      <c r="J206" s="445"/>
    </row>
    <row r="207" spans="1:10" x14ac:dyDescent="0.2">
      <c r="A207" s="628">
        <f t="shared" si="3"/>
        <v>202</v>
      </c>
      <c r="B207" s="643">
        <v>42674</v>
      </c>
      <c r="C207" s="644">
        <v>454151</v>
      </c>
      <c r="D207" s="644" t="s">
        <v>776</v>
      </c>
      <c r="E207" s="644" t="s">
        <v>1175</v>
      </c>
      <c r="F207" s="644" t="s">
        <v>693</v>
      </c>
      <c r="G207" s="559">
        <v>-141.27699999999999</v>
      </c>
      <c r="H207" s="644">
        <v>856</v>
      </c>
      <c r="I207" s="644" t="s">
        <v>1056</v>
      </c>
      <c r="J207" s="445"/>
    </row>
    <row r="208" spans="1:10" x14ac:dyDescent="0.2">
      <c r="A208" s="628">
        <f t="shared" si="3"/>
        <v>203</v>
      </c>
      <c r="B208" s="643">
        <v>42674</v>
      </c>
      <c r="C208" s="644">
        <v>454151</v>
      </c>
      <c r="D208" s="644" t="s">
        <v>776</v>
      </c>
      <c r="E208" s="644" t="s">
        <v>1175</v>
      </c>
      <c r="F208" s="644" t="s">
        <v>693</v>
      </c>
      <c r="G208" s="559">
        <v>-143.45400000000001</v>
      </c>
      <c r="H208" s="644">
        <v>856</v>
      </c>
      <c r="I208" s="644" t="s">
        <v>1056</v>
      </c>
      <c r="J208" s="445"/>
    </row>
    <row r="209" spans="1:11" x14ac:dyDescent="0.2">
      <c r="A209" s="628">
        <f t="shared" si="3"/>
        <v>204</v>
      </c>
      <c r="B209" s="643">
        <v>42400</v>
      </c>
      <c r="C209" s="644">
        <v>454151</v>
      </c>
      <c r="D209" s="644" t="s">
        <v>768</v>
      </c>
      <c r="E209" s="644" t="s">
        <v>1176</v>
      </c>
      <c r="F209" s="644" t="s">
        <v>693</v>
      </c>
      <c r="G209" s="559">
        <v>-131.76</v>
      </c>
      <c r="H209" s="644">
        <v>856</v>
      </c>
      <c r="I209" s="644" t="s">
        <v>1056</v>
      </c>
      <c r="J209" s="445"/>
    </row>
    <row r="210" spans="1:11" x14ac:dyDescent="0.2">
      <c r="A210" s="628">
        <f t="shared" si="3"/>
        <v>205</v>
      </c>
      <c r="B210" s="643">
        <v>42429</v>
      </c>
      <c r="C210" s="644">
        <v>454151</v>
      </c>
      <c r="D210" s="644" t="s">
        <v>770</v>
      </c>
      <c r="E210" s="644" t="s">
        <v>1176</v>
      </c>
      <c r="F210" s="644" t="s">
        <v>693</v>
      </c>
      <c r="G210" s="559">
        <v>-123.26</v>
      </c>
      <c r="H210" s="644">
        <v>856</v>
      </c>
      <c r="I210" s="644" t="s">
        <v>1056</v>
      </c>
      <c r="J210" s="445"/>
    </row>
    <row r="211" spans="1:11" x14ac:dyDescent="0.2">
      <c r="A211" s="628">
        <f t="shared" si="3"/>
        <v>206</v>
      </c>
      <c r="B211" s="643">
        <v>42460</v>
      </c>
      <c r="C211" s="644">
        <v>454151</v>
      </c>
      <c r="D211" s="644" t="s">
        <v>13</v>
      </c>
      <c r="E211" s="644" t="s">
        <v>1176</v>
      </c>
      <c r="F211" s="644" t="s">
        <v>693</v>
      </c>
      <c r="G211" s="559">
        <v>-131.76</v>
      </c>
      <c r="H211" s="644">
        <v>856</v>
      </c>
      <c r="I211" s="644" t="s">
        <v>1056</v>
      </c>
      <c r="J211" s="445"/>
    </row>
    <row r="212" spans="1:11" x14ac:dyDescent="0.2">
      <c r="A212" s="628">
        <f t="shared" si="3"/>
        <v>207</v>
      </c>
      <c r="B212" s="643">
        <v>42490</v>
      </c>
      <c r="C212" s="644">
        <v>454151</v>
      </c>
      <c r="D212" s="644" t="s">
        <v>771</v>
      </c>
      <c r="E212" s="644" t="s">
        <v>1176</v>
      </c>
      <c r="F212" s="644" t="s">
        <v>693</v>
      </c>
      <c r="G212" s="559">
        <v>-127.51</v>
      </c>
      <c r="H212" s="644">
        <v>856</v>
      </c>
      <c r="I212" s="644" t="s">
        <v>1056</v>
      </c>
      <c r="J212" s="445"/>
    </row>
    <row r="213" spans="1:11" x14ac:dyDescent="0.2">
      <c r="A213" s="628">
        <f t="shared" si="3"/>
        <v>208</v>
      </c>
      <c r="B213" s="643">
        <v>42521</v>
      </c>
      <c r="C213" s="644">
        <v>454151</v>
      </c>
      <c r="D213" s="644" t="s">
        <v>772</v>
      </c>
      <c r="E213" s="644" t="s">
        <v>1176</v>
      </c>
      <c r="F213" s="644" t="s">
        <v>693</v>
      </c>
      <c r="G213" s="559">
        <v>-131.76</v>
      </c>
      <c r="H213" s="644">
        <v>856</v>
      </c>
      <c r="I213" s="644" t="s">
        <v>1056</v>
      </c>
      <c r="J213" s="445"/>
    </row>
    <row r="214" spans="1:11" x14ac:dyDescent="0.2">
      <c r="A214" s="628">
        <f t="shared" si="3"/>
        <v>209</v>
      </c>
      <c r="B214" s="643">
        <v>42551</v>
      </c>
      <c r="C214" s="644">
        <v>454151</v>
      </c>
      <c r="D214" s="644" t="s">
        <v>773</v>
      </c>
      <c r="E214" s="644" t="s">
        <v>1176</v>
      </c>
      <c r="F214" s="644" t="s">
        <v>693</v>
      </c>
      <c r="G214" s="559">
        <v>-127.51</v>
      </c>
      <c r="H214" s="644">
        <v>856</v>
      </c>
      <c r="I214" s="644" t="s">
        <v>1056</v>
      </c>
      <c r="J214" s="445"/>
    </row>
    <row r="215" spans="1:11" x14ac:dyDescent="0.2">
      <c r="A215" s="628">
        <f t="shared" si="3"/>
        <v>210</v>
      </c>
      <c r="B215" s="643">
        <v>42582</v>
      </c>
      <c r="C215" s="644">
        <v>454151</v>
      </c>
      <c r="D215" s="644" t="s">
        <v>14</v>
      </c>
      <c r="E215" s="644" t="s">
        <v>1176</v>
      </c>
      <c r="F215" s="644" t="s">
        <v>693</v>
      </c>
      <c r="G215" s="559">
        <v>-131.76</v>
      </c>
      <c r="H215" s="644">
        <v>856</v>
      </c>
      <c r="I215" s="644" t="s">
        <v>1056</v>
      </c>
      <c r="J215" s="445"/>
    </row>
    <row r="216" spans="1:11" x14ac:dyDescent="0.2">
      <c r="A216" s="628">
        <f t="shared" si="3"/>
        <v>211</v>
      </c>
      <c r="B216" s="643">
        <v>42613</v>
      </c>
      <c r="C216" s="644">
        <v>454151</v>
      </c>
      <c r="D216" s="644" t="s">
        <v>774</v>
      </c>
      <c r="E216" s="644" t="s">
        <v>1176</v>
      </c>
      <c r="F216" s="644" t="s">
        <v>693</v>
      </c>
      <c r="G216" s="559">
        <v>-131.76</v>
      </c>
      <c r="H216" s="644">
        <v>856</v>
      </c>
      <c r="I216" s="644" t="s">
        <v>1056</v>
      </c>
      <c r="J216" s="445"/>
    </row>
    <row r="217" spans="1:11" x14ac:dyDescent="0.2">
      <c r="A217" s="628">
        <f t="shared" si="3"/>
        <v>212</v>
      </c>
      <c r="B217" s="643">
        <v>42643</v>
      </c>
      <c r="C217" s="644">
        <v>454151</v>
      </c>
      <c r="D217" s="644" t="s">
        <v>775</v>
      </c>
      <c r="E217" s="644" t="s">
        <v>1176</v>
      </c>
      <c r="F217" s="644" t="s">
        <v>693</v>
      </c>
      <c r="G217" s="559">
        <v>-127.51</v>
      </c>
      <c r="H217" s="644">
        <v>856</v>
      </c>
      <c r="I217" s="644" t="s">
        <v>1056</v>
      </c>
      <c r="J217" s="445"/>
      <c r="K217" s="445"/>
    </row>
    <row r="218" spans="1:11" x14ac:dyDescent="0.2">
      <c r="A218" s="628">
        <f t="shared" si="3"/>
        <v>213</v>
      </c>
      <c r="B218" s="643">
        <v>42674</v>
      </c>
      <c r="C218" s="644">
        <v>454151</v>
      </c>
      <c r="D218" s="644" t="s">
        <v>776</v>
      </c>
      <c r="E218" s="644" t="s">
        <v>1176</v>
      </c>
      <c r="F218" s="644" t="s">
        <v>693</v>
      </c>
      <c r="G218" s="559">
        <v>-131.76</v>
      </c>
      <c r="H218" s="644">
        <v>856</v>
      </c>
      <c r="I218" s="644" t="s">
        <v>1056</v>
      </c>
      <c r="J218" s="445"/>
    </row>
    <row r="219" spans="1:11" x14ac:dyDescent="0.2">
      <c r="A219" s="628">
        <f t="shared" si="3"/>
        <v>214</v>
      </c>
      <c r="B219" s="643">
        <v>42704</v>
      </c>
      <c r="C219" s="644">
        <v>454151</v>
      </c>
      <c r="D219" s="644" t="s">
        <v>777</v>
      </c>
      <c r="E219" s="644" t="s">
        <v>1176</v>
      </c>
      <c r="F219" s="644" t="s">
        <v>693</v>
      </c>
      <c r="G219" s="559">
        <v>-127.51</v>
      </c>
      <c r="H219" s="644">
        <v>856</v>
      </c>
      <c r="I219" s="644" t="s">
        <v>1056</v>
      </c>
      <c r="J219" s="445"/>
    </row>
    <row r="220" spans="1:11" x14ac:dyDescent="0.2">
      <c r="A220" s="628">
        <f t="shared" si="3"/>
        <v>215</v>
      </c>
      <c r="B220" s="643">
        <v>42735</v>
      </c>
      <c r="C220" s="644">
        <v>454151</v>
      </c>
      <c r="D220" s="644" t="s">
        <v>146</v>
      </c>
      <c r="E220" s="644" t="s">
        <v>1176</v>
      </c>
      <c r="F220" s="644" t="s">
        <v>693</v>
      </c>
      <c r="G220" s="559">
        <v>-131.78</v>
      </c>
      <c r="H220" s="644">
        <v>856</v>
      </c>
      <c r="I220" s="644" t="s">
        <v>1056</v>
      </c>
      <c r="J220" s="445"/>
    </row>
    <row r="221" spans="1:11" x14ac:dyDescent="0.2">
      <c r="A221" s="628">
        <f t="shared" si="3"/>
        <v>216</v>
      </c>
      <c r="B221" s="643">
        <v>42429</v>
      </c>
      <c r="C221" s="644">
        <v>454151</v>
      </c>
      <c r="D221" s="644" t="s">
        <v>770</v>
      </c>
      <c r="E221" s="644" t="s">
        <v>1176</v>
      </c>
      <c r="F221" s="646" t="s">
        <v>693</v>
      </c>
      <c r="G221" s="647">
        <v>0.01</v>
      </c>
      <c r="H221" s="644">
        <v>856</v>
      </c>
      <c r="I221" s="644" t="s">
        <v>1121</v>
      </c>
      <c r="J221" s="445"/>
    </row>
    <row r="222" spans="1:11" x14ac:dyDescent="0.2">
      <c r="A222" s="628">
        <f t="shared" si="3"/>
        <v>217</v>
      </c>
      <c r="B222" s="643">
        <v>42460</v>
      </c>
      <c r="C222" s="644">
        <v>454151</v>
      </c>
      <c r="D222" s="644" t="s">
        <v>13</v>
      </c>
      <c r="E222" s="644" t="s">
        <v>1177</v>
      </c>
      <c r="F222" s="644" t="s">
        <v>693</v>
      </c>
      <c r="G222" s="559">
        <v>74.03</v>
      </c>
      <c r="H222" s="644">
        <v>856</v>
      </c>
      <c r="I222" s="644" t="s">
        <v>1056</v>
      </c>
    </row>
    <row r="223" spans="1:11" x14ac:dyDescent="0.2">
      <c r="A223" s="628">
        <f t="shared" si="3"/>
        <v>218</v>
      </c>
      <c r="B223" s="643">
        <v>42460</v>
      </c>
      <c r="C223" s="644">
        <v>454151</v>
      </c>
      <c r="D223" s="644" t="s">
        <v>13</v>
      </c>
      <c r="E223" s="644" t="s">
        <v>1177</v>
      </c>
      <c r="F223" s="644" t="s">
        <v>693</v>
      </c>
      <c r="G223" s="559">
        <v>73.97</v>
      </c>
      <c r="H223" s="644">
        <v>856</v>
      </c>
      <c r="I223" s="644" t="s">
        <v>1056</v>
      </c>
    </row>
    <row r="224" spans="1:11" x14ac:dyDescent="0.2">
      <c r="A224" s="628">
        <f t="shared" si="3"/>
        <v>219</v>
      </c>
      <c r="B224" s="643">
        <v>42490</v>
      </c>
      <c r="C224" s="644">
        <v>454151</v>
      </c>
      <c r="D224" s="644" t="s">
        <v>771</v>
      </c>
      <c r="E224" s="644" t="s">
        <v>1177</v>
      </c>
      <c r="F224" s="644" t="s">
        <v>693</v>
      </c>
      <c r="G224" s="559">
        <v>142.79</v>
      </c>
      <c r="H224" s="644">
        <v>856</v>
      </c>
      <c r="I224" s="644" t="s">
        <v>1056</v>
      </c>
      <c r="J224" s="526"/>
    </row>
    <row r="225" spans="1:10" x14ac:dyDescent="0.2">
      <c r="A225" s="628">
        <f t="shared" si="3"/>
        <v>220</v>
      </c>
      <c r="B225" s="643">
        <v>42490</v>
      </c>
      <c r="C225" s="644">
        <v>454151</v>
      </c>
      <c r="D225" s="644" t="s">
        <v>771</v>
      </c>
      <c r="E225" s="644" t="s">
        <v>1177</v>
      </c>
      <c r="F225" s="644" t="s">
        <v>693</v>
      </c>
      <c r="G225" s="559">
        <v>142.79</v>
      </c>
      <c r="H225" s="644">
        <v>856</v>
      </c>
      <c r="I225" s="644" t="s">
        <v>1056</v>
      </c>
      <c r="J225" s="526"/>
    </row>
    <row r="226" spans="1:10" x14ac:dyDescent="0.2">
      <c r="A226" s="628">
        <f t="shared" si="3"/>
        <v>221</v>
      </c>
      <c r="B226" s="643">
        <v>42521</v>
      </c>
      <c r="C226" s="644">
        <v>454151</v>
      </c>
      <c r="D226" s="644" t="s">
        <v>772</v>
      </c>
      <c r="E226" s="644" t="s">
        <v>1177</v>
      </c>
      <c r="F226" s="644" t="s">
        <v>693</v>
      </c>
      <c r="G226" s="559">
        <v>142.76</v>
      </c>
      <c r="H226" s="644">
        <v>856</v>
      </c>
      <c r="I226" s="644" t="s">
        <v>1056</v>
      </c>
      <c r="J226" s="526"/>
    </row>
    <row r="227" spans="1:10" x14ac:dyDescent="0.2">
      <c r="A227" s="628">
        <f t="shared" si="3"/>
        <v>222</v>
      </c>
      <c r="B227" s="643">
        <v>42521</v>
      </c>
      <c r="C227" s="644">
        <v>454151</v>
      </c>
      <c r="D227" s="644" t="s">
        <v>772</v>
      </c>
      <c r="E227" s="644" t="s">
        <v>1177</v>
      </c>
      <c r="F227" s="644" t="s">
        <v>693</v>
      </c>
      <c r="G227" s="559">
        <v>142.79</v>
      </c>
      <c r="H227" s="644">
        <v>856</v>
      </c>
      <c r="I227" s="644" t="s">
        <v>1056</v>
      </c>
      <c r="J227" s="526"/>
    </row>
    <row r="228" spans="1:10" x14ac:dyDescent="0.2">
      <c r="A228" s="628">
        <f t="shared" si="3"/>
        <v>223</v>
      </c>
      <c r="B228" s="643">
        <v>42551</v>
      </c>
      <c r="C228" s="644">
        <v>454151</v>
      </c>
      <c r="D228" s="644" t="s">
        <v>773</v>
      </c>
      <c r="E228" s="644" t="s">
        <v>1177</v>
      </c>
      <c r="F228" s="644" t="s">
        <v>693</v>
      </c>
      <c r="G228" s="559">
        <v>142.76</v>
      </c>
      <c r="H228" s="644">
        <v>856</v>
      </c>
      <c r="I228" s="644" t="s">
        <v>1056</v>
      </c>
      <c r="J228" s="526"/>
    </row>
    <row r="229" spans="1:10" x14ac:dyDescent="0.2">
      <c r="A229" s="628">
        <f t="shared" si="3"/>
        <v>224</v>
      </c>
      <c r="B229" s="643">
        <v>42551</v>
      </c>
      <c r="C229" s="644">
        <v>454151</v>
      </c>
      <c r="D229" s="644" t="s">
        <v>773</v>
      </c>
      <c r="E229" s="644" t="s">
        <v>1177</v>
      </c>
      <c r="F229" s="644" t="s">
        <v>693</v>
      </c>
      <c r="G229" s="559">
        <v>142.79</v>
      </c>
      <c r="H229" s="644">
        <v>856</v>
      </c>
      <c r="I229" s="644" t="s">
        <v>1056</v>
      </c>
      <c r="J229" s="526"/>
    </row>
    <row r="230" spans="1:10" x14ac:dyDescent="0.2">
      <c r="A230" s="628">
        <f t="shared" si="3"/>
        <v>225</v>
      </c>
      <c r="B230" s="643">
        <v>42582</v>
      </c>
      <c r="C230" s="644">
        <v>454151</v>
      </c>
      <c r="D230" s="644" t="s">
        <v>14</v>
      </c>
      <c r="E230" s="644" t="s">
        <v>1177</v>
      </c>
      <c r="F230" s="644" t="s">
        <v>693</v>
      </c>
      <c r="G230" s="559">
        <v>142.79</v>
      </c>
      <c r="H230" s="644">
        <v>856</v>
      </c>
      <c r="I230" s="644" t="s">
        <v>1056</v>
      </c>
      <c r="J230" s="526"/>
    </row>
    <row r="231" spans="1:10" x14ac:dyDescent="0.2">
      <c r="A231" s="628">
        <f t="shared" si="3"/>
        <v>226</v>
      </c>
      <c r="B231" s="643">
        <v>42582</v>
      </c>
      <c r="C231" s="644">
        <v>454151</v>
      </c>
      <c r="D231" s="644" t="s">
        <v>14</v>
      </c>
      <c r="E231" s="644" t="s">
        <v>1177</v>
      </c>
      <c r="F231" s="644" t="s">
        <v>693</v>
      </c>
      <c r="G231" s="559">
        <v>142.79</v>
      </c>
      <c r="H231" s="644">
        <v>856</v>
      </c>
      <c r="I231" s="644" t="s">
        <v>1056</v>
      </c>
    </row>
    <row r="232" spans="1:10" x14ac:dyDescent="0.2">
      <c r="A232" s="628">
        <f t="shared" si="3"/>
        <v>227</v>
      </c>
      <c r="B232" s="643">
        <v>42613</v>
      </c>
      <c r="C232" s="644">
        <v>454151</v>
      </c>
      <c r="D232" s="644" t="s">
        <v>774</v>
      </c>
      <c r="E232" s="644" t="s">
        <v>1177</v>
      </c>
      <c r="F232" s="644" t="s">
        <v>693</v>
      </c>
      <c r="G232" s="559">
        <v>142.79</v>
      </c>
      <c r="H232" s="644">
        <v>856</v>
      </c>
      <c r="I232" s="644" t="s">
        <v>1056</v>
      </c>
    </row>
    <row r="233" spans="1:10" x14ac:dyDescent="0.2">
      <c r="A233" s="628">
        <f t="shared" si="3"/>
        <v>228</v>
      </c>
      <c r="B233" s="643">
        <v>42613</v>
      </c>
      <c r="C233" s="644">
        <v>454151</v>
      </c>
      <c r="D233" s="644" t="s">
        <v>774</v>
      </c>
      <c r="E233" s="644" t="s">
        <v>1177</v>
      </c>
      <c r="F233" s="644" t="s">
        <v>693</v>
      </c>
      <c r="G233" s="559">
        <v>142.79</v>
      </c>
      <c r="H233" s="644">
        <v>856</v>
      </c>
      <c r="I233" s="644" t="s">
        <v>1056</v>
      </c>
      <c r="J233" s="527"/>
    </row>
    <row r="234" spans="1:10" x14ac:dyDescent="0.2">
      <c r="A234" s="628">
        <f t="shared" si="3"/>
        <v>229</v>
      </c>
      <c r="B234" s="643">
        <v>42400</v>
      </c>
      <c r="C234" s="644">
        <v>454151</v>
      </c>
      <c r="D234" s="644" t="s">
        <v>768</v>
      </c>
      <c r="E234" s="644" t="s">
        <v>1178</v>
      </c>
      <c r="F234" s="644" t="s">
        <v>693</v>
      </c>
      <c r="G234" s="559">
        <v>-212.9</v>
      </c>
      <c r="H234" s="644">
        <v>856</v>
      </c>
      <c r="I234" s="644" t="s">
        <v>1056</v>
      </c>
      <c r="J234" s="527"/>
    </row>
    <row r="235" spans="1:10" x14ac:dyDescent="0.2">
      <c r="A235" s="628">
        <f t="shared" si="3"/>
        <v>230</v>
      </c>
      <c r="B235" s="643">
        <v>42429</v>
      </c>
      <c r="C235" s="644">
        <v>454151</v>
      </c>
      <c r="D235" s="644" t="s">
        <v>770</v>
      </c>
      <c r="E235" s="644" t="s">
        <v>1178</v>
      </c>
      <c r="F235" s="644" t="s">
        <v>693</v>
      </c>
      <c r="G235" s="559">
        <v>-199.17</v>
      </c>
      <c r="H235" s="644">
        <v>856</v>
      </c>
      <c r="I235" s="644" t="s">
        <v>1056</v>
      </c>
    </row>
    <row r="236" spans="1:10" x14ac:dyDescent="0.2">
      <c r="A236" s="628">
        <f t="shared" si="3"/>
        <v>231</v>
      </c>
      <c r="B236" s="643">
        <v>42460</v>
      </c>
      <c r="C236" s="644">
        <v>454151</v>
      </c>
      <c r="D236" s="644" t="s">
        <v>13</v>
      </c>
      <c r="E236" s="644" t="s">
        <v>1178</v>
      </c>
      <c r="F236" s="644" t="s">
        <v>693</v>
      </c>
      <c r="G236" s="559">
        <v>-212.9</v>
      </c>
      <c r="H236" s="644">
        <v>856</v>
      </c>
      <c r="I236" s="644" t="s">
        <v>1056</v>
      </c>
    </row>
    <row r="237" spans="1:10" x14ac:dyDescent="0.2">
      <c r="A237" s="628">
        <f t="shared" si="3"/>
        <v>232</v>
      </c>
      <c r="B237" s="643">
        <v>42460</v>
      </c>
      <c r="C237" s="644">
        <v>454151</v>
      </c>
      <c r="D237" s="644" t="s">
        <v>13</v>
      </c>
      <c r="E237" s="644" t="s">
        <v>1179</v>
      </c>
      <c r="F237" s="644" t="s">
        <v>917</v>
      </c>
      <c r="G237" s="559">
        <v>-1566.12</v>
      </c>
      <c r="H237" s="644">
        <v>856</v>
      </c>
      <c r="I237" s="644" t="s">
        <v>1056</v>
      </c>
    </row>
    <row r="238" spans="1:10" x14ac:dyDescent="0.2">
      <c r="A238" s="628">
        <f t="shared" si="3"/>
        <v>233</v>
      </c>
      <c r="B238" s="643">
        <v>42490</v>
      </c>
      <c r="C238" s="644">
        <v>454151</v>
      </c>
      <c r="D238" s="644" t="s">
        <v>771</v>
      </c>
      <c r="E238" s="644" t="s">
        <v>1179</v>
      </c>
      <c r="F238" s="644" t="s">
        <v>917</v>
      </c>
      <c r="G238" s="559">
        <v>-516.29999999999995</v>
      </c>
      <c r="H238" s="644">
        <v>856</v>
      </c>
      <c r="I238" s="644" t="s">
        <v>1056</v>
      </c>
    </row>
    <row r="239" spans="1:10" x14ac:dyDescent="0.2">
      <c r="A239" s="628">
        <f t="shared" si="3"/>
        <v>234</v>
      </c>
      <c r="B239" s="643">
        <v>42521</v>
      </c>
      <c r="C239" s="644">
        <v>454151</v>
      </c>
      <c r="D239" s="644" t="s">
        <v>772</v>
      </c>
      <c r="E239" s="644" t="s">
        <v>1179</v>
      </c>
      <c r="F239" s="644" t="s">
        <v>917</v>
      </c>
      <c r="G239" s="559">
        <v>-533.51</v>
      </c>
      <c r="H239" s="644">
        <v>856</v>
      </c>
      <c r="I239" s="644" t="s">
        <v>1056</v>
      </c>
    </row>
    <row r="240" spans="1:10" x14ac:dyDescent="0.2">
      <c r="A240" s="628">
        <f t="shared" si="3"/>
        <v>235</v>
      </c>
      <c r="B240" s="643">
        <v>42551</v>
      </c>
      <c r="C240" s="644">
        <v>454151</v>
      </c>
      <c r="D240" s="644" t="s">
        <v>773</v>
      </c>
      <c r="E240" s="644" t="s">
        <v>1179</v>
      </c>
      <c r="F240" s="644" t="s">
        <v>917</v>
      </c>
      <c r="G240" s="559">
        <v>-516.29999999999995</v>
      </c>
      <c r="H240" s="644">
        <v>856</v>
      </c>
      <c r="I240" s="644" t="s">
        <v>1056</v>
      </c>
    </row>
    <row r="241" spans="1:10" x14ac:dyDescent="0.2">
      <c r="A241" s="628">
        <f t="shared" si="3"/>
        <v>236</v>
      </c>
      <c r="B241" s="643">
        <v>42582</v>
      </c>
      <c r="C241" s="644">
        <v>454151</v>
      </c>
      <c r="D241" s="644" t="s">
        <v>14</v>
      </c>
      <c r="E241" s="644" t="s">
        <v>1179</v>
      </c>
      <c r="F241" s="644" t="s">
        <v>917</v>
      </c>
      <c r="G241" s="559">
        <v>-533.51</v>
      </c>
      <c r="H241" s="644">
        <v>856</v>
      </c>
      <c r="I241" s="644" t="s">
        <v>1056</v>
      </c>
    </row>
    <row r="242" spans="1:10" x14ac:dyDescent="0.2">
      <c r="A242" s="628">
        <f t="shared" si="3"/>
        <v>237</v>
      </c>
      <c r="B242" s="643">
        <v>42613</v>
      </c>
      <c r="C242" s="644">
        <v>454151</v>
      </c>
      <c r="D242" s="644" t="s">
        <v>774</v>
      </c>
      <c r="E242" s="644" t="s">
        <v>1179</v>
      </c>
      <c r="F242" s="644" t="s">
        <v>917</v>
      </c>
      <c r="G242" s="559">
        <v>-533.51</v>
      </c>
      <c r="H242" s="644">
        <v>856</v>
      </c>
      <c r="I242" s="644" t="s">
        <v>1056</v>
      </c>
    </row>
    <row r="243" spans="1:10" x14ac:dyDescent="0.2">
      <c r="A243" s="628">
        <f t="shared" si="3"/>
        <v>238</v>
      </c>
      <c r="B243" s="643">
        <v>42643</v>
      </c>
      <c r="C243" s="644">
        <v>454151</v>
      </c>
      <c r="D243" s="644" t="s">
        <v>775</v>
      </c>
      <c r="E243" s="644" t="s">
        <v>1179</v>
      </c>
      <c r="F243" s="644" t="s">
        <v>917</v>
      </c>
      <c r="G243" s="559">
        <v>-516.29999999999995</v>
      </c>
      <c r="H243" s="644">
        <v>856</v>
      </c>
      <c r="I243" s="644" t="s">
        <v>1056</v>
      </c>
    </row>
    <row r="244" spans="1:10" x14ac:dyDescent="0.2">
      <c r="A244" s="628">
        <f t="shared" si="3"/>
        <v>239</v>
      </c>
      <c r="B244" s="643">
        <v>42674</v>
      </c>
      <c r="C244" s="644">
        <v>454151</v>
      </c>
      <c r="D244" s="644" t="s">
        <v>776</v>
      </c>
      <c r="E244" s="644" t="s">
        <v>1179</v>
      </c>
      <c r="F244" s="644" t="s">
        <v>917</v>
      </c>
      <c r="G244" s="559">
        <v>-533.51</v>
      </c>
      <c r="H244" s="644">
        <v>856</v>
      </c>
      <c r="I244" s="644" t="s">
        <v>1056</v>
      </c>
      <c r="J244" s="526"/>
    </row>
    <row r="245" spans="1:10" x14ac:dyDescent="0.2">
      <c r="A245" s="628">
        <f t="shared" si="3"/>
        <v>240</v>
      </c>
      <c r="B245" s="643">
        <v>42704</v>
      </c>
      <c r="C245" s="644">
        <v>454151</v>
      </c>
      <c r="D245" s="644" t="s">
        <v>777</v>
      </c>
      <c r="E245" s="644" t="s">
        <v>1179</v>
      </c>
      <c r="F245" s="644" t="s">
        <v>917</v>
      </c>
      <c r="G245" s="559">
        <v>-516.29999999999995</v>
      </c>
      <c r="H245" s="644">
        <v>856</v>
      </c>
      <c r="I245" s="644" t="s">
        <v>1056</v>
      </c>
    </row>
    <row r="246" spans="1:10" x14ac:dyDescent="0.2">
      <c r="A246" s="628">
        <f t="shared" si="3"/>
        <v>241</v>
      </c>
      <c r="B246" s="643">
        <v>42735</v>
      </c>
      <c r="C246" s="644">
        <v>454151</v>
      </c>
      <c r="D246" s="644" t="s">
        <v>146</v>
      </c>
      <c r="E246" s="644" t="s">
        <v>1179</v>
      </c>
      <c r="F246" s="644" t="s">
        <v>917</v>
      </c>
      <c r="G246" s="559">
        <v>-533.53</v>
      </c>
      <c r="H246" s="644">
        <v>856</v>
      </c>
      <c r="I246" s="644" t="s">
        <v>1056</v>
      </c>
    </row>
    <row r="247" spans="1:10" x14ac:dyDescent="0.2">
      <c r="A247" s="628">
        <f t="shared" si="3"/>
        <v>242</v>
      </c>
      <c r="B247" s="643">
        <v>42400</v>
      </c>
      <c r="C247" s="644">
        <v>454151</v>
      </c>
      <c r="D247" s="644" t="s">
        <v>768</v>
      </c>
      <c r="E247" s="644" t="s">
        <v>1122</v>
      </c>
      <c r="F247" s="644" t="s">
        <v>641</v>
      </c>
      <c r="G247" s="559">
        <v>-41.666000000000004</v>
      </c>
      <c r="H247" s="644">
        <v>856</v>
      </c>
      <c r="I247" s="644" t="s">
        <v>1056</v>
      </c>
    </row>
    <row r="248" spans="1:10" x14ac:dyDescent="0.2">
      <c r="A248" s="628">
        <f t="shared" si="3"/>
        <v>243</v>
      </c>
      <c r="B248" s="643">
        <v>42429</v>
      </c>
      <c r="C248" s="644">
        <v>454151</v>
      </c>
      <c r="D248" s="644" t="s">
        <v>770</v>
      </c>
      <c r="E248" s="644" t="s">
        <v>1122</v>
      </c>
      <c r="F248" s="644" t="s">
        <v>641</v>
      </c>
      <c r="G248" s="559">
        <v>-41.666000000000004</v>
      </c>
      <c r="H248" s="644">
        <v>856</v>
      </c>
      <c r="I248" s="644" t="s">
        <v>1056</v>
      </c>
    </row>
    <row r="249" spans="1:10" x14ac:dyDescent="0.2">
      <c r="A249" s="628">
        <f t="shared" si="3"/>
        <v>244</v>
      </c>
      <c r="B249" s="643">
        <v>42460</v>
      </c>
      <c r="C249" s="644">
        <v>454151</v>
      </c>
      <c r="D249" s="644" t="s">
        <v>13</v>
      </c>
      <c r="E249" s="644" t="s">
        <v>1122</v>
      </c>
      <c r="F249" s="644" t="s">
        <v>641</v>
      </c>
      <c r="G249" s="559">
        <v>-41.666000000000004</v>
      </c>
      <c r="H249" s="644">
        <v>856</v>
      </c>
      <c r="I249" s="644" t="s">
        <v>1056</v>
      </c>
      <c r="J249" s="528"/>
    </row>
    <row r="250" spans="1:10" x14ac:dyDescent="0.2">
      <c r="A250" s="628">
        <f t="shared" si="3"/>
        <v>245</v>
      </c>
      <c r="B250" s="643">
        <v>42490</v>
      </c>
      <c r="C250" s="644">
        <v>454151</v>
      </c>
      <c r="D250" s="644" t="s">
        <v>771</v>
      </c>
      <c r="E250" s="644" t="s">
        <v>1122</v>
      </c>
      <c r="F250" s="644" t="s">
        <v>641</v>
      </c>
      <c r="G250" s="559">
        <v>-41.666000000000004</v>
      </c>
      <c r="H250" s="644">
        <v>856</v>
      </c>
      <c r="I250" s="644" t="s">
        <v>1056</v>
      </c>
    </row>
    <row r="251" spans="1:10" x14ac:dyDescent="0.2">
      <c r="A251" s="628">
        <f t="shared" si="3"/>
        <v>246</v>
      </c>
      <c r="B251" s="643">
        <v>42521</v>
      </c>
      <c r="C251" s="644">
        <v>454151</v>
      </c>
      <c r="D251" s="644" t="s">
        <v>772</v>
      </c>
      <c r="E251" s="644" t="s">
        <v>1122</v>
      </c>
      <c r="F251" s="644" t="s">
        <v>641</v>
      </c>
      <c r="G251" s="559">
        <v>-41.666000000000004</v>
      </c>
      <c r="H251" s="644">
        <v>856</v>
      </c>
      <c r="I251" s="644" t="s">
        <v>1056</v>
      </c>
    </row>
    <row r="252" spans="1:10" x14ac:dyDescent="0.2">
      <c r="A252" s="628">
        <f t="shared" si="3"/>
        <v>247</v>
      </c>
      <c r="B252" s="643">
        <v>42551</v>
      </c>
      <c r="C252" s="644">
        <v>454151</v>
      </c>
      <c r="D252" s="644" t="s">
        <v>773</v>
      </c>
      <c r="E252" s="644" t="s">
        <v>1122</v>
      </c>
      <c r="F252" s="644" t="s">
        <v>641</v>
      </c>
      <c r="G252" s="559">
        <v>-41.1</v>
      </c>
      <c r="H252" s="644">
        <v>856</v>
      </c>
      <c r="I252" s="644" t="s">
        <v>1056</v>
      </c>
    </row>
    <row r="253" spans="1:10" x14ac:dyDescent="0.2">
      <c r="A253" s="628">
        <f t="shared" si="3"/>
        <v>248</v>
      </c>
      <c r="B253" s="643">
        <v>42582</v>
      </c>
      <c r="C253" s="644">
        <v>454151</v>
      </c>
      <c r="D253" s="644" t="s">
        <v>14</v>
      </c>
      <c r="E253" s="644" t="s">
        <v>1122</v>
      </c>
      <c r="F253" s="644" t="s">
        <v>641</v>
      </c>
      <c r="G253" s="559">
        <v>-42.47</v>
      </c>
      <c r="H253" s="644">
        <v>856</v>
      </c>
      <c r="I253" s="644" t="s">
        <v>1056</v>
      </c>
    </row>
    <row r="254" spans="1:10" x14ac:dyDescent="0.2">
      <c r="A254" s="628">
        <f t="shared" si="3"/>
        <v>249</v>
      </c>
      <c r="B254" s="643">
        <v>42613</v>
      </c>
      <c r="C254" s="644">
        <v>454151</v>
      </c>
      <c r="D254" s="644" t="s">
        <v>774</v>
      </c>
      <c r="E254" s="644" t="s">
        <v>1122</v>
      </c>
      <c r="F254" s="644" t="s">
        <v>641</v>
      </c>
      <c r="G254" s="559">
        <v>-42.47</v>
      </c>
      <c r="H254" s="644">
        <v>856</v>
      </c>
      <c r="I254" s="644" t="s">
        <v>1056</v>
      </c>
    </row>
    <row r="255" spans="1:10" x14ac:dyDescent="0.2">
      <c r="A255" s="628">
        <f t="shared" si="3"/>
        <v>250</v>
      </c>
      <c r="B255" s="643">
        <v>42643</v>
      </c>
      <c r="C255" s="644">
        <v>454151</v>
      </c>
      <c r="D255" s="644" t="s">
        <v>775</v>
      </c>
      <c r="E255" s="644" t="s">
        <v>1122</v>
      </c>
      <c r="F255" s="644" t="s">
        <v>641</v>
      </c>
      <c r="G255" s="559">
        <v>-41.1</v>
      </c>
      <c r="H255" s="644">
        <v>856</v>
      </c>
      <c r="I255" s="644" t="s">
        <v>1056</v>
      </c>
    </row>
    <row r="256" spans="1:10" x14ac:dyDescent="0.2">
      <c r="A256" s="628">
        <f t="shared" si="3"/>
        <v>251</v>
      </c>
      <c r="B256" s="643">
        <v>42674</v>
      </c>
      <c r="C256" s="644">
        <v>454151</v>
      </c>
      <c r="D256" s="644" t="s">
        <v>776</v>
      </c>
      <c r="E256" s="644" t="s">
        <v>1122</v>
      </c>
      <c r="F256" s="644" t="s">
        <v>641</v>
      </c>
      <c r="G256" s="559">
        <v>-42.47</v>
      </c>
      <c r="H256" s="644">
        <v>856</v>
      </c>
      <c r="I256" s="644" t="s">
        <v>1056</v>
      </c>
    </row>
    <row r="257" spans="1:10" x14ac:dyDescent="0.2">
      <c r="A257" s="628">
        <f t="shared" si="3"/>
        <v>252</v>
      </c>
      <c r="B257" s="643">
        <v>42704</v>
      </c>
      <c r="C257" s="644">
        <v>454151</v>
      </c>
      <c r="D257" s="644" t="s">
        <v>777</v>
      </c>
      <c r="E257" s="644" t="s">
        <v>1122</v>
      </c>
      <c r="F257" s="644" t="s">
        <v>641</v>
      </c>
      <c r="G257" s="559">
        <v>-41.1</v>
      </c>
      <c r="H257" s="644">
        <v>856</v>
      </c>
      <c r="I257" s="644" t="s">
        <v>1056</v>
      </c>
    </row>
    <row r="258" spans="1:10" x14ac:dyDescent="0.2">
      <c r="A258" s="628">
        <f t="shared" si="3"/>
        <v>253</v>
      </c>
      <c r="B258" s="643">
        <v>42735</v>
      </c>
      <c r="C258" s="644">
        <v>454151</v>
      </c>
      <c r="D258" s="644" t="s">
        <v>146</v>
      </c>
      <c r="E258" s="644" t="s">
        <v>1122</v>
      </c>
      <c r="F258" s="644" t="s">
        <v>641</v>
      </c>
      <c r="G258" s="559">
        <v>-42.47</v>
      </c>
      <c r="H258" s="644">
        <v>856</v>
      </c>
      <c r="I258" s="644" t="s">
        <v>1056</v>
      </c>
    </row>
    <row r="259" spans="1:10" x14ac:dyDescent="0.2">
      <c r="A259" s="628">
        <f t="shared" si="3"/>
        <v>254</v>
      </c>
      <c r="B259" s="643">
        <v>42582</v>
      </c>
      <c r="C259" s="644">
        <v>454151</v>
      </c>
      <c r="D259" s="644" t="s">
        <v>14</v>
      </c>
      <c r="E259" s="644" t="s">
        <v>1180</v>
      </c>
      <c r="F259" s="644" t="s">
        <v>918</v>
      </c>
      <c r="G259" s="559">
        <v>-100</v>
      </c>
      <c r="H259" s="644">
        <v>856</v>
      </c>
      <c r="I259" s="644" t="s">
        <v>1057</v>
      </c>
    </row>
    <row r="260" spans="1:10" x14ac:dyDescent="0.2">
      <c r="A260" s="628">
        <f t="shared" si="3"/>
        <v>255</v>
      </c>
      <c r="B260" s="645">
        <v>42551</v>
      </c>
      <c r="C260" s="648" t="s">
        <v>1052</v>
      </c>
      <c r="D260" s="648" t="s">
        <v>1001</v>
      </c>
      <c r="E260" s="648" t="s">
        <v>1027</v>
      </c>
      <c r="F260" s="648" t="s">
        <v>918</v>
      </c>
      <c r="G260" s="647">
        <v>-40</v>
      </c>
      <c r="H260" s="648" t="s">
        <v>915</v>
      </c>
      <c r="I260" s="648" t="s">
        <v>1181</v>
      </c>
    </row>
    <row r="261" spans="1:10" x14ac:dyDescent="0.2">
      <c r="A261" s="628">
        <f t="shared" si="3"/>
        <v>256</v>
      </c>
      <c r="B261" s="645">
        <v>42643</v>
      </c>
      <c r="C261" s="648" t="s">
        <v>1052</v>
      </c>
      <c r="D261" s="648" t="s">
        <v>1124</v>
      </c>
      <c r="E261" s="648" t="s">
        <v>1027</v>
      </c>
      <c r="F261" s="648" t="s">
        <v>918</v>
      </c>
      <c r="G261" s="647">
        <v>-40</v>
      </c>
      <c r="H261" s="648" t="s">
        <v>915</v>
      </c>
      <c r="I261" s="648" t="s">
        <v>1182</v>
      </c>
    </row>
    <row r="262" spans="1:10" x14ac:dyDescent="0.2">
      <c r="A262" s="628">
        <f t="shared" si="3"/>
        <v>257</v>
      </c>
      <c r="B262" s="643">
        <v>42400</v>
      </c>
      <c r="C262" s="644">
        <v>454151</v>
      </c>
      <c r="D262" s="644" t="s">
        <v>768</v>
      </c>
      <c r="E262" s="644" t="s">
        <v>1183</v>
      </c>
      <c r="F262" s="644" t="s">
        <v>641</v>
      </c>
      <c r="G262" s="559">
        <v>-54.75</v>
      </c>
      <c r="H262" s="644">
        <v>856</v>
      </c>
      <c r="I262" s="644" t="s">
        <v>1056</v>
      </c>
    </row>
    <row r="263" spans="1:10" x14ac:dyDescent="0.2">
      <c r="A263" s="628">
        <f t="shared" si="3"/>
        <v>258</v>
      </c>
      <c r="B263" s="643">
        <v>42429</v>
      </c>
      <c r="C263" s="644">
        <v>454151</v>
      </c>
      <c r="D263" s="644" t="s">
        <v>770</v>
      </c>
      <c r="E263" s="644" t="s">
        <v>1183</v>
      </c>
      <c r="F263" s="644" t="s">
        <v>641</v>
      </c>
      <c r="G263" s="559">
        <v>-51.21</v>
      </c>
      <c r="H263" s="644">
        <v>856</v>
      </c>
      <c r="I263" s="644" t="s">
        <v>1056</v>
      </c>
    </row>
    <row r="264" spans="1:10" x14ac:dyDescent="0.2">
      <c r="A264" s="628">
        <f t="shared" si="3"/>
        <v>259</v>
      </c>
      <c r="B264" s="643">
        <v>42460</v>
      </c>
      <c r="C264" s="644">
        <v>454151</v>
      </c>
      <c r="D264" s="644" t="s">
        <v>13</v>
      </c>
      <c r="E264" s="644" t="s">
        <v>1183</v>
      </c>
      <c r="F264" s="644" t="s">
        <v>641</v>
      </c>
      <c r="G264" s="559">
        <v>-54.75</v>
      </c>
      <c r="H264" s="644">
        <v>856</v>
      </c>
      <c r="I264" s="644" t="s">
        <v>1056</v>
      </c>
    </row>
    <row r="265" spans="1:10" x14ac:dyDescent="0.2">
      <c r="A265" s="628">
        <f t="shared" si="3"/>
        <v>260</v>
      </c>
      <c r="B265" s="643">
        <v>42490</v>
      </c>
      <c r="C265" s="644">
        <v>454151</v>
      </c>
      <c r="D265" s="644" t="s">
        <v>771</v>
      </c>
      <c r="E265" s="644" t="s">
        <v>1183</v>
      </c>
      <c r="F265" s="644" t="s">
        <v>641</v>
      </c>
      <c r="G265" s="559">
        <v>-52.98</v>
      </c>
      <c r="H265" s="644">
        <v>856</v>
      </c>
      <c r="I265" s="644" t="s">
        <v>1056</v>
      </c>
    </row>
    <row r="266" spans="1:10" x14ac:dyDescent="0.2">
      <c r="A266" s="628">
        <f t="shared" si="3"/>
        <v>261</v>
      </c>
      <c r="B266" s="643">
        <v>42521</v>
      </c>
      <c r="C266" s="644">
        <v>454151</v>
      </c>
      <c r="D266" s="644" t="s">
        <v>772</v>
      </c>
      <c r="E266" s="644" t="s">
        <v>1183</v>
      </c>
      <c r="F266" s="644" t="s">
        <v>641</v>
      </c>
      <c r="G266" s="559">
        <v>-55.21</v>
      </c>
      <c r="H266" s="644">
        <v>856</v>
      </c>
      <c r="I266" s="644" t="s">
        <v>1056</v>
      </c>
    </row>
    <row r="267" spans="1:10" x14ac:dyDescent="0.2">
      <c r="A267" s="628">
        <f t="shared" si="3"/>
        <v>262</v>
      </c>
      <c r="B267" s="643">
        <v>42551</v>
      </c>
      <c r="C267" s="644">
        <v>454151</v>
      </c>
      <c r="D267" s="644" t="s">
        <v>773</v>
      </c>
      <c r="E267" s="644" t="s">
        <v>1183</v>
      </c>
      <c r="F267" s="644" t="s">
        <v>641</v>
      </c>
      <c r="G267" s="559">
        <v>-53.42</v>
      </c>
      <c r="H267" s="644">
        <v>856</v>
      </c>
      <c r="I267" s="644" t="s">
        <v>1056</v>
      </c>
    </row>
    <row r="268" spans="1:10" x14ac:dyDescent="0.2">
      <c r="A268" s="628">
        <f t="shared" si="3"/>
        <v>263</v>
      </c>
      <c r="B268" s="643">
        <v>42582</v>
      </c>
      <c r="C268" s="644">
        <v>454151</v>
      </c>
      <c r="D268" s="644" t="s">
        <v>14</v>
      </c>
      <c r="E268" s="644" t="s">
        <v>1183</v>
      </c>
      <c r="F268" s="644" t="s">
        <v>641</v>
      </c>
      <c r="G268" s="559">
        <v>-55.21</v>
      </c>
      <c r="H268" s="644">
        <v>856</v>
      </c>
      <c r="I268" s="644" t="s">
        <v>1056</v>
      </c>
      <c r="J268" s="528"/>
    </row>
    <row r="269" spans="1:10" x14ac:dyDescent="0.2">
      <c r="A269" s="628">
        <f t="shared" si="3"/>
        <v>264</v>
      </c>
      <c r="B269" s="643">
        <v>42613</v>
      </c>
      <c r="C269" s="644">
        <v>454151</v>
      </c>
      <c r="D269" s="644" t="s">
        <v>774</v>
      </c>
      <c r="E269" s="644" t="s">
        <v>1183</v>
      </c>
      <c r="F269" s="644" t="s">
        <v>641</v>
      </c>
      <c r="G269" s="559">
        <v>-55.21</v>
      </c>
      <c r="H269" s="644">
        <v>856</v>
      </c>
      <c r="I269" s="644" t="s">
        <v>1056</v>
      </c>
      <c r="J269" s="528"/>
    </row>
    <row r="270" spans="1:10" x14ac:dyDescent="0.2">
      <c r="A270" s="628">
        <f t="shared" si="3"/>
        <v>265</v>
      </c>
      <c r="B270" s="643">
        <v>42643</v>
      </c>
      <c r="C270" s="644">
        <v>454151</v>
      </c>
      <c r="D270" s="644" t="s">
        <v>775</v>
      </c>
      <c r="E270" s="644" t="s">
        <v>1183</v>
      </c>
      <c r="F270" s="644" t="s">
        <v>641</v>
      </c>
      <c r="G270" s="559">
        <v>-53.42</v>
      </c>
      <c r="H270" s="644">
        <v>856</v>
      </c>
      <c r="I270" s="644" t="s">
        <v>1056</v>
      </c>
      <c r="J270" s="528"/>
    </row>
    <row r="271" spans="1:10" x14ac:dyDescent="0.2">
      <c r="A271" s="628">
        <f t="shared" si="3"/>
        <v>266</v>
      </c>
      <c r="B271" s="643">
        <v>42674</v>
      </c>
      <c r="C271" s="644">
        <v>454151</v>
      </c>
      <c r="D271" s="644" t="s">
        <v>776</v>
      </c>
      <c r="E271" s="644" t="s">
        <v>1183</v>
      </c>
      <c r="F271" s="644" t="s">
        <v>641</v>
      </c>
      <c r="G271" s="559">
        <v>-55.21</v>
      </c>
      <c r="H271" s="644">
        <v>856</v>
      </c>
      <c r="I271" s="644" t="s">
        <v>1056</v>
      </c>
    </row>
    <row r="272" spans="1:10" x14ac:dyDescent="0.2">
      <c r="A272" s="628">
        <f t="shared" si="3"/>
        <v>267</v>
      </c>
      <c r="B272" s="643">
        <v>42704</v>
      </c>
      <c r="C272" s="644">
        <v>454151</v>
      </c>
      <c r="D272" s="644" t="s">
        <v>777</v>
      </c>
      <c r="E272" s="644" t="s">
        <v>1183</v>
      </c>
      <c r="F272" s="644" t="s">
        <v>641</v>
      </c>
      <c r="G272" s="559">
        <v>-53.42</v>
      </c>
      <c r="H272" s="644">
        <v>856</v>
      </c>
      <c r="I272" s="644" t="s">
        <v>1056</v>
      </c>
      <c r="J272" s="526"/>
    </row>
    <row r="273" spans="1:10" x14ac:dyDescent="0.2">
      <c r="A273" s="628">
        <f t="shared" si="3"/>
        <v>268</v>
      </c>
      <c r="B273" s="643">
        <v>42735</v>
      </c>
      <c r="C273" s="644">
        <v>454151</v>
      </c>
      <c r="D273" s="644" t="s">
        <v>146</v>
      </c>
      <c r="E273" s="644" t="s">
        <v>1183</v>
      </c>
      <c r="F273" s="644" t="s">
        <v>641</v>
      </c>
      <c r="G273" s="559">
        <v>-55.21</v>
      </c>
      <c r="H273" s="644">
        <v>856</v>
      </c>
      <c r="I273" s="644" t="s">
        <v>1056</v>
      </c>
    </row>
    <row r="274" spans="1:10" x14ac:dyDescent="0.2">
      <c r="A274" s="628">
        <f t="shared" si="3"/>
        <v>269</v>
      </c>
      <c r="B274" s="645">
        <v>42400</v>
      </c>
      <c r="C274" s="644" t="s">
        <v>1052</v>
      </c>
      <c r="D274" s="644" t="s">
        <v>768</v>
      </c>
      <c r="E274" s="644" t="s">
        <v>1123</v>
      </c>
      <c r="F274" s="646" t="s">
        <v>693</v>
      </c>
      <c r="G274" s="647">
        <v>-400</v>
      </c>
      <c r="H274" s="644">
        <v>856</v>
      </c>
      <c r="I274" s="644" t="s">
        <v>1056</v>
      </c>
    </row>
    <row r="275" spans="1:10" x14ac:dyDescent="0.2">
      <c r="A275" s="628">
        <f t="shared" si="3"/>
        <v>270</v>
      </c>
      <c r="B275" s="645">
        <v>42429</v>
      </c>
      <c r="C275" s="644" t="s">
        <v>1052</v>
      </c>
      <c r="D275" s="644" t="s">
        <v>770</v>
      </c>
      <c r="E275" s="644" t="s">
        <v>1123</v>
      </c>
      <c r="F275" s="646" t="s">
        <v>693</v>
      </c>
      <c r="G275" s="647">
        <v>-400</v>
      </c>
      <c r="H275" s="644">
        <v>856</v>
      </c>
      <c r="I275" s="644" t="s">
        <v>1056</v>
      </c>
    </row>
    <row r="276" spans="1:10" x14ac:dyDescent="0.2">
      <c r="A276" s="628">
        <f t="shared" si="3"/>
        <v>271</v>
      </c>
      <c r="B276" s="645">
        <v>42460</v>
      </c>
      <c r="C276" s="644" t="s">
        <v>1052</v>
      </c>
      <c r="D276" s="644" t="s">
        <v>13</v>
      </c>
      <c r="E276" s="644" t="s">
        <v>1123</v>
      </c>
      <c r="F276" s="646" t="s">
        <v>693</v>
      </c>
      <c r="G276" s="647">
        <v>-400</v>
      </c>
      <c r="H276" s="644">
        <v>856</v>
      </c>
      <c r="I276" s="644" t="s">
        <v>1056</v>
      </c>
    </row>
    <row r="277" spans="1:10" x14ac:dyDescent="0.2">
      <c r="A277" s="628">
        <f t="shared" si="3"/>
        <v>272</v>
      </c>
      <c r="B277" s="645">
        <v>42490</v>
      </c>
      <c r="C277" s="644" t="s">
        <v>1052</v>
      </c>
      <c r="D277" s="644" t="s">
        <v>771</v>
      </c>
      <c r="E277" s="644" t="s">
        <v>1123</v>
      </c>
      <c r="F277" s="646" t="s">
        <v>693</v>
      </c>
      <c r="G277" s="647">
        <v>-400</v>
      </c>
      <c r="H277" s="644">
        <v>856</v>
      </c>
      <c r="I277" s="644" t="s">
        <v>1056</v>
      </c>
      <c r="J277" s="445"/>
    </row>
    <row r="278" spans="1:10" x14ac:dyDescent="0.2">
      <c r="A278" s="628">
        <f t="shared" si="3"/>
        <v>273</v>
      </c>
      <c r="B278" s="645">
        <v>42521</v>
      </c>
      <c r="C278" s="644" t="s">
        <v>1052</v>
      </c>
      <c r="D278" s="644" t="s">
        <v>772</v>
      </c>
      <c r="E278" s="644" t="s">
        <v>1123</v>
      </c>
      <c r="F278" s="646" t="s">
        <v>693</v>
      </c>
      <c r="G278" s="647">
        <v>-400</v>
      </c>
      <c r="H278" s="644">
        <v>856</v>
      </c>
      <c r="I278" s="644" t="s">
        <v>1056</v>
      </c>
    </row>
    <row r="279" spans="1:10" x14ac:dyDescent="0.2">
      <c r="A279" s="628">
        <f t="shared" ref="A279:A342" si="4">A278+1</f>
        <v>274</v>
      </c>
      <c r="B279" s="645">
        <v>42551</v>
      </c>
      <c r="C279" s="644" t="s">
        <v>1052</v>
      </c>
      <c r="D279" s="644" t="s">
        <v>773</v>
      </c>
      <c r="E279" s="644" t="s">
        <v>1123</v>
      </c>
      <c r="F279" s="646" t="s">
        <v>693</v>
      </c>
      <c r="G279" s="647">
        <v>-400</v>
      </c>
      <c r="H279" s="644">
        <v>856</v>
      </c>
      <c r="I279" s="644" t="s">
        <v>1056</v>
      </c>
    </row>
    <row r="280" spans="1:10" x14ac:dyDescent="0.2">
      <c r="A280" s="628">
        <f t="shared" si="4"/>
        <v>275</v>
      </c>
      <c r="B280" s="645">
        <v>42582</v>
      </c>
      <c r="C280" s="644" t="s">
        <v>1052</v>
      </c>
      <c r="D280" s="644" t="s">
        <v>14</v>
      </c>
      <c r="E280" s="644" t="s">
        <v>1123</v>
      </c>
      <c r="F280" s="646" t="s">
        <v>693</v>
      </c>
      <c r="G280" s="647">
        <v>-400</v>
      </c>
      <c r="H280" s="644">
        <v>856</v>
      </c>
      <c r="I280" s="644" t="s">
        <v>1056</v>
      </c>
    </row>
    <row r="281" spans="1:10" x14ac:dyDescent="0.2">
      <c r="A281" s="628">
        <f t="shared" si="4"/>
        <v>276</v>
      </c>
      <c r="B281" s="645">
        <v>42613</v>
      </c>
      <c r="C281" s="644" t="s">
        <v>1052</v>
      </c>
      <c r="D281" s="644" t="s">
        <v>774</v>
      </c>
      <c r="E281" s="644" t="s">
        <v>1123</v>
      </c>
      <c r="F281" s="646" t="s">
        <v>693</v>
      </c>
      <c r="G281" s="647">
        <v>-400</v>
      </c>
      <c r="H281" s="644">
        <v>856</v>
      </c>
      <c r="I281" s="644" t="s">
        <v>1056</v>
      </c>
    </row>
    <row r="282" spans="1:10" x14ac:dyDescent="0.2">
      <c r="A282" s="628">
        <f t="shared" si="4"/>
        <v>277</v>
      </c>
      <c r="B282" s="645">
        <v>42643</v>
      </c>
      <c r="C282" s="644" t="s">
        <v>1052</v>
      </c>
      <c r="D282" s="644" t="s">
        <v>775</v>
      </c>
      <c r="E282" s="644" t="s">
        <v>1123</v>
      </c>
      <c r="F282" s="646" t="s">
        <v>693</v>
      </c>
      <c r="G282" s="647">
        <v>-400</v>
      </c>
      <c r="H282" s="644">
        <v>856</v>
      </c>
      <c r="I282" s="644" t="s">
        <v>1056</v>
      </c>
    </row>
    <row r="283" spans="1:10" x14ac:dyDescent="0.2">
      <c r="A283" s="628">
        <f t="shared" si="4"/>
        <v>278</v>
      </c>
      <c r="B283" s="645">
        <v>42674</v>
      </c>
      <c r="C283" s="644" t="s">
        <v>1052</v>
      </c>
      <c r="D283" s="644" t="s">
        <v>776</v>
      </c>
      <c r="E283" s="644" t="s">
        <v>1123</v>
      </c>
      <c r="F283" s="646" t="s">
        <v>693</v>
      </c>
      <c r="G283" s="647">
        <v>-400</v>
      </c>
      <c r="H283" s="644">
        <v>856</v>
      </c>
      <c r="I283" s="644" t="s">
        <v>1056</v>
      </c>
    </row>
    <row r="284" spans="1:10" x14ac:dyDescent="0.2">
      <c r="A284" s="628">
        <f t="shared" si="4"/>
        <v>279</v>
      </c>
      <c r="B284" s="645">
        <v>42704</v>
      </c>
      <c r="C284" s="644" t="s">
        <v>1052</v>
      </c>
      <c r="D284" s="644" t="s">
        <v>777</v>
      </c>
      <c r="E284" s="644" t="s">
        <v>1123</v>
      </c>
      <c r="F284" s="646" t="s">
        <v>693</v>
      </c>
      <c r="G284" s="647">
        <v>-400</v>
      </c>
      <c r="H284" s="644">
        <v>856</v>
      </c>
      <c r="I284" s="644" t="s">
        <v>1056</v>
      </c>
    </row>
    <row r="285" spans="1:10" x14ac:dyDescent="0.2">
      <c r="A285" s="628">
        <f t="shared" si="4"/>
        <v>280</v>
      </c>
      <c r="B285" s="645">
        <v>42735</v>
      </c>
      <c r="C285" s="644" t="s">
        <v>1052</v>
      </c>
      <c r="D285" s="644" t="s">
        <v>146</v>
      </c>
      <c r="E285" s="644" t="s">
        <v>1123</v>
      </c>
      <c r="F285" s="646" t="s">
        <v>693</v>
      </c>
      <c r="G285" s="647">
        <v>-400</v>
      </c>
      <c r="H285" s="644">
        <v>856</v>
      </c>
      <c r="I285" s="644" t="s">
        <v>1056</v>
      </c>
    </row>
    <row r="286" spans="1:10" x14ac:dyDescent="0.2">
      <c r="A286" s="628">
        <f t="shared" si="4"/>
        <v>281</v>
      </c>
      <c r="B286" s="643">
        <v>42400</v>
      </c>
      <c r="C286" s="644">
        <v>454151</v>
      </c>
      <c r="D286" s="644" t="s">
        <v>768</v>
      </c>
      <c r="E286" s="644" t="s">
        <v>1184</v>
      </c>
      <c r="F286" s="644" t="s">
        <v>918</v>
      </c>
      <c r="G286" s="559">
        <v>-8.4700000000000006</v>
      </c>
      <c r="H286" s="644">
        <v>856</v>
      </c>
      <c r="I286" s="644" t="s">
        <v>1056</v>
      </c>
    </row>
    <row r="287" spans="1:10" x14ac:dyDescent="0.2">
      <c r="A287" s="628">
        <f t="shared" si="4"/>
        <v>282</v>
      </c>
      <c r="B287" s="643">
        <v>42429</v>
      </c>
      <c r="C287" s="644">
        <v>454151</v>
      </c>
      <c r="D287" s="644" t="s">
        <v>770</v>
      </c>
      <c r="E287" s="644" t="s">
        <v>1184</v>
      </c>
      <c r="F287" s="644" t="s">
        <v>918</v>
      </c>
      <c r="G287" s="559">
        <v>-7.92</v>
      </c>
      <c r="H287" s="644">
        <v>856</v>
      </c>
      <c r="I287" s="644" t="s">
        <v>1056</v>
      </c>
    </row>
    <row r="288" spans="1:10" x14ac:dyDescent="0.2">
      <c r="A288" s="628">
        <f t="shared" si="4"/>
        <v>283</v>
      </c>
      <c r="B288" s="643">
        <v>42460</v>
      </c>
      <c r="C288" s="644">
        <v>454151</v>
      </c>
      <c r="D288" s="644" t="s">
        <v>13</v>
      </c>
      <c r="E288" s="644" t="s">
        <v>1184</v>
      </c>
      <c r="F288" s="644" t="s">
        <v>918</v>
      </c>
      <c r="G288" s="559">
        <v>-8.4700000000000006</v>
      </c>
      <c r="H288" s="644">
        <v>856</v>
      </c>
      <c r="I288" s="644" t="s">
        <v>1056</v>
      </c>
    </row>
    <row r="289" spans="1:9" x14ac:dyDescent="0.2">
      <c r="A289" s="628">
        <f t="shared" si="4"/>
        <v>284</v>
      </c>
      <c r="B289" s="643">
        <v>42490</v>
      </c>
      <c r="C289" s="644">
        <v>454151</v>
      </c>
      <c r="D289" s="644" t="s">
        <v>771</v>
      </c>
      <c r="E289" s="644" t="s">
        <v>1184</v>
      </c>
      <c r="F289" s="644" t="s">
        <v>918</v>
      </c>
      <c r="G289" s="559">
        <v>-8.1999999999999993</v>
      </c>
      <c r="H289" s="644">
        <v>856</v>
      </c>
      <c r="I289" s="644" t="s">
        <v>1056</v>
      </c>
    </row>
    <row r="290" spans="1:9" x14ac:dyDescent="0.2">
      <c r="A290" s="628">
        <f t="shared" si="4"/>
        <v>285</v>
      </c>
      <c r="B290" s="643">
        <v>42521</v>
      </c>
      <c r="C290" s="644">
        <v>454151</v>
      </c>
      <c r="D290" s="644" t="s">
        <v>772</v>
      </c>
      <c r="E290" s="644" t="s">
        <v>1184</v>
      </c>
      <c r="F290" s="644" t="s">
        <v>918</v>
      </c>
      <c r="G290" s="559">
        <v>-8.4700000000000006</v>
      </c>
      <c r="H290" s="644">
        <v>856</v>
      </c>
      <c r="I290" s="644" t="s">
        <v>1056</v>
      </c>
    </row>
    <row r="291" spans="1:9" x14ac:dyDescent="0.2">
      <c r="A291" s="628">
        <f t="shared" si="4"/>
        <v>286</v>
      </c>
      <c r="B291" s="643">
        <v>42551</v>
      </c>
      <c r="C291" s="644">
        <v>454151</v>
      </c>
      <c r="D291" s="644" t="s">
        <v>773</v>
      </c>
      <c r="E291" s="644" t="s">
        <v>1184</v>
      </c>
      <c r="F291" s="644" t="s">
        <v>918</v>
      </c>
      <c r="G291" s="559">
        <v>-8.1999999999999993</v>
      </c>
      <c r="H291" s="644">
        <v>856</v>
      </c>
      <c r="I291" s="644" t="s">
        <v>1056</v>
      </c>
    </row>
    <row r="292" spans="1:9" x14ac:dyDescent="0.2">
      <c r="A292" s="628">
        <f t="shared" si="4"/>
        <v>287</v>
      </c>
      <c r="B292" s="643">
        <v>42582</v>
      </c>
      <c r="C292" s="644">
        <v>454151</v>
      </c>
      <c r="D292" s="644" t="s">
        <v>14</v>
      </c>
      <c r="E292" s="644" t="s">
        <v>1184</v>
      </c>
      <c r="F292" s="644" t="s">
        <v>918</v>
      </c>
      <c r="G292" s="559">
        <v>-8.4700000000000006</v>
      </c>
      <c r="H292" s="644">
        <v>856</v>
      </c>
      <c r="I292" s="644" t="s">
        <v>1056</v>
      </c>
    </row>
    <row r="293" spans="1:9" x14ac:dyDescent="0.2">
      <c r="A293" s="628">
        <f t="shared" si="4"/>
        <v>288</v>
      </c>
      <c r="B293" s="643">
        <v>42613</v>
      </c>
      <c r="C293" s="644">
        <v>454151</v>
      </c>
      <c r="D293" s="644" t="s">
        <v>774</v>
      </c>
      <c r="E293" s="644" t="s">
        <v>1184</v>
      </c>
      <c r="F293" s="644" t="s">
        <v>918</v>
      </c>
      <c r="G293" s="559">
        <v>-8.4700000000000006</v>
      </c>
      <c r="H293" s="644">
        <v>856</v>
      </c>
      <c r="I293" s="644" t="s">
        <v>1056</v>
      </c>
    </row>
    <row r="294" spans="1:9" x14ac:dyDescent="0.2">
      <c r="A294" s="628">
        <f t="shared" si="4"/>
        <v>289</v>
      </c>
      <c r="B294" s="643">
        <v>42643</v>
      </c>
      <c r="C294" s="644">
        <v>454151</v>
      </c>
      <c r="D294" s="644" t="s">
        <v>775</v>
      </c>
      <c r="E294" s="644" t="s">
        <v>1184</v>
      </c>
      <c r="F294" s="644" t="s">
        <v>918</v>
      </c>
      <c r="G294" s="559">
        <v>-8.1999999999999993</v>
      </c>
      <c r="H294" s="644">
        <v>856</v>
      </c>
      <c r="I294" s="644" t="s">
        <v>1056</v>
      </c>
    </row>
    <row r="295" spans="1:9" x14ac:dyDescent="0.2">
      <c r="A295" s="628">
        <f t="shared" si="4"/>
        <v>290</v>
      </c>
      <c r="B295" s="643">
        <v>42674</v>
      </c>
      <c r="C295" s="644">
        <v>454151</v>
      </c>
      <c r="D295" s="644" t="s">
        <v>776</v>
      </c>
      <c r="E295" s="644" t="s">
        <v>1184</v>
      </c>
      <c r="F295" s="644" t="s">
        <v>918</v>
      </c>
      <c r="G295" s="559">
        <v>-8.4700000000000006</v>
      </c>
      <c r="H295" s="644">
        <v>856</v>
      </c>
      <c r="I295" s="644" t="s">
        <v>1056</v>
      </c>
    </row>
    <row r="296" spans="1:9" x14ac:dyDescent="0.2">
      <c r="A296" s="628">
        <f t="shared" si="4"/>
        <v>291</v>
      </c>
      <c r="B296" s="643">
        <v>42704</v>
      </c>
      <c r="C296" s="644">
        <v>454151</v>
      </c>
      <c r="D296" s="644" t="s">
        <v>777</v>
      </c>
      <c r="E296" s="644" t="s">
        <v>1184</v>
      </c>
      <c r="F296" s="644" t="s">
        <v>918</v>
      </c>
      <c r="G296" s="559">
        <v>-8.1999999999999993</v>
      </c>
      <c r="H296" s="644">
        <v>856</v>
      </c>
      <c r="I296" s="644" t="s">
        <v>1056</v>
      </c>
    </row>
    <row r="297" spans="1:9" x14ac:dyDescent="0.2">
      <c r="A297" s="628">
        <f t="shared" si="4"/>
        <v>292</v>
      </c>
      <c r="B297" s="643">
        <v>42735</v>
      </c>
      <c r="C297" s="644">
        <v>454151</v>
      </c>
      <c r="D297" s="644" t="s">
        <v>146</v>
      </c>
      <c r="E297" s="644" t="s">
        <v>1184</v>
      </c>
      <c r="F297" s="644" t="s">
        <v>918</v>
      </c>
      <c r="G297" s="559">
        <v>-8.4600000000000009</v>
      </c>
      <c r="H297" s="644">
        <v>856</v>
      </c>
      <c r="I297" s="644" t="s">
        <v>1056</v>
      </c>
    </row>
    <row r="298" spans="1:9" x14ac:dyDescent="0.2">
      <c r="A298" s="628">
        <f t="shared" si="4"/>
        <v>293</v>
      </c>
      <c r="B298" s="643">
        <v>42400</v>
      </c>
      <c r="C298" s="644">
        <v>454151</v>
      </c>
      <c r="D298" s="644" t="s">
        <v>768</v>
      </c>
      <c r="E298" s="644" t="s">
        <v>1185</v>
      </c>
      <c r="F298" s="644" t="s">
        <v>693</v>
      </c>
      <c r="G298" s="559">
        <v>-722.80818181818188</v>
      </c>
      <c r="H298" s="644">
        <v>856</v>
      </c>
      <c r="I298" s="644" t="s">
        <v>1056</v>
      </c>
    </row>
    <row r="299" spans="1:9" x14ac:dyDescent="0.2">
      <c r="A299" s="628">
        <f t="shared" si="4"/>
        <v>294</v>
      </c>
      <c r="B299" s="643">
        <v>42429</v>
      </c>
      <c r="C299" s="644">
        <v>454151</v>
      </c>
      <c r="D299" s="644" t="s">
        <v>770</v>
      </c>
      <c r="E299" s="644" t="s">
        <v>1185</v>
      </c>
      <c r="F299" s="644" t="s">
        <v>693</v>
      </c>
      <c r="G299" s="559">
        <v>-722.80818181818188</v>
      </c>
      <c r="H299" s="644">
        <v>856</v>
      </c>
      <c r="I299" s="644" t="s">
        <v>1056</v>
      </c>
    </row>
    <row r="300" spans="1:9" x14ac:dyDescent="0.2">
      <c r="A300" s="628">
        <f t="shared" si="4"/>
        <v>295</v>
      </c>
      <c r="B300" s="643">
        <v>42460</v>
      </c>
      <c r="C300" s="644">
        <v>454151</v>
      </c>
      <c r="D300" s="644" t="s">
        <v>13</v>
      </c>
      <c r="E300" s="644" t="s">
        <v>1185</v>
      </c>
      <c r="F300" s="644" t="s">
        <v>693</v>
      </c>
      <c r="G300" s="559">
        <v>-722.80818181818188</v>
      </c>
      <c r="H300" s="644">
        <v>856</v>
      </c>
      <c r="I300" s="644" t="s">
        <v>1056</v>
      </c>
    </row>
    <row r="301" spans="1:9" x14ac:dyDescent="0.2">
      <c r="A301" s="628">
        <f t="shared" si="4"/>
        <v>296</v>
      </c>
      <c r="B301" s="643">
        <v>42490</v>
      </c>
      <c r="C301" s="644">
        <v>454151</v>
      </c>
      <c r="D301" s="644" t="s">
        <v>771</v>
      </c>
      <c r="E301" s="644" t="s">
        <v>1185</v>
      </c>
      <c r="F301" s="644" t="s">
        <v>693</v>
      </c>
      <c r="G301" s="559">
        <v>-722.80818181818188</v>
      </c>
      <c r="H301" s="644">
        <v>856</v>
      </c>
      <c r="I301" s="644" t="s">
        <v>1056</v>
      </c>
    </row>
    <row r="302" spans="1:9" x14ac:dyDescent="0.2">
      <c r="A302" s="628">
        <f t="shared" si="4"/>
        <v>297</v>
      </c>
      <c r="B302" s="643">
        <v>42521</v>
      </c>
      <c r="C302" s="644">
        <v>454151</v>
      </c>
      <c r="D302" s="644" t="s">
        <v>772</v>
      </c>
      <c r="E302" s="644" t="s">
        <v>1185</v>
      </c>
      <c r="F302" s="644" t="s">
        <v>693</v>
      </c>
      <c r="G302" s="559">
        <v>-722.80818181818188</v>
      </c>
      <c r="H302" s="644">
        <v>856</v>
      </c>
      <c r="I302" s="644" t="s">
        <v>1056</v>
      </c>
    </row>
    <row r="303" spans="1:9" x14ac:dyDescent="0.2">
      <c r="A303" s="628">
        <f t="shared" si="4"/>
        <v>298</v>
      </c>
      <c r="B303" s="643">
        <v>42551</v>
      </c>
      <c r="C303" s="644">
        <v>454151</v>
      </c>
      <c r="D303" s="644" t="s">
        <v>773</v>
      </c>
      <c r="E303" s="644" t="s">
        <v>1185</v>
      </c>
      <c r="F303" s="644" t="s">
        <v>693</v>
      </c>
      <c r="G303" s="559">
        <v>-722.80818181818188</v>
      </c>
      <c r="H303" s="644">
        <v>856</v>
      </c>
      <c r="I303" s="644" t="s">
        <v>1056</v>
      </c>
    </row>
    <row r="304" spans="1:9" x14ac:dyDescent="0.2">
      <c r="A304" s="628">
        <f t="shared" si="4"/>
        <v>299</v>
      </c>
      <c r="B304" s="643">
        <v>42582</v>
      </c>
      <c r="C304" s="644">
        <v>454151</v>
      </c>
      <c r="D304" s="644" t="s">
        <v>14</v>
      </c>
      <c r="E304" s="644" t="s">
        <v>1185</v>
      </c>
      <c r="F304" s="644" t="s">
        <v>693</v>
      </c>
      <c r="G304" s="559">
        <v>-722.80818181818188</v>
      </c>
      <c r="H304" s="644">
        <v>856</v>
      </c>
      <c r="I304" s="644" t="s">
        <v>1056</v>
      </c>
    </row>
    <row r="305" spans="1:9" x14ac:dyDescent="0.2">
      <c r="A305" s="628">
        <f t="shared" si="4"/>
        <v>300</v>
      </c>
      <c r="B305" s="643">
        <v>42613</v>
      </c>
      <c r="C305" s="644">
        <v>454151</v>
      </c>
      <c r="D305" s="644" t="s">
        <v>774</v>
      </c>
      <c r="E305" s="644" t="s">
        <v>1185</v>
      </c>
      <c r="F305" s="644" t="s">
        <v>693</v>
      </c>
      <c r="G305" s="559">
        <v>-722.80818181818188</v>
      </c>
      <c r="H305" s="644">
        <v>856</v>
      </c>
      <c r="I305" s="644" t="s">
        <v>1056</v>
      </c>
    </row>
    <row r="306" spans="1:9" x14ac:dyDescent="0.2">
      <c r="A306" s="628">
        <f t="shared" si="4"/>
        <v>301</v>
      </c>
      <c r="B306" s="643">
        <v>42643</v>
      </c>
      <c r="C306" s="644">
        <v>454151</v>
      </c>
      <c r="D306" s="644" t="s">
        <v>775</v>
      </c>
      <c r="E306" s="644" t="s">
        <v>1185</v>
      </c>
      <c r="F306" s="644" t="s">
        <v>693</v>
      </c>
      <c r="G306" s="559">
        <v>-722.80818181818188</v>
      </c>
      <c r="H306" s="644">
        <v>856</v>
      </c>
      <c r="I306" s="644" t="s">
        <v>1056</v>
      </c>
    </row>
    <row r="307" spans="1:9" x14ac:dyDescent="0.2">
      <c r="A307" s="628">
        <f t="shared" si="4"/>
        <v>302</v>
      </c>
      <c r="B307" s="643">
        <v>42674</v>
      </c>
      <c r="C307" s="644">
        <v>454151</v>
      </c>
      <c r="D307" s="644" t="s">
        <v>776</v>
      </c>
      <c r="E307" s="644" t="s">
        <v>1185</v>
      </c>
      <c r="F307" s="644" t="s">
        <v>693</v>
      </c>
      <c r="G307" s="559">
        <v>-722.80818181818188</v>
      </c>
      <c r="H307" s="644">
        <v>856</v>
      </c>
      <c r="I307" s="644" t="s">
        <v>1056</v>
      </c>
    </row>
    <row r="308" spans="1:9" x14ac:dyDescent="0.2">
      <c r="A308" s="628">
        <f t="shared" si="4"/>
        <v>303</v>
      </c>
      <c r="B308" s="643">
        <v>42704</v>
      </c>
      <c r="C308" s="644">
        <v>454151</v>
      </c>
      <c r="D308" s="644" t="s">
        <v>777</v>
      </c>
      <c r="E308" s="644" t="s">
        <v>1185</v>
      </c>
      <c r="F308" s="644" t="s">
        <v>693</v>
      </c>
      <c r="G308" s="559">
        <v>-722.80818181818188</v>
      </c>
      <c r="H308" s="644">
        <v>856</v>
      </c>
      <c r="I308" s="644" t="s">
        <v>1056</v>
      </c>
    </row>
    <row r="309" spans="1:9" x14ac:dyDescent="0.2">
      <c r="A309" s="628">
        <f t="shared" si="4"/>
        <v>304</v>
      </c>
      <c r="B309" s="643">
        <v>42735</v>
      </c>
      <c r="C309" s="644">
        <v>454151</v>
      </c>
      <c r="D309" s="644">
        <v>120157</v>
      </c>
      <c r="E309" s="644" t="s">
        <v>1014</v>
      </c>
      <c r="F309" s="644" t="s">
        <v>693</v>
      </c>
      <c r="G309" s="559">
        <v>-10000</v>
      </c>
      <c r="H309" s="644">
        <v>856</v>
      </c>
      <c r="I309" s="644" t="s">
        <v>1057</v>
      </c>
    </row>
    <row r="310" spans="1:9" x14ac:dyDescent="0.2">
      <c r="A310" s="628">
        <f t="shared" si="4"/>
        <v>305</v>
      </c>
      <c r="B310" s="645">
        <v>42735</v>
      </c>
      <c r="C310" s="648" t="s">
        <v>1155</v>
      </c>
      <c r="D310" s="648" t="s">
        <v>146</v>
      </c>
      <c r="E310" s="648" t="s">
        <v>1014</v>
      </c>
      <c r="F310" s="648" t="s">
        <v>693</v>
      </c>
      <c r="G310" s="647">
        <v>-1739.75</v>
      </c>
      <c r="H310" s="648">
        <v>856</v>
      </c>
      <c r="I310" s="644" t="s">
        <v>1057</v>
      </c>
    </row>
    <row r="311" spans="1:9" x14ac:dyDescent="0.2">
      <c r="A311" s="628">
        <f t="shared" si="4"/>
        <v>306</v>
      </c>
      <c r="B311" s="643">
        <v>42521</v>
      </c>
      <c r="C311" s="644" t="s">
        <v>1155</v>
      </c>
      <c r="D311" s="644" t="s">
        <v>772</v>
      </c>
      <c r="E311" s="644" t="s">
        <v>1024</v>
      </c>
      <c r="F311" s="644" t="s">
        <v>918</v>
      </c>
      <c r="G311" s="559">
        <v>-100</v>
      </c>
      <c r="H311" s="644">
        <v>856</v>
      </c>
      <c r="I311" s="644" t="s">
        <v>1057</v>
      </c>
    </row>
    <row r="312" spans="1:9" x14ac:dyDescent="0.2">
      <c r="A312" s="628">
        <f t="shared" si="4"/>
        <v>307</v>
      </c>
      <c r="B312" s="645">
        <v>42551</v>
      </c>
      <c r="C312" s="644" t="s">
        <v>1052</v>
      </c>
      <c r="D312" s="644" t="s">
        <v>773</v>
      </c>
      <c r="E312" s="644" t="s">
        <v>1186</v>
      </c>
      <c r="F312" s="646" t="s">
        <v>693</v>
      </c>
      <c r="G312" s="647">
        <v>-2</v>
      </c>
      <c r="H312" s="644">
        <v>856</v>
      </c>
      <c r="I312" s="644" t="s">
        <v>1121</v>
      </c>
    </row>
    <row r="313" spans="1:9" x14ac:dyDescent="0.2">
      <c r="A313" s="628">
        <f t="shared" si="4"/>
        <v>308</v>
      </c>
      <c r="B313" s="645">
        <v>42735</v>
      </c>
      <c r="C313" s="644" t="s">
        <v>1052</v>
      </c>
      <c r="D313" s="644" t="s">
        <v>146</v>
      </c>
      <c r="E313" s="644" t="s">
        <v>1186</v>
      </c>
      <c r="F313" s="646" t="s">
        <v>693</v>
      </c>
      <c r="G313" s="647">
        <v>557.69000000000005</v>
      </c>
      <c r="H313" s="644">
        <v>856</v>
      </c>
      <c r="I313" s="644" t="s">
        <v>1121</v>
      </c>
    </row>
    <row r="314" spans="1:9" x14ac:dyDescent="0.2">
      <c r="A314" s="628">
        <f t="shared" si="4"/>
        <v>309</v>
      </c>
      <c r="B314" s="645">
        <v>42400</v>
      </c>
      <c r="C314" s="648" t="s">
        <v>1052</v>
      </c>
      <c r="D314" s="648" t="s">
        <v>692</v>
      </c>
      <c r="E314" s="648" t="s">
        <v>1187</v>
      </c>
      <c r="F314" s="648" t="s">
        <v>918</v>
      </c>
      <c r="G314" s="647">
        <v>-40</v>
      </c>
      <c r="H314" s="648" t="s">
        <v>915</v>
      </c>
      <c r="I314" s="648" t="s">
        <v>1188</v>
      </c>
    </row>
    <row r="315" spans="1:9" x14ac:dyDescent="0.2">
      <c r="A315" s="628">
        <f t="shared" si="4"/>
        <v>310</v>
      </c>
      <c r="B315" s="645">
        <v>42400</v>
      </c>
      <c r="C315" s="648" t="s">
        <v>1052</v>
      </c>
      <c r="D315" s="648" t="s">
        <v>692</v>
      </c>
      <c r="E315" s="648" t="s">
        <v>1187</v>
      </c>
      <c r="F315" s="648" t="s">
        <v>918</v>
      </c>
      <c r="G315" s="647">
        <v>-511.9</v>
      </c>
      <c r="H315" s="648" t="s">
        <v>1055</v>
      </c>
      <c r="I315" s="648" t="s">
        <v>1188</v>
      </c>
    </row>
    <row r="316" spans="1:9" x14ac:dyDescent="0.2">
      <c r="A316" s="628">
        <f t="shared" si="4"/>
        <v>311</v>
      </c>
      <c r="B316" s="645">
        <v>42400</v>
      </c>
      <c r="C316" s="648" t="s">
        <v>1052</v>
      </c>
      <c r="D316" s="648" t="s">
        <v>692</v>
      </c>
      <c r="E316" s="648" t="s">
        <v>1187</v>
      </c>
      <c r="F316" s="648" t="s">
        <v>918</v>
      </c>
      <c r="G316" s="647">
        <v>-40</v>
      </c>
      <c r="H316" s="648" t="s">
        <v>769</v>
      </c>
      <c r="I316" s="648" t="s">
        <v>1188</v>
      </c>
    </row>
    <row r="317" spans="1:9" x14ac:dyDescent="0.2">
      <c r="A317" s="628">
        <f t="shared" si="4"/>
        <v>312</v>
      </c>
      <c r="B317" s="645">
        <v>42429</v>
      </c>
      <c r="C317" s="648" t="s">
        <v>1052</v>
      </c>
      <c r="D317" s="648" t="s">
        <v>913</v>
      </c>
      <c r="E317" s="648" t="s">
        <v>1187</v>
      </c>
      <c r="F317" s="648" t="s">
        <v>918</v>
      </c>
      <c r="G317" s="647">
        <v>-40</v>
      </c>
      <c r="H317" s="648" t="s">
        <v>915</v>
      </c>
      <c r="I317" s="648" t="s">
        <v>1189</v>
      </c>
    </row>
    <row r="318" spans="1:9" x14ac:dyDescent="0.2">
      <c r="A318" s="628">
        <f t="shared" si="4"/>
        <v>313</v>
      </c>
      <c r="B318" s="645">
        <v>42429</v>
      </c>
      <c r="C318" s="648" t="s">
        <v>1052</v>
      </c>
      <c r="D318" s="648" t="s">
        <v>913</v>
      </c>
      <c r="E318" s="648" t="s">
        <v>1187</v>
      </c>
      <c r="F318" s="648" t="s">
        <v>918</v>
      </c>
      <c r="G318" s="647">
        <v>-700</v>
      </c>
      <c r="H318" s="648" t="s">
        <v>1055</v>
      </c>
      <c r="I318" s="648" t="s">
        <v>1189</v>
      </c>
    </row>
    <row r="319" spans="1:9" x14ac:dyDescent="0.2">
      <c r="A319" s="628">
        <f t="shared" si="4"/>
        <v>314</v>
      </c>
      <c r="B319" s="645">
        <v>42429</v>
      </c>
      <c r="C319" s="648" t="s">
        <v>1052</v>
      </c>
      <c r="D319" s="648" t="s">
        <v>913</v>
      </c>
      <c r="E319" s="648" t="s">
        <v>1187</v>
      </c>
      <c r="F319" s="648" t="s">
        <v>918</v>
      </c>
      <c r="G319" s="647">
        <v>-40</v>
      </c>
      <c r="H319" s="648" t="s">
        <v>769</v>
      </c>
      <c r="I319" s="648" t="s">
        <v>1189</v>
      </c>
    </row>
    <row r="320" spans="1:9" x14ac:dyDescent="0.2">
      <c r="A320" s="628">
        <f t="shared" si="4"/>
        <v>315</v>
      </c>
      <c r="B320" s="645">
        <v>42490</v>
      </c>
      <c r="C320" s="648" t="s">
        <v>1052</v>
      </c>
      <c r="D320" s="648" t="s">
        <v>914</v>
      </c>
      <c r="E320" s="648" t="s">
        <v>1187</v>
      </c>
      <c r="F320" s="648" t="s">
        <v>918</v>
      </c>
      <c r="G320" s="647">
        <v>-430</v>
      </c>
      <c r="H320" s="648" t="s">
        <v>769</v>
      </c>
      <c r="I320" s="648" t="s">
        <v>1190</v>
      </c>
    </row>
    <row r="321" spans="1:9" x14ac:dyDescent="0.2">
      <c r="A321" s="628">
        <f t="shared" si="4"/>
        <v>316</v>
      </c>
      <c r="B321" s="645">
        <v>42490</v>
      </c>
      <c r="C321" s="648" t="s">
        <v>1052</v>
      </c>
      <c r="D321" s="648" t="s">
        <v>914</v>
      </c>
      <c r="E321" s="648" t="s">
        <v>1187</v>
      </c>
      <c r="F321" s="648" t="s">
        <v>918</v>
      </c>
      <c r="G321" s="647">
        <v>-800</v>
      </c>
      <c r="H321" s="648" t="s">
        <v>1055</v>
      </c>
      <c r="I321" s="648" t="s">
        <v>1190</v>
      </c>
    </row>
    <row r="322" spans="1:9" x14ac:dyDescent="0.2">
      <c r="A322" s="628">
        <f t="shared" si="4"/>
        <v>317</v>
      </c>
      <c r="B322" s="645">
        <v>42490</v>
      </c>
      <c r="C322" s="648" t="s">
        <v>1052</v>
      </c>
      <c r="D322" s="648" t="s">
        <v>914</v>
      </c>
      <c r="E322" s="648" t="s">
        <v>1187</v>
      </c>
      <c r="F322" s="648" t="s">
        <v>918</v>
      </c>
      <c r="G322" s="647">
        <v>-80</v>
      </c>
      <c r="H322" s="648" t="s">
        <v>915</v>
      </c>
      <c r="I322" s="648" t="s">
        <v>1190</v>
      </c>
    </row>
    <row r="323" spans="1:9" x14ac:dyDescent="0.2">
      <c r="A323" s="628">
        <f t="shared" si="4"/>
        <v>318</v>
      </c>
      <c r="B323" s="645">
        <v>42490</v>
      </c>
      <c r="C323" s="648" t="s">
        <v>1052</v>
      </c>
      <c r="D323" s="648" t="s">
        <v>914</v>
      </c>
      <c r="E323" s="648" t="s">
        <v>1187</v>
      </c>
      <c r="F323" s="648" t="s">
        <v>918</v>
      </c>
      <c r="G323" s="647">
        <v>-800</v>
      </c>
      <c r="H323" s="648" t="s">
        <v>1191</v>
      </c>
      <c r="I323" s="648" t="s">
        <v>1190</v>
      </c>
    </row>
    <row r="324" spans="1:9" x14ac:dyDescent="0.2">
      <c r="A324" s="628">
        <f t="shared" si="4"/>
        <v>319</v>
      </c>
      <c r="B324" s="645">
        <v>42521</v>
      </c>
      <c r="C324" s="648" t="s">
        <v>1052</v>
      </c>
      <c r="D324" s="648" t="s">
        <v>1192</v>
      </c>
      <c r="E324" s="648" t="s">
        <v>1187</v>
      </c>
      <c r="F324" s="648" t="s">
        <v>918</v>
      </c>
      <c r="G324" s="647">
        <v>-40</v>
      </c>
      <c r="H324" s="648" t="s">
        <v>769</v>
      </c>
      <c r="I324" s="648" t="s">
        <v>1193</v>
      </c>
    </row>
    <row r="325" spans="1:9" x14ac:dyDescent="0.2">
      <c r="A325" s="628">
        <f t="shared" si="4"/>
        <v>320</v>
      </c>
      <c r="B325" s="645">
        <v>42521</v>
      </c>
      <c r="C325" s="648" t="s">
        <v>1052</v>
      </c>
      <c r="D325" s="648" t="s">
        <v>1192</v>
      </c>
      <c r="E325" s="648" t="s">
        <v>1187</v>
      </c>
      <c r="F325" s="648" t="s">
        <v>918</v>
      </c>
      <c r="G325" s="647">
        <v>-400</v>
      </c>
      <c r="H325" s="648" t="s">
        <v>1191</v>
      </c>
      <c r="I325" s="648" t="s">
        <v>1193</v>
      </c>
    </row>
    <row r="326" spans="1:9" x14ac:dyDescent="0.2">
      <c r="A326" s="628">
        <f t="shared" si="4"/>
        <v>321</v>
      </c>
      <c r="B326" s="645">
        <v>42521</v>
      </c>
      <c r="C326" s="648" t="s">
        <v>1052</v>
      </c>
      <c r="D326" s="648" t="s">
        <v>1192</v>
      </c>
      <c r="E326" s="648" t="s">
        <v>1187</v>
      </c>
      <c r="F326" s="648" t="s">
        <v>918</v>
      </c>
      <c r="G326" s="647">
        <v>-40</v>
      </c>
      <c r="H326" s="648" t="s">
        <v>915</v>
      </c>
      <c r="I326" s="648" t="s">
        <v>1193</v>
      </c>
    </row>
    <row r="327" spans="1:9" x14ac:dyDescent="0.2">
      <c r="A327" s="628">
        <f t="shared" si="4"/>
        <v>322</v>
      </c>
      <c r="B327" s="645">
        <v>42582</v>
      </c>
      <c r="C327" s="648" t="s">
        <v>1052</v>
      </c>
      <c r="D327" s="648" t="s">
        <v>1003</v>
      </c>
      <c r="E327" s="648" t="s">
        <v>1187</v>
      </c>
      <c r="F327" s="648" t="s">
        <v>918</v>
      </c>
      <c r="G327" s="647">
        <v>-400</v>
      </c>
      <c r="H327" s="648" t="s">
        <v>1191</v>
      </c>
      <c r="I327" s="648" t="s">
        <v>1194</v>
      </c>
    </row>
    <row r="328" spans="1:9" x14ac:dyDescent="0.2">
      <c r="A328" s="628">
        <f t="shared" si="4"/>
        <v>323</v>
      </c>
      <c r="B328" s="645">
        <v>42582</v>
      </c>
      <c r="C328" s="648" t="s">
        <v>1052</v>
      </c>
      <c r="D328" s="648" t="s">
        <v>1003</v>
      </c>
      <c r="E328" s="648" t="s">
        <v>1187</v>
      </c>
      <c r="F328" s="648" t="s">
        <v>918</v>
      </c>
      <c r="G328" s="647">
        <v>-40</v>
      </c>
      <c r="H328" s="648" t="s">
        <v>769</v>
      </c>
      <c r="I328" s="648" t="s">
        <v>1194</v>
      </c>
    </row>
    <row r="329" spans="1:9" x14ac:dyDescent="0.2">
      <c r="A329" s="628">
        <f t="shared" si="4"/>
        <v>324</v>
      </c>
      <c r="B329" s="645">
        <v>42582</v>
      </c>
      <c r="C329" s="648" t="s">
        <v>1052</v>
      </c>
      <c r="D329" s="648" t="s">
        <v>1003</v>
      </c>
      <c r="E329" s="648" t="s">
        <v>1187</v>
      </c>
      <c r="F329" s="648" t="s">
        <v>918</v>
      </c>
      <c r="G329" s="647">
        <v>-40</v>
      </c>
      <c r="H329" s="648" t="s">
        <v>915</v>
      </c>
      <c r="I329" s="648" t="s">
        <v>1194</v>
      </c>
    </row>
    <row r="330" spans="1:9" x14ac:dyDescent="0.2">
      <c r="A330" s="628">
        <f t="shared" si="4"/>
        <v>325</v>
      </c>
      <c r="B330" s="645">
        <v>42613</v>
      </c>
      <c r="C330" s="648" t="s">
        <v>1052</v>
      </c>
      <c r="D330" s="648" t="s">
        <v>1125</v>
      </c>
      <c r="E330" s="648" t="s">
        <v>1187</v>
      </c>
      <c r="F330" s="648" t="s">
        <v>918</v>
      </c>
      <c r="G330" s="647">
        <v>-40</v>
      </c>
      <c r="H330" s="648" t="s">
        <v>769</v>
      </c>
      <c r="I330" s="648" t="s">
        <v>1195</v>
      </c>
    </row>
    <row r="331" spans="1:9" x14ac:dyDescent="0.2">
      <c r="A331" s="628">
        <f t="shared" si="4"/>
        <v>326</v>
      </c>
      <c r="B331" s="645">
        <v>42613</v>
      </c>
      <c r="C331" s="648" t="s">
        <v>1052</v>
      </c>
      <c r="D331" s="648" t="s">
        <v>1125</v>
      </c>
      <c r="E331" s="648" t="s">
        <v>1187</v>
      </c>
      <c r="F331" s="648" t="s">
        <v>918</v>
      </c>
      <c r="G331" s="647">
        <v>-40</v>
      </c>
      <c r="H331" s="648" t="s">
        <v>915</v>
      </c>
      <c r="I331" s="648" t="s">
        <v>1195</v>
      </c>
    </row>
    <row r="332" spans="1:9" x14ac:dyDescent="0.2">
      <c r="A332" s="628">
        <f t="shared" si="4"/>
        <v>327</v>
      </c>
      <c r="B332" s="645">
        <v>42613</v>
      </c>
      <c r="C332" s="648" t="s">
        <v>1052</v>
      </c>
      <c r="D332" s="648" t="s">
        <v>1125</v>
      </c>
      <c r="E332" s="648" t="s">
        <v>1187</v>
      </c>
      <c r="F332" s="648" t="s">
        <v>918</v>
      </c>
      <c r="G332" s="647">
        <v>-400</v>
      </c>
      <c r="H332" s="648" t="s">
        <v>1191</v>
      </c>
      <c r="I332" s="648" t="s">
        <v>1195</v>
      </c>
    </row>
    <row r="333" spans="1:9" x14ac:dyDescent="0.2">
      <c r="A333" s="628">
        <f t="shared" si="4"/>
        <v>328</v>
      </c>
      <c r="B333" s="645">
        <v>42674</v>
      </c>
      <c r="C333" s="648" t="s">
        <v>1052</v>
      </c>
      <c r="D333" s="648" t="s">
        <v>1126</v>
      </c>
      <c r="E333" s="648" t="s">
        <v>1187</v>
      </c>
      <c r="F333" s="648" t="s">
        <v>918</v>
      </c>
      <c r="G333" s="647">
        <v>-40</v>
      </c>
      <c r="H333" s="648" t="s">
        <v>915</v>
      </c>
      <c r="I333" s="648" t="s">
        <v>1196</v>
      </c>
    </row>
    <row r="334" spans="1:9" x14ac:dyDescent="0.2">
      <c r="A334" s="628">
        <f t="shared" si="4"/>
        <v>329</v>
      </c>
      <c r="B334" s="645">
        <v>42674</v>
      </c>
      <c r="C334" s="648" t="s">
        <v>1052</v>
      </c>
      <c r="D334" s="648" t="s">
        <v>1126</v>
      </c>
      <c r="E334" s="648" t="s">
        <v>1187</v>
      </c>
      <c r="F334" s="648" t="s">
        <v>918</v>
      </c>
      <c r="G334" s="647">
        <v>-40</v>
      </c>
      <c r="H334" s="648" t="s">
        <v>769</v>
      </c>
      <c r="I334" s="648" t="s">
        <v>1196</v>
      </c>
    </row>
    <row r="335" spans="1:9" x14ac:dyDescent="0.2">
      <c r="A335" s="628">
        <f t="shared" si="4"/>
        <v>330</v>
      </c>
      <c r="B335" s="645">
        <v>42674</v>
      </c>
      <c r="C335" s="648" t="s">
        <v>1052</v>
      </c>
      <c r="D335" s="648" t="s">
        <v>1126</v>
      </c>
      <c r="E335" s="648" t="s">
        <v>1187</v>
      </c>
      <c r="F335" s="648" t="s">
        <v>918</v>
      </c>
      <c r="G335" s="647">
        <v>-400</v>
      </c>
      <c r="H335" s="648" t="s">
        <v>1191</v>
      </c>
      <c r="I335" s="648" t="s">
        <v>1196</v>
      </c>
    </row>
    <row r="336" spans="1:9" x14ac:dyDescent="0.2">
      <c r="A336" s="628">
        <f t="shared" si="4"/>
        <v>331</v>
      </c>
      <c r="B336" s="645">
        <v>42551</v>
      </c>
      <c r="C336" s="648" t="s">
        <v>1052</v>
      </c>
      <c r="D336" s="648" t="s">
        <v>1001</v>
      </c>
      <c r="E336" s="648" t="s">
        <v>1197</v>
      </c>
      <c r="F336" s="648" t="s">
        <v>918</v>
      </c>
      <c r="G336" s="647">
        <v>-400</v>
      </c>
      <c r="H336" s="648" t="s">
        <v>1191</v>
      </c>
      <c r="I336" s="648" t="s">
        <v>1181</v>
      </c>
    </row>
    <row r="337" spans="1:9" x14ac:dyDescent="0.2">
      <c r="A337" s="628">
        <f t="shared" si="4"/>
        <v>332</v>
      </c>
      <c r="B337" s="645">
        <v>42643</v>
      </c>
      <c r="C337" s="648" t="s">
        <v>1052</v>
      </c>
      <c r="D337" s="648" t="s">
        <v>1124</v>
      </c>
      <c r="E337" s="648" t="s">
        <v>1197</v>
      </c>
      <c r="F337" s="648" t="s">
        <v>918</v>
      </c>
      <c r="G337" s="647">
        <v>-400</v>
      </c>
      <c r="H337" s="648" t="s">
        <v>1191</v>
      </c>
      <c r="I337" s="648" t="s">
        <v>1182</v>
      </c>
    </row>
    <row r="338" spans="1:9" x14ac:dyDescent="0.2">
      <c r="A338" s="628">
        <f t="shared" si="4"/>
        <v>333</v>
      </c>
      <c r="B338" s="643">
        <v>42704</v>
      </c>
      <c r="C338" s="644">
        <v>454151</v>
      </c>
      <c r="D338" s="644" t="s">
        <v>777</v>
      </c>
      <c r="E338" s="644" t="s">
        <v>1015</v>
      </c>
      <c r="F338" s="644" t="s">
        <v>641</v>
      </c>
      <c r="G338" s="559">
        <v>-300</v>
      </c>
      <c r="H338" s="644">
        <v>856</v>
      </c>
      <c r="I338" s="644" t="s">
        <v>1056</v>
      </c>
    </row>
    <row r="339" spans="1:9" x14ac:dyDescent="0.2">
      <c r="A339" s="628">
        <f t="shared" si="4"/>
        <v>334</v>
      </c>
      <c r="B339" s="643">
        <v>42400</v>
      </c>
      <c r="C339" s="644" t="s">
        <v>1052</v>
      </c>
      <c r="D339" s="644" t="s">
        <v>997</v>
      </c>
      <c r="E339" s="644" t="s">
        <v>1127</v>
      </c>
      <c r="F339" s="644" t="s">
        <v>693</v>
      </c>
      <c r="G339" s="559">
        <v>-1055</v>
      </c>
      <c r="H339" s="644" t="s">
        <v>965</v>
      </c>
      <c r="I339" s="644" t="s">
        <v>1128</v>
      </c>
    </row>
    <row r="340" spans="1:9" x14ac:dyDescent="0.2">
      <c r="A340" s="628">
        <f t="shared" si="4"/>
        <v>335</v>
      </c>
      <c r="B340" s="643">
        <v>42429</v>
      </c>
      <c r="C340" s="644" t="s">
        <v>1052</v>
      </c>
      <c r="D340" s="644" t="s">
        <v>998</v>
      </c>
      <c r="E340" s="644" t="s">
        <v>1127</v>
      </c>
      <c r="F340" s="644" t="s">
        <v>693</v>
      </c>
      <c r="G340" s="559">
        <v>-1055</v>
      </c>
      <c r="H340" s="644" t="s">
        <v>965</v>
      </c>
      <c r="I340" s="644" t="s">
        <v>1128</v>
      </c>
    </row>
    <row r="341" spans="1:9" x14ac:dyDescent="0.2">
      <c r="A341" s="628">
        <f t="shared" si="4"/>
        <v>336</v>
      </c>
      <c r="B341" s="643">
        <v>42460</v>
      </c>
      <c r="C341" s="644" t="s">
        <v>1052</v>
      </c>
      <c r="D341" s="644" t="s">
        <v>999</v>
      </c>
      <c r="E341" s="644" t="s">
        <v>1127</v>
      </c>
      <c r="F341" s="644" t="s">
        <v>693</v>
      </c>
      <c r="G341" s="559">
        <v>-1055</v>
      </c>
      <c r="H341" s="644" t="s">
        <v>965</v>
      </c>
      <c r="I341" s="644" t="s">
        <v>1128</v>
      </c>
    </row>
    <row r="342" spans="1:9" x14ac:dyDescent="0.2">
      <c r="A342" s="628">
        <f t="shared" si="4"/>
        <v>337</v>
      </c>
      <c r="B342" s="643">
        <v>42490</v>
      </c>
      <c r="C342" s="644" t="s">
        <v>1052</v>
      </c>
      <c r="D342" s="644" t="s">
        <v>1000</v>
      </c>
      <c r="E342" s="644" t="s">
        <v>1127</v>
      </c>
      <c r="F342" s="644" t="s">
        <v>693</v>
      </c>
      <c r="G342" s="559">
        <v>-1055</v>
      </c>
      <c r="H342" s="644" t="s">
        <v>965</v>
      </c>
      <c r="I342" s="644" t="s">
        <v>1128</v>
      </c>
    </row>
    <row r="343" spans="1:9" x14ac:dyDescent="0.2">
      <c r="A343" s="628">
        <f t="shared" ref="A343:A406" si="5">A342+1</f>
        <v>338</v>
      </c>
      <c r="B343" s="643">
        <v>42521</v>
      </c>
      <c r="C343" s="644" t="s">
        <v>1052</v>
      </c>
      <c r="D343" s="644" t="s">
        <v>960</v>
      </c>
      <c r="E343" s="644" t="s">
        <v>1127</v>
      </c>
      <c r="F343" s="644" t="s">
        <v>693</v>
      </c>
      <c r="G343" s="559">
        <v>-1055</v>
      </c>
      <c r="H343" s="644" t="s">
        <v>965</v>
      </c>
      <c r="I343" s="644" t="s">
        <v>1128</v>
      </c>
    </row>
    <row r="344" spans="1:9" x14ac:dyDescent="0.2">
      <c r="A344" s="628">
        <f t="shared" si="5"/>
        <v>339</v>
      </c>
      <c r="B344" s="643">
        <v>42551</v>
      </c>
      <c r="C344" s="644" t="s">
        <v>1052</v>
      </c>
      <c r="D344" s="644" t="s">
        <v>1002</v>
      </c>
      <c r="E344" s="644" t="s">
        <v>1127</v>
      </c>
      <c r="F344" s="644" t="s">
        <v>693</v>
      </c>
      <c r="G344" s="559">
        <v>-1055</v>
      </c>
      <c r="H344" s="644" t="s">
        <v>965</v>
      </c>
      <c r="I344" s="644" t="s">
        <v>1128</v>
      </c>
    </row>
    <row r="345" spans="1:9" x14ac:dyDescent="0.2">
      <c r="A345" s="628">
        <f t="shared" si="5"/>
        <v>340</v>
      </c>
      <c r="B345" s="643">
        <v>42582</v>
      </c>
      <c r="C345" s="644" t="s">
        <v>1052</v>
      </c>
      <c r="D345" s="644" t="s">
        <v>961</v>
      </c>
      <c r="E345" s="644" t="s">
        <v>1127</v>
      </c>
      <c r="F345" s="644" t="s">
        <v>693</v>
      </c>
      <c r="G345" s="559">
        <v>-1055</v>
      </c>
      <c r="H345" s="644" t="s">
        <v>965</v>
      </c>
      <c r="I345" s="644" t="s">
        <v>1128</v>
      </c>
    </row>
    <row r="346" spans="1:9" x14ac:dyDescent="0.2">
      <c r="A346" s="628">
        <f t="shared" si="5"/>
        <v>341</v>
      </c>
      <c r="B346" s="643">
        <v>42613</v>
      </c>
      <c r="C346" s="644" t="s">
        <v>1052</v>
      </c>
      <c r="D346" s="644" t="s">
        <v>962</v>
      </c>
      <c r="E346" s="644" t="s">
        <v>1127</v>
      </c>
      <c r="F346" s="644" t="s">
        <v>693</v>
      </c>
      <c r="G346" s="559">
        <v>-1055</v>
      </c>
      <c r="H346" s="644" t="s">
        <v>965</v>
      </c>
      <c r="I346" s="644" t="s">
        <v>1128</v>
      </c>
    </row>
    <row r="347" spans="1:9" x14ac:dyDescent="0.2">
      <c r="A347" s="628">
        <f t="shared" si="5"/>
        <v>342</v>
      </c>
      <c r="B347" s="643">
        <v>42643</v>
      </c>
      <c r="C347" s="644" t="s">
        <v>1052</v>
      </c>
      <c r="D347" s="644" t="s">
        <v>963</v>
      </c>
      <c r="E347" s="644" t="s">
        <v>1127</v>
      </c>
      <c r="F347" s="644" t="s">
        <v>693</v>
      </c>
      <c r="G347" s="559">
        <v>-1055</v>
      </c>
      <c r="H347" s="644" t="s">
        <v>965</v>
      </c>
      <c r="I347" s="644" t="s">
        <v>1128</v>
      </c>
    </row>
    <row r="348" spans="1:9" x14ac:dyDescent="0.2">
      <c r="A348" s="628">
        <f t="shared" si="5"/>
        <v>343</v>
      </c>
      <c r="B348" s="643">
        <v>42674</v>
      </c>
      <c r="C348" s="644" t="s">
        <v>1052</v>
      </c>
      <c r="D348" s="644" t="s">
        <v>964</v>
      </c>
      <c r="E348" s="644" t="s">
        <v>1127</v>
      </c>
      <c r="F348" s="644" t="s">
        <v>693</v>
      </c>
      <c r="G348" s="559">
        <v>-1055</v>
      </c>
      <c r="H348" s="644" t="s">
        <v>965</v>
      </c>
      <c r="I348" s="644" t="s">
        <v>1128</v>
      </c>
    </row>
    <row r="349" spans="1:9" x14ac:dyDescent="0.2">
      <c r="A349" s="628">
        <f t="shared" si="5"/>
        <v>344</v>
      </c>
      <c r="B349" s="643">
        <v>42704</v>
      </c>
      <c r="C349" s="644" t="s">
        <v>1052</v>
      </c>
      <c r="D349" s="644" t="s">
        <v>1004</v>
      </c>
      <c r="E349" s="644" t="s">
        <v>1127</v>
      </c>
      <c r="F349" s="644" t="s">
        <v>693</v>
      </c>
      <c r="G349" s="559">
        <v>-1055</v>
      </c>
      <c r="H349" s="644" t="s">
        <v>965</v>
      </c>
      <c r="I349" s="644" t="s">
        <v>1128</v>
      </c>
    </row>
    <row r="350" spans="1:9" x14ac:dyDescent="0.2">
      <c r="A350" s="628">
        <f t="shared" si="5"/>
        <v>345</v>
      </c>
      <c r="B350" s="643">
        <v>42735</v>
      </c>
      <c r="C350" s="644" t="s">
        <v>1052</v>
      </c>
      <c r="D350" s="644" t="s">
        <v>1005</v>
      </c>
      <c r="E350" s="644" t="s">
        <v>1127</v>
      </c>
      <c r="F350" s="644" t="s">
        <v>693</v>
      </c>
      <c r="G350" s="559">
        <v>-1055</v>
      </c>
      <c r="H350" s="644" t="s">
        <v>965</v>
      </c>
      <c r="I350" s="644" t="s">
        <v>1128</v>
      </c>
    </row>
    <row r="351" spans="1:9" x14ac:dyDescent="0.2">
      <c r="A351" s="628">
        <f t="shared" si="5"/>
        <v>346</v>
      </c>
      <c r="B351" s="643">
        <v>42400</v>
      </c>
      <c r="C351" s="644" t="s">
        <v>1155</v>
      </c>
      <c r="D351" s="644" t="s">
        <v>768</v>
      </c>
      <c r="E351" s="644" t="s">
        <v>1198</v>
      </c>
      <c r="F351" s="644" t="s">
        <v>918</v>
      </c>
      <c r="G351" s="559">
        <v>-25.41</v>
      </c>
      <c r="H351" s="644">
        <v>856</v>
      </c>
      <c r="I351" s="644" t="s">
        <v>1056</v>
      </c>
    </row>
    <row r="352" spans="1:9" x14ac:dyDescent="0.2">
      <c r="A352" s="628">
        <f t="shared" si="5"/>
        <v>347</v>
      </c>
      <c r="B352" s="643">
        <v>42429</v>
      </c>
      <c r="C352" s="644" t="s">
        <v>1155</v>
      </c>
      <c r="D352" s="644" t="s">
        <v>770</v>
      </c>
      <c r="E352" s="644" t="s">
        <v>1198</v>
      </c>
      <c r="F352" s="644" t="s">
        <v>918</v>
      </c>
      <c r="G352" s="559">
        <v>-23.77</v>
      </c>
      <c r="H352" s="644">
        <v>856</v>
      </c>
      <c r="I352" s="644" t="s">
        <v>1056</v>
      </c>
    </row>
    <row r="353" spans="1:9" x14ac:dyDescent="0.2">
      <c r="A353" s="628">
        <f t="shared" si="5"/>
        <v>348</v>
      </c>
      <c r="B353" s="643">
        <v>42460</v>
      </c>
      <c r="C353" s="644" t="s">
        <v>1155</v>
      </c>
      <c r="D353" s="644" t="s">
        <v>13</v>
      </c>
      <c r="E353" s="644" t="s">
        <v>1198</v>
      </c>
      <c r="F353" s="644" t="s">
        <v>918</v>
      </c>
      <c r="G353" s="559">
        <v>-25.41</v>
      </c>
      <c r="H353" s="644">
        <v>856</v>
      </c>
      <c r="I353" s="644" t="s">
        <v>1056</v>
      </c>
    </row>
    <row r="354" spans="1:9" x14ac:dyDescent="0.2">
      <c r="A354" s="628">
        <f t="shared" si="5"/>
        <v>349</v>
      </c>
      <c r="B354" s="643">
        <v>42490</v>
      </c>
      <c r="C354" s="644" t="s">
        <v>1155</v>
      </c>
      <c r="D354" s="644" t="s">
        <v>771</v>
      </c>
      <c r="E354" s="644" t="s">
        <v>1198</v>
      </c>
      <c r="F354" s="644" t="s">
        <v>918</v>
      </c>
      <c r="G354" s="559">
        <v>-24.59</v>
      </c>
      <c r="H354" s="644">
        <v>856</v>
      </c>
      <c r="I354" s="644" t="s">
        <v>1056</v>
      </c>
    </row>
    <row r="355" spans="1:9" x14ac:dyDescent="0.2">
      <c r="A355" s="628">
        <f t="shared" si="5"/>
        <v>350</v>
      </c>
      <c r="B355" s="643">
        <v>42521</v>
      </c>
      <c r="C355" s="644" t="s">
        <v>1155</v>
      </c>
      <c r="D355" s="644" t="s">
        <v>772</v>
      </c>
      <c r="E355" s="644" t="s">
        <v>1198</v>
      </c>
      <c r="F355" s="644" t="s">
        <v>918</v>
      </c>
      <c r="G355" s="559">
        <v>-25.41</v>
      </c>
      <c r="H355" s="644">
        <v>856</v>
      </c>
      <c r="I355" s="644" t="s">
        <v>1056</v>
      </c>
    </row>
    <row r="356" spans="1:9" x14ac:dyDescent="0.2">
      <c r="A356" s="628">
        <f t="shared" si="5"/>
        <v>351</v>
      </c>
      <c r="B356" s="643">
        <v>42551</v>
      </c>
      <c r="C356" s="644" t="s">
        <v>1155</v>
      </c>
      <c r="D356" s="644" t="s">
        <v>773</v>
      </c>
      <c r="E356" s="644" t="s">
        <v>1198</v>
      </c>
      <c r="F356" s="644" t="s">
        <v>918</v>
      </c>
      <c r="G356" s="559">
        <v>-24.59</v>
      </c>
      <c r="H356" s="644">
        <v>856</v>
      </c>
      <c r="I356" s="644" t="s">
        <v>1056</v>
      </c>
    </row>
    <row r="357" spans="1:9" x14ac:dyDescent="0.2">
      <c r="A357" s="628">
        <f t="shared" si="5"/>
        <v>352</v>
      </c>
      <c r="B357" s="643">
        <v>42582</v>
      </c>
      <c r="C357" s="644" t="s">
        <v>1155</v>
      </c>
      <c r="D357" s="644" t="s">
        <v>14</v>
      </c>
      <c r="E357" s="644" t="s">
        <v>1198</v>
      </c>
      <c r="F357" s="644" t="s">
        <v>918</v>
      </c>
      <c r="G357" s="559">
        <v>-25.41</v>
      </c>
      <c r="H357" s="644">
        <v>856</v>
      </c>
      <c r="I357" s="644" t="s">
        <v>1056</v>
      </c>
    </row>
    <row r="358" spans="1:9" x14ac:dyDescent="0.2">
      <c r="A358" s="628">
        <f t="shared" si="5"/>
        <v>353</v>
      </c>
      <c r="B358" s="643">
        <v>42613</v>
      </c>
      <c r="C358" s="644" t="s">
        <v>1155</v>
      </c>
      <c r="D358" s="644" t="s">
        <v>774</v>
      </c>
      <c r="E358" s="644" t="s">
        <v>1198</v>
      </c>
      <c r="F358" s="644" t="s">
        <v>918</v>
      </c>
      <c r="G358" s="559">
        <v>-25.41</v>
      </c>
      <c r="H358" s="644">
        <v>856</v>
      </c>
      <c r="I358" s="644" t="s">
        <v>1056</v>
      </c>
    </row>
    <row r="359" spans="1:9" x14ac:dyDescent="0.2">
      <c r="A359" s="628">
        <f t="shared" si="5"/>
        <v>354</v>
      </c>
      <c r="B359" s="643">
        <v>42643</v>
      </c>
      <c r="C359" s="644" t="s">
        <v>1155</v>
      </c>
      <c r="D359" s="644" t="s">
        <v>775</v>
      </c>
      <c r="E359" s="644" t="s">
        <v>1198</v>
      </c>
      <c r="F359" s="644" t="s">
        <v>918</v>
      </c>
      <c r="G359" s="559">
        <v>-24.59</v>
      </c>
      <c r="H359" s="644">
        <v>856</v>
      </c>
      <c r="I359" s="644" t="s">
        <v>1056</v>
      </c>
    </row>
    <row r="360" spans="1:9" x14ac:dyDescent="0.2">
      <c r="A360" s="628">
        <f t="shared" si="5"/>
        <v>355</v>
      </c>
      <c r="B360" s="643">
        <v>42674</v>
      </c>
      <c r="C360" s="644" t="s">
        <v>1155</v>
      </c>
      <c r="D360" s="644" t="s">
        <v>776</v>
      </c>
      <c r="E360" s="644" t="s">
        <v>1198</v>
      </c>
      <c r="F360" s="644" t="s">
        <v>918</v>
      </c>
      <c r="G360" s="559">
        <v>-25.41</v>
      </c>
      <c r="H360" s="644">
        <v>856</v>
      </c>
      <c r="I360" s="644" t="s">
        <v>1056</v>
      </c>
    </row>
    <row r="361" spans="1:9" x14ac:dyDescent="0.2">
      <c r="A361" s="628">
        <f t="shared" si="5"/>
        <v>356</v>
      </c>
      <c r="B361" s="643">
        <v>42704</v>
      </c>
      <c r="C361" s="644" t="s">
        <v>1155</v>
      </c>
      <c r="D361" s="644" t="s">
        <v>777</v>
      </c>
      <c r="E361" s="644" t="s">
        <v>1198</v>
      </c>
      <c r="F361" s="644" t="s">
        <v>918</v>
      </c>
      <c r="G361" s="559">
        <v>-24.59</v>
      </c>
      <c r="H361" s="644">
        <v>856</v>
      </c>
      <c r="I361" s="644" t="s">
        <v>1056</v>
      </c>
    </row>
    <row r="362" spans="1:9" x14ac:dyDescent="0.2">
      <c r="A362" s="628">
        <f t="shared" si="5"/>
        <v>357</v>
      </c>
      <c r="B362" s="643">
        <v>42735</v>
      </c>
      <c r="C362" s="644" t="s">
        <v>1155</v>
      </c>
      <c r="D362" s="644" t="s">
        <v>146</v>
      </c>
      <c r="E362" s="644" t="s">
        <v>1198</v>
      </c>
      <c r="F362" s="644" t="s">
        <v>918</v>
      </c>
      <c r="G362" s="559">
        <v>-25.41</v>
      </c>
      <c r="H362" s="644">
        <v>856</v>
      </c>
      <c r="I362" s="644" t="s">
        <v>1056</v>
      </c>
    </row>
    <row r="363" spans="1:9" x14ac:dyDescent="0.2">
      <c r="A363" s="628">
        <f t="shared" si="5"/>
        <v>358</v>
      </c>
      <c r="B363" s="643">
        <v>42400</v>
      </c>
      <c r="C363" s="644">
        <v>454151</v>
      </c>
      <c r="D363" s="644" t="s">
        <v>768</v>
      </c>
      <c r="E363" s="644" t="s">
        <v>1199</v>
      </c>
      <c r="F363" s="644" t="s">
        <v>641</v>
      </c>
      <c r="G363" s="559">
        <v>-50.82</v>
      </c>
      <c r="H363" s="644">
        <v>856</v>
      </c>
      <c r="I363" s="644" t="s">
        <v>1056</v>
      </c>
    </row>
    <row r="364" spans="1:9" x14ac:dyDescent="0.2">
      <c r="A364" s="628">
        <f t="shared" si="5"/>
        <v>359</v>
      </c>
      <c r="B364" s="643">
        <v>42429</v>
      </c>
      <c r="C364" s="644">
        <v>454151</v>
      </c>
      <c r="D364" s="644" t="s">
        <v>770</v>
      </c>
      <c r="E364" s="644" t="s">
        <v>1199</v>
      </c>
      <c r="F364" s="644" t="s">
        <v>641</v>
      </c>
      <c r="G364" s="559">
        <v>-47.54</v>
      </c>
      <c r="H364" s="644">
        <v>856</v>
      </c>
      <c r="I364" s="644" t="s">
        <v>1056</v>
      </c>
    </row>
    <row r="365" spans="1:9" x14ac:dyDescent="0.2">
      <c r="A365" s="628">
        <f t="shared" si="5"/>
        <v>360</v>
      </c>
      <c r="B365" s="643">
        <v>42460</v>
      </c>
      <c r="C365" s="644">
        <v>454151</v>
      </c>
      <c r="D365" s="644" t="s">
        <v>13</v>
      </c>
      <c r="E365" s="644" t="s">
        <v>1199</v>
      </c>
      <c r="F365" s="644" t="s">
        <v>641</v>
      </c>
      <c r="G365" s="559">
        <v>-50.82</v>
      </c>
      <c r="H365" s="644">
        <v>856</v>
      </c>
      <c r="I365" s="644" t="s">
        <v>1056</v>
      </c>
    </row>
    <row r="366" spans="1:9" x14ac:dyDescent="0.2">
      <c r="A366" s="628">
        <f t="shared" si="5"/>
        <v>361</v>
      </c>
      <c r="B366" s="643">
        <v>42490</v>
      </c>
      <c r="C366" s="644">
        <v>454151</v>
      </c>
      <c r="D366" s="644" t="s">
        <v>771</v>
      </c>
      <c r="E366" s="644" t="s">
        <v>1199</v>
      </c>
      <c r="F366" s="644" t="s">
        <v>641</v>
      </c>
      <c r="G366" s="559">
        <v>-49.18</v>
      </c>
      <c r="H366" s="644">
        <v>856</v>
      </c>
      <c r="I366" s="644" t="s">
        <v>1056</v>
      </c>
    </row>
    <row r="367" spans="1:9" x14ac:dyDescent="0.2">
      <c r="A367" s="628">
        <f t="shared" si="5"/>
        <v>362</v>
      </c>
      <c r="B367" s="643">
        <v>42521</v>
      </c>
      <c r="C367" s="644">
        <v>454151</v>
      </c>
      <c r="D367" s="644" t="s">
        <v>772</v>
      </c>
      <c r="E367" s="644" t="s">
        <v>1199</v>
      </c>
      <c r="F367" s="644" t="s">
        <v>641</v>
      </c>
      <c r="G367" s="559">
        <v>-50.82</v>
      </c>
      <c r="H367" s="644">
        <v>856</v>
      </c>
      <c r="I367" s="644" t="s">
        <v>1056</v>
      </c>
    </row>
    <row r="368" spans="1:9" x14ac:dyDescent="0.2">
      <c r="A368" s="628">
        <f t="shared" si="5"/>
        <v>363</v>
      </c>
      <c r="B368" s="643">
        <v>42551</v>
      </c>
      <c r="C368" s="644">
        <v>454151</v>
      </c>
      <c r="D368" s="644" t="s">
        <v>773</v>
      </c>
      <c r="E368" s="644" t="s">
        <v>1199</v>
      </c>
      <c r="F368" s="644" t="s">
        <v>641</v>
      </c>
      <c r="G368" s="559">
        <v>-49.18</v>
      </c>
      <c r="H368" s="644">
        <v>856</v>
      </c>
      <c r="I368" s="644" t="s">
        <v>1056</v>
      </c>
    </row>
    <row r="369" spans="1:9" x14ac:dyDescent="0.2">
      <c r="A369" s="628">
        <f t="shared" si="5"/>
        <v>364</v>
      </c>
      <c r="B369" s="643">
        <v>42582</v>
      </c>
      <c r="C369" s="644">
        <v>454151</v>
      </c>
      <c r="D369" s="644" t="s">
        <v>14</v>
      </c>
      <c r="E369" s="644" t="s">
        <v>1199</v>
      </c>
      <c r="F369" s="644" t="s">
        <v>641</v>
      </c>
      <c r="G369" s="559">
        <v>-50.82</v>
      </c>
      <c r="H369" s="644">
        <v>856</v>
      </c>
      <c r="I369" s="644" t="s">
        <v>1056</v>
      </c>
    </row>
    <row r="370" spans="1:9" x14ac:dyDescent="0.2">
      <c r="A370" s="628">
        <f t="shared" si="5"/>
        <v>365</v>
      </c>
      <c r="B370" s="643">
        <v>42613</v>
      </c>
      <c r="C370" s="644">
        <v>454151</v>
      </c>
      <c r="D370" s="644" t="s">
        <v>774</v>
      </c>
      <c r="E370" s="644" t="s">
        <v>1199</v>
      </c>
      <c r="F370" s="644" t="s">
        <v>641</v>
      </c>
      <c r="G370" s="559">
        <v>-50.82</v>
      </c>
      <c r="H370" s="644">
        <v>856</v>
      </c>
      <c r="I370" s="644" t="s">
        <v>1056</v>
      </c>
    </row>
    <row r="371" spans="1:9" x14ac:dyDescent="0.2">
      <c r="A371" s="628">
        <f t="shared" si="5"/>
        <v>366</v>
      </c>
      <c r="B371" s="643">
        <v>42643</v>
      </c>
      <c r="C371" s="644">
        <v>454151</v>
      </c>
      <c r="D371" s="644" t="s">
        <v>775</v>
      </c>
      <c r="E371" s="644" t="s">
        <v>1199</v>
      </c>
      <c r="F371" s="644" t="s">
        <v>641</v>
      </c>
      <c r="G371" s="559">
        <v>-49.18</v>
      </c>
      <c r="H371" s="644">
        <v>856</v>
      </c>
      <c r="I371" s="644" t="s">
        <v>1056</v>
      </c>
    </row>
    <row r="372" spans="1:9" x14ac:dyDescent="0.2">
      <c r="A372" s="628">
        <f t="shared" si="5"/>
        <v>367</v>
      </c>
      <c r="B372" s="643">
        <v>42674</v>
      </c>
      <c r="C372" s="644">
        <v>454151</v>
      </c>
      <c r="D372" s="644" t="s">
        <v>776</v>
      </c>
      <c r="E372" s="644" t="s">
        <v>1199</v>
      </c>
      <c r="F372" s="644" t="s">
        <v>641</v>
      </c>
      <c r="G372" s="559">
        <v>-50.82</v>
      </c>
      <c r="H372" s="644">
        <v>856</v>
      </c>
      <c r="I372" s="644" t="s">
        <v>1056</v>
      </c>
    </row>
    <row r="373" spans="1:9" x14ac:dyDescent="0.2">
      <c r="A373" s="628">
        <f t="shared" si="5"/>
        <v>368</v>
      </c>
      <c r="B373" s="643">
        <v>42704</v>
      </c>
      <c r="C373" s="644">
        <v>454151</v>
      </c>
      <c r="D373" s="644" t="s">
        <v>777</v>
      </c>
      <c r="E373" s="644" t="s">
        <v>1199</v>
      </c>
      <c r="F373" s="644" t="s">
        <v>641</v>
      </c>
      <c r="G373" s="559">
        <v>-49.18</v>
      </c>
      <c r="H373" s="644">
        <v>856</v>
      </c>
      <c r="I373" s="644" t="s">
        <v>1056</v>
      </c>
    </row>
    <row r="374" spans="1:9" x14ac:dyDescent="0.2">
      <c r="A374" s="628">
        <f t="shared" si="5"/>
        <v>369</v>
      </c>
      <c r="B374" s="643">
        <v>42735</v>
      </c>
      <c r="C374" s="644">
        <v>454151</v>
      </c>
      <c r="D374" s="644" t="s">
        <v>146</v>
      </c>
      <c r="E374" s="644" t="s">
        <v>1199</v>
      </c>
      <c r="F374" s="644" t="s">
        <v>641</v>
      </c>
      <c r="G374" s="559">
        <v>-50.82</v>
      </c>
      <c r="H374" s="644">
        <v>856</v>
      </c>
      <c r="I374" s="644" t="s">
        <v>1056</v>
      </c>
    </row>
    <row r="375" spans="1:9" x14ac:dyDescent="0.2">
      <c r="A375" s="628">
        <f t="shared" si="5"/>
        <v>370</v>
      </c>
      <c r="B375" s="643">
        <v>42400</v>
      </c>
      <c r="C375" s="644">
        <v>454151</v>
      </c>
      <c r="D375" s="644" t="s">
        <v>768</v>
      </c>
      <c r="E375" s="644" t="s">
        <v>1200</v>
      </c>
      <c r="F375" s="644" t="s">
        <v>918</v>
      </c>
      <c r="G375" s="559">
        <v>-375.9</v>
      </c>
      <c r="H375" s="644">
        <v>856</v>
      </c>
      <c r="I375" s="644" t="s">
        <v>1057</v>
      </c>
    </row>
    <row r="376" spans="1:9" x14ac:dyDescent="0.2">
      <c r="A376" s="628">
        <f t="shared" si="5"/>
        <v>371</v>
      </c>
      <c r="B376" s="643">
        <v>42582</v>
      </c>
      <c r="C376" s="644" t="s">
        <v>1155</v>
      </c>
      <c r="D376" s="644" t="s">
        <v>14</v>
      </c>
      <c r="E376" s="644" t="s">
        <v>1201</v>
      </c>
      <c r="F376" s="644" t="s">
        <v>693</v>
      </c>
      <c r="G376" s="559">
        <v>-100</v>
      </c>
      <c r="H376" s="644">
        <v>856</v>
      </c>
      <c r="I376" s="644" t="s">
        <v>1057</v>
      </c>
    </row>
    <row r="377" spans="1:9" x14ac:dyDescent="0.2">
      <c r="A377" s="628">
        <f t="shared" si="5"/>
        <v>372</v>
      </c>
      <c r="B377" s="643">
        <v>42674</v>
      </c>
      <c r="C377" s="644">
        <v>454151</v>
      </c>
      <c r="D377" s="644" t="s">
        <v>776</v>
      </c>
      <c r="E377" s="644" t="s">
        <v>1202</v>
      </c>
      <c r="F377" s="644" t="s">
        <v>641</v>
      </c>
      <c r="G377" s="559">
        <v>-100</v>
      </c>
      <c r="H377" s="644">
        <v>856</v>
      </c>
      <c r="I377" s="644" t="s">
        <v>1057</v>
      </c>
    </row>
    <row r="378" spans="1:9" x14ac:dyDescent="0.2">
      <c r="A378" s="628">
        <f t="shared" si="5"/>
        <v>373</v>
      </c>
      <c r="B378" s="643">
        <v>42400</v>
      </c>
      <c r="C378" s="644" t="s">
        <v>1155</v>
      </c>
      <c r="D378" s="644" t="s">
        <v>768</v>
      </c>
      <c r="E378" s="644" t="s">
        <v>1203</v>
      </c>
      <c r="F378" s="644" t="s">
        <v>918</v>
      </c>
      <c r="G378" s="559">
        <v>-8.4700000000000006</v>
      </c>
      <c r="H378" s="644">
        <v>856</v>
      </c>
      <c r="I378" s="644" t="s">
        <v>1056</v>
      </c>
    </row>
    <row r="379" spans="1:9" x14ac:dyDescent="0.2">
      <c r="A379" s="628">
        <f t="shared" si="5"/>
        <v>374</v>
      </c>
      <c r="B379" s="643">
        <v>42429</v>
      </c>
      <c r="C379" s="644" t="s">
        <v>1155</v>
      </c>
      <c r="D379" s="644" t="s">
        <v>770</v>
      </c>
      <c r="E379" s="644" t="s">
        <v>1203</v>
      </c>
      <c r="F379" s="644" t="s">
        <v>918</v>
      </c>
      <c r="G379" s="559">
        <v>-7.92</v>
      </c>
      <c r="H379" s="644">
        <v>856</v>
      </c>
      <c r="I379" s="644" t="s">
        <v>1056</v>
      </c>
    </row>
    <row r="380" spans="1:9" x14ac:dyDescent="0.2">
      <c r="A380" s="628">
        <f t="shared" si="5"/>
        <v>375</v>
      </c>
      <c r="B380" s="643">
        <v>42460</v>
      </c>
      <c r="C380" s="644" t="s">
        <v>1155</v>
      </c>
      <c r="D380" s="644" t="s">
        <v>13</v>
      </c>
      <c r="E380" s="644" t="s">
        <v>1203</v>
      </c>
      <c r="F380" s="644" t="s">
        <v>918</v>
      </c>
      <c r="G380" s="559">
        <v>-8.4700000000000006</v>
      </c>
      <c r="H380" s="644">
        <v>856</v>
      </c>
      <c r="I380" s="644" t="s">
        <v>1056</v>
      </c>
    </row>
    <row r="381" spans="1:9" x14ac:dyDescent="0.2">
      <c r="A381" s="628">
        <f t="shared" si="5"/>
        <v>376</v>
      </c>
      <c r="B381" s="643">
        <v>42490</v>
      </c>
      <c r="C381" s="644" t="s">
        <v>1155</v>
      </c>
      <c r="D381" s="644" t="s">
        <v>771</v>
      </c>
      <c r="E381" s="644" t="s">
        <v>1203</v>
      </c>
      <c r="F381" s="644" t="s">
        <v>918</v>
      </c>
      <c r="G381" s="559">
        <v>-8.1999999999999993</v>
      </c>
      <c r="H381" s="644">
        <v>856</v>
      </c>
      <c r="I381" s="644" t="s">
        <v>1056</v>
      </c>
    </row>
    <row r="382" spans="1:9" x14ac:dyDescent="0.2">
      <c r="A382" s="628">
        <f t="shared" si="5"/>
        <v>377</v>
      </c>
      <c r="B382" s="643">
        <v>42521</v>
      </c>
      <c r="C382" s="644" t="s">
        <v>1155</v>
      </c>
      <c r="D382" s="644" t="s">
        <v>772</v>
      </c>
      <c r="E382" s="644" t="s">
        <v>1203</v>
      </c>
      <c r="F382" s="644" t="s">
        <v>918</v>
      </c>
      <c r="G382" s="559">
        <v>-8.4700000000000006</v>
      </c>
      <c r="H382" s="644">
        <v>856</v>
      </c>
      <c r="I382" s="644" t="s">
        <v>1056</v>
      </c>
    </row>
    <row r="383" spans="1:9" x14ac:dyDescent="0.2">
      <c r="A383" s="628">
        <f t="shared" si="5"/>
        <v>378</v>
      </c>
      <c r="B383" s="643">
        <v>42551</v>
      </c>
      <c r="C383" s="644" t="s">
        <v>1155</v>
      </c>
      <c r="D383" s="644" t="s">
        <v>773</v>
      </c>
      <c r="E383" s="644" t="s">
        <v>1203</v>
      </c>
      <c r="F383" s="644" t="s">
        <v>918</v>
      </c>
      <c r="G383" s="559">
        <v>-8.1999999999999993</v>
      </c>
      <c r="H383" s="644">
        <v>856</v>
      </c>
      <c r="I383" s="644" t="s">
        <v>1056</v>
      </c>
    </row>
    <row r="384" spans="1:9" x14ac:dyDescent="0.2">
      <c r="A384" s="628">
        <f t="shared" si="5"/>
        <v>379</v>
      </c>
      <c r="B384" s="643">
        <v>42582</v>
      </c>
      <c r="C384" s="644" t="s">
        <v>1155</v>
      </c>
      <c r="D384" s="644" t="s">
        <v>14</v>
      </c>
      <c r="E384" s="644" t="s">
        <v>1203</v>
      </c>
      <c r="F384" s="644" t="s">
        <v>918</v>
      </c>
      <c r="G384" s="559">
        <v>-8.4700000000000006</v>
      </c>
      <c r="H384" s="644">
        <v>856</v>
      </c>
      <c r="I384" s="644" t="s">
        <v>1056</v>
      </c>
    </row>
    <row r="385" spans="1:9" x14ac:dyDescent="0.2">
      <c r="A385" s="628">
        <f t="shared" si="5"/>
        <v>380</v>
      </c>
      <c r="B385" s="643">
        <v>42613</v>
      </c>
      <c r="C385" s="644" t="s">
        <v>1155</v>
      </c>
      <c r="D385" s="644" t="s">
        <v>774</v>
      </c>
      <c r="E385" s="644" t="s">
        <v>1203</v>
      </c>
      <c r="F385" s="644" t="s">
        <v>918</v>
      </c>
      <c r="G385" s="559">
        <v>-8.4700000000000006</v>
      </c>
      <c r="H385" s="644">
        <v>856</v>
      </c>
      <c r="I385" s="644" t="s">
        <v>1056</v>
      </c>
    </row>
    <row r="386" spans="1:9" x14ac:dyDescent="0.2">
      <c r="A386" s="628">
        <f t="shared" si="5"/>
        <v>381</v>
      </c>
      <c r="B386" s="643">
        <v>42643</v>
      </c>
      <c r="C386" s="644" t="s">
        <v>1155</v>
      </c>
      <c r="D386" s="644" t="s">
        <v>775</v>
      </c>
      <c r="E386" s="644" t="s">
        <v>1203</v>
      </c>
      <c r="F386" s="644" t="s">
        <v>918</v>
      </c>
      <c r="G386" s="559">
        <v>-8.1999999999999993</v>
      </c>
      <c r="H386" s="644">
        <v>856</v>
      </c>
      <c r="I386" s="644" t="s">
        <v>1056</v>
      </c>
    </row>
    <row r="387" spans="1:9" x14ac:dyDescent="0.2">
      <c r="A387" s="628">
        <f t="shared" si="5"/>
        <v>382</v>
      </c>
      <c r="B387" s="643">
        <v>42674</v>
      </c>
      <c r="C387" s="644" t="s">
        <v>1155</v>
      </c>
      <c r="D387" s="644" t="s">
        <v>776</v>
      </c>
      <c r="E387" s="644" t="s">
        <v>1203</v>
      </c>
      <c r="F387" s="644" t="s">
        <v>918</v>
      </c>
      <c r="G387" s="559">
        <v>-8.4700000000000006</v>
      </c>
      <c r="H387" s="644">
        <v>856</v>
      </c>
      <c r="I387" s="644" t="s">
        <v>1056</v>
      </c>
    </row>
    <row r="388" spans="1:9" x14ac:dyDescent="0.2">
      <c r="A388" s="628">
        <f t="shared" si="5"/>
        <v>383</v>
      </c>
      <c r="B388" s="643">
        <v>42704</v>
      </c>
      <c r="C388" s="644" t="s">
        <v>1155</v>
      </c>
      <c r="D388" s="644" t="s">
        <v>777</v>
      </c>
      <c r="E388" s="644" t="s">
        <v>1203</v>
      </c>
      <c r="F388" s="644" t="s">
        <v>918</v>
      </c>
      <c r="G388" s="559">
        <v>-8.1999999999999993</v>
      </c>
      <c r="H388" s="644">
        <v>856</v>
      </c>
      <c r="I388" s="644" t="s">
        <v>1056</v>
      </c>
    </row>
    <row r="389" spans="1:9" x14ac:dyDescent="0.2">
      <c r="A389" s="628">
        <f t="shared" si="5"/>
        <v>384</v>
      </c>
      <c r="B389" s="643">
        <v>42735</v>
      </c>
      <c r="C389" s="644" t="s">
        <v>1155</v>
      </c>
      <c r="D389" s="644" t="s">
        <v>146</v>
      </c>
      <c r="E389" s="644" t="s">
        <v>1203</v>
      </c>
      <c r="F389" s="644" t="s">
        <v>918</v>
      </c>
      <c r="G389" s="559">
        <v>-8.4600000000000009</v>
      </c>
      <c r="H389" s="644">
        <v>856</v>
      </c>
      <c r="I389" s="644" t="s">
        <v>1056</v>
      </c>
    </row>
    <row r="390" spans="1:9" x14ac:dyDescent="0.2">
      <c r="A390" s="628">
        <f t="shared" si="5"/>
        <v>385</v>
      </c>
      <c r="B390" s="643">
        <v>42400</v>
      </c>
      <c r="C390" s="644">
        <v>454151</v>
      </c>
      <c r="D390" s="644" t="s">
        <v>768</v>
      </c>
      <c r="E390" s="644" t="s">
        <v>1204</v>
      </c>
      <c r="F390" s="644" t="s">
        <v>918</v>
      </c>
      <c r="G390" s="559">
        <v>-39.619999999999997</v>
      </c>
      <c r="H390" s="644">
        <v>856</v>
      </c>
      <c r="I390" s="644" t="s">
        <v>1056</v>
      </c>
    </row>
    <row r="391" spans="1:9" x14ac:dyDescent="0.2">
      <c r="A391" s="628">
        <f t="shared" si="5"/>
        <v>386</v>
      </c>
      <c r="B391" s="643">
        <v>42429</v>
      </c>
      <c r="C391" s="644">
        <v>454151</v>
      </c>
      <c r="D391" s="644" t="s">
        <v>770</v>
      </c>
      <c r="E391" s="644" t="s">
        <v>1204</v>
      </c>
      <c r="F391" s="644" t="s">
        <v>918</v>
      </c>
      <c r="G391" s="559">
        <v>-21.72</v>
      </c>
      <c r="H391" s="644">
        <v>856</v>
      </c>
      <c r="I391" s="644" t="s">
        <v>1056</v>
      </c>
    </row>
    <row r="392" spans="1:9" x14ac:dyDescent="0.2">
      <c r="A392" s="628">
        <f t="shared" si="5"/>
        <v>387</v>
      </c>
      <c r="B392" s="643">
        <v>42429</v>
      </c>
      <c r="C392" s="644">
        <v>454151</v>
      </c>
      <c r="D392" s="644" t="s">
        <v>770</v>
      </c>
      <c r="E392" s="644" t="s">
        <v>1204</v>
      </c>
      <c r="F392" s="644" t="s">
        <v>918</v>
      </c>
      <c r="G392" s="559">
        <v>-41.67</v>
      </c>
      <c r="H392" s="644">
        <v>856</v>
      </c>
      <c r="I392" s="644" t="s">
        <v>1056</v>
      </c>
    </row>
    <row r="393" spans="1:9" x14ac:dyDescent="0.2">
      <c r="A393" s="628">
        <f t="shared" si="5"/>
        <v>388</v>
      </c>
      <c r="B393" s="643">
        <v>42460</v>
      </c>
      <c r="C393" s="644">
        <v>454151</v>
      </c>
      <c r="D393" s="644" t="s">
        <v>13</v>
      </c>
      <c r="E393" s="644" t="s">
        <v>1204</v>
      </c>
      <c r="F393" s="644" t="s">
        <v>918</v>
      </c>
      <c r="G393" s="559">
        <v>-41.67</v>
      </c>
      <c r="H393" s="644">
        <v>856</v>
      </c>
      <c r="I393" s="644" t="s">
        <v>1056</v>
      </c>
    </row>
    <row r="394" spans="1:9" x14ac:dyDescent="0.2">
      <c r="A394" s="628">
        <f t="shared" si="5"/>
        <v>389</v>
      </c>
      <c r="B394" s="643">
        <v>42490</v>
      </c>
      <c r="C394" s="644">
        <v>454151</v>
      </c>
      <c r="D394" s="644" t="s">
        <v>771</v>
      </c>
      <c r="E394" s="644" t="s">
        <v>1204</v>
      </c>
      <c r="F394" s="644" t="s">
        <v>918</v>
      </c>
      <c r="G394" s="559">
        <v>-41.67</v>
      </c>
      <c r="H394" s="644">
        <v>856</v>
      </c>
      <c r="I394" s="644" t="s">
        <v>1056</v>
      </c>
    </row>
    <row r="395" spans="1:9" x14ac:dyDescent="0.2">
      <c r="A395" s="628">
        <f t="shared" si="5"/>
        <v>390</v>
      </c>
      <c r="B395" s="643">
        <v>42521</v>
      </c>
      <c r="C395" s="644">
        <v>454151</v>
      </c>
      <c r="D395" s="644" t="s">
        <v>772</v>
      </c>
      <c r="E395" s="644" t="s">
        <v>1204</v>
      </c>
      <c r="F395" s="644" t="s">
        <v>918</v>
      </c>
      <c r="G395" s="559">
        <v>-41.67</v>
      </c>
      <c r="H395" s="644">
        <v>856</v>
      </c>
      <c r="I395" s="644" t="s">
        <v>1056</v>
      </c>
    </row>
    <row r="396" spans="1:9" x14ac:dyDescent="0.2">
      <c r="A396" s="628">
        <f t="shared" si="5"/>
        <v>391</v>
      </c>
      <c r="B396" s="643">
        <v>42551</v>
      </c>
      <c r="C396" s="644">
        <v>454151</v>
      </c>
      <c r="D396" s="644" t="s">
        <v>773</v>
      </c>
      <c r="E396" s="644" t="s">
        <v>1204</v>
      </c>
      <c r="F396" s="644" t="s">
        <v>918</v>
      </c>
      <c r="G396" s="559">
        <v>-41.67</v>
      </c>
      <c r="H396" s="644">
        <v>856</v>
      </c>
      <c r="I396" s="644" t="s">
        <v>1056</v>
      </c>
    </row>
    <row r="397" spans="1:9" x14ac:dyDescent="0.2">
      <c r="A397" s="628">
        <f t="shared" si="5"/>
        <v>392</v>
      </c>
      <c r="B397" s="643">
        <v>42582</v>
      </c>
      <c r="C397" s="644">
        <v>454151</v>
      </c>
      <c r="D397" s="644" t="s">
        <v>14</v>
      </c>
      <c r="E397" s="644" t="s">
        <v>1204</v>
      </c>
      <c r="F397" s="644" t="s">
        <v>918</v>
      </c>
      <c r="G397" s="559">
        <v>-41.67</v>
      </c>
      <c r="H397" s="644">
        <v>856</v>
      </c>
      <c r="I397" s="644" t="s">
        <v>1056</v>
      </c>
    </row>
    <row r="398" spans="1:9" x14ac:dyDescent="0.2">
      <c r="A398" s="628">
        <f t="shared" si="5"/>
        <v>393</v>
      </c>
      <c r="B398" s="643">
        <v>42613</v>
      </c>
      <c r="C398" s="644">
        <v>454151</v>
      </c>
      <c r="D398" s="644" t="s">
        <v>774</v>
      </c>
      <c r="E398" s="644" t="s">
        <v>1204</v>
      </c>
      <c r="F398" s="644" t="s">
        <v>918</v>
      </c>
      <c r="G398" s="559">
        <v>-41.67</v>
      </c>
      <c r="H398" s="644">
        <v>856</v>
      </c>
      <c r="I398" s="644" t="s">
        <v>1056</v>
      </c>
    </row>
    <row r="399" spans="1:9" x14ac:dyDescent="0.2">
      <c r="A399" s="628">
        <f t="shared" si="5"/>
        <v>394</v>
      </c>
      <c r="B399" s="643">
        <v>42643</v>
      </c>
      <c r="C399" s="644">
        <v>454151</v>
      </c>
      <c r="D399" s="644" t="s">
        <v>775</v>
      </c>
      <c r="E399" s="644" t="s">
        <v>1204</v>
      </c>
      <c r="F399" s="644" t="s">
        <v>918</v>
      </c>
      <c r="G399" s="559">
        <v>-41.67</v>
      </c>
      <c r="H399" s="644">
        <v>856</v>
      </c>
      <c r="I399" s="644" t="s">
        <v>1056</v>
      </c>
    </row>
    <row r="400" spans="1:9" x14ac:dyDescent="0.2">
      <c r="A400" s="628">
        <f t="shared" si="5"/>
        <v>395</v>
      </c>
      <c r="B400" s="643">
        <v>42674</v>
      </c>
      <c r="C400" s="644">
        <v>454151</v>
      </c>
      <c r="D400" s="644" t="s">
        <v>776</v>
      </c>
      <c r="E400" s="644" t="s">
        <v>1204</v>
      </c>
      <c r="F400" s="644" t="s">
        <v>918</v>
      </c>
      <c r="G400" s="559">
        <v>-41.67</v>
      </c>
      <c r="H400" s="644">
        <v>856</v>
      </c>
      <c r="I400" s="644" t="s">
        <v>1056</v>
      </c>
    </row>
    <row r="401" spans="1:9" x14ac:dyDescent="0.2">
      <c r="A401" s="628">
        <f t="shared" si="5"/>
        <v>396</v>
      </c>
      <c r="B401" s="643">
        <v>42704</v>
      </c>
      <c r="C401" s="644">
        <v>454151</v>
      </c>
      <c r="D401" s="644" t="s">
        <v>777</v>
      </c>
      <c r="E401" s="644" t="s">
        <v>1204</v>
      </c>
      <c r="F401" s="644" t="s">
        <v>918</v>
      </c>
      <c r="G401" s="559">
        <v>-41.67</v>
      </c>
      <c r="H401" s="644">
        <v>856</v>
      </c>
      <c r="I401" s="644" t="s">
        <v>1056</v>
      </c>
    </row>
    <row r="402" spans="1:9" x14ac:dyDescent="0.2">
      <c r="A402" s="628">
        <f t="shared" si="5"/>
        <v>397</v>
      </c>
      <c r="B402" s="643">
        <v>42735</v>
      </c>
      <c r="C402" s="644">
        <v>454151</v>
      </c>
      <c r="D402" s="644" t="s">
        <v>146</v>
      </c>
      <c r="E402" s="644" t="s">
        <v>1204</v>
      </c>
      <c r="F402" s="644" t="s">
        <v>918</v>
      </c>
      <c r="G402" s="559">
        <v>-41.67</v>
      </c>
      <c r="H402" s="644">
        <v>856</v>
      </c>
      <c r="I402" s="644" t="s">
        <v>1056</v>
      </c>
    </row>
    <row r="403" spans="1:9" x14ac:dyDescent="0.2">
      <c r="A403" s="628">
        <f t="shared" si="5"/>
        <v>398</v>
      </c>
      <c r="B403" s="643">
        <v>42400</v>
      </c>
      <c r="C403" s="644">
        <v>454151</v>
      </c>
      <c r="D403" s="644" t="s">
        <v>768</v>
      </c>
      <c r="E403" s="644" t="s">
        <v>1205</v>
      </c>
      <c r="F403" s="644" t="s">
        <v>918</v>
      </c>
      <c r="G403" s="559">
        <v>-66.52</v>
      </c>
      <c r="H403" s="644">
        <v>856</v>
      </c>
      <c r="I403" s="644" t="s">
        <v>1056</v>
      </c>
    </row>
    <row r="404" spans="1:9" x14ac:dyDescent="0.2">
      <c r="A404" s="628">
        <f t="shared" si="5"/>
        <v>399</v>
      </c>
      <c r="B404" s="643">
        <v>42429</v>
      </c>
      <c r="C404" s="644">
        <v>454151</v>
      </c>
      <c r="D404" s="644" t="s">
        <v>770</v>
      </c>
      <c r="E404" s="644" t="s">
        <v>1205</v>
      </c>
      <c r="F404" s="644" t="s">
        <v>918</v>
      </c>
      <c r="G404" s="559">
        <v>-36.479999999999997</v>
      </c>
      <c r="H404" s="644">
        <v>856</v>
      </c>
      <c r="I404" s="644" t="s">
        <v>1056</v>
      </c>
    </row>
    <row r="405" spans="1:9" x14ac:dyDescent="0.2">
      <c r="A405" s="628">
        <f t="shared" si="5"/>
        <v>400</v>
      </c>
      <c r="B405" s="643">
        <v>42429</v>
      </c>
      <c r="C405" s="644">
        <v>454151</v>
      </c>
      <c r="D405" s="644" t="s">
        <v>770</v>
      </c>
      <c r="E405" s="644" t="s">
        <v>1205</v>
      </c>
      <c r="F405" s="644" t="s">
        <v>918</v>
      </c>
      <c r="G405" s="559">
        <v>-66.67</v>
      </c>
      <c r="H405" s="644">
        <v>856</v>
      </c>
      <c r="I405" s="644" t="s">
        <v>1056</v>
      </c>
    </row>
    <row r="406" spans="1:9" x14ac:dyDescent="0.2">
      <c r="A406" s="628">
        <f t="shared" si="5"/>
        <v>401</v>
      </c>
      <c r="B406" s="643">
        <v>42460</v>
      </c>
      <c r="C406" s="644">
        <v>454151</v>
      </c>
      <c r="D406" s="644" t="s">
        <v>13</v>
      </c>
      <c r="E406" s="644" t="s">
        <v>1205</v>
      </c>
      <c r="F406" s="644" t="s">
        <v>918</v>
      </c>
      <c r="G406" s="559">
        <v>-66.67</v>
      </c>
      <c r="H406" s="644">
        <v>856</v>
      </c>
      <c r="I406" s="644" t="s">
        <v>1056</v>
      </c>
    </row>
    <row r="407" spans="1:9" x14ac:dyDescent="0.2">
      <c r="A407" s="628">
        <f t="shared" ref="A407:A470" si="6">A406+1</f>
        <v>402</v>
      </c>
      <c r="B407" s="643">
        <v>42490</v>
      </c>
      <c r="C407" s="644">
        <v>454151</v>
      </c>
      <c r="D407" s="644" t="s">
        <v>771</v>
      </c>
      <c r="E407" s="644" t="s">
        <v>1205</v>
      </c>
      <c r="F407" s="644" t="s">
        <v>918</v>
      </c>
      <c r="G407" s="559">
        <v>-66.67</v>
      </c>
      <c r="H407" s="644">
        <v>856</v>
      </c>
      <c r="I407" s="644" t="s">
        <v>1056</v>
      </c>
    </row>
    <row r="408" spans="1:9" x14ac:dyDescent="0.2">
      <c r="A408" s="628">
        <f t="shared" si="6"/>
        <v>403</v>
      </c>
      <c r="B408" s="643">
        <v>42521</v>
      </c>
      <c r="C408" s="644">
        <v>454151</v>
      </c>
      <c r="D408" s="644" t="s">
        <v>772</v>
      </c>
      <c r="E408" s="644" t="s">
        <v>1205</v>
      </c>
      <c r="F408" s="644" t="s">
        <v>918</v>
      </c>
      <c r="G408" s="559">
        <v>-66.67</v>
      </c>
      <c r="H408" s="644">
        <v>856</v>
      </c>
      <c r="I408" s="644" t="s">
        <v>1056</v>
      </c>
    </row>
    <row r="409" spans="1:9" x14ac:dyDescent="0.2">
      <c r="A409" s="628">
        <f t="shared" si="6"/>
        <v>404</v>
      </c>
      <c r="B409" s="643">
        <v>42551</v>
      </c>
      <c r="C409" s="644">
        <v>454151</v>
      </c>
      <c r="D409" s="644" t="s">
        <v>773</v>
      </c>
      <c r="E409" s="644" t="s">
        <v>1205</v>
      </c>
      <c r="F409" s="644" t="s">
        <v>918</v>
      </c>
      <c r="G409" s="559">
        <v>-66.67</v>
      </c>
      <c r="H409" s="644">
        <v>856</v>
      </c>
      <c r="I409" s="644" t="s">
        <v>1056</v>
      </c>
    </row>
    <row r="410" spans="1:9" x14ac:dyDescent="0.2">
      <c r="A410" s="628">
        <f t="shared" si="6"/>
        <v>405</v>
      </c>
      <c r="B410" s="643">
        <v>42582</v>
      </c>
      <c r="C410" s="644">
        <v>454151</v>
      </c>
      <c r="D410" s="644" t="s">
        <v>14</v>
      </c>
      <c r="E410" s="644" t="s">
        <v>1205</v>
      </c>
      <c r="F410" s="644" t="s">
        <v>918</v>
      </c>
      <c r="G410" s="559">
        <v>-66.67</v>
      </c>
      <c r="H410" s="644">
        <v>856</v>
      </c>
      <c r="I410" s="644" t="s">
        <v>1056</v>
      </c>
    </row>
    <row r="411" spans="1:9" x14ac:dyDescent="0.2">
      <c r="A411" s="628">
        <f t="shared" si="6"/>
        <v>406</v>
      </c>
      <c r="B411" s="643">
        <v>42613</v>
      </c>
      <c r="C411" s="644">
        <v>454151</v>
      </c>
      <c r="D411" s="644" t="s">
        <v>774</v>
      </c>
      <c r="E411" s="644" t="s">
        <v>1205</v>
      </c>
      <c r="F411" s="644" t="s">
        <v>918</v>
      </c>
      <c r="G411" s="559">
        <v>-66.67</v>
      </c>
      <c r="H411" s="644">
        <v>856</v>
      </c>
      <c r="I411" s="644" t="s">
        <v>1056</v>
      </c>
    </row>
    <row r="412" spans="1:9" x14ac:dyDescent="0.2">
      <c r="A412" s="628">
        <f t="shared" si="6"/>
        <v>407</v>
      </c>
      <c r="B412" s="643">
        <v>42643</v>
      </c>
      <c r="C412" s="644">
        <v>454151</v>
      </c>
      <c r="D412" s="644" t="s">
        <v>775</v>
      </c>
      <c r="E412" s="644" t="s">
        <v>1205</v>
      </c>
      <c r="F412" s="644" t="s">
        <v>918</v>
      </c>
      <c r="G412" s="559">
        <v>-66.67</v>
      </c>
      <c r="H412" s="644">
        <v>856</v>
      </c>
      <c r="I412" s="644" t="s">
        <v>1056</v>
      </c>
    </row>
    <row r="413" spans="1:9" x14ac:dyDescent="0.2">
      <c r="A413" s="628">
        <f t="shared" si="6"/>
        <v>408</v>
      </c>
      <c r="B413" s="643">
        <v>42674</v>
      </c>
      <c r="C413" s="644">
        <v>454151</v>
      </c>
      <c r="D413" s="644" t="s">
        <v>776</v>
      </c>
      <c r="E413" s="644" t="s">
        <v>1205</v>
      </c>
      <c r="F413" s="644" t="s">
        <v>918</v>
      </c>
      <c r="G413" s="559">
        <v>-66.67</v>
      </c>
      <c r="H413" s="644">
        <v>856</v>
      </c>
      <c r="I413" s="644" t="s">
        <v>1056</v>
      </c>
    </row>
    <row r="414" spans="1:9" x14ac:dyDescent="0.2">
      <c r="A414" s="628">
        <f t="shared" si="6"/>
        <v>409</v>
      </c>
      <c r="B414" s="643">
        <v>42704</v>
      </c>
      <c r="C414" s="644">
        <v>454151</v>
      </c>
      <c r="D414" s="644" t="s">
        <v>777</v>
      </c>
      <c r="E414" s="644" t="s">
        <v>1205</v>
      </c>
      <c r="F414" s="644" t="s">
        <v>918</v>
      </c>
      <c r="G414" s="559">
        <v>-66.67</v>
      </c>
      <c r="H414" s="644">
        <v>856</v>
      </c>
      <c r="I414" s="644" t="s">
        <v>1056</v>
      </c>
    </row>
    <row r="415" spans="1:9" x14ac:dyDescent="0.2">
      <c r="A415" s="628">
        <f t="shared" si="6"/>
        <v>410</v>
      </c>
      <c r="B415" s="643">
        <v>42735</v>
      </c>
      <c r="C415" s="644">
        <v>454151</v>
      </c>
      <c r="D415" s="644" t="s">
        <v>146</v>
      </c>
      <c r="E415" s="644" t="s">
        <v>1205</v>
      </c>
      <c r="F415" s="644" t="s">
        <v>918</v>
      </c>
      <c r="G415" s="559">
        <v>-66.67</v>
      </c>
      <c r="H415" s="644">
        <v>856</v>
      </c>
      <c r="I415" s="644" t="s">
        <v>1056</v>
      </c>
    </row>
    <row r="416" spans="1:9" x14ac:dyDescent="0.2">
      <c r="A416" s="628">
        <f t="shared" si="6"/>
        <v>411</v>
      </c>
      <c r="B416" s="643">
        <v>42460</v>
      </c>
      <c r="C416" s="644">
        <v>454151</v>
      </c>
      <c r="D416" s="644" t="s">
        <v>13</v>
      </c>
      <c r="E416" s="644" t="s">
        <v>1016</v>
      </c>
      <c r="F416" s="644" t="s">
        <v>693</v>
      </c>
      <c r="G416" s="559">
        <v>-1105</v>
      </c>
      <c r="H416" s="644">
        <v>856</v>
      </c>
      <c r="I416" s="644" t="s">
        <v>1056</v>
      </c>
    </row>
    <row r="417" spans="1:9" x14ac:dyDescent="0.2">
      <c r="A417" s="628">
        <f t="shared" si="6"/>
        <v>412</v>
      </c>
      <c r="B417" s="643">
        <v>42735</v>
      </c>
      <c r="C417" s="644">
        <v>454151</v>
      </c>
      <c r="D417" s="644" t="s">
        <v>146</v>
      </c>
      <c r="E417" s="644" t="s">
        <v>1016</v>
      </c>
      <c r="F417" s="644" t="s">
        <v>693</v>
      </c>
      <c r="G417" s="559">
        <v>-1105</v>
      </c>
      <c r="H417" s="644">
        <v>856</v>
      </c>
      <c r="I417" s="644" t="s">
        <v>1056</v>
      </c>
    </row>
    <row r="418" spans="1:9" x14ac:dyDescent="0.2">
      <c r="A418" s="628">
        <f t="shared" si="6"/>
        <v>413</v>
      </c>
      <c r="B418" s="643">
        <v>42400</v>
      </c>
      <c r="C418" s="644">
        <v>454151</v>
      </c>
      <c r="D418" s="644" t="s">
        <v>768</v>
      </c>
      <c r="E418" s="644" t="s">
        <v>1017</v>
      </c>
      <c r="F418" s="644" t="s">
        <v>918</v>
      </c>
      <c r="G418" s="559">
        <v>-150</v>
      </c>
      <c r="H418" s="644">
        <v>856</v>
      </c>
      <c r="I418" s="644" t="s">
        <v>1056</v>
      </c>
    </row>
    <row r="419" spans="1:9" x14ac:dyDescent="0.2">
      <c r="A419" s="628">
        <f t="shared" si="6"/>
        <v>414</v>
      </c>
      <c r="B419" s="643">
        <v>42429</v>
      </c>
      <c r="C419" s="644">
        <v>454151</v>
      </c>
      <c r="D419" s="644" t="s">
        <v>770</v>
      </c>
      <c r="E419" s="644" t="s">
        <v>1017</v>
      </c>
      <c r="F419" s="644" t="s">
        <v>918</v>
      </c>
      <c r="G419" s="559">
        <v>-150</v>
      </c>
      <c r="H419" s="644">
        <v>856</v>
      </c>
      <c r="I419" s="644" t="s">
        <v>1056</v>
      </c>
    </row>
    <row r="420" spans="1:9" x14ac:dyDescent="0.2">
      <c r="A420" s="628">
        <f t="shared" si="6"/>
        <v>415</v>
      </c>
      <c r="B420" s="643">
        <v>42460</v>
      </c>
      <c r="C420" s="644">
        <v>454151</v>
      </c>
      <c r="D420" s="644" t="s">
        <v>13</v>
      </c>
      <c r="E420" s="644" t="s">
        <v>1017</v>
      </c>
      <c r="F420" s="644" t="s">
        <v>918</v>
      </c>
      <c r="G420" s="559">
        <v>-150</v>
      </c>
      <c r="H420" s="644">
        <v>856</v>
      </c>
      <c r="I420" s="644" t="s">
        <v>1056</v>
      </c>
    </row>
    <row r="421" spans="1:9" x14ac:dyDescent="0.2">
      <c r="A421" s="628">
        <f t="shared" si="6"/>
        <v>416</v>
      </c>
      <c r="B421" s="643">
        <v>42490</v>
      </c>
      <c r="C421" s="644">
        <v>454151</v>
      </c>
      <c r="D421" s="644" t="s">
        <v>771</v>
      </c>
      <c r="E421" s="644" t="s">
        <v>1017</v>
      </c>
      <c r="F421" s="644" t="s">
        <v>918</v>
      </c>
      <c r="G421" s="559">
        <v>-150</v>
      </c>
      <c r="H421" s="644">
        <v>856</v>
      </c>
      <c r="I421" s="644" t="s">
        <v>1056</v>
      </c>
    </row>
    <row r="422" spans="1:9" x14ac:dyDescent="0.2">
      <c r="A422" s="628">
        <f t="shared" si="6"/>
        <v>417</v>
      </c>
      <c r="B422" s="643">
        <v>42521</v>
      </c>
      <c r="C422" s="644">
        <v>454151</v>
      </c>
      <c r="D422" s="644" t="s">
        <v>772</v>
      </c>
      <c r="E422" s="644" t="s">
        <v>1017</v>
      </c>
      <c r="F422" s="644" t="s">
        <v>918</v>
      </c>
      <c r="G422" s="559">
        <v>-150</v>
      </c>
      <c r="H422" s="644">
        <v>856</v>
      </c>
      <c r="I422" s="644" t="s">
        <v>1056</v>
      </c>
    </row>
    <row r="423" spans="1:9" x14ac:dyDescent="0.2">
      <c r="A423" s="628">
        <f t="shared" si="6"/>
        <v>418</v>
      </c>
      <c r="B423" s="643">
        <v>42551</v>
      </c>
      <c r="C423" s="644">
        <v>454151</v>
      </c>
      <c r="D423" s="644" t="s">
        <v>773</v>
      </c>
      <c r="E423" s="644" t="s">
        <v>1017</v>
      </c>
      <c r="F423" s="644" t="s">
        <v>918</v>
      </c>
      <c r="G423" s="559">
        <v>-147.94999999999999</v>
      </c>
      <c r="H423" s="644">
        <v>856</v>
      </c>
      <c r="I423" s="644" t="s">
        <v>1056</v>
      </c>
    </row>
    <row r="424" spans="1:9" x14ac:dyDescent="0.2">
      <c r="A424" s="628">
        <f t="shared" si="6"/>
        <v>419</v>
      </c>
      <c r="B424" s="643">
        <v>42582</v>
      </c>
      <c r="C424" s="644">
        <v>454151</v>
      </c>
      <c r="D424" s="644" t="s">
        <v>14</v>
      </c>
      <c r="E424" s="644" t="s">
        <v>1017</v>
      </c>
      <c r="F424" s="644" t="s">
        <v>918</v>
      </c>
      <c r="G424" s="559">
        <v>-152.88</v>
      </c>
      <c r="H424" s="644">
        <v>856</v>
      </c>
      <c r="I424" s="644" t="s">
        <v>1056</v>
      </c>
    </row>
    <row r="425" spans="1:9" x14ac:dyDescent="0.2">
      <c r="A425" s="628">
        <f t="shared" si="6"/>
        <v>420</v>
      </c>
      <c r="B425" s="643">
        <v>42613</v>
      </c>
      <c r="C425" s="644">
        <v>454151</v>
      </c>
      <c r="D425" s="644" t="s">
        <v>774</v>
      </c>
      <c r="E425" s="644" t="s">
        <v>1017</v>
      </c>
      <c r="F425" s="644" t="s">
        <v>918</v>
      </c>
      <c r="G425" s="559">
        <v>-152.88</v>
      </c>
      <c r="H425" s="644">
        <v>856</v>
      </c>
      <c r="I425" s="644" t="s">
        <v>1056</v>
      </c>
    </row>
    <row r="426" spans="1:9" x14ac:dyDescent="0.2">
      <c r="A426" s="628">
        <f t="shared" si="6"/>
        <v>421</v>
      </c>
      <c r="B426" s="643">
        <v>42643</v>
      </c>
      <c r="C426" s="644">
        <v>454151</v>
      </c>
      <c r="D426" s="644" t="s">
        <v>775</v>
      </c>
      <c r="E426" s="644" t="s">
        <v>1017</v>
      </c>
      <c r="F426" s="644" t="s">
        <v>918</v>
      </c>
      <c r="G426" s="559">
        <v>-147.94999999999999</v>
      </c>
      <c r="H426" s="644">
        <v>856</v>
      </c>
      <c r="I426" s="644" t="s">
        <v>1056</v>
      </c>
    </row>
    <row r="427" spans="1:9" x14ac:dyDescent="0.2">
      <c r="A427" s="628">
        <f t="shared" si="6"/>
        <v>422</v>
      </c>
      <c r="B427" s="643">
        <v>42674</v>
      </c>
      <c r="C427" s="644">
        <v>454151</v>
      </c>
      <c r="D427" s="644" t="s">
        <v>776</v>
      </c>
      <c r="E427" s="644" t="s">
        <v>1017</v>
      </c>
      <c r="F427" s="644" t="s">
        <v>918</v>
      </c>
      <c r="G427" s="559">
        <v>-152.88</v>
      </c>
      <c r="H427" s="644">
        <v>856</v>
      </c>
      <c r="I427" s="644" t="s">
        <v>1056</v>
      </c>
    </row>
    <row r="428" spans="1:9" x14ac:dyDescent="0.2">
      <c r="A428" s="628">
        <f t="shared" si="6"/>
        <v>423</v>
      </c>
      <c r="B428" s="643">
        <v>42704</v>
      </c>
      <c r="C428" s="644">
        <v>454151</v>
      </c>
      <c r="D428" s="644" t="s">
        <v>777</v>
      </c>
      <c r="E428" s="644" t="s">
        <v>1017</v>
      </c>
      <c r="F428" s="644" t="s">
        <v>918</v>
      </c>
      <c r="G428" s="559">
        <v>-147.94999999999999</v>
      </c>
      <c r="H428" s="644">
        <v>856</v>
      </c>
      <c r="I428" s="644" t="s">
        <v>1056</v>
      </c>
    </row>
    <row r="429" spans="1:9" x14ac:dyDescent="0.2">
      <c r="A429" s="628">
        <f t="shared" si="6"/>
        <v>424</v>
      </c>
      <c r="B429" s="643">
        <v>42735</v>
      </c>
      <c r="C429" s="644">
        <v>454151</v>
      </c>
      <c r="D429" s="644" t="s">
        <v>146</v>
      </c>
      <c r="E429" s="644" t="s">
        <v>1017</v>
      </c>
      <c r="F429" s="644" t="s">
        <v>918</v>
      </c>
      <c r="G429" s="559">
        <v>-152.88</v>
      </c>
      <c r="H429" s="644">
        <v>856</v>
      </c>
      <c r="I429" s="644" t="s">
        <v>1056</v>
      </c>
    </row>
    <row r="430" spans="1:9" x14ac:dyDescent="0.2">
      <c r="A430" s="628">
        <f t="shared" si="6"/>
        <v>425</v>
      </c>
      <c r="B430" s="643">
        <v>42400</v>
      </c>
      <c r="C430" s="644" t="s">
        <v>1155</v>
      </c>
      <c r="D430" s="644" t="s">
        <v>768</v>
      </c>
      <c r="E430" s="644" t="s">
        <v>1017</v>
      </c>
      <c r="F430" s="644" t="s">
        <v>918</v>
      </c>
      <c r="G430" s="559">
        <v>-179.62666666666667</v>
      </c>
      <c r="H430" s="644">
        <v>856</v>
      </c>
      <c r="I430" s="644" t="s">
        <v>1056</v>
      </c>
    </row>
    <row r="431" spans="1:9" x14ac:dyDescent="0.2">
      <c r="A431" s="628">
        <f t="shared" si="6"/>
        <v>426</v>
      </c>
      <c r="B431" s="643">
        <v>42400</v>
      </c>
      <c r="C431" s="644" t="s">
        <v>1155</v>
      </c>
      <c r="D431" s="644" t="s">
        <v>768</v>
      </c>
      <c r="E431" s="644" t="s">
        <v>1017</v>
      </c>
      <c r="F431" s="644" t="s">
        <v>918</v>
      </c>
      <c r="G431" s="559">
        <v>-41.666000000000004</v>
      </c>
      <c r="H431" s="644">
        <v>856</v>
      </c>
      <c r="I431" s="644" t="s">
        <v>1056</v>
      </c>
    </row>
    <row r="432" spans="1:9" x14ac:dyDescent="0.2">
      <c r="A432" s="628">
        <f t="shared" si="6"/>
        <v>427</v>
      </c>
      <c r="B432" s="643">
        <v>42400</v>
      </c>
      <c r="C432" s="644" t="s">
        <v>1155</v>
      </c>
      <c r="D432" s="644" t="s">
        <v>768</v>
      </c>
      <c r="E432" s="644" t="s">
        <v>1017</v>
      </c>
      <c r="F432" s="644" t="s">
        <v>918</v>
      </c>
      <c r="G432" s="559">
        <v>-369.83</v>
      </c>
      <c r="H432" s="644">
        <v>856</v>
      </c>
      <c r="I432" s="644" t="s">
        <v>1056</v>
      </c>
    </row>
    <row r="433" spans="1:9" x14ac:dyDescent="0.2">
      <c r="A433" s="628">
        <f t="shared" si="6"/>
        <v>428</v>
      </c>
      <c r="B433" s="643">
        <v>42429</v>
      </c>
      <c r="C433" s="644" t="s">
        <v>1155</v>
      </c>
      <c r="D433" s="644" t="s">
        <v>770</v>
      </c>
      <c r="E433" s="644" t="s">
        <v>1017</v>
      </c>
      <c r="F433" s="644" t="s">
        <v>918</v>
      </c>
      <c r="G433" s="559">
        <v>-179.62666666666667</v>
      </c>
      <c r="H433" s="644">
        <v>856</v>
      </c>
      <c r="I433" s="644" t="s">
        <v>1056</v>
      </c>
    </row>
    <row r="434" spans="1:9" x14ac:dyDescent="0.2">
      <c r="A434" s="628">
        <f t="shared" si="6"/>
        <v>429</v>
      </c>
      <c r="B434" s="643">
        <v>42429</v>
      </c>
      <c r="C434" s="644" t="s">
        <v>1155</v>
      </c>
      <c r="D434" s="644" t="s">
        <v>770</v>
      </c>
      <c r="E434" s="644" t="s">
        <v>1017</v>
      </c>
      <c r="F434" s="644" t="s">
        <v>918</v>
      </c>
      <c r="G434" s="559">
        <v>-41.666000000000004</v>
      </c>
      <c r="H434" s="644">
        <v>856</v>
      </c>
      <c r="I434" s="644" t="s">
        <v>1056</v>
      </c>
    </row>
    <row r="435" spans="1:9" x14ac:dyDescent="0.2">
      <c r="A435" s="628">
        <f t="shared" si="6"/>
        <v>430</v>
      </c>
      <c r="B435" s="643">
        <v>42429</v>
      </c>
      <c r="C435" s="644" t="s">
        <v>1155</v>
      </c>
      <c r="D435" s="644" t="s">
        <v>770</v>
      </c>
      <c r="E435" s="644" t="s">
        <v>1017</v>
      </c>
      <c r="F435" s="644" t="s">
        <v>918</v>
      </c>
      <c r="G435" s="559">
        <v>-345.97</v>
      </c>
      <c r="H435" s="644">
        <v>856</v>
      </c>
      <c r="I435" s="644" t="s">
        <v>1056</v>
      </c>
    </row>
    <row r="436" spans="1:9" x14ac:dyDescent="0.2">
      <c r="A436" s="628">
        <f t="shared" si="6"/>
        <v>431</v>
      </c>
      <c r="B436" s="643">
        <v>42460</v>
      </c>
      <c r="C436" s="644" t="s">
        <v>1155</v>
      </c>
      <c r="D436" s="644" t="s">
        <v>13</v>
      </c>
      <c r="E436" s="644" t="s">
        <v>1017</v>
      </c>
      <c r="F436" s="644" t="s">
        <v>918</v>
      </c>
      <c r="G436" s="559">
        <v>-179.62666666666667</v>
      </c>
      <c r="H436" s="644">
        <v>856</v>
      </c>
      <c r="I436" s="644" t="s">
        <v>1056</v>
      </c>
    </row>
    <row r="437" spans="1:9" x14ac:dyDescent="0.2">
      <c r="A437" s="628">
        <f t="shared" si="6"/>
        <v>432</v>
      </c>
      <c r="B437" s="643">
        <v>42460</v>
      </c>
      <c r="C437" s="644" t="s">
        <v>1155</v>
      </c>
      <c r="D437" s="644" t="s">
        <v>13</v>
      </c>
      <c r="E437" s="644" t="s">
        <v>1017</v>
      </c>
      <c r="F437" s="644" t="s">
        <v>918</v>
      </c>
      <c r="G437" s="559">
        <v>-41.666000000000004</v>
      </c>
      <c r="H437" s="644">
        <v>856</v>
      </c>
      <c r="I437" s="644" t="s">
        <v>1056</v>
      </c>
    </row>
    <row r="438" spans="1:9" x14ac:dyDescent="0.2">
      <c r="A438" s="628">
        <f t="shared" si="6"/>
        <v>433</v>
      </c>
      <c r="B438" s="643">
        <v>42460</v>
      </c>
      <c r="C438" s="644" t="s">
        <v>1155</v>
      </c>
      <c r="D438" s="644" t="s">
        <v>13</v>
      </c>
      <c r="E438" s="644" t="s">
        <v>1017</v>
      </c>
      <c r="F438" s="644" t="s">
        <v>918</v>
      </c>
      <c r="G438" s="559">
        <v>-369.83</v>
      </c>
      <c r="H438" s="644">
        <v>856</v>
      </c>
      <c r="I438" s="644" t="s">
        <v>1056</v>
      </c>
    </row>
    <row r="439" spans="1:9" x14ac:dyDescent="0.2">
      <c r="A439" s="628">
        <f t="shared" si="6"/>
        <v>434</v>
      </c>
      <c r="B439" s="643">
        <v>42490</v>
      </c>
      <c r="C439" s="644" t="s">
        <v>1155</v>
      </c>
      <c r="D439" s="644" t="s">
        <v>771</v>
      </c>
      <c r="E439" s="644" t="s">
        <v>1017</v>
      </c>
      <c r="F439" s="644" t="s">
        <v>918</v>
      </c>
      <c r="G439" s="559">
        <v>-41.666000000000004</v>
      </c>
      <c r="H439" s="644">
        <v>856</v>
      </c>
      <c r="I439" s="644" t="s">
        <v>1056</v>
      </c>
    </row>
    <row r="440" spans="1:9" x14ac:dyDescent="0.2">
      <c r="A440" s="628">
        <f t="shared" si="6"/>
        <v>435</v>
      </c>
      <c r="B440" s="643">
        <v>42490</v>
      </c>
      <c r="C440" s="644" t="s">
        <v>1155</v>
      </c>
      <c r="D440" s="644" t="s">
        <v>771</v>
      </c>
      <c r="E440" s="644" t="s">
        <v>1017</v>
      </c>
      <c r="F440" s="644" t="s">
        <v>918</v>
      </c>
      <c r="G440" s="559">
        <v>-357.9</v>
      </c>
      <c r="H440" s="644">
        <v>856</v>
      </c>
      <c r="I440" s="644" t="s">
        <v>1056</v>
      </c>
    </row>
    <row r="441" spans="1:9" x14ac:dyDescent="0.2">
      <c r="A441" s="628">
        <f t="shared" si="6"/>
        <v>436</v>
      </c>
      <c r="B441" s="643">
        <v>42490</v>
      </c>
      <c r="C441" s="644" t="s">
        <v>1155</v>
      </c>
      <c r="D441" s="644" t="s">
        <v>771</v>
      </c>
      <c r="E441" s="644" t="s">
        <v>1017</v>
      </c>
      <c r="F441" s="644" t="s">
        <v>918</v>
      </c>
      <c r="G441" s="559">
        <v>-179.63</v>
      </c>
      <c r="H441" s="644">
        <v>856</v>
      </c>
      <c r="I441" s="644" t="s">
        <v>1056</v>
      </c>
    </row>
    <row r="442" spans="1:9" x14ac:dyDescent="0.2">
      <c r="A442" s="628">
        <f t="shared" si="6"/>
        <v>437</v>
      </c>
      <c r="B442" s="643">
        <v>42521</v>
      </c>
      <c r="C442" s="644" t="s">
        <v>1155</v>
      </c>
      <c r="D442" s="644" t="s">
        <v>772</v>
      </c>
      <c r="E442" s="644" t="s">
        <v>1017</v>
      </c>
      <c r="F442" s="644" t="s">
        <v>918</v>
      </c>
      <c r="G442" s="559">
        <v>-41.666000000000004</v>
      </c>
      <c r="H442" s="644">
        <v>856</v>
      </c>
      <c r="I442" s="644" t="s">
        <v>1056</v>
      </c>
    </row>
    <row r="443" spans="1:9" x14ac:dyDescent="0.2">
      <c r="A443" s="628">
        <f t="shared" si="6"/>
        <v>438</v>
      </c>
      <c r="B443" s="643">
        <v>42521</v>
      </c>
      <c r="C443" s="644" t="s">
        <v>1155</v>
      </c>
      <c r="D443" s="644" t="s">
        <v>772</v>
      </c>
      <c r="E443" s="644" t="s">
        <v>1017</v>
      </c>
      <c r="F443" s="644" t="s">
        <v>918</v>
      </c>
      <c r="G443" s="559">
        <v>-369.83</v>
      </c>
      <c r="H443" s="644">
        <v>856</v>
      </c>
      <c r="I443" s="644" t="s">
        <v>1056</v>
      </c>
    </row>
    <row r="444" spans="1:9" x14ac:dyDescent="0.2">
      <c r="A444" s="628">
        <f t="shared" si="6"/>
        <v>439</v>
      </c>
      <c r="B444" s="643">
        <v>42521</v>
      </c>
      <c r="C444" s="644" t="s">
        <v>1155</v>
      </c>
      <c r="D444" s="644" t="s">
        <v>772</v>
      </c>
      <c r="E444" s="644" t="s">
        <v>1017</v>
      </c>
      <c r="F444" s="644" t="s">
        <v>918</v>
      </c>
      <c r="G444" s="559">
        <v>-185.61</v>
      </c>
      <c r="H444" s="644">
        <v>856</v>
      </c>
      <c r="I444" s="644" t="s">
        <v>1056</v>
      </c>
    </row>
    <row r="445" spans="1:9" x14ac:dyDescent="0.2">
      <c r="A445" s="628">
        <f t="shared" si="6"/>
        <v>440</v>
      </c>
      <c r="B445" s="643">
        <v>42551</v>
      </c>
      <c r="C445" s="644" t="s">
        <v>1155</v>
      </c>
      <c r="D445" s="644" t="s">
        <v>773</v>
      </c>
      <c r="E445" s="644" t="s">
        <v>1017</v>
      </c>
      <c r="F445" s="644" t="s">
        <v>918</v>
      </c>
      <c r="G445" s="559">
        <v>-357.9</v>
      </c>
      <c r="H445" s="644">
        <v>856</v>
      </c>
      <c r="I445" s="644" t="s">
        <v>1056</v>
      </c>
    </row>
    <row r="446" spans="1:9" x14ac:dyDescent="0.2">
      <c r="A446" s="628">
        <f t="shared" si="6"/>
        <v>441</v>
      </c>
      <c r="B446" s="643">
        <v>42551</v>
      </c>
      <c r="C446" s="644" t="s">
        <v>1155</v>
      </c>
      <c r="D446" s="644" t="s">
        <v>773</v>
      </c>
      <c r="E446" s="644" t="s">
        <v>1017</v>
      </c>
      <c r="F446" s="644" t="s">
        <v>918</v>
      </c>
      <c r="G446" s="559">
        <v>-179.63</v>
      </c>
      <c r="H446" s="644">
        <v>856</v>
      </c>
      <c r="I446" s="644" t="s">
        <v>1056</v>
      </c>
    </row>
    <row r="447" spans="1:9" x14ac:dyDescent="0.2">
      <c r="A447" s="628">
        <f t="shared" si="6"/>
        <v>442</v>
      </c>
      <c r="B447" s="643">
        <v>42551</v>
      </c>
      <c r="C447" s="644" t="s">
        <v>1155</v>
      </c>
      <c r="D447" s="644" t="s">
        <v>773</v>
      </c>
      <c r="E447" s="644" t="s">
        <v>1017</v>
      </c>
      <c r="F447" s="644" t="s">
        <v>918</v>
      </c>
      <c r="G447" s="559">
        <v>-41.1</v>
      </c>
      <c r="H447" s="644">
        <v>856</v>
      </c>
      <c r="I447" s="644" t="s">
        <v>1056</v>
      </c>
    </row>
    <row r="448" spans="1:9" x14ac:dyDescent="0.2">
      <c r="A448" s="628">
        <f t="shared" si="6"/>
        <v>443</v>
      </c>
      <c r="B448" s="643">
        <v>42551</v>
      </c>
      <c r="C448" s="644" t="s">
        <v>1155</v>
      </c>
      <c r="D448" s="644" t="s">
        <v>773</v>
      </c>
      <c r="E448" s="644" t="s">
        <v>1017</v>
      </c>
      <c r="F448" s="644" t="s">
        <v>918</v>
      </c>
      <c r="G448" s="559">
        <v>-200</v>
      </c>
      <c r="H448" s="644">
        <v>856</v>
      </c>
      <c r="I448" s="644" t="s">
        <v>1056</v>
      </c>
    </row>
    <row r="449" spans="1:9" x14ac:dyDescent="0.2">
      <c r="A449" s="628">
        <f t="shared" si="6"/>
        <v>444</v>
      </c>
      <c r="B449" s="643">
        <v>42582</v>
      </c>
      <c r="C449" s="644" t="s">
        <v>1155</v>
      </c>
      <c r="D449" s="644" t="s">
        <v>14</v>
      </c>
      <c r="E449" s="644" t="s">
        <v>1017</v>
      </c>
      <c r="F449" s="644" t="s">
        <v>918</v>
      </c>
      <c r="G449" s="559">
        <v>-369.83</v>
      </c>
      <c r="H449" s="644">
        <v>856</v>
      </c>
      <c r="I449" s="644" t="s">
        <v>1056</v>
      </c>
    </row>
    <row r="450" spans="1:9" x14ac:dyDescent="0.2">
      <c r="A450" s="628">
        <f t="shared" si="6"/>
        <v>445</v>
      </c>
      <c r="B450" s="643">
        <v>42582</v>
      </c>
      <c r="C450" s="644" t="s">
        <v>1155</v>
      </c>
      <c r="D450" s="644" t="s">
        <v>14</v>
      </c>
      <c r="E450" s="644" t="s">
        <v>1017</v>
      </c>
      <c r="F450" s="644" t="s">
        <v>918</v>
      </c>
      <c r="G450" s="559">
        <v>-185.61</v>
      </c>
      <c r="H450" s="644">
        <v>856</v>
      </c>
      <c r="I450" s="644" t="s">
        <v>1056</v>
      </c>
    </row>
    <row r="451" spans="1:9" x14ac:dyDescent="0.2">
      <c r="A451" s="628">
        <f t="shared" si="6"/>
        <v>446</v>
      </c>
      <c r="B451" s="643">
        <v>42582</v>
      </c>
      <c r="C451" s="644" t="s">
        <v>1155</v>
      </c>
      <c r="D451" s="644" t="s">
        <v>14</v>
      </c>
      <c r="E451" s="644" t="s">
        <v>1017</v>
      </c>
      <c r="F451" s="644" t="s">
        <v>918</v>
      </c>
      <c r="G451" s="559">
        <v>-42.47</v>
      </c>
      <c r="H451" s="644">
        <v>856</v>
      </c>
      <c r="I451" s="644" t="s">
        <v>1056</v>
      </c>
    </row>
    <row r="452" spans="1:9" x14ac:dyDescent="0.2">
      <c r="A452" s="628">
        <f t="shared" si="6"/>
        <v>447</v>
      </c>
      <c r="B452" s="643">
        <v>42613</v>
      </c>
      <c r="C452" s="644" t="s">
        <v>1155</v>
      </c>
      <c r="D452" s="644" t="s">
        <v>774</v>
      </c>
      <c r="E452" s="644" t="s">
        <v>1017</v>
      </c>
      <c r="F452" s="644" t="s">
        <v>918</v>
      </c>
      <c r="G452" s="559">
        <v>-369.83</v>
      </c>
      <c r="H452" s="644">
        <v>856</v>
      </c>
      <c r="I452" s="644" t="s">
        <v>1056</v>
      </c>
    </row>
    <row r="453" spans="1:9" x14ac:dyDescent="0.2">
      <c r="A453" s="628">
        <f t="shared" si="6"/>
        <v>448</v>
      </c>
      <c r="B453" s="643">
        <v>42613</v>
      </c>
      <c r="C453" s="644" t="s">
        <v>1155</v>
      </c>
      <c r="D453" s="644" t="s">
        <v>774</v>
      </c>
      <c r="E453" s="644" t="s">
        <v>1017</v>
      </c>
      <c r="F453" s="644" t="s">
        <v>918</v>
      </c>
      <c r="G453" s="559">
        <v>-185.61</v>
      </c>
      <c r="H453" s="644">
        <v>856</v>
      </c>
      <c r="I453" s="644" t="s">
        <v>1056</v>
      </c>
    </row>
    <row r="454" spans="1:9" x14ac:dyDescent="0.2">
      <c r="A454" s="628">
        <f t="shared" si="6"/>
        <v>449</v>
      </c>
      <c r="B454" s="643">
        <v>42613</v>
      </c>
      <c r="C454" s="644" t="s">
        <v>1155</v>
      </c>
      <c r="D454" s="644" t="s">
        <v>774</v>
      </c>
      <c r="E454" s="644" t="s">
        <v>1017</v>
      </c>
      <c r="F454" s="644" t="s">
        <v>918</v>
      </c>
      <c r="G454" s="559">
        <v>-42.47</v>
      </c>
      <c r="H454" s="644">
        <v>856</v>
      </c>
      <c r="I454" s="644" t="s">
        <v>1056</v>
      </c>
    </row>
    <row r="455" spans="1:9" x14ac:dyDescent="0.2">
      <c r="A455" s="628">
        <f t="shared" si="6"/>
        <v>450</v>
      </c>
      <c r="B455" s="643">
        <v>42643</v>
      </c>
      <c r="C455" s="644" t="s">
        <v>1155</v>
      </c>
      <c r="D455" s="644" t="s">
        <v>775</v>
      </c>
      <c r="E455" s="644" t="s">
        <v>1017</v>
      </c>
      <c r="F455" s="644" t="s">
        <v>918</v>
      </c>
      <c r="G455" s="559">
        <v>-357.9</v>
      </c>
      <c r="H455" s="644">
        <v>856</v>
      </c>
      <c r="I455" s="644" t="s">
        <v>1056</v>
      </c>
    </row>
    <row r="456" spans="1:9" x14ac:dyDescent="0.2">
      <c r="A456" s="628">
        <f t="shared" si="6"/>
        <v>451</v>
      </c>
      <c r="B456" s="643">
        <v>42643</v>
      </c>
      <c r="C456" s="644" t="s">
        <v>1155</v>
      </c>
      <c r="D456" s="644" t="s">
        <v>775</v>
      </c>
      <c r="E456" s="644" t="s">
        <v>1017</v>
      </c>
      <c r="F456" s="644" t="s">
        <v>918</v>
      </c>
      <c r="G456" s="559">
        <v>-179.63</v>
      </c>
      <c r="H456" s="644">
        <v>856</v>
      </c>
      <c r="I456" s="644" t="s">
        <v>1056</v>
      </c>
    </row>
    <row r="457" spans="1:9" x14ac:dyDescent="0.2">
      <c r="A457" s="628">
        <f t="shared" si="6"/>
        <v>452</v>
      </c>
      <c r="B457" s="643">
        <v>42643</v>
      </c>
      <c r="C457" s="644" t="s">
        <v>1155</v>
      </c>
      <c r="D457" s="644" t="s">
        <v>775</v>
      </c>
      <c r="E457" s="644" t="s">
        <v>1017</v>
      </c>
      <c r="F457" s="644" t="s">
        <v>918</v>
      </c>
      <c r="G457" s="559">
        <v>-41.1</v>
      </c>
      <c r="H457" s="644">
        <v>856</v>
      </c>
      <c r="I457" s="644" t="s">
        <v>1056</v>
      </c>
    </row>
    <row r="458" spans="1:9" x14ac:dyDescent="0.2">
      <c r="A458" s="628">
        <f t="shared" si="6"/>
        <v>453</v>
      </c>
      <c r="B458" s="643">
        <v>42674</v>
      </c>
      <c r="C458" s="644" t="s">
        <v>1155</v>
      </c>
      <c r="D458" s="644" t="s">
        <v>776</v>
      </c>
      <c r="E458" s="644" t="s">
        <v>1017</v>
      </c>
      <c r="F458" s="644" t="s">
        <v>918</v>
      </c>
      <c r="G458" s="559">
        <v>-369.83</v>
      </c>
      <c r="H458" s="644">
        <v>856</v>
      </c>
      <c r="I458" s="644" t="s">
        <v>1056</v>
      </c>
    </row>
    <row r="459" spans="1:9" x14ac:dyDescent="0.2">
      <c r="A459" s="628">
        <f t="shared" si="6"/>
        <v>454</v>
      </c>
      <c r="B459" s="643">
        <v>42674</v>
      </c>
      <c r="C459" s="644" t="s">
        <v>1155</v>
      </c>
      <c r="D459" s="644" t="s">
        <v>776</v>
      </c>
      <c r="E459" s="644" t="s">
        <v>1017</v>
      </c>
      <c r="F459" s="644" t="s">
        <v>918</v>
      </c>
      <c r="G459" s="559">
        <v>-185.61</v>
      </c>
      <c r="H459" s="644">
        <v>856</v>
      </c>
      <c r="I459" s="644" t="s">
        <v>1056</v>
      </c>
    </row>
    <row r="460" spans="1:9" x14ac:dyDescent="0.2">
      <c r="A460" s="628">
        <f t="shared" si="6"/>
        <v>455</v>
      </c>
      <c r="B460" s="643">
        <v>42674</v>
      </c>
      <c r="C460" s="644" t="s">
        <v>1155</v>
      </c>
      <c r="D460" s="644" t="s">
        <v>776</v>
      </c>
      <c r="E460" s="644" t="s">
        <v>1017</v>
      </c>
      <c r="F460" s="644" t="s">
        <v>918</v>
      </c>
      <c r="G460" s="559">
        <v>-42.47</v>
      </c>
      <c r="H460" s="644">
        <v>856</v>
      </c>
      <c r="I460" s="644" t="s">
        <v>1056</v>
      </c>
    </row>
    <row r="461" spans="1:9" x14ac:dyDescent="0.2">
      <c r="A461" s="628">
        <f t="shared" si="6"/>
        <v>456</v>
      </c>
      <c r="B461" s="643">
        <v>42704</v>
      </c>
      <c r="C461" s="644" t="s">
        <v>1155</v>
      </c>
      <c r="D461" s="644" t="s">
        <v>777</v>
      </c>
      <c r="E461" s="644" t="s">
        <v>1017</v>
      </c>
      <c r="F461" s="644" t="s">
        <v>918</v>
      </c>
      <c r="G461" s="559">
        <v>-357.9</v>
      </c>
      <c r="H461" s="644">
        <v>856</v>
      </c>
      <c r="I461" s="644" t="s">
        <v>1056</v>
      </c>
    </row>
    <row r="462" spans="1:9" x14ac:dyDescent="0.2">
      <c r="A462" s="628">
        <f t="shared" si="6"/>
        <v>457</v>
      </c>
      <c r="B462" s="643">
        <v>42704</v>
      </c>
      <c r="C462" s="644" t="s">
        <v>1155</v>
      </c>
      <c r="D462" s="644" t="s">
        <v>777</v>
      </c>
      <c r="E462" s="644" t="s">
        <v>1017</v>
      </c>
      <c r="F462" s="644" t="s">
        <v>918</v>
      </c>
      <c r="G462" s="559">
        <v>-179.63</v>
      </c>
      <c r="H462" s="644">
        <v>856</v>
      </c>
      <c r="I462" s="644" t="s">
        <v>1056</v>
      </c>
    </row>
    <row r="463" spans="1:9" x14ac:dyDescent="0.2">
      <c r="A463" s="628">
        <f t="shared" si="6"/>
        <v>458</v>
      </c>
      <c r="B463" s="643">
        <v>42704</v>
      </c>
      <c r="C463" s="644" t="s">
        <v>1155</v>
      </c>
      <c r="D463" s="644" t="s">
        <v>777</v>
      </c>
      <c r="E463" s="644" t="s">
        <v>1017</v>
      </c>
      <c r="F463" s="644" t="s">
        <v>918</v>
      </c>
      <c r="G463" s="559">
        <v>-41.1</v>
      </c>
      <c r="H463" s="644">
        <v>856</v>
      </c>
      <c r="I463" s="644" t="s">
        <v>1056</v>
      </c>
    </row>
    <row r="464" spans="1:9" x14ac:dyDescent="0.2">
      <c r="A464" s="628">
        <f t="shared" si="6"/>
        <v>459</v>
      </c>
      <c r="B464" s="643">
        <v>42735</v>
      </c>
      <c r="C464" s="644" t="s">
        <v>1155</v>
      </c>
      <c r="D464" s="644" t="s">
        <v>146</v>
      </c>
      <c r="E464" s="644" t="s">
        <v>1017</v>
      </c>
      <c r="F464" s="644" t="s">
        <v>918</v>
      </c>
      <c r="G464" s="559">
        <v>-369.85999999999996</v>
      </c>
      <c r="H464" s="644">
        <v>856</v>
      </c>
      <c r="I464" s="644" t="s">
        <v>1056</v>
      </c>
    </row>
    <row r="465" spans="1:9" x14ac:dyDescent="0.2">
      <c r="A465" s="628">
        <f t="shared" si="6"/>
        <v>460</v>
      </c>
      <c r="B465" s="643">
        <v>42735</v>
      </c>
      <c r="C465" s="644" t="s">
        <v>1155</v>
      </c>
      <c r="D465" s="644" t="s">
        <v>146</v>
      </c>
      <c r="E465" s="644" t="s">
        <v>1017</v>
      </c>
      <c r="F465" s="644" t="s">
        <v>918</v>
      </c>
      <c r="G465" s="559">
        <v>-185.61</v>
      </c>
      <c r="H465" s="644">
        <v>856</v>
      </c>
      <c r="I465" s="644" t="s">
        <v>1056</v>
      </c>
    </row>
    <row r="466" spans="1:9" x14ac:dyDescent="0.2">
      <c r="A466" s="628">
        <f t="shared" si="6"/>
        <v>461</v>
      </c>
      <c r="B466" s="643">
        <v>42735</v>
      </c>
      <c r="C466" s="644" t="s">
        <v>1155</v>
      </c>
      <c r="D466" s="644" t="s">
        <v>146</v>
      </c>
      <c r="E466" s="644" t="s">
        <v>1017</v>
      </c>
      <c r="F466" s="644" t="s">
        <v>918</v>
      </c>
      <c r="G466" s="559">
        <v>-42.47</v>
      </c>
      <c r="H466" s="644">
        <v>856</v>
      </c>
      <c r="I466" s="644" t="s">
        <v>1056</v>
      </c>
    </row>
    <row r="467" spans="1:9" x14ac:dyDescent="0.2">
      <c r="A467" s="628">
        <f t="shared" si="6"/>
        <v>462</v>
      </c>
      <c r="B467" s="645">
        <v>42400</v>
      </c>
      <c r="C467" s="644" t="s">
        <v>1052</v>
      </c>
      <c r="D467" s="644" t="s">
        <v>768</v>
      </c>
      <c r="E467" s="644" t="s">
        <v>1129</v>
      </c>
      <c r="F467" s="646" t="s">
        <v>693</v>
      </c>
      <c r="G467" s="647">
        <v>-3394.88</v>
      </c>
      <c r="H467" s="644">
        <v>856</v>
      </c>
      <c r="I467" s="644" t="s">
        <v>1056</v>
      </c>
    </row>
    <row r="468" spans="1:9" x14ac:dyDescent="0.2">
      <c r="A468" s="628">
        <f t="shared" si="6"/>
        <v>463</v>
      </c>
      <c r="B468" s="645">
        <v>42429</v>
      </c>
      <c r="C468" s="644" t="s">
        <v>1052</v>
      </c>
      <c r="D468" s="644" t="s">
        <v>770</v>
      </c>
      <c r="E468" s="644" t="s">
        <v>1129</v>
      </c>
      <c r="F468" s="646" t="s">
        <v>693</v>
      </c>
      <c r="G468" s="647">
        <v>-3394.88</v>
      </c>
      <c r="H468" s="644">
        <v>856</v>
      </c>
      <c r="I468" s="644" t="s">
        <v>1056</v>
      </c>
    </row>
    <row r="469" spans="1:9" x14ac:dyDescent="0.2">
      <c r="A469" s="628">
        <f t="shared" si="6"/>
        <v>464</v>
      </c>
      <c r="B469" s="645">
        <v>42460</v>
      </c>
      <c r="C469" s="644" t="s">
        <v>1052</v>
      </c>
      <c r="D469" s="644" t="s">
        <v>13</v>
      </c>
      <c r="E469" s="644" t="s">
        <v>1129</v>
      </c>
      <c r="F469" s="646" t="s">
        <v>693</v>
      </c>
      <c r="G469" s="647">
        <v>-3394.88</v>
      </c>
      <c r="H469" s="644">
        <v>856</v>
      </c>
      <c r="I469" s="644" t="s">
        <v>1056</v>
      </c>
    </row>
    <row r="470" spans="1:9" x14ac:dyDescent="0.2">
      <c r="A470" s="628">
        <f t="shared" si="6"/>
        <v>465</v>
      </c>
      <c r="B470" s="645">
        <v>42490</v>
      </c>
      <c r="C470" s="644" t="s">
        <v>1052</v>
      </c>
      <c r="D470" s="644" t="s">
        <v>771</v>
      </c>
      <c r="E470" s="644" t="s">
        <v>1129</v>
      </c>
      <c r="F470" s="646" t="s">
        <v>693</v>
      </c>
      <c r="G470" s="647">
        <v>-3394.88</v>
      </c>
      <c r="H470" s="644">
        <v>856</v>
      </c>
      <c r="I470" s="644" t="s">
        <v>1056</v>
      </c>
    </row>
    <row r="471" spans="1:9" x14ac:dyDescent="0.2">
      <c r="A471" s="628">
        <f t="shared" ref="A471:A534" si="7">A470+1</f>
        <v>466</v>
      </c>
      <c r="B471" s="645">
        <v>42521</v>
      </c>
      <c r="C471" s="644" t="s">
        <v>1052</v>
      </c>
      <c r="D471" s="644" t="s">
        <v>772</v>
      </c>
      <c r="E471" s="644" t="s">
        <v>1129</v>
      </c>
      <c r="F471" s="646" t="s">
        <v>693</v>
      </c>
      <c r="G471" s="647">
        <v>-3394.88</v>
      </c>
      <c r="H471" s="644">
        <v>856</v>
      </c>
      <c r="I471" s="644" t="s">
        <v>1056</v>
      </c>
    </row>
    <row r="472" spans="1:9" x14ac:dyDescent="0.2">
      <c r="A472" s="628">
        <f t="shared" si="7"/>
        <v>467</v>
      </c>
      <c r="B472" s="645">
        <v>42551</v>
      </c>
      <c r="C472" s="644" t="s">
        <v>1052</v>
      </c>
      <c r="D472" s="644" t="s">
        <v>773</v>
      </c>
      <c r="E472" s="644" t="s">
        <v>1129</v>
      </c>
      <c r="F472" s="646" t="s">
        <v>693</v>
      </c>
      <c r="G472" s="647">
        <v>-3394.88</v>
      </c>
      <c r="H472" s="644">
        <v>856</v>
      </c>
      <c r="I472" s="644" t="s">
        <v>1056</v>
      </c>
    </row>
    <row r="473" spans="1:9" x14ac:dyDescent="0.2">
      <c r="A473" s="628">
        <f t="shared" si="7"/>
        <v>468</v>
      </c>
      <c r="B473" s="645">
        <v>42582</v>
      </c>
      <c r="C473" s="644" t="s">
        <v>1052</v>
      </c>
      <c r="D473" s="644" t="s">
        <v>14</v>
      </c>
      <c r="E473" s="644" t="s">
        <v>1129</v>
      </c>
      <c r="F473" s="646" t="s">
        <v>693</v>
      </c>
      <c r="G473" s="647">
        <v>-3394.88</v>
      </c>
      <c r="H473" s="644">
        <v>856</v>
      </c>
      <c r="I473" s="644" t="s">
        <v>1056</v>
      </c>
    </row>
    <row r="474" spans="1:9" x14ac:dyDescent="0.2">
      <c r="A474" s="628">
        <f t="shared" si="7"/>
        <v>469</v>
      </c>
      <c r="B474" s="645">
        <v>42613</v>
      </c>
      <c r="C474" s="644" t="s">
        <v>1052</v>
      </c>
      <c r="D474" s="644" t="s">
        <v>774</v>
      </c>
      <c r="E474" s="644" t="s">
        <v>1129</v>
      </c>
      <c r="F474" s="646" t="s">
        <v>693</v>
      </c>
      <c r="G474" s="647">
        <v>-3496.73</v>
      </c>
      <c r="H474" s="644">
        <v>856</v>
      </c>
      <c r="I474" s="644" t="s">
        <v>1056</v>
      </c>
    </row>
    <row r="475" spans="1:9" x14ac:dyDescent="0.2">
      <c r="A475" s="628">
        <f t="shared" si="7"/>
        <v>470</v>
      </c>
      <c r="B475" s="645">
        <v>42643</v>
      </c>
      <c r="C475" s="644" t="s">
        <v>1052</v>
      </c>
      <c r="D475" s="644" t="s">
        <v>775</v>
      </c>
      <c r="E475" s="644" t="s">
        <v>1129</v>
      </c>
      <c r="F475" s="646" t="s">
        <v>693</v>
      </c>
      <c r="G475" s="647">
        <v>-3496.73</v>
      </c>
      <c r="H475" s="644">
        <v>856</v>
      </c>
      <c r="I475" s="644" t="s">
        <v>1056</v>
      </c>
    </row>
    <row r="476" spans="1:9" x14ac:dyDescent="0.2">
      <c r="A476" s="628">
        <f t="shared" si="7"/>
        <v>471</v>
      </c>
      <c r="B476" s="645">
        <v>42674</v>
      </c>
      <c r="C476" s="644" t="s">
        <v>1052</v>
      </c>
      <c r="D476" s="644" t="s">
        <v>776</v>
      </c>
      <c r="E476" s="644" t="s">
        <v>1129</v>
      </c>
      <c r="F476" s="646" t="s">
        <v>693</v>
      </c>
      <c r="G476" s="647">
        <v>-3496.73</v>
      </c>
      <c r="H476" s="644">
        <v>856</v>
      </c>
      <c r="I476" s="644" t="s">
        <v>1056</v>
      </c>
    </row>
    <row r="477" spans="1:9" x14ac:dyDescent="0.2">
      <c r="A477" s="628">
        <f t="shared" si="7"/>
        <v>472</v>
      </c>
      <c r="B477" s="645">
        <v>42704</v>
      </c>
      <c r="C477" s="644" t="s">
        <v>1052</v>
      </c>
      <c r="D477" s="644" t="s">
        <v>777</v>
      </c>
      <c r="E477" s="644" t="s">
        <v>1129</v>
      </c>
      <c r="F477" s="646" t="s">
        <v>693</v>
      </c>
      <c r="G477" s="647">
        <v>-3496.73</v>
      </c>
      <c r="H477" s="644">
        <v>856</v>
      </c>
      <c r="I477" s="644" t="s">
        <v>1056</v>
      </c>
    </row>
    <row r="478" spans="1:9" x14ac:dyDescent="0.2">
      <c r="A478" s="628">
        <f t="shared" si="7"/>
        <v>473</v>
      </c>
      <c r="B478" s="645">
        <v>42735</v>
      </c>
      <c r="C478" s="644" t="s">
        <v>1052</v>
      </c>
      <c r="D478" s="644" t="s">
        <v>146</v>
      </c>
      <c r="E478" s="644" t="s">
        <v>1129</v>
      </c>
      <c r="F478" s="646" t="s">
        <v>693</v>
      </c>
      <c r="G478" s="647">
        <v>-3496.73</v>
      </c>
      <c r="H478" s="644">
        <v>856</v>
      </c>
      <c r="I478" s="644" t="s">
        <v>1056</v>
      </c>
    </row>
    <row r="479" spans="1:9" x14ac:dyDescent="0.2">
      <c r="A479" s="628">
        <f t="shared" si="7"/>
        <v>474</v>
      </c>
      <c r="B479" s="645">
        <v>42429</v>
      </c>
      <c r="C479" s="644" t="s">
        <v>1052</v>
      </c>
      <c r="D479" s="644" t="s">
        <v>770</v>
      </c>
      <c r="E479" s="644" t="s">
        <v>1129</v>
      </c>
      <c r="F479" s="646" t="s">
        <v>693</v>
      </c>
      <c r="G479" s="647">
        <v>644.41999999999996</v>
      </c>
      <c r="H479" s="644">
        <v>856</v>
      </c>
      <c r="I479" s="644" t="s">
        <v>1121</v>
      </c>
    </row>
    <row r="480" spans="1:9" x14ac:dyDescent="0.2">
      <c r="A480" s="628">
        <f t="shared" si="7"/>
        <v>475</v>
      </c>
      <c r="B480" s="645">
        <v>42400</v>
      </c>
      <c r="C480" s="644" t="s">
        <v>1052</v>
      </c>
      <c r="D480" s="644" t="s">
        <v>768</v>
      </c>
      <c r="E480" s="644" t="s">
        <v>1130</v>
      </c>
      <c r="F480" s="646" t="s">
        <v>641</v>
      </c>
      <c r="G480" s="647">
        <v>-2225</v>
      </c>
      <c r="H480" s="644">
        <v>856</v>
      </c>
      <c r="I480" s="644" t="s">
        <v>1056</v>
      </c>
    </row>
    <row r="481" spans="1:9" x14ac:dyDescent="0.2">
      <c r="A481" s="628">
        <f t="shared" si="7"/>
        <v>476</v>
      </c>
      <c r="B481" s="645">
        <v>42429</v>
      </c>
      <c r="C481" s="644" t="s">
        <v>1052</v>
      </c>
      <c r="D481" s="644" t="s">
        <v>770</v>
      </c>
      <c r="E481" s="644" t="s">
        <v>1130</v>
      </c>
      <c r="F481" s="646" t="s">
        <v>641</v>
      </c>
      <c r="G481" s="647">
        <v>-2225</v>
      </c>
      <c r="H481" s="644">
        <v>856</v>
      </c>
      <c r="I481" s="644" t="s">
        <v>1056</v>
      </c>
    </row>
    <row r="482" spans="1:9" x14ac:dyDescent="0.2">
      <c r="A482" s="628">
        <f t="shared" si="7"/>
        <v>477</v>
      </c>
      <c r="B482" s="645">
        <v>42460</v>
      </c>
      <c r="C482" s="644" t="s">
        <v>1052</v>
      </c>
      <c r="D482" s="644" t="s">
        <v>13</v>
      </c>
      <c r="E482" s="644" t="s">
        <v>1130</v>
      </c>
      <c r="F482" s="646" t="s">
        <v>641</v>
      </c>
      <c r="G482" s="647">
        <v>-2225</v>
      </c>
      <c r="H482" s="644">
        <v>856</v>
      </c>
      <c r="I482" s="644" t="s">
        <v>1056</v>
      </c>
    </row>
    <row r="483" spans="1:9" x14ac:dyDescent="0.2">
      <c r="A483" s="628">
        <f t="shared" si="7"/>
        <v>478</v>
      </c>
      <c r="B483" s="645">
        <v>42490</v>
      </c>
      <c r="C483" s="644" t="s">
        <v>1052</v>
      </c>
      <c r="D483" s="644" t="s">
        <v>771</v>
      </c>
      <c r="E483" s="644" t="s">
        <v>1130</v>
      </c>
      <c r="F483" s="646" t="s">
        <v>641</v>
      </c>
      <c r="G483" s="647">
        <v>-2225</v>
      </c>
      <c r="H483" s="644">
        <v>856</v>
      </c>
      <c r="I483" s="644" t="s">
        <v>1056</v>
      </c>
    </row>
    <row r="484" spans="1:9" x14ac:dyDescent="0.2">
      <c r="A484" s="628">
        <f t="shared" si="7"/>
        <v>479</v>
      </c>
      <c r="B484" s="645">
        <v>42521</v>
      </c>
      <c r="C484" s="644" t="s">
        <v>1052</v>
      </c>
      <c r="D484" s="644" t="s">
        <v>772</v>
      </c>
      <c r="E484" s="644" t="s">
        <v>1130</v>
      </c>
      <c r="F484" s="646" t="s">
        <v>641</v>
      </c>
      <c r="G484" s="647">
        <v>-2225</v>
      </c>
      <c r="H484" s="644">
        <v>856</v>
      </c>
      <c r="I484" s="644" t="s">
        <v>1056</v>
      </c>
    </row>
    <row r="485" spans="1:9" x14ac:dyDescent="0.2">
      <c r="A485" s="628">
        <f t="shared" si="7"/>
        <v>480</v>
      </c>
      <c r="B485" s="645">
        <v>42551</v>
      </c>
      <c r="C485" s="644" t="s">
        <v>1052</v>
      </c>
      <c r="D485" s="644" t="s">
        <v>773</v>
      </c>
      <c r="E485" s="644" t="s">
        <v>1130</v>
      </c>
      <c r="F485" s="646" t="s">
        <v>641</v>
      </c>
      <c r="G485" s="647">
        <v>-2225</v>
      </c>
      <c r="H485" s="644">
        <v>856</v>
      </c>
      <c r="I485" s="644" t="s">
        <v>1056</v>
      </c>
    </row>
    <row r="486" spans="1:9" x14ac:dyDescent="0.2">
      <c r="A486" s="628">
        <f t="shared" si="7"/>
        <v>481</v>
      </c>
      <c r="B486" s="645">
        <v>42582</v>
      </c>
      <c r="C486" s="644" t="s">
        <v>1052</v>
      </c>
      <c r="D486" s="644" t="s">
        <v>14</v>
      </c>
      <c r="E486" s="644" t="s">
        <v>1130</v>
      </c>
      <c r="F486" s="646" t="s">
        <v>641</v>
      </c>
      <c r="G486" s="647">
        <v>-2225</v>
      </c>
      <c r="H486" s="644">
        <v>856</v>
      </c>
      <c r="I486" s="644" t="s">
        <v>1056</v>
      </c>
    </row>
    <row r="487" spans="1:9" x14ac:dyDescent="0.2">
      <c r="A487" s="628">
        <f t="shared" si="7"/>
        <v>482</v>
      </c>
      <c r="B487" s="645">
        <v>42613</v>
      </c>
      <c r="C487" s="644" t="s">
        <v>1052</v>
      </c>
      <c r="D487" s="644" t="s">
        <v>774</v>
      </c>
      <c r="E487" s="644" t="s">
        <v>1130</v>
      </c>
      <c r="F487" s="646" t="s">
        <v>641</v>
      </c>
      <c r="G487" s="647">
        <v>-2225</v>
      </c>
      <c r="H487" s="644">
        <v>856</v>
      </c>
      <c r="I487" s="644" t="s">
        <v>1056</v>
      </c>
    </row>
    <row r="488" spans="1:9" x14ac:dyDescent="0.2">
      <c r="A488" s="628">
        <f t="shared" si="7"/>
        <v>483</v>
      </c>
      <c r="B488" s="645">
        <v>42643</v>
      </c>
      <c r="C488" s="644" t="s">
        <v>1052</v>
      </c>
      <c r="D488" s="644" t="s">
        <v>775</v>
      </c>
      <c r="E488" s="644" t="s">
        <v>1130</v>
      </c>
      <c r="F488" s="646" t="s">
        <v>641</v>
      </c>
      <c r="G488" s="647">
        <v>-2225</v>
      </c>
      <c r="H488" s="644">
        <v>856</v>
      </c>
      <c r="I488" s="644" t="s">
        <v>1056</v>
      </c>
    </row>
    <row r="489" spans="1:9" x14ac:dyDescent="0.2">
      <c r="A489" s="628">
        <f t="shared" si="7"/>
        <v>484</v>
      </c>
      <c r="B489" s="645">
        <v>42674</v>
      </c>
      <c r="C489" s="644" t="s">
        <v>1052</v>
      </c>
      <c r="D489" s="644" t="s">
        <v>776</v>
      </c>
      <c r="E489" s="644" t="s">
        <v>1130</v>
      </c>
      <c r="F489" s="646" t="s">
        <v>641</v>
      </c>
      <c r="G489" s="647">
        <v>-2225</v>
      </c>
      <c r="H489" s="644">
        <v>856</v>
      </c>
      <c r="I489" s="644" t="s">
        <v>1056</v>
      </c>
    </row>
    <row r="490" spans="1:9" x14ac:dyDescent="0.2">
      <c r="A490" s="628">
        <f t="shared" si="7"/>
        <v>485</v>
      </c>
      <c r="B490" s="645">
        <v>42704</v>
      </c>
      <c r="C490" s="644" t="s">
        <v>1052</v>
      </c>
      <c r="D490" s="644" t="s">
        <v>777</v>
      </c>
      <c r="E490" s="644" t="s">
        <v>1130</v>
      </c>
      <c r="F490" s="646" t="s">
        <v>641</v>
      </c>
      <c r="G490" s="647">
        <v>-2225</v>
      </c>
      <c r="H490" s="644">
        <v>856</v>
      </c>
      <c r="I490" s="644" t="s">
        <v>1056</v>
      </c>
    </row>
    <row r="491" spans="1:9" x14ac:dyDescent="0.2">
      <c r="A491" s="628">
        <f t="shared" si="7"/>
        <v>486</v>
      </c>
      <c r="B491" s="645">
        <v>42735</v>
      </c>
      <c r="C491" s="644" t="s">
        <v>1052</v>
      </c>
      <c r="D491" s="644" t="s">
        <v>146</v>
      </c>
      <c r="E491" s="644" t="s">
        <v>1130</v>
      </c>
      <c r="F491" s="646" t="s">
        <v>641</v>
      </c>
      <c r="G491" s="647">
        <v>-2225</v>
      </c>
      <c r="H491" s="644">
        <v>856</v>
      </c>
      <c r="I491" s="644" t="s">
        <v>1056</v>
      </c>
    </row>
    <row r="492" spans="1:9" x14ac:dyDescent="0.2">
      <c r="A492" s="628">
        <f t="shared" si="7"/>
        <v>487</v>
      </c>
      <c r="B492" s="643">
        <v>42400</v>
      </c>
      <c r="C492" s="644">
        <v>454151</v>
      </c>
      <c r="D492" s="644" t="s">
        <v>768</v>
      </c>
      <c r="E492" s="644" t="s">
        <v>1206</v>
      </c>
      <c r="F492" s="644" t="s">
        <v>693</v>
      </c>
      <c r="G492" s="559">
        <v>-100</v>
      </c>
      <c r="H492" s="644">
        <v>856</v>
      </c>
      <c r="I492" s="644" t="s">
        <v>1056</v>
      </c>
    </row>
    <row r="493" spans="1:9" x14ac:dyDescent="0.2">
      <c r="A493" s="628">
        <f t="shared" si="7"/>
        <v>488</v>
      </c>
      <c r="B493" s="643">
        <v>42429</v>
      </c>
      <c r="C493" s="644">
        <v>454151</v>
      </c>
      <c r="D493" s="644" t="s">
        <v>770</v>
      </c>
      <c r="E493" s="644" t="s">
        <v>1206</v>
      </c>
      <c r="F493" s="644" t="s">
        <v>693</v>
      </c>
      <c r="G493" s="559">
        <v>-100</v>
      </c>
      <c r="H493" s="644">
        <v>856</v>
      </c>
      <c r="I493" s="644" t="s">
        <v>1056</v>
      </c>
    </row>
    <row r="494" spans="1:9" x14ac:dyDescent="0.2">
      <c r="A494" s="628">
        <f t="shared" si="7"/>
        <v>489</v>
      </c>
      <c r="B494" s="643">
        <v>42460</v>
      </c>
      <c r="C494" s="644">
        <v>454151</v>
      </c>
      <c r="D494" s="644" t="s">
        <v>13</v>
      </c>
      <c r="E494" s="644" t="s">
        <v>1206</v>
      </c>
      <c r="F494" s="644" t="s">
        <v>693</v>
      </c>
      <c r="G494" s="559">
        <v>-100</v>
      </c>
      <c r="H494" s="644">
        <v>856</v>
      </c>
      <c r="I494" s="644" t="s">
        <v>1056</v>
      </c>
    </row>
    <row r="495" spans="1:9" x14ac:dyDescent="0.2">
      <c r="A495" s="628">
        <f t="shared" si="7"/>
        <v>490</v>
      </c>
      <c r="B495" s="643">
        <v>42490</v>
      </c>
      <c r="C495" s="644">
        <v>454151</v>
      </c>
      <c r="D495" s="644" t="s">
        <v>771</v>
      </c>
      <c r="E495" s="644" t="s">
        <v>1206</v>
      </c>
      <c r="F495" s="644" t="s">
        <v>693</v>
      </c>
      <c r="G495" s="559">
        <v>-100</v>
      </c>
      <c r="H495" s="644">
        <v>856</v>
      </c>
      <c r="I495" s="644" t="s">
        <v>1056</v>
      </c>
    </row>
    <row r="496" spans="1:9" x14ac:dyDescent="0.2">
      <c r="A496" s="628">
        <f t="shared" si="7"/>
        <v>491</v>
      </c>
      <c r="B496" s="643">
        <v>42521</v>
      </c>
      <c r="C496" s="644">
        <v>454151</v>
      </c>
      <c r="D496" s="644" t="s">
        <v>772</v>
      </c>
      <c r="E496" s="644" t="s">
        <v>1206</v>
      </c>
      <c r="F496" s="644" t="s">
        <v>693</v>
      </c>
      <c r="G496" s="559">
        <v>-100</v>
      </c>
      <c r="H496" s="644">
        <v>856</v>
      </c>
      <c r="I496" s="644" t="s">
        <v>1056</v>
      </c>
    </row>
    <row r="497" spans="1:9" x14ac:dyDescent="0.2">
      <c r="A497" s="628">
        <f t="shared" si="7"/>
        <v>492</v>
      </c>
      <c r="B497" s="643">
        <v>42551</v>
      </c>
      <c r="C497" s="644">
        <v>454151</v>
      </c>
      <c r="D497" s="644" t="s">
        <v>773</v>
      </c>
      <c r="E497" s="644" t="s">
        <v>1206</v>
      </c>
      <c r="F497" s="644" t="s">
        <v>693</v>
      </c>
      <c r="G497" s="559">
        <v>-100</v>
      </c>
      <c r="H497" s="644">
        <v>856</v>
      </c>
      <c r="I497" s="644" t="s">
        <v>1056</v>
      </c>
    </row>
    <row r="498" spans="1:9" x14ac:dyDescent="0.2">
      <c r="A498" s="628">
        <f t="shared" si="7"/>
        <v>493</v>
      </c>
      <c r="B498" s="643">
        <v>42613</v>
      </c>
      <c r="C498" s="644">
        <v>454151</v>
      </c>
      <c r="D498" s="644" t="s">
        <v>774</v>
      </c>
      <c r="E498" s="644" t="s">
        <v>1207</v>
      </c>
      <c r="F498" s="644" t="s">
        <v>693</v>
      </c>
      <c r="G498" s="559">
        <v>-203.84</v>
      </c>
      <c r="H498" s="644">
        <v>856</v>
      </c>
      <c r="I498" s="644" t="s">
        <v>1056</v>
      </c>
    </row>
    <row r="499" spans="1:9" x14ac:dyDescent="0.2">
      <c r="A499" s="628">
        <f t="shared" si="7"/>
        <v>494</v>
      </c>
      <c r="B499" s="643">
        <v>42643</v>
      </c>
      <c r="C499" s="644">
        <v>454151</v>
      </c>
      <c r="D499" s="644" t="s">
        <v>775</v>
      </c>
      <c r="E499" s="644" t="s">
        <v>1207</v>
      </c>
      <c r="F499" s="644" t="s">
        <v>693</v>
      </c>
      <c r="G499" s="559">
        <v>-98.63</v>
      </c>
      <c r="H499" s="644">
        <v>856</v>
      </c>
      <c r="I499" s="644" t="s">
        <v>1056</v>
      </c>
    </row>
    <row r="500" spans="1:9" x14ac:dyDescent="0.2">
      <c r="A500" s="628">
        <f t="shared" si="7"/>
        <v>495</v>
      </c>
      <c r="B500" s="643">
        <v>42674</v>
      </c>
      <c r="C500" s="644">
        <v>454151</v>
      </c>
      <c r="D500" s="644" t="s">
        <v>776</v>
      </c>
      <c r="E500" s="644" t="s">
        <v>1207</v>
      </c>
      <c r="F500" s="644" t="s">
        <v>693</v>
      </c>
      <c r="G500" s="559">
        <v>-101.92</v>
      </c>
      <c r="H500" s="644">
        <v>856</v>
      </c>
      <c r="I500" s="644" t="s">
        <v>1056</v>
      </c>
    </row>
    <row r="501" spans="1:9" x14ac:dyDescent="0.2">
      <c r="A501" s="628">
        <f t="shared" si="7"/>
        <v>496</v>
      </c>
      <c r="B501" s="643">
        <v>42704</v>
      </c>
      <c r="C501" s="644">
        <v>454151</v>
      </c>
      <c r="D501" s="644" t="s">
        <v>777</v>
      </c>
      <c r="E501" s="644" t="s">
        <v>1207</v>
      </c>
      <c r="F501" s="644" t="s">
        <v>693</v>
      </c>
      <c r="G501" s="559">
        <v>-98.63</v>
      </c>
      <c r="H501" s="644">
        <v>856</v>
      </c>
      <c r="I501" s="644" t="s">
        <v>1056</v>
      </c>
    </row>
    <row r="502" spans="1:9" x14ac:dyDescent="0.2">
      <c r="A502" s="628">
        <f t="shared" si="7"/>
        <v>497</v>
      </c>
      <c r="B502" s="643">
        <v>42735</v>
      </c>
      <c r="C502" s="644">
        <v>454151</v>
      </c>
      <c r="D502" s="644" t="s">
        <v>146</v>
      </c>
      <c r="E502" s="644" t="s">
        <v>1207</v>
      </c>
      <c r="F502" s="644" t="s">
        <v>693</v>
      </c>
      <c r="G502" s="559">
        <v>-101.92</v>
      </c>
      <c r="H502" s="644">
        <v>856</v>
      </c>
      <c r="I502" s="644" t="s">
        <v>1056</v>
      </c>
    </row>
    <row r="503" spans="1:9" x14ac:dyDescent="0.2">
      <c r="A503" s="628">
        <f t="shared" si="7"/>
        <v>498</v>
      </c>
      <c r="B503" s="643">
        <v>42400</v>
      </c>
      <c r="C503" s="644">
        <v>454151</v>
      </c>
      <c r="D503" s="644" t="s">
        <v>768</v>
      </c>
      <c r="E503" s="644" t="s">
        <v>1208</v>
      </c>
      <c r="F503" s="644" t="s">
        <v>641</v>
      </c>
      <c r="G503" s="559">
        <v>-508.2</v>
      </c>
      <c r="H503" s="644">
        <v>856</v>
      </c>
      <c r="I503" s="644" t="s">
        <v>1056</v>
      </c>
    </row>
    <row r="504" spans="1:9" x14ac:dyDescent="0.2">
      <c r="A504" s="628">
        <f t="shared" si="7"/>
        <v>499</v>
      </c>
      <c r="B504" s="643">
        <v>42429</v>
      </c>
      <c r="C504" s="644">
        <v>454151</v>
      </c>
      <c r="D504" s="644" t="s">
        <v>770</v>
      </c>
      <c r="E504" s="644" t="s">
        <v>1208</v>
      </c>
      <c r="F504" s="644" t="s">
        <v>641</v>
      </c>
      <c r="G504" s="559">
        <v>-475.41</v>
      </c>
      <c r="H504" s="644">
        <v>856</v>
      </c>
      <c r="I504" s="644" t="s">
        <v>1056</v>
      </c>
    </row>
    <row r="505" spans="1:9" x14ac:dyDescent="0.2">
      <c r="A505" s="628">
        <f t="shared" si="7"/>
        <v>500</v>
      </c>
      <c r="B505" s="643">
        <v>42460</v>
      </c>
      <c r="C505" s="644">
        <v>454151</v>
      </c>
      <c r="D505" s="644" t="s">
        <v>13</v>
      </c>
      <c r="E505" s="644" t="s">
        <v>1208</v>
      </c>
      <c r="F505" s="644" t="s">
        <v>641</v>
      </c>
      <c r="G505" s="559">
        <v>-508.2</v>
      </c>
      <c r="H505" s="644">
        <v>856</v>
      </c>
      <c r="I505" s="644" t="s">
        <v>1056</v>
      </c>
    </row>
    <row r="506" spans="1:9" x14ac:dyDescent="0.2">
      <c r="A506" s="628">
        <f t="shared" si="7"/>
        <v>501</v>
      </c>
      <c r="B506" s="643">
        <v>42490</v>
      </c>
      <c r="C506" s="644">
        <v>454151</v>
      </c>
      <c r="D506" s="644" t="s">
        <v>771</v>
      </c>
      <c r="E506" s="644" t="s">
        <v>1208</v>
      </c>
      <c r="F506" s="644" t="s">
        <v>641</v>
      </c>
      <c r="G506" s="559">
        <v>-491.8</v>
      </c>
      <c r="H506" s="644">
        <v>856</v>
      </c>
      <c r="I506" s="644" t="s">
        <v>1056</v>
      </c>
    </row>
    <row r="507" spans="1:9" x14ac:dyDescent="0.2">
      <c r="A507" s="628">
        <f t="shared" si="7"/>
        <v>502</v>
      </c>
      <c r="B507" s="643">
        <v>42521</v>
      </c>
      <c r="C507" s="644">
        <v>454151</v>
      </c>
      <c r="D507" s="644" t="s">
        <v>772</v>
      </c>
      <c r="E507" s="644" t="s">
        <v>1208</v>
      </c>
      <c r="F507" s="644" t="s">
        <v>641</v>
      </c>
      <c r="G507" s="559">
        <v>-508.2</v>
      </c>
      <c r="H507" s="644">
        <v>856</v>
      </c>
      <c r="I507" s="644" t="s">
        <v>1056</v>
      </c>
    </row>
    <row r="508" spans="1:9" x14ac:dyDescent="0.2">
      <c r="A508" s="628">
        <f t="shared" si="7"/>
        <v>503</v>
      </c>
      <c r="B508" s="643">
        <v>42551</v>
      </c>
      <c r="C508" s="644">
        <v>454151</v>
      </c>
      <c r="D508" s="644" t="s">
        <v>773</v>
      </c>
      <c r="E508" s="644" t="s">
        <v>1208</v>
      </c>
      <c r="F508" s="644" t="s">
        <v>641</v>
      </c>
      <c r="G508" s="559">
        <v>-491.8</v>
      </c>
      <c r="H508" s="644">
        <v>856</v>
      </c>
      <c r="I508" s="644" t="s">
        <v>1056</v>
      </c>
    </row>
    <row r="509" spans="1:9" x14ac:dyDescent="0.2">
      <c r="A509" s="628">
        <f t="shared" si="7"/>
        <v>504</v>
      </c>
      <c r="B509" s="643">
        <v>42582</v>
      </c>
      <c r="C509" s="644">
        <v>454151</v>
      </c>
      <c r="D509" s="644" t="s">
        <v>14</v>
      </c>
      <c r="E509" s="644" t="s">
        <v>1208</v>
      </c>
      <c r="F509" s="644" t="s">
        <v>641</v>
      </c>
      <c r="G509" s="559">
        <v>-508.2</v>
      </c>
      <c r="H509" s="644">
        <v>856</v>
      </c>
      <c r="I509" s="644" t="s">
        <v>1056</v>
      </c>
    </row>
    <row r="510" spans="1:9" x14ac:dyDescent="0.2">
      <c r="A510" s="628">
        <f t="shared" si="7"/>
        <v>505</v>
      </c>
      <c r="B510" s="643">
        <v>42613</v>
      </c>
      <c r="C510" s="644">
        <v>454151</v>
      </c>
      <c r="D510" s="644" t="s">
        <v>774</v>
      </c>
      <c r="E510" s="644" t="s">
        <v>1208</v>
      </c>
      <c r="F510" s="644" t="s">
        <v>641</v>
      </c>
      <c r="G510" s="559">
        <v>-508.2</v>
      </c>
      <c r="H510" s="644">
        <v>856</v>
      </c>
      <c r="I510" s="644" t="s">
        <v>1056</v>
      </c>
    </row>
    <row r="511" spans="1:9" x14ac:dyDescent="0.2">
      <c r="A511" s="628">
        <f t="shared" si="7"/>
        <v>506</v>
      </c>
      <c r="B511" s="643">
        <v>42643</v>
      </c>
      <c r="C511" s="644">
        <v>454151</v>
      </c>
      <c r="D511" s="644" t="s">
        <v>775</v>
      </c>
      <c r="E511" s="644" t="s">
        <v>1208</v>
      </c>
      <c r="F511" s="644" t="s">
        <v>641</v>
      </c>
      <c r="G511" s="559">
        <v>-491.8</v>
      </c>
      <c r="H511" s="644">
        <v>856</v>
      </c>
      <c r="I511" s="644" t="s">
        <v>1056</v>
      </c>
    </row>
    <row r="512" spans="1:9" x14ac:dyDescent="0.2">
      <c r="A512" s="628">
        <f t="shared" si="7"/>
        <v>507</v>
      </c>
      <c r="B512" s="643">
        <v>42674</v>
      </c>
      <c r="C512" s="644">
        <v>454151</v>
      </c>
      <c r="D512" s="644" t="s">
        <v>776</v>
      </c>
      <c r="E512" s="644" t="s">
        <v>1208</v>
      </c>
      <c r="F512" s="644" t="s">
        <v>641</v>
      </c>
      <c r="G512" s="559">
        <v>-508.2</v>
      </c>
      <c r="H512" s="644">
        <v>856</v>
      </c>
      <c r="I512" s="644" t="s">
        <v>1056</v>
      </c>
    </row>
    <row r="513" spans="1:9" x14ac:dyDescent="0.2">
      <c r="A513" s="628">
        <f t="shared" si="7"/>
        <v>508</v>
      </c>
      <c r="B513" s="643">
        <v>42704</v>
      </c>
      <c r="C513" s="644">
        <v>454151</v>
      </c>
      <c r="D513" s="644" t="s">
        <v>777</v>
      </c>
      <c r="E513" s="644" t="s">
        <v>1208</v>
      </c>
      <c r="F513" s="644" t="s">
        <v>641</v>
      </c>
      <c r="G513" s="559">
        <v>-491.8</v>
      </c>
      <c r="H513" s="644">
        <v>856</v>
      </c>
      <c r="I513" s="644" t="s">
        <v>1056</v>
      </c>
    </row>
    <row r="514" spans="1:9" x14ac:dyDescent="0.2">
      <c r="A514" s="628">
        <f t="shared" si="7"/>
        <v>509</v>
      </c>
      <c r="B514" s="643">
        <v>42735</v>
      </c>
      <c r="C514" s="644">
        <v>454151</v>
      </c>
      <c r="D514" s="644" t="s">
        <v>146</v>
      </c>
      <c r="E514" s="644" t="s">
        <v>1208</v>
      </c>
      <c r="F514" s="644" t="s">
        <v>641</v>
      </c>
      <c r="G514" s="559">
        <v>-508.19</v>
      </c>
      <c r="H514" s="644">
        <v>856</v>
      </c>
      <c r="I514" s="644" t="s">
        <v>1056</v>
      </c>
    </row>
    <row r="515" spans="1:9" x14ac:dyDescent="0.2">
      <c r="A515" s="628">
        <f t="shared" si="7"/>
        <v>510</v>
      </c>
      <c r="B515" s="643">
        <v>42400</v>
      </c>
      <c r="C515" s="644">
        <v>454151</v>
      </c>
      <c r="D515" s="644" t="s">
        <v>768</v>
      </c>
      <c r="E515" s="644" t="s">
        <v>1209</v>
      </c>
      <c r="F515" s="644" t="s">
        <v>917</v>
      </c>
      <c r="G515" s="559">
        <v>-14.82</v>
      </c>
      <c r="H515" s="644">
        <v>856</v>
      </c>
      <c r="I515" s="644" t="s">
        <v>1056</v>
      </c>
    </row>
    <row r="516" spans="1:9" x14ac:dyDescent="0.2">
      <c r="A516" s="628">
        <f t="shared" si="7"/>
        <v>511</v>
      </c>
      <c r="B516" s="643">
        <v>42429</v>
      </c>
      <c r="C516" s="644">
        <v>454151</v>
      </c>
      <c r="D516" s="644" t="s">
        <v>770</v>
      </c>
      <c r="E516" s="644" t="s">
        <v>1209</v>
      </c>
      <c r="F516" s="644" t="s">
        <v>917</v>
      </c>
      <c r="G516" s="559">
        <v>-13.87</v>
      </c>
      <c r="H516" s="644">
        <v>856</v>
      </c>
      <c r="I516" s="644" t="s">
        <v>1056</v>
      </c>
    </row>
    <row r="517" spans="1:9" x14ac:dyDescent="0.2">
      <c r="A517" s="628">
        <f t="shared" si="7"/>
        <v>512</v>
      </c>
      <c r="B517" s="643">
        <v>42460</v>
      </c>
      <c r="C517" s="644">
        <v>454151</v>
      </c>
      <c r="D517" s="644" t="s">
        <v>13</v>
      </c>
      <c r="E517" s="644" t="s">
        <v>1209</v>
      </c>
      <c r="F517" s="644" t="s">
        <v>917</v>
      </c>
      <c r="G517" s="559">
        <v>-14.82</v>
      </c>
      <c r="H517" s="644">
        <v>856</v>
      </c>
      <c r="I517" s="644" t="s">
        <v>1056</v>
      </c>
    </row>
    <row r="518" spans="1:9" x14ac:dyDescent="0.2">
      <c r="A518" s="628">
        <f t="shared" si="7"/>
        <v>513</v>
      </c>
      <c r="B518" s="643">
        <v>42490</v>
      </c>
      <c r="C518" s="644">
        <v>454151</v>
      </c>
      <c r="D518" s="644" t="s">
        <v>771</v>
      </c>
      <c r="E518" s="644" t="s">
        <v>1209</v>
      </c>
      <c r="F518" s="644" t="s">
        <v>917</v>
      </c>
      <c r="G518" s="559">
        <v>-14.34</v>
      </c>
      <c r="H518" s="644">
        <v>856</v>
      </c>
      <c r="I518" s="644" t="s">
        <v>1056</v>
      </c>
    </row>
    <row r="519" spans="1:9" x14ac:dyDescent="0.2">
      <c r="A519" s="628">
        <f t="shared" si="7"/>
        <v>514</v>
      </c>
      <c r="B519" s="643">
        <v>42521</v>
      </c>
      <c r="C519" s="644">
        <v>454151</v>
      </c>
      <c r="D519" s="644" t="s">
        <v>772</v>
      </c>
      <c r="E519" s="644" t="s">
        <v>1209</v>
      </c>
      <c r="F519" s="644" t="s">
        <v>917</v>
      </c>
      <c r="G519" s="559">
        <v>-14.82</v>
      </c>
      <c r="H519" s="644">
        <v>856</v>
      </c>
      <c r="I519" s="644" t="s">
        <v>1056</v>
      </c>
    </row>
    <row r="520" spans="1:9" x14ac:dyDescent="0.2">
      <c r="A520" s="628">
        <f t="shared" si="7"/>
        <v>515</v>
      </c>
      <c r="B520" s="643">
        <v>42551</v>
      </c>
      <c r="C520" s="644">
        <v>454151</v>
      </c>
      <c r="D520" s="644" t="s">
        <v>773</v>
      </c>
      <c r="E520" s="644" t="s">
        <v>1209</v>
      </c>
      <c r="F520" s="644" t="s">
        <v>917</v>
      </c>
      <c r="G520" s="559">
        <v>-14.34</v>
      </c>
      <c r="H520" s="644">
        <v>856</v>
      </c>
      <c r="I520" s="644" t="s">
        <v>1056</v>
      </c>
    </row>
    <row r="521" spans="1:9" x14ac:dyDescent="0.2">
      <c r="A521" s="628">
        <f t="shared" si="7"/>
        <v>516</v>
      </c>
      <c r="B521" s="643">
        <v>42582</v>
      </c>
      <c r="C521" s="644">
        <v>454151</v>
      </c>
      <c r="D521" s="644" t="s">
        <v>14</v>
      </c>
      <c r="E521" s="644" t="s">
        <v>1209</v>
      </c>
      <c r="F521" s="644" t="s">
        <v>917</v>
      </c>
      <c r="G521" s="559">
        <v>-14.82</v>
      </c>
      <c r="H521" s="644">
        <v>856</v>
      </c>
      <c r="I521" s="644" t="s">
        <v>1056</v>
      </c>
    </row>
    <row r="522" spans="1:9" x14ac:dyDescent="0.2">
      <c r="A522" s="628">
        <f t="shared" si="7"/>
        <v>517</v>
      </c>
      <c r="B522" s="643">
        <v>42613</v>
      </c>
      <c r="C522" s="644">
        <v>454151</v>
      </c>
      <c r="D522" s="644" t="s">
        <v>774</v>
      </c>
      <c r="E522" s="644" t="s">
        <v>1209</v>
      </c>
      <c r="F522" s="644" t="s">
        <v>917</v>
      </c>
      <c r="G522" s="559">
        <v>-14.82</v>
      </c>
      <c r="H522" s="644">
        <v>856</v>
      </c>
      <c r="I522" s="644" t="s">
        <v>1056</v>
      </c>
    </row>
    <row r="523" spans="1:9" x14ac:dyDescent="0.2">
      <c r="A523" s="628">
        <f t="shared" si="7"/>
        <v>518</v>
      </c>
      <c r="B523" s="643">
        <v>42643</v>
      </c>
      <c r="C523" s="644">
        <v>454151</v>
      </c>
      <c r="D523" s="644" t="s">
        <v>775</v>
      </c>
      <c r="E523" s="644" t="s">
        <v>1209</v>
      </c>
      <c r="F523" s="644" t="s">
        <v>917</v>
      </c>
      <c r="G523" s="559">
        <v>-14.34</v>
      </c>
      <c r="H523" s="644">
        <v>856</v>
      </c>
      <c r="I523" s="644" t="s">
        <v>1056</v>
      </c>
    </row>
    <row r="524" spans="1:9" x14ac:dyDescent="0.2">
      <c r="A524" s="628">
        <f t="shared" si="7"/>
        <v>519</v>
      </c>
      <c r="B524" s="643">
        <v>42674</v>
      </c>
      <c r="C524" s="644">
        <v>454151</v>
      </c>
      <c r="D524" s="644" t="s">
        <v>776</v>
      </c>
      <c r="E524" s="644" t="s">
        <v>1209</v>
      </c>
      <c r="F524" s="644" t="s">
        <v>917</v>
      </c>
      <c r="G524" s="559">
        <v>-14.82</v>
      </c>
      <c r="H524" s="644">
        <v>856</v>
      </c>
      <c r="I524" s="644" t="s">
        <v>1056</v>
      </c>
    </row>
    <row r="525" spans="1:9" x14ac:dyDescent="0.2">
      <c r="A525" s="628">
        <f t="shared" si="7"/>
        <v>520</v>
      </c>
      <c r="B525" s="643">
        <v>42704</v>
      </c>
      <c r="C525" s="644">
        <v>454151</v>
      </c>
      <c r="D525" s="644" t="s">
        <v>777</v>
      </c>
      <c r="E525" s="644" t="s">
        <v>1209</v>
      </c>
      <c r="F525" s="644" t="s">
        <v>917</v>
      </c>
      <c r="G525" s="559">
        <v>-14.34</v>
      </c>
      <c r="H525" s="644">
        <v>856</v>
      </c>
      <c r="I525" s="644" t="s">
        <v>1056</v>
      </c>
    </row>
    <row r="526" spans="1:9" x14ac:dyDescent="0.2">
      <c r="A526" s="628">
        <f t="shared" si="7"/>
        <v>521</v>
      </c>
      <c r="B526" s="643">
        <v>42735</v>
      </c>
      <c r="C526" s="644">
        <v>454151</v>
      </c>
      <c r="D526" s="644" t="s">
        <v>146</v>
      </c>
      <c r="E526" s="644" t="s">
        <v>1209</v>
      </c>
      <c r="F526" s="644" t="s">
        <v>917</v>
      </c>
      <c r="G526" s="559">
        <v>-14.85</v>
      </c>
      <c r="H526" s="644">
        <v>856</v>
      </c>
      <c r="I526" s="644" t="s">
        <v>1056</v>
      </c>
    </row>
    <row r="527" spans="1:9" x14ac:dyDescent="0.2">
      <c r="A527" s="628">
        <f t="shared" si="7"/>
        <v>522</v>
      </c>
      <c r="B527" s="645">
        <v>42551</v>
      </c>
      <c r="C527" s="648" t="s">
        <v>1052</v>
      </c>
      <c r="D527" s="648" t="s">
        <v>1001</v>
      </c>
      <c r="E527" s="648" t="s">
        <v>1023</v>
      </c>
      <c r="F527" s="648" t="s">
        <v>918</v>
      </c>
      <c r="G527" s="647">
        <v>-40</v>
      </c>
      <c r="H527" s="648" t="s">
        <v>769</v>
      </c>
      <c r="I527" s="648" t="s">
        <v>1181</v>
      </c>
    </row>
    <row r="528" spans="1:9" x14ac:dyDescent="0.2">
      <c r="A528" s="628">
        <f t="shared" si="7"/>
        <v>523</v>
      </c>
      <c r="B528" s="645">
        <v>42643</v>
      </c>
      <c r="C528" s="648" t="s">
        <v>1052</v>
      </c>
      <c r="D528" s="648" t="s">
        <v>1124</v>
      </c>
      <c r="E528" s="648" t="s">
        <v>1023</v>
      </c>
      <c r="F528" s="648" t="s">
        <v>918</v>
      </c>
      <c r="G528" s="647">
        <v>-40</v>
      </c>
      <c r="H528" s="648" t="s">
        <v>769</v>
      </c>
      <c r="I528" s="648" t="s">
        <v>1182</v>
      </c>
    </row>
    <row r="529" spans="1:9" x14ac:dyDescent="0.2">
      <c r="A529" s="628">
        <f t="shared" si="7"/>
        <v>524</v>
      </c>
      <c r="B529" s="645">
        <v>42400</v>
      </c>
      <c r="C529" s="644" t="s">
        <v>1052</v>
      </c>
      <c r="D529" s="644" t="s">
        <v>768</v>
      </c>
      <c r="E529" s="644" t="s">
        <v>1131</v>
      </c>
      <c r="F529" s="646" t="s">
        <v>917</v>
      </c>
      <c r="G529" s="647">
        <v>-2808.38</v>
      </c>
      <c r="H529" s="644">
        <v>856</v>
      </c>
      <c r="I529" s="644" t="s">
        <v>1056</v>
      </c>
    </row>
    <row r="530" spans="1:9" x14ac:dyDescent="0.2">
      <c r="A530" s="628">
        <f t="shared" si="7"/>
        <v>525</v>
      </c>
      <c r="B530" s="645">
        <v>42429</v>
      </c>
      <c r="C530" s="644" t="s">
        <v>1052</v>
      </c>
      <c r="D530" s="644" t="s">
        <v>770</v>
      </c>
      <c r="E530" s="644" t="s">
        <v>1131</v>
      </c>
      <c r="F530" s="646" t="s">
        <v>917</v>
      </c>
      <c r="G530" s="647">
        <v>-2808.38</v>
      </c>
      <c r="H530" s="644">
        <v>856</v>
      </c>
      <c r="I530" s="644" t="s">
        <v>1056</v>
      </c>
    </row>
    <row r="531" spans="1:9" x14ac:dyDescent="0.2">
      <c r="A531" s="628">
        <f t="shared" si="7"/>
        <v>526</v>
      </c>
      <c r="B531" s="645">
        <v>42460</v>
      </c>
      <c r="C531" s="644" t="s">
        <v>1052</v>
      </c>
      <c r="D531" s="644" t="s">
        <v>13</v>
      </c>
      <c r="E531" s="644" t="s">
        <v>1131</v>
      </c>
      <c r="F531" s="646" t="s">
        <v>917</v>
      </c>
      <c r="G531" s="647">
        <v>-2808.38</v>
      </c>
      <c r="H531" s="644">
        <v>856</v>
      </c>
      <c r="I531" s="644" t="s">
        <v>1056</v>
      </c>
    </row>
    <row r="532" spans="1:9" x14ac:dyDescent="0.2">
      <c r="A532" s="628">
        <f t="shared" si="7"/>
        <v>527</v>
      </c>
      <c r="B532" s="645">
        <v>42490</v>
      </c>
      <c r="C532" s="644" t="s">
        <v>1052</v>
      </c>
      <c r="D532" s="644" t="s">
        <v>771</v>
      </c>
      <c r="E532" s="644" t="s">
        <v>1131</v>
      </c>
      <c r="F532" s="646" t="s">
        <v>917</v>
      </c>
      <c r="G532" s="647">
        <v>-2808.38</v>
      </c>
      <c r="H532" s="644">
        <v>856</v>
      </c>
      <c r="I532" s="644" t="s">
        <v>1056</v>
      </c>
    </row>
    <row r="533" spans="1:9" x14ac:dyDescent="0.2">
      <c r="A533" s="628">
        <f t="shared" si="7"/>
        <v>528</v>
      </c>
      <c r="B533" s="645">
        <v>42521</v>
      </c>
      <c r="C533" s="644" t="s">
        <v>1052</v>
      </c>
      <c r="D533" s="644" t="s">
        <v>772</v>
      </c>
      <c r="E533" s="644" t="s">
        <v>1131</v>
      </c>
      <c r="F533" s="646" t="s">
        <v>917</v>
      </c>
      <c r="G533" s="647">
        <v>-2808.38</v>
      </c>
      <c r="H533" s="644">
        <v>856</v>
      </c>
      <c r="I533" s="644" t="s">
        <v>1056</v>
      </c>
    </row>
    <row r="534" spans="1:9" x14ac:dyDescent="0.2">
      <c r="A534" s="628">
        <f t="shared" si="7"/>
        <v>529</v>
      </c>
      <c r="B534" s="645">
        <v>42551</v>
      </c>
      <c r="C534" s="644" t="s">
        <v>1052</v>
      </c>
      <c r="D534" s="644" t="s">
        <v>773</v>
      </c>
      <c r="E534" s="644" t="s">
        <v>1131</v>
      </c>
      <c r="F534" s="646" t="s">
        <v>917</v>
      </c>
      <c r="G534" s="647">
        <v>-2808.38</v>
      </c>
      <c r="H534" s="644">
        <v>856</v>
      </c>
      <c r="I534" s="644" t="s">
        <v>1056</v>
      </c>
    </row>
    <row r="535" spans="1:9" x14ac:dyDescent="0.2">
      <c r="A535" s="628">
        <f t="shared" ref="A535:A598" si="8">A534+1</f>
        <v>530</v>
      </c>
      <c r="B535" s="645">
        <v>42582</v>
      </c>
      <c r="C535" s="644" t="s">
        <v>1052</v>
      </c>
      <c r="D535" s="644" t="s">
        <v>14</v>
      </c>
      <c r="E535" s="644" t="s">
        <v>1131</v>
      </c>
      <c r="F535" s="646" t="s">
        <v>917</v>
      </c>
      <c r="G535" s="647">
        <v>-2822.42</v>
      </c>
      <c r="H535" s="644">
        <v>856</v>
      </c>
      <c r="I535" s="644" t="s">
        <v>1056</v>
      </c>
    </row>
    <row r="536" spans="1:9" x14ac:dyDescent="0.2">
      <c r="A536" s="628">
        <f t="shared" si="8"/>
        <v>531</v>
      </c>
      <c r="B536" s="645">
        <v>42613</v>
      </c>
      <c r="C536" s="644" t="s">
        <v>1052</v>
      </c>
      <c r="D536" s="644" t="s">
        <v>774</v>
      </c>
      <c r="E536" s="644" t="s">
        <v>1131</v>
      </c>
      <c r="F536" s="646" t="s">
        <v>917</v>
      </c>
      <c r="G536" s="647">
        <v>-2822.42</v>
      </c>
      <c r="H536" s="644">
        <v>856</v>
      </c>
      <c r="I536" s="644" t="s">
        <v>1056</v>
      </c>
    </row>
    <row r="537" spans="1:9" x14ac:dyDescent="0.2">
      <c r="A537" s="628">
        <f t="shared" si="8"/>
        <v>532</v>
      </c>
      <c r="B537" s="645">
        <v>42643</v>
      </c>
      <c r="C537" s="644" t="s">
        <v>1052</v>
      </c>
      <c r="D537" s="644" t="s">
        <v>775</v>
      </c>
      <c r="E537" s="644" t="s">
        <v>1131</v>
      </c>
      <c r="F537" s="646" t="s">
        <v>917</v>
      </c>
      <c r="G537" s="647">
        <v>-2822.42</v>
      </c>
      <c r="H537" s="644">
        <v>856</v>
      </c>
      <c r="I537" s="644" t="s">
        <v>1056</v>
      </c>
    </row>
    <row r="538" spans="1:9" x14ac:dyDescent="0.2">
      <c r="A538" s="628">
        <f t="shared" si="8"/>
        <v>533</v>
      </c>
      <c r="B538" s="645">
        <v>42674</v>
      </c>
      <c r="C538" s="644" t="s">
        <v>1052</v>
      </c>
      <c r="D538" s="644" t="s">
        <v>776</v>
      </c>
      <c r="E538" s="644" t="s">
        <v>1131</v>
      </c>
      <c r="F538" s="646" t="s">
        <v>917</v>
      </c>
      <c r="G538" s="647">
        <v>-2822.42</v>
      </c>
      <c r="H538" s="644">
        <v>856</v>
      </c>
      <c r="I538" s="644" t="s">
        <v>1056</v>
      </c>
    </row>
    <row r="539" spans="1:9" x14ac:dyDescent="0.2">
      <c r="A539" s="628">
        <f t="shared" si="8"/>
        <v>534</v>
      </c>
      <c r="B539" s="645">
        <v>42704</v>
      </c>
      <c r="C539" s="644" t="s">
        <v>1052</v>
      </c>
      <c r="D539" s="644" t="s">
        <v>777</v>
      </c>
      <c r="E539" s="644" t="s">
        <v>1131</v>
      </c>
      <c r="F539" s="646" t="s">
        <v>917</v>
      </c>
      <c r="G539" s="647">
        <v>-2822.42</v>
      </c>
      <c r="H539" s="644">
        <v>856</v>
      </c>
      <c r="I539" s="644" t="s">
        <v>1056</v>
      </c>
    </row>
    <row r="540" spans="1:9" x14ac:dyDescent="0.2">
      <c r="A540" s="628">
        <f t="shared" si="8"/>
        <v>535</v>
      </c>
      <c r="B540" s="645">
        <v>42735</v>
      </c>
      <c r="C540" s="644" t="s">
        <v>1052</v>
      </c>
      <c r="D540" s="644" t="s">
        <v>146</v>
      </c>
      <c r="E540" s="644" t="s">
        <v>1131</v>
      </c>
      <c r="F540" s="646" t="s">
        <v>917</v>
      </c>
      <c r="G540" s="647">
        <v>-2822.42</v>
      </c>
      <c r="H540" s="644">
        <v>856</v>
      </c>
      <c r="I540" s="644" t="s">
        <v>1056</v>
      </c>
    </row>
    <row r="541" spans="1:9" x14ac:dyDescent="0.2">
      <c r="A541" s="628">
        <f t="shared" si="8"/>
        <v>536</v>
      </c>
      <c r="B541" s="645">
        <v>42551</v>
      </c>
      <c r="C541" s="644" t="s">
        <v>1052</v>
      </c>
      <c r="D541" s="644" t="s">
        <v>773</v>
      </c>
      <c r="E541" s="644" t="s">
        <v>1131</v>
      </c>
      <c r="F541" s="646" t="s">
        <v>917</v>
      </c>
      <c r="G541" s="647">
        <v>-57.79</v>
      </c>
      <c r="H541" s="644">
        <v>856</v>
      </c>
      <c r="I541" s="644" t="s">
        <v>1121</v>
      </c>
    </row>
    <row r="542" spans="1:9" x14ac:dyDescent="0.2">
      <c r="A542" s="628">
        <f t="shared" si="8"/>
        <v>537</v>
      </c>
      <c r="B542" s="643">
        <v>42613</v>
      </c>
      <c r="C542" s="644">
        <v>454151</v>
      </c>
      <c r="D542" s="644" t="s">
        <v>774</v>
      </c>
      <c r="E542" s="644" t="s">
        <v>1210</v>
      </c>
      <c r="F542" s="644" t="s">
        <v>693</v>
      </c>
      <c r="G542" s="559">
        <v>-662.7</v>
      </c>
      <c r="H542" s="644">
        <v>856</v>
      </c>
      <c r="I542" s="644" t="s">
        <v>1056</v>
      </c>
    </row>
    <row r="543" spans="1:9" x14ac:dyDescent="0.2">
      <c r="A543" s="628">
        <f t="shared" si="8"/>
        <v>538</v>
      </c>
      <c r="B543" s="643">
        <v>42643</v>
      </c>
      <c r="C543" s="644">
        <v>454151</v>
      </c>
      <c r="D543" s="644" t="s">
        <v>775</v>
      </c>
      <c r="E543" s="644" t="s">
        <v>1210</v>
      </c>
      <c r="F543" s="644" t="s">
        <v>693</v>
      </c>
      <c r="G543" s="559">
        <v>-641.32000000000005</v>
      </c>
      <c r="H543" s="644">
        <v>856</v>
      </c>
      <c r="I543" s="644" t="s">
        <v>1056</v>
      </c>
    </row>
    <row r="544" spans="1:9" x14ac:dyDescent="0.2">
      <c r="A544" s="628">
        <f t="shared" si="8"/>
        <v>539</v>
      </c>
      <c r="B544" s="643">
        <v>42674</v>
      </c>
      <c r="C544" s="644">
        <v>454151</v>
      </c>
      <c r="D544" s="644" t="s">
        <v>776</v>
      </c>
      <c r="E544" s="644" t="s">
        <v>1210</v>
      </c>
      <c r="F544" s="644" t="s">
        <v>693</v>
      </c>
      <c r="G544" s="559">
        <v>-662.7</v>
      </c>
      <c r="H544" s="644">
        <v>856</v>
      </c>
      <c r="I544" s="644" t="s">
        <v>1056</v>
      </c>
    </row>
    <row r="545" spans="1:9" x14ac:dyDescent="0.2">
      <c r="A545" s="628">
        <f t="shared" si="8"/>
        <v>540</v>
      </c>
      <c r="B545" s="643">
        <v>42704</v>
      </c>
      <c r="C545" s="644">
        <v>454151</v>
      </c>
      <c r="D545" s="644" t="s">
        <v>777</v>
      </c>
      <c r="E545" s="644" t="s">
        <v>1210</v>
      </c>
      <c r="F545" s="644" t="s">
        <v>693</v>
      </c>
      <c r="G545" s="559">
        <v>-641.32000000000005</v>
      </c>
      <c r="H545" s="644">
        <v>856</v>
      </c>
      <c r="I545" s="644" t="s">
        <v>1056</v>
      </c>
    </row>
    <row r="546" spans="1:9" x14ac:dyDescent="0.2">
      <c r="A546" s="628">
        <f t="shared" si="8"/>
        <v>541</v>
      </c>
      <c r="B546" s="643">
        <v>42735</v>
      </c>
      <c r="C546" s="644">
        <v>454151</v>
      </c>
      <c r="D546" s="644" t="s">
        <v>146</v>
      </c>
      <c r="E546" s="644" t="s">
        <v>1210</v>
      </c>
      <c r="F546" s="644" t="s">
        <v>693</v>
      </c>
      <c r="G546" s="559">
        <v>-662.7</v>
      </c>
      <c r="H546" s="644">
        <v>856</v>
      </c>
      <c r="I546" s="644" t="s">
        <v>1056</v>
      </c>
    </row>
    <row r="547" spans="1:9" x14ac:dyDescent="0.2">
      <c r="A547" s="628">
        <f t="shared" si="8"/>
        <v>542</v>
      </c>
      <c r="B547" s="643">
        <v>42400</v>
      </c>
      <c r="C547" s="644">
        <v>454151</v>
      </c>
      <c r="D547" s="644" t="s">
        <v>768</v>
      </c>
      <c r="E547" s="644" t="s">
        <v>1054</v>
      </c>
      <c r="F547" s="644" t="s">
        <v>693</v>
      </c>
      <c r="G547" s="559">
        <v>-565.41428571428571</v>
      </c>
      <c r="H547" s="644">
        <v>856</v>
      </c>
      <c r="I547" s="644" t="s">
        <v>1056</v>
      </c>
    </row>
    <row r="548" spans="1:9" x14ac:dyDescent="0.2">
      <c r="A548" s="628">
        <f t="shared" si="8"/>
        <v>543</v>
      </c>
      <c r="B548" s="643">
        <v>42429</v>
      </c>
      <c r="C548" s="644">
        <v>454151</v>
      </c>
      <c r="D548" s="644" t="s">
        <v>770</v>
      </c>
      <c r="E548" s="644" t="s">
        <v>1054</v>
      </c>
      <c r="F548" s="644" t="s">
        <v>693</v>
      </c>
      <c r="G548" s="559">
        <v>-565.41428571428571</v>
      </c>
      <c r="H548" s="644">
        <v>856</v>
      </c>
      <c r="I548" s="644" t="s">
        <v>1056</v>
      </c>
    </row>
    <row r="549" spans="1:9" x14ac:dyDescent="0.2">
      <c r="A549" s="628">
        <f t="shared" si="8"/>
        <v>544</v>
      </c>
      <c r="B549" s="643">
        <v>42460</v>
      </c>
      <c r="C549" s="644">
        <v>454151</v>
      </c>
      <c r="D549" s="644" t="s">
        <v>13</v>
      </c>
      <c r="E549" s="644" t="s">
        <v>1054</v>
      </c>
      <c r="F549" s="644" t="s">
        <v>693</v>
      </c>
      <c r="G549" s="559">
        <v>-565.41428571428571</v>
      </c>
      <c r="H549" s="644">
        <v>856</v>
      </c>
      <c r="I549" s="644" t="s">
        <v>1056</v>
      </c>
    </row>
    <row r="550" spans="1:9" x14ac:dyDescent="0.2">
      <c r="A550" s="628">
        <f t="shared" si="8"/>
        <v>545</v>
      </c>
      <c r="B550" s="643">
        <v>42490</v>
      </c>
      <c r="C550" s="644">
        <v>454151</v>
      </c>
      <c r="D550" s="644" t="s">
        <v>771</v>
      </c>
      <c r="E550" s="644" t="s">
        <v>1054</v>
      </c>
      <c r="F550" s="644" t="s">
        <v>693</v>
      </c>
      <c r="G550" s="559">
        <v>-565.41428571428571</v>
      </c>
      <c r="H550" s="644">
        <v>856</v>
      </c>
      <c r="I550" s="644" t="s">
        <v>1056</v>
      </c>
    </row>
    <row r="551" spans="1:9" x14ac:dyDescent="0.2">
      <c r="A551" s="628">
        <f t="shared" si="8"/>
        <v>546</v>
      </c>
      <c r="B551" s="643">
        <v>42521</v>
      </c>
      <c r="C551" s="644">
        <v>454151</v>
      </c>
      <c r="D551" s="644" t="s">
        <v>772</v>
      </c>
      <c r="E551" s="644" t="s">
        <v>1054</v>
      </c>
      <c r="F551" s="644" t="s">
        <v>693</v>
      </c>
      <c r="G551" s="559">
        <v>-565.41428571428571</v>
      </c>
      <c r="H551" s="644">
        <v>856</v>
      </c>
      <c r="I551" s="644" t="s">
        <v>1056</v>
      </c>
    </row>
    <row r="552" spans="1:9" x14ac:dyDescent="0.2">
      <c r="A552" s="628">
        <f t="shared" si="8"/>
        <v>547</v>
      </c>
      <c r="B552" s="643">
        <v>42551</v>
      </c>
      <c r="C552" s="644">
        <v>454151</v>
      </c>
      <c r="D552" s="644" t="s">
        <v>773</v>
      </c>
      <c r="E552" s="644" t="s">
        <v>1054</v>
      </c>
      <c r="F552" s="644" t="s">
        <v>693</v>
      </c>
      <c r="G552" s="559">
        <v>-565.41428571428571</v>
      </c>
      <c r="H552" s="644">
        <v>856</v>
      </c>
      <c r="I552" s="644" t="s">
        <v>1056</v>
      </c>
    </row>
    <row r="553" spans="1:9" x14ac:dyDescent="0.2">
      <c r="A553" s="628">
        <f t="shared" si="8"/>
        <v>548</v>
      </c>
      <c r="B553" s="643">
        <v>42582</v>
      </c>
      <c r="C553" s="644">
        <v>454151</v>
      </c>
      <c r="D553" s="644" t="s">
        <v>14</v>
      </c>
      <c r="E553" s="644" t="s">
        <v>1054</v>
      </c>
      <c r="F553" s="644" t="s">
        <v>693</v>
      </c>
      <c r="G553" s="559">
        <v>-565.41428571428571</v>
      </c>
      <c r="H553" s="644">
        <v>856</v>
      </c>
      <c r="I553" s="644" t="s">
        <v>1056</v>
      </c>
    </row>
    <row r="554" spans="1:9" x14ac:dyDescent="0.2">
      <c r="A554" s="628">
        <f t="shared" si="8"/>
        <v>549</v>
      </c>
      <c r="B554" s="643">
        <v>42643</v>
      </c>
      <c r="C554" s="644">
        <v>454151</v>
      </c>
      <c r="D554" s="644" t="s">
        <v>775</v>
      </c>
      <c r="E554" s="644" t="s">
        <v>1018</v>
      </c>
      <c r="F554" s="644" t="s">
        <v>918</v>
      </c>
      <c r="G554" s="559">
        <v>-130</v>
      </c>
      <c r="H554" s="644">
        <v>856</v>
      </c>
      <c r="I554" s="644" t="s">
        <v>1057</v>
      </c>
    </row>
    <row r="555" spans="1:9" x14ac:dyDescent="0.2">
      <c r="A555" s="628">
        <f t="shared" si="8"/>
        <v>550</v>
      </c>
      <c r="B555" s="645">
        <v>42400</v>
      </c>
      <c r="C555" s="644" t="s">
        <v>1155</v>
      </c>
      <c r="D555" s="644" t="s">
        <v>768</v>
      </c>
      <c r="E555" s="644" t="s">
        <v>1132</v>
      </c>
      <c r="F555" s="646" t="s">
        <v>918</v>
      </c>
      <c r="G555" s="647">
        <v>-50</v>
      </c>
      <c r="H555" s="644">
        <v>856</v>
      </c>
      <c r="I555" s="644" t="s">
        <v>1056</v>
      </c>
    </row>
    <row r="556" spans="1:9" x14ac:dyDescent="0.2">
      <c r="A556" s="628">
        <f t="shared" si="8"/>
        <v>551</v>
      </c>
      <c r="B556" s="645">
        <v>42429</v>
      </c>
      <c r="C556" s="644" t="s">
        <v>1155</v>
      </c>
      <c r="D556" s="644" t="s">
        <v>770</v>
      </c>
      <c r="E556" s="644" t="s">
        <v>1132</v>
      </c>
      <c r="F556" s="646" t="s">
        <v>918</v>
      </c>
      <c r="G556" s="647">
        <v>-50</v>
      </c>
      <c r="H556" s="644">
        <v>856</v>
      </c>
      <c r="I556" s="644" t="s">
        <v>1056</v>
      </c>
    </row>
    <row r="557" spans="1:9" x14ac:dyDescent="0.2">
      <c r="A557" s="628">
        <f t="shared" si="8"/>
        <v>552</v>
      </c>
      <c r="B557" s="645">
        <v>42460</v>
      </c>
      <c r="C557" s="644" t="s">
        <v>1155</v>
      </c>
      <c r="D557" s="644" t="s">
        <v>13</v>
      </c>
      <c r="E557" s="644" t="s">
        <v>1132</v>
      </c>
      <c r="F557" s="646" t="s">
        <v>918</v>
      </c>
      <c r="G557" s="647">
        <v>-50</v>
      </c>
      <c r="H557" s="644">
        <v>856</v>
      </c>
      <c r="I557" s="644" t="s">
        <v>1056</v>
      </c>
    </row>
    <row r="558" spans="1:9" x14ac:dyDescent="0.2">
      <c r="A558" s="628">
        <f t="shared" si="8"/>
        <v>553</v>
      </c>
      <c r="B558" s="645">
        <v>42490</v>
      </c>
      <c r="C558" s="644" t="s">
        <v>1155</v>
      </c>
      <c r="D558" s="644" t="s">
        <v>771</v>
      </c>
      <c r="E558" s="644" t="s">
        <v>1132</v>
      </c>
      <c r="F558" s="646" t="s">
        <v>918</v>
      </c>
      <c r="G558" s="647">
        <v>-50</v>
      </c>
      <c r="H558" s="644">
        <v>856</v>
      </c>
      <c r="I558" s="644" t="s">
        <v>1056</v>
      </c>
    </row>
    <row r="559" spans="1:9" x14ac:dyDescent="0.2">
      <c r="A559" s="628">
        <f t="shared" si="8"/>
        <v>554</v>
      </c>
      <c r="B559" s="645">
        <v>42521</v>
      </c>
      <c r="C559" s="644" t="s">
        <v>1155</v>
      </c>
      <c r="D559" s="644" t="s">
        <v>772</v>
      </c>
      <c r="E559" s="644" t="s">
        <v>1132</v>
      </c>
      <c r="F559" s="646" t="s">
        <v>918</v>
      </c>
      <c r="G559" s="647">
        <v>-50</v>
      </c>
      <c r="H559" s="644">
        <v>856</v>
      </c>
      <c r="I559" s="644" t="s">
        <v>1056</v>
      </c>
    </row>
    <row r="560" spans="1:9" x14ac:dyDescent="0.2">
      <c r="A560" s="628">
        <f t="shared" si="8"/>
        <v>555</v>
      </c>
      <c r="B560" s="645">
        <v>42551</v>
      </c>
      <c r="C560" s="644" t="s">
        <v>1155</v>
      </c>
      <c r="D560" s="644" t="s">
        <v>773</v>
      </c>
      <c r="E560" s="644" t="s">
        <v>1132</v>
      </c>
      <c r="F560" s="646" t="s">
        <v>918</v>
      </c>
      <c r="G560" s="647">
        <v>-50</v>
      </c>
      <c r="H560" s="644">
        <v>856</v>
      </c>
      <c r="I560" s="644" t="s">
        <v>1056</v>
      </c>
    </row>
    <row r="561" spans="1:9" x14ac:dyDescent="0.2">
      <c r="A561" s="628">
        <f t="shared" si="8"/>
        <v>556</v>
      </c>
      <c r="B561" s="645">
        <v>42582</v>
      </c>
      <c r="C561" s="644" t="s">
        <v>1155</v>
      </c>
      <c r="D561" s="644" t="s">
        <v>14</v>
      </c>
      <c r="E561" s="644" t="s">
        <v>1132</v>
      </c>
      <c r="F561" s="646" t="s">
        <v>918</v>
      </c>
      <c r="G561" s="647">
        <v>-50</v>
      </c>
      <c r="H561" s="644">
        <v>856</v>
      </c>
      <c r="I561" s="644" t="s">
        <v>1056</v>
      </c>
    </row>
    <row r="562" spans="1:9" x14ac:dyDescent="0.2">
      <c r="A562" s="628">
        <f t="shared" si="8"/>
        <v>557</v>
      </c>
      <c r="B562" s="645">
        <v>42613</v>
      </c>
      <c r="C562" s="644" t="s">
        <v>1155</v>
      </c>
      <c r="D562" s="644" t="s">
        <v>774</v>
      </c>
      <c r="E562" s="644" t="s">
        <v>1132</v>
      </c>
      <c r="F562" s="646" t="s">
        <v>918</v>
      </c>
      <c r="G562" s="647">
        <v>-50</v>
      </c>
      <c r="H562" s="644">
        <v>856</v>
      </c>
      <c r="I562" s="644" t="s">
        <v>1056</v>
      </c>
    </row>
    <row r="563" spans="1:9" x14ac:dyDescent="0.2">
      <c r="A563" s="628">
        <f t="shared" si="8"/>
        <v>558</v>
      </c>
      <c r="B563" s="645">
        <v>42643</v>
      </c>
      <c r="C563" s="644" t="s">
        <v>1052</v>
      </c>
      <c r="D563" s="644" t="s">
        <v>775</v>
      </c>
      <c r="E563" s="644" t="s">
        <v>1132</v>
      </c>
      <c r="F563" s="646" t="s">
        <v>918</v>
      </c>
      <c r="G563" s="647">
        <v>-50</v>
      </c>
      <c r="H563" s="644">
        <v>856</v>
      </c>
      <c r="I563" s="644" t="s">
        <v>1056</v>
      </c>
    </row>
    <row r="564" spans="1:9" x14ac:dyDescent="0.2">
      <c r="A564" s="628">
        <f t="shared" si="8"/>
        <v>559</v>
      </c>
      <c r="B564" s="645">
        <v>42674</v>
      </c>
      <c r="C564" s="644" t="s">
        <v>1052</v>
      </c>
      <c r="D564" s="644" t="s">
        <v>776</v>
      </c>
      <c r="E564" s="644" t="s">
        <v>1132</v>
      </c>
      <c r="F564" s="646" t="s">
        <v>918</v>
      </c>
      <c r="G564" s="647">
        <v>-50</v>
      </c>
      <c r="H564" s="644">
        <v>856</v>
      </c>
      <c r="I564" s="644" t="s">
        <v>1056</v>
      </c>
    </row>
    <row r="565" spans="1:9" x14ac:dyDescent="0.2">
      <c r="A565" s="628">
        <f t="shared" si="8"/>
        <v>560</v>
      </c>
      <c r="B565" s="645">
        <v>42704</v>
      </c>
      <c r="C565" s="644" t="s">
        <v>1052</v>
      </c>
      <c r="D565" s="644" t="s">
        <v>777</v>
      </c>
      <c r="E565" s="644" t="s">
        <v>1132</v>
      </c>
      <c r="F565" s="646" t="s">
        <v>918</v>
      </c>
      <c r="G565" s="647">
        <v>-50</v>
      </c>
      <c r="H565" s="644">
        <v>856</v>
      </c>
      <c r="I565" s="644" t="s">
        <v>1056</v>
      </c>
    </row>
    <row r="566" spans="1:9" x14ac:dyDescent="0.2">
      <c r="A566" s="628">
        <f t="shared" si="8"/>
        <v>561</v>
      </c>
      <c r="B566" s="645">
        <v>42735</v>
      </c>
      <c r="C566" s="644" t="s">
        <v>1052</v>
      </c>
      <c r="D566" s="644" t="s">
        <v>146</v>
      </c>
      <c r="E566" s="644" t="s">
        <v>1132</v>
      </c>
      <c r="F566" s="646" t="s">
        <v>918</v>
      </c>
      <c r="G566" s="647">
        <v>-50</v>
      </c>
      <c r="H566" s="644">
        <v>856</v>
      </c>
      <c r="I566" s="644" t="s">
        <v>1056</v>
      </c>
    </row>
    <row r="567" spans="1:9" x14ac:dyDescent="0.2">
      <c r="A567" s="628">
        <f t="shared" si="8"/>
        <v>562</v>
      </c>
      <c r="B567" s="643">
        <v>42400</v>
      </c>
      <c r="C567" s="644">
        <v>454151</v>
      </c>
      <c r="D567" s="644" t="s">
        <v>768</v>
      </c>
      <c r="E567" s="644" t="s">
        <v>1211</v>
      </c>
      <c r="F567" s="644" t="s">
        <v>918</v>
      </c>
      <c r="G567" s="559">
        <v>-8.4700000000000006</v>
      </c>
      <c r="H567" s="644">
        <v>856</v>
      </c>
      <c r="I567" s="644" t="s">
        <v>1056</v>
      </c>
    </row>
    <row r="568" spans="1:9" x14ac:dyDescent="0.2">
      <c r="A568" s="628">
        <f t="shared" si="8"/>
        <v>563</v>
      </c>
      <c r="B568" s="643">
        <v>42429</v>
      </c>
      <c r="C568" s="644">
        <v>454151</v>
      </c>
      <c r="D568" s="644" t="s">
        <v>770</v>
      </c>
      <c r="E568" s="644" t="s">
        <v>1211</v>
      </c>
      <c r="F568" s="644" t="s">
        <v>918</v>
      </c>
      <c r="G568" s="559">
        <v>-7.92</v>
      </c>
      <c r="H568" s="644">
        <v>856</v>
      </c>
      <c r="I568" s="644" t="s">
        <v>1056</v>
      </c>
    </row>
    <row r="569" spans="1:9" x14ac:dyDescent="0.2">
      <c r="A569" s="628">
        <f t="shared" si="8"/>
        <v>564</v>
      </c>
      <c r="B569" s="643">
        <v>42460</v>
      </c>
      <c r="C569" s="644">
        <v>454151</v>
      </c>
      <c r="D569" s="644" t="s">
        <v>13</v>
      </c>
      <c r="E569" s="644" t="s">
        <v>1211</v>
      </c>
      <c r="F569" s="644" t="s">
        <v>918</v>
      </c>
      <c r="G569" s="559">
        <v>-8.4700000000000006</v>
      </c>
      <c r="H569" s="644">
        <v>856</v>
      </c>
      <c r="I569" s="644" t="s">
        <v>1056</v>
      </c>
    </row>
    <row r="570" spans="1:9" x14ac:dyDescent="0.2">
      <c r="A570" s="628">
        <f t="shared" si="8"/>
        <v>565</v>
      </c>
      <c r="B570" s="643">
        <v>42490</v>
      </c>
      <c r="C570" s="644">
        <v>454151</v>
      </c>
      <c r="D570" s="644" t="s">
        <v>771</v>
      </c>
      <c r="E570" s="644" t="s">
        <v>1211</v>
      </c>
      <c r="F570" s="644" t="s">
        <v>918</v>
      </c>
      <c r="G570" s="559">
        <v>-8.1999999999999993</v>
      </c>
      <c r="H570" s="644">
        <v>856</v>
      </c>
      <c r="I570" s="644" t="s">
        <v>1056</v>
      </c>
    </row>
    <row r="571" spans="1:9" x14ac:dyDescent="0.2">
      <c r="A571" s="628">
        <f t="shared" si="8"/>
        <v>566</v>
      </c>
      <c r="B571" s="643">
        <v>42521</v>
      </c>
      <c r="C571" s="644">
        <v>454151</v>
      </c>
      <c r="D571" s="644" t="s">
        <v>772</v>
      </c>
      <c r="E571" s="644" t="s">
        <v>1211</v>
      </c>
      <c r="F571" s="644" t="s">
        <v>918</v>
      </c>
      <c r="G571" s="559">
        <v>-8.4700000000000006</v>
      </c>
      <c r="H571" s="644">
        <v>856</v>
      </c>
      <c r="I571" s="644" t="s">
        <v>1056</v>
      </c>
    </row>
    <row r="572" spans="1:9" x14ac:dyDescent="0.2">
      <c r="A572" s="628">
        <f t="shared" si="8"/>
        <v>567</v>
      </c>
      <c r="B572" s="643">
        <v>42551</v>
      </c>
      <c r="C572" s="644">
        <v>454151</v>
      </c>
      <c r="D572" s="644" t="s">
        <v>773</v>
      </c>
      <c r="E572" s="644" t="s">
        <v>1211</v>
      </c>
      <c r="F572" s="644" t="s">
        <v>918</v>
      </c>
      <c r="G572" s="559">
        <v>-8.1999999999999993</v>
      </c>
      <c r="H572" s="644">
        <v>856</v>
      </c>
      <c r="I572" s="644" t="s">
        <v>1056</v>
      </c>
    </row>
    <row r="573" spans="1:9" x14ac:dyDescent="0.2">
      <c r="A573" s="628">
        <f t="shared" si="8"/>
        <v>568</v>
      </c>
      <c r="B573" s="643">
        <v>42582</v>
      </c>
      <c r="C573" s="644">
        <v>454151</v>
      </c>
      <c r="D573" s="644" t="s">
        <v>14</v>
      </c>
      <c r="E573" s="644" t="s">
        <v>1211</v>
      </c>
      <c r="F573" s="644" t="s">
        <v>918</v>
      </c>
      <c r="G573" s="559">
        <v>-8.4700000000000006</v>
      </c>
      <c r="H573" s="644">
        <v>856</v>
      </c>
      <c r="I573" s="644" t="s">
        <v>1056</v>
      </c>
    </row>
    <row r="574" spans="1:9" x14ac:dyDescent="0.2">
      <c r="A574" s="628">
        <f t="shared" si="8"/>
        <v>569</v>
      </c>
      <c r="B574" s="643">
        <v>42613</v>
      </c>
      <c r="C574" s="644">
        <v>454151</v>
      </c>
      <c r="D574" s="644" t="s">
        <v>774</v>
      </c>
      <c r="E574" s="644" t="s">
        <v>1211</v>
      </c>
      <c r="F574" s="644" t="s">
        <v>918</v>
      </c>
      <c r="G574" s="559">
        <v>-8.4700000000000006</v>
      </c>
      <c r="H574" s="644">
        <v>856</v>
      </c>
      <c r="I574" s="644" t="s">
        <v>1056</v>
      </c>
    </row>
    <row r="575" spans="1:9" x14ac:dyDescent="0.2">
      <c r="A575" s="628">
        <f t="shared" si="8"/>
        <v>570</v>
      </c>
      <c r="B575" s="643">
        <v>42643</v>
      </c>
      <c r="C575" s="644">
        <v>454151</v>
      </c>
      <c r="D575" s="644" t="s">
        <v>775</v>
      </c>
      <c r="E575" s="644" t="s">
        <v>1211</v>
      </c>
      <c r="F575" s="644" t="s">
        <v>918</v>
      </c>
      <c r="G575" s="559">
        <v>-8.1999999999999993</v>
      </c>
      <c r="H575" s="644">
        <v>856</v>
      </c>
      <c r="I575" s="644" t="s">
        <v>1056</v>
      </c>
    </row>
    <row r="576" spans="1:9" x14ac:dyDescent="0.2">
      <c r="A576" s="628">
        <f t="shared" si="8"/>
        <v>571</v>
      </c>
      <c r="B576" s="643">
        <v>42674</v>
      </c>
      <c r="C576" s="644">
        <v>454151</v>
      </c>
      <c r="D576" s="644" t="s">
        <v>776</v>
      </c>
      <c r="E576" s="644" t="s">
        <v>1211</v>
      </c>
      <c r="F576" s="644" t="s">
        <v>918</v>
      </c>
      <c r="G576" s="559">
        <v>-8.4700000000000006</v>
      </c>
      <c r="H576" s="644">
        <v>856</v>
      </c>
      <c r="I576" s="644" t="s">
        <v>1056</v>
      </c>
    </row>
    <row r="577" spans="1:9" x14ac:dyDescent="0.2">
      <c r="A577" s="628">
        <f t="shared" si="8"/>
        <v>572</v>
      </c>
      <c r="B577" s="643">
        <v>42704</v>
      </c>
      <c r="C577" s="644">
        <v>454151</v>
      </c>
      <c r="D577" s="644" t="s">
        <v>777</v>
      </c>
      <c r="E577" s="644" t="s">
        <v>1211</v>
      </c>
      <c r="F577" s="644" t="s">
        <v>918</v>
      </c>
      <c r="G577" s="559">
        <v>-8.1999999999999993</v>
      </c>
      <c r="H577" s="644">
        <v>856</v>
      </c>
      <c r="I577" s="644" t="s">
        <v>1056</v>
      </c>
    </row>
    <row r="578" spans="1:9" x14ac:dyDescent="0.2">
      <c r="A578" s="628">
        <f t="shared" si="8"/>
        <v>573</v>
      </c>
      <c r="B578" s="643">
        <v>42735</v>
      </c>
      <c r="C578" s="644">
        <v>454151</v>
      </c>
      <c r="D578" s="644" t="s">
        <v>146</v>
      </c>
      <c r="E578" s="644" t="s">
        <v>1211</v>
      </c>
      <c r="F578" s="644" t="s">
        <v>918</v>
      </c>
      <c r="G578" s="559">
        <v>-8.4600000000000009</v>
      </c>
      <c r="H578" s="644">
        <v>856</v>
      </c>
      <c r="I578" s="644" t="s">
        <v>1056</v>
      </c>
    </row>
    <row r="579" spans="1:9" x14ac:dyDescent="0.2">
      <c r="A579" s="628">
        <f t="shared" si="8"/>
        <v>574</v>
      </c>
      <c r="B579" s="643">
        <v>42400</v>
      </c>
      <c r="C579" s="644">
        <v>454151</v>
      </c>
      <c r="D579" s="644" t="s">
        <v>768</v>
      </c>
      <c r="E579" s="644" t="s">
        <v>1019</v>
      </c>
      <c r="F579" s="644" t="s">
        <v>693</v>
      </c>
      <c r="G579" s="559">
        <v>-769.77</v>
      </c>
      <c r="H579" s="644">
        <v>856</v>
      </c>
      <c r="I579" s="644" t="s">
        <v>1056</v>
      </c>
    </row>
    <row r="580" spans="1:9" x14ac:dyDescent="0.2">
      <c r="A580" s="628">
        <f t="shared" si="8"/>
        <v>575</v>
      </c>
      <c r="B580" s="643">
        <v>42429</v>
      </c>
      <c r="C580" s="644">
        <v>454151</v>
      </c>
      <c r="D580" s="644" t="s">
        <v>770</v>
      </c>
      <c r="E580" s="644" t="s">
        <v>1019</v>
      </c>
      <c r="F580" s="644" t="s">
        <v>693</v>
      </c>
      <c r="G580" s="559">
        <v>-720.1</v>
      </c>
      <c r="H580" s="644">
        <v>856</v>
      </c>
      <c r="I580" s="644" t="s">
        <v>1056</v>
      </c>
    </row>
    <row r="581" spans="1:9" x14ac:dyDescent="0.2">
      <c r="A581" s="628">
        <f t="shared" si="8"/>
        <v>576</v>
      </c>
      <c r="B581" s="643">
        <v>42460</v>
      </c>
      <c r="C581" s="644">
        <v>454151</v>
      </c>
      <c r="D581" s="644" t="s">
        <v>13</v>
      </c>
      <c r="E581" s="644" t="s">
        <v>1019</v>
      </c>
      <c r="F581" s="644" t="s">
        <v>693</v>
      </c>
      <c r="G581" s="559">
        <v>-769.77</v>
      </c>
      <c r="H581" s="644">
        <v>856</v>
      </c>
      <c r="I581" s="644" t="s">
        <v>1056</v>
      </c>
    </row>
    <row r="582" spans="1:9" x14ac:dyDescent="0.2">
      <c r="A582" s="628">
        <f t="shared" si="8"/>
        <v>577</v>
      </c>
      <c r="B582" s="643">
        <v>42490</v>
      </c>
      <c r="C582" s="644">
        <v>454151</v>
      </c>
      <c r="D582" s="644" t="s">
        <v>771</v>
      </c>
      <c r="E582" s="644" t="s">
        <v>1019</v>
      </c>
      <c r="F582" s="644" t="s">
        <v>693</v>
      </c>
      <c r="G582" s="559">
        <v>-744.93</v>
      </c>
      <c r="H582" s="644">
        <v>856</v>
      </c>
      <c r="I582" s="644" t="s">
        <v>1056</v>
      </c>
    </row>
    <row r="583" spans="1:9" x14ac:dyDescent="0.2">
      <c r="A583" s="628">
        <f t="shared" si="8"/>
        <v>578</v>
      </c>
      <c r="B583" s="643">
        <v>42521</v>
      </c>
      <c r="C583" s="644">
        <v>454151</v>
      </c>
      <c r="D583" s="644" t="s">
        <v>772</v>
      </c>
      <c r="E583" s="644" t="s">
        <v>1019</v>
      </c>
      <c r="F583" s="644" t="s">
        <v>693</v>
      </c>
      <c r="G583" s="559">
        <v>-769.77</v>
      </c>
      <c r="H583" s="644">
        <v>856</v>
      </c>
      <c r="I583" s="644" t="s">
        <v>1056</v>
      </c>
    </row>
    <row r="584" spans="1:9" x14ac:dyDescent="0.2">
      <c r="A584" s="628">
        <f t="shared" si="8"/>
        <v>579</v>
      </c>
      <c r="B584" s="643">
        <v>42551</v>
      </c>
      <c r="C584" s="644">
        <v>454151</v>
      </c>
      <c r="D584" s="644" t="s">
        <v>773</v>
      </c>
      <c r="E584" s="644" t="s">
        <v>1019</v>
      </c>
      <c r="F584" s="644" t="s">
        <v>693</v>
      </c>
      <c r="G584" s="559">
        <v>-744.93</v>
      </c>
      <c r="H584" s="644">
        <v>856</v>
      </c>
      <c r="I584" s="644" t="s">
        <v>1056</v>
      </c>
    </row>
    <row r="585" spans="1:9" x14ac:dyDescent="0.2">
      <c r="A585" s="628">
        <f t="shared" si="8"/>
        <v>580</v>
      </c>
      <c r="B585" s="643">
        <v>42582</v>
      </c>
      <c r="C585" s="644">
        <v>454151</v>
      </c>
      <c r="D585" s="644" t="s">
        <v>14</v>
      </c>
      <c r="E585" s="644" t="s">
        <v>1019</v>
      </c>
      <c r="F585" s="644" t="s">
        <v>693</v>
      </c>
      <c r="G585" s="559">
        <v>-769.77</v>
      </c>
      <c r="H585" s="644">
        <v>856</v>
      </c>
      <c r="I585" s="644" t="s">
        <v>1056</v>
      </c>
    </row>
    <row r="586" spans="1:9" x14ac:dyDescent="0.2">
      <c r="A586" s="628">
        <f t="shared" si="8"/>
        <v>581</v>
      </c>
      <c r="B586" s="643">
        <v>42613</v>
      </c>
      <c r="C586" s="644">
        <v>454151</v>
      </c>
      <c r="D586" s="644" t="s">
        <v>774</v>
      </c>
      <c r="E586" s="644" t="s">
        <v>1019</v>
      </c>
      <c r="F586" s="644" t="s">
        <v>693</v>
      </c>
      <c r="G586" s="559">
        <v>-769.77</v>
      </c>
      <c r="H586" s="644">
        <v>856</v>
      </c>
      <c r="I586" s="644" t="s">
        <v>1056</v>
      </c>
    </row>
    <row r="587" spans="1:9" x14ac:dyDescent="0.2">
      <c r="A587" s="628">
        <f t="shared" si="8"/>
        <v>582</v>
      </c>
      <c r="B587" s="643">
        <v>42643</v>
      </c>
      <c r="C587" s="644">
        <v>454151</v>
      </c>
      <c r="D587" s="644" t="s">
        <v>775</v>
      </c>
      <c r="E587" s="644" t="s">
        <v>1019</v>
      </c>
      <c r="F587" s="644" t="s">
        <v>693</v>
      </c>
      <c r="G587" s="559">
        <v>-744.93</v>
      </c>
      <c r="H587" s="644">
        <v>856</v>
      </c>
      <c r="I587" s="644" t="s">
        <v>1056</v>
      </c>
    </row>
    <row r="588" spans="1:9" x14ac:dyDescent="0.2">
      <c r="A588" s="628">
        <f t="shared" si="8"/>
        <v>583</v>
      </c>
      <c r="B588" s="643">
        <v>42674</v>
      </c>
      <c r="C588" s="644">
        <v>454151</v>
      </c>
      <c r="D588" s="644" t="s">
        <v>776</v>
      </c>
      <c r="E588" s="644" t="s">
        <v>1019</v>
      </c>
      <c r="F588" s="644" t="s">
        <v>693</v>
      </c>
      <c r="G588" s="559">
        <v>-769.77</v>
      </c>
      <c r="H588" s="644">
        <v>856</v>
      </c>
      <c r="I588" s="644" t="s">
        <v>1056</v>
      </c>
    </row>
    <row r="589" spans="1:9" x14ac:dyDescent="0.2">
      <c r="A589" s="628">
        <f t="shared" si="8"/>
        <v>584</v>
      </c>
      <c r="B589" s="643">
        <v>42704</v>
      </c>
      <c r="C589" s="644">
        <v>454151</v>
      </c>
      <c r="D589" s="644" t="s">
        <v>777</v>
      </c>
      <c r="E589" s="644" t="s">
        <v>1019</v>
      </c>
      <c r="F589" s="644" t="s">
        <v>693</v>
      </c>
      <c r="G589" s="559">
        <v>-744.93</v>
      </c>
      <c r="H589" s="644">
        <v>856</v>
      </c>
      <c r="I589" s="644" t="s">
        <v>1056</v>
      </c>
    </row>
    <row r="590" spans="1:9" x14ac:dyDescent="0.2">
      <c r="A590" s="628">
        <f t="shared" si="8"/>
        <v>585</v>
      </c>
      <c r="B590" s="643">
        <v>42735</v>
      </c>
      <c r="C590" s="644">
        <v>454151</v>
      </c>
      <c r="D590" s="644" t="s">
        <v>146</v>
      </c>
      <c r="E590" s="644" t="s">
        <v>1019</v>
      </c>
      <c r="F590" s="644" t="s">
        <v>693</v>
      </c>
      <c r="G590" s="559">
        <v>-769.76</v>
      </c>
      <c r="H590" s="644">
        <v>856</v>
      </c>
      <c r="I590" s="644" t="s">
        <v>1056</v>
      </c>
    </row>
    <row r="591" spans="1:9" x14ac:dyDescent="0.2">
      <c r="A591" s="628">
        <f t="shared" si="8"/>
        <v>586</v>
      </c>
      <c r="B591" s="643">
        <v>42400</v>
      </c>
      <c r="C591" s="644">
        <v>454151</v>
      </c>
      <c r="D591" s="644" t="s">
        <v>768</v>
      </c>
      <c r="E591" s="644" t="s">
        <v>1212</v>
      </c>
      <c r="F591" s="644" t="s">
        <v>641</v>
      </c>
      <c r="G591" s="559">
        <v>-1168.56</v>
      </c>
      <c r="H591" s="644">
        <v>856</v>
      </c>
      <c r="I591" s="644" t="s">
        <v>1056</v>
      </c>
    </row>
    <row r="592" spans="1:9" x14ac:dyDescent="0.2">
      <c r="A592" s="628">
        <f t="shared" si="8"/>
        <v>587</v>
      </c>
      <c r="B592" s="643">
        <v>42429</v>
      </c>
      <c r="C592" s="644">
        <v>454151</v>
      </c>
      <c r="D592" s="644" t="s">
        <v>770</v>
      </c>
      <c r="E592" s="644" t="s">
        <v>1212</v>
      </c>
      <c r="F592" s="644" t="s">
        <v>641</v>
      </c>
      <c r="G592" s="559">
        <v>-1093.1600000000001</v>
      </c>
      <c r="H592" s="644">
        <v>856</v>
      </c>
      <c r="I592" s="644" t="s">
        <v>1056</v>
      </c>
    </row>
    <row r="593" spans="1:9" x14ac:dyDescent="0.2">
      <c r="A593" s="628">
        <f t="shared" si="8"/>
        <v>588</v>
      </c>
      <c r="B593" s="643">
        <v>42582</v>
      </c>
      <c r="C593" s="644" t="s">
        <v>1155</v>
      </c>
      <c r="D593" s="644" t="s">
        <v>14</v>
      </c>
      <c r="E593" s="644" t="s">
        <v>1133</v>
      </c>
      <c r="F593" s="644" t="s">
        <v>918</v>
      </c>
      <c r="G593" s="559">
        <v>-100</v>
      </c>
      <c r="H593" s="644">
        <v>856</v>
      </c>
      <c r="I593" s="644" t="s">
        <v>1057</v>
      </c>
    </row>
    <row r="594" spans="1:9" x14ac:dyDescent="0.2">
      <c r="A594" s="628">
        <f t="shared" si="8"/>
        <v>589</v>
      </c>
      <c r="B594" s="643">
        <v>42460</v>
      </c>
      <c r="C594" s="644">
        <v>454151</v>
      </c>
      <c r="D594" s="644" t="s">
        <v>13</v>
      </c>
      <c r="E594" s="644" t="s">
        <v>1021</v>
      </c>
      <c r="F594" s="644" t="s">
        <v>641</v>
      </c>
      <c r="G594" s="559">
        <v>-1166</v>
      </c>
      <c r="H594" s="644">
        <v>856</v>
      </c>
      <c r="I594" s="644" t="s">
        <v>1056</v>
      </c>
    </row>
    <row r="595" spans="1:9" x14ac:dyDescent="0.2">
      <c r="A595" s="628">
        <f t="shared" si="8"/>
        <v>590</v>
      </c>
      <c r="B595" s="643">
        <v>42490</v>
      </c>
      <c r="C595" s="644">
        <v>454151</v>
      </c>
      <c r="D595" s="644" t="s">
        <v>771</v>
      </c>
      <c r="E595" s="644" t="s">
        <v>1021</v>
      </c>
      <c r="F595" s="644" t="s">
        <v>641</v>
      </c>
      <c r="G595" s="559">
        <v>-1166</v>
      </c>
      <c r="H595" s="644">
        <v>856</v>
      </c>
      <c r="I595" s="644" t="s">
        <v>1056</v>
      </c>
    </row>
    <row r="596" spans="1:9" x14ac:dyDescent="0.2">
      <c r="A596" s="628">
        <f t="shared" si="8"/>
        <v>591</v>
      </c>
      <c r="B596" s="643">
        <v>42521</v>
      </c>
      <c r="C596" s="644">
        <v>454151</v>
      </c>
      <c r="D596" s="644" t="s">
        <v>772</v>
      </c>
      <c r="E596" s="644" t="s">
        <v>1021</v>
      </c>
      <c r="F596" s="644" t="s">
        <v>641</v>
      </c>
      <c r="G596" s="559">
        <v>-1166</v>
      </c>
      <c r="H596" s="644">
        <v>856</v>
      </c>
      <c r="I596" s="644" t="s">
        <v>1056</v>
      </c>
    </row>
    <row r="597" spans="1:9" x14ac:dyDescent="0.2">
      <c r="A597" s="628">
        <f t="shared" si="8"/>
        <v>592</v>
      </c>
      <c r="B597" s="643">
        <v>42551</v>
      </c>
      <c r="C597" s="644">
        <v>454151</v>
      </c>
      <c r="D597" s="644" t="s">
        <v>773</v>
      </c>
      <c r="E597" s="644" t="s">
        <v>1021</v>
      </c>
      <c r="F597" s="644" t="s">
        <v>641</v>
      </c>
      <c r="G597" s="559">
        <v>-1166</v>
      </c>
      <c r="H597" s="644">
        <v>856</v>
      </c>
      <c r="I597" s="644" t="s">
        <v>1056</v>
      </c>
    </row>
    <row r="598" spans="1:9" x14ac:dyDescent="0.2">
      <c r="A598" s="628">
        <f t="shared" si="8"/>
        <v>593</v>
      </c>
      <c r="B598" s="643">
        <v>42582</v>
      </c>
      <c r="C598" s="644">
        <v>454151</v>
      </c>
      <c r="D598" s="644" t="s">
        <v>14</v>
      </c>
      <c r="E598" s="644" t="s">
        <v>1021</v>
      </c>
      <c r="F598" s="644" t="s">
        <v>641</v>
      </c>
      <c r="G598" s="559">
        <v>-1166</v>
      </c>
      <c r="H598" s="644">
        <v>856</v>
      </c>
      <c r="I598" s="644" t="s">
        <v>1056</v>
      </c>
    </row>
    <row r="599" spans="1:9" x14ac:dyDescent="0.2">
      <c r="A599" s="628">
        <f t="shared" ref="A599:A632" si="9">A598+1</f>
        <v>594</v>
      </c>
      <c r="B599" s="643">
        <v>42613</v>
      </c>
      <c r="C599" s="644">
        <v>454151</v>
      </c>
      <c r="D599" s="644" t="s">
        <v>774</v>
      </c>
      <c r="E599" s="644" t="s">
        <v>1021</v>
      </c>
      <c r="F599" s="644" t="s">
        <v>641</v>
      </c>
      <c r="G599" s="559">
        <v>-1166</v>
      </c>
      <c r="H599" s="644">
        <v>856</v>
      </c>
      <c r="I599" s="644" t="s">
        <v>1056</v>
      </c>
    </row>
    <row r="600" spans="1:9" x14ac:dyDescent="0.2">
      <c r="A600" s="628">
        <f t="shared" si="9"/>
        <v>595</v>
      </c>
      <c r="B600" s="643">
        <v>42643</v>
      </c>
      <c r="C600" s="644">
        <v>454151</v>
      </c>
      <c r="D600" s="644" t="s">
        <v>775</v>
      </c>
      <c r="E600" s="644" t="s">
        <v>1021</v>
      </c>
      <c r="F600" s="644" t="s">
        <v>641</v>
      </c>
      <c r="G600" s="559">
        <v>-1166</v>
      </c>
      <c r="H600" s="644">
        <v>856</v>
      </c>
      <c r="I600" s="644" t="s">
        <v>1056</v>
      </c>
    </row>
    <row r="601" spans="1:9" x14ac:dyDescent="0.2">
      <c r="A601" s="628">
        <f t="shared" si="9"/>
        <v>596</v>
      </c>
      <c r="B601" s="643">
        <v>42674</v>
      </c>
      <c r="C601" s="644">
        <v>454151</v>
      </c>
      <c r="D601" s="644" t="s">
        <v>776</v>
      </c>
      <c r="E601" s="644" t="s">
        <v>1021</v>
      </c>
      <c r="F601" s="644" t="s">
        <v>641</v>
      </c>
      <c r="G601" s="559">
        <v>-1166</v>
      </c>
      <c r="H601" s="644">
        <v>856</v>
      </c>
      <c r="I601" s="644" t="s">
        <v>1056</v>
      </c>
    </row>
    <row r="602" spans="1:9" x14ac:dyDescent="0.2">
      <c r="A602" s="628">
        <f t="shared" si="9"/>
        <v>597</v>
      </c>
      <c r="B602" s="643">
        <v>42704</v>
      </c>
      <c r="C602" s="644">
        <v>454151</v>
      </c>
      <c r="D602" s="644" t="s">
        <v>777</v>
      </c>
      <c r="E602" s="644" t="s">
        <v>1021</v>
      </c>
      <c r="F602" s="644" t="s">
        <v>641</v>
      </c>
      <c r="G602" s="559">
        <v>-1166</v>
      </c>
      <c r="H602" s="644">
        <v>856</v>
      </c>
      <c r="I602" s="644" t="s">
        <v>1056</v>
      </c>
    </row>
    <row r="603" spans="1:9" x14ac:dyDescent="0.2">
      <c r="A603" s="628">
        <f t="shared" si="9"/>
        <v>598</v>
      </c>
      <c r="B603" s="643">
        <v>42735</v>
      </c>
      <c r="C603" s="644">
        <v>454151</v>
      </c>
      <c r="D603" s="644" t="s">
        <v>146</v>
      </c>
      <c r="E603" s="644" t="s">
        <v>1021</v>
      </c>
      <c r="F603" s="644" t="s">
        <v>641</v>
      </c>
      <c r="G603" s="559">
        <v>-1166</v>
      </c>
      <c r="H603" s="644">
        <v>856</v>
      </c>
      <c r="I603" s="644" t="s">
        <v>1056</v>
      </c>
    </row>
    <row r="604" spans="1:9" x14ac:dyDescent="0.2">
      <c r="A604" s="628">
        <f t="shared" si="9"/>
        <v>599</v>
      </c>
      <c r="B604" s="643">
        <v>42400</v>
      </c>
      <c r="C604" s="644">
        <v>454151</v>
      </c>
      <c r="D604" s="644" t="s">
        <v>768</v>
      </c>
      <c r="E604" s="644" t="s">
        <v>1213</v>
      </c>
      <c r="F604" s="644" t="s">
        <v>918</v>
      </c>
      <c r="G604" s="559">
        <v>-186.07</v>
      </c>
      <c r="H604" s="644">
        <v>856</v>
      </c>
      <c r="I604" s="644" t="s">
        <v>1056</v>
      </c>
    </row>
    <row r="605" spans="1:9" x14ac:dyDescent="0.2">
      <c r="A605" s="628">
        <f t="shared" si="9"/>
        <v>600</v>
      </c>
      <c r="B605" s="643">
        <v>42429</v>
      </c>
      <c r="C605" s="644">
        <v>454151</v>
      </c>
      <c r="D605" s="644" t="s">
        <v>770</v>
      </c>
      <c r="E605" s="644" t="s">
        <v>1213</v>
      </c>
      <c r="F605" s="644" t="s">
        <v>918</v>
      </c>
      <c r="G605" s="559">
        <v>-174.07</v>
      </c>
      <c r="H605" s="644">
        <v>856</v>
      </c>
      <c r="I605" s="644" t="s">
        <v>1056</v>
      </c>
    </row>
    <row r="606" spans="1:9" x14ac:dyDescent="0.2">
      <c r="A606" s="628">
        <f t="shared" si="9"/>
        <v>601</v>
      </c>
      <c r="B606" s="643">
        <v>42460</v>
      </c>
      <c r="C606" s="644">
        <v>454151</v>
      </c>
      <c r="D606" s="644" t="s">
        <v>13</v>
      </c>
      <c r="E606" s="644" t="s">
        <v>1213</v>
      </c>
      <c r="F606" s="644" t="s">
        <v>918</v>
      </c>
      <c r="G606" s="559">
        <v>-186.07</v>
      </c>
      <c r="H606" s="644">
        <v>856</v>
      </c>
      <c r="I606" s="644" t="s">
        <v>1056</v>
      </c>
    </row>
    <row r="607" spans="1:9" x14ac:dyDescent="0.2">
      <c r="A607" s="628">
        <f t="shared" si="9"/>
        <v>602</v>
      </c>
      <c r="B607" s="643">
        <v>42490</v>
      </c>
      <c r="C607" s="644">
        <v>454151</v>
      </c>
      <c r="D607" s="644" t="s">
        <v>771</v>
      </c>
      <c r="E607" s="644" t="s">
        <v>1213</v>
      </c>
      <c r="F607" s="644" t="s">
        <v>918</v>
      </c>
      <c r="G607" s="559">
        <v>-180.07</v>
      </c>
      <c r="H607" s="644">
        <v>856</v>
      </c>
      <c r="I607" s="644" t="s">
        <v>1056</v>
      </c>
    </row>
    <row r="608" spans="1:9" x14ac:dyDescent="0.2">
      <c r="A608" s="628">
        <f t="shared" si="9"/>
        <v>603</v>
      </c>
      <c r="B608" s="643">
        <v>42521</v>
      </c>
      <c r="C608" s="644">
        <v>454151</v>
      </c>
      <c r="D608" s="644" t="s">
        <v>772</v>
      </c>
      <c r="E608" s="644" t="s">
        <v>1213</v>
      </c>
      <c r="F608" s="644" t="s">
        <v>918</v>
      </c>
      <c r="G608" s="559">
        <v>-156.05000000000001</v>
      </c>
      <c r="H608" s="644">
        <v>856</v>
      </c>
      <c r="I608" s="644" t="s">
        <v>1056</v>
      </c>
    </row>
    <row r="609" spans="1:9" x14ac:dyDescent="0.2">
      <c r="A609" s="628">
        <f t="shared" si="9"/>
        <v>604</v>
      </c>
      <c r="B609" s="643">
        <v>42582</v>
      </c>
      <c r="C609" s="644">
        <v>454151</v>
      </c>
      <c r="D609" s="644" t="s">
        <v>14</v>
      </c>
      <c r="E609" s="644" t="s">
        <v>1213</v>
      </c>
      <c r="F609" s="644" t="s">
        <v>918</v>
      </c>
      <c r="G609" s="559">
        <v>-367.64</v>
      </c>
      <c r="H609" s="644">
        <v>856</v>
      </c>
      <c r="I609" s="644" t="s">
        <v>1056</v>
      </c>
    </row>
    <row r="610" spans="1:9" x14ac:dyDescent="0.2">
      <c r="A610" s="628">
        <f t="shared" si="9"/>
        <v>605</v>
      </c>
      <c r="B610" s="643">
        <v>42643</v>
      </c>
      <c r="C610" s="644">
        <v>454151</v>
      </c>
      <c r="D610" s="644" t="s">
        <v>775</v>
      </c>
      <c r="E610" s="644" t="s">
        <v>1213</v>
      </c>
      <c r="F610" s="644" t="s">
        <v>918</v>
      </c>
      <c r="G610" s="559">
        <v>-379.7</v>
      </c>
      <c r="H610" s="644">
        <v>856</v>
      </c>
      <c r="I610" s="644" t="s">
        <v>1056</v>
      </c>
    </row>
    <row r="611" spans="1:9" x14ac:dyDescent="0.2">
      <c r="A611" s="628">
        <f t="shared" si="9"/>
        <v>606</v>
      </c>
      <c r="B611" s="643">
        <v>42674</v>
      </c>
      <c r="C611" s="644">
        <v>454151</v>
      </c>
      <c r="D611" s="644" t="s">
        <v>776</v>
      </c>
      <c r="E611" s="644" t="s">
        <v>1213</v>
      </c>
      <c r="F611" s="644" t="s">
        <v>918</v>
      </c>
      <c r="G611" s="559">
        <v>-192.96</v>
      </c>
      <c r="H611" s="644">
        <v>856</v>
      </c>
      <c r="I611" s="644" t="s">
        <v>1056</v>
      </c>
    </row>
    <row r="612" spans="1:9" x14ac:dyDescent="0.2">
      <c r="A612" s="628">
        <f t="shared" si="9"/>
        <v>607</v>
      </c>
      <c r="B612" s="643">
        <v>42704</v>
      </c>
      <c r="C612" s="644">
        <v>454151</v>
      </c>
      <c r="D612" s="644" t="s">
        <v>777</v>
      </c>
      <c r="E612" s="644" t="s">
        <v>1213</v>
      </c>
      <c r="F612" s="644" t="s">
        <v>918</v>
      </c>
      <c r="G612" s="559">
        <v>-186.74</v>
      </c>
      <c r="H612" s="644">
        <v>856</v>
      </c>
      <c r="I612" s="644" t="s">
        <v>1056</v>
      </c>
    </row>
    <row r="613" spans="1:9" x14ac:dyDescent="0.2">
      <c r="A613" s="628">
        <f t="shared" si="9"/>
        <v>608</v>
      </c>
      <c r="B613" s="643">
        <v>42735</v>
      </c>
      <c r="C613" s="644">
        <v>454151</v>
      </c>
      <c r="D613" s="644" t="s">
        <v>146</v>
      </c>
      <c r="E613" s="644" t="s">
        <v>1213</v>
      </c>
      <c r="F613" s="644" t="s">
        <v>918</v>
      </c>
      <c r="G613" s="559">
        <v>-192.96</v>
      </c>
      <c r="H613" s="644">
        <v>856</v>
      </c>
      <c r="I613" s="644" t="s">
        <v>1056</v>
      </c>
    </row>
    <row r="614" spans="1:9" x14ac:dyDescent="0.2">
      <c r="A614" s="628">
        <f t="shared" si="9"/>
        <v>609</v>
      </c>
      <c r="B614" s="643">
        <v>42400</v>
      </c>
      <c r="C614" s="644">
        <v>454151</v>
      </c>
      <c r="D614" s="644" t="s">
        <v>768</v>
      </c>
      <c r="E614" s="644" t="s">
        <v>1214</v>
      </c>
      <c r="F614" s="644" t="s">
        <v>917</v>
      </c>
      <c r="G614" s="559">
        <v>-420.78</v>
      </c>
      <c r="H614" s="644">
        <v>856</v>
      </c>
      <c r="I614" s="644" t="s">
        <v>1056</v>
      </c>
    </row>
    <row r="615" spans="1:9" x14ac:dyDescent="0.2">
      <c r="A615" s="628">
        <f t="shared" si="9"/>
        <v>610</v>
      </c>
      <c r="B615" s="643">
        <v>42429</v>
      </c>
      <c r="C615" s="644">
        <v>454151</v>
      </c>
      <c r="D615" s="644" t="s">
        <v>770</v>
      </c>
      <c r="E615" s="644" t="s">
        <v>1214</v>
      </c>
      <c r="F615" s="644" t="s">
        <v>917</v>
      </c>
      <c r="G615" s="559">
        <v>-393.63</v>
      </c>
      <c r="H615" s="644">
        <v>856</v>
      </c>
      <c r="I615" s="644" t="s">
        <v>1056</v>
      </c>
    </row>
    <row r="616" spans="1:9" x14ac:dyDescent="0.2">
      <c r="A616" s="628">
        <f t="shared" si="9"/>
        <v>611</v>
      </c>
      <c r="B616" s="643">
        <v>42460</v>
      </c>
      <c r="C616" s="644">
        <v>454151</v>
      </c>
      <c r="D616" s="644" t="s">
        <v>13</v>
      </c>
      <c r="E616" s="644" t="s">
        <v>1214</v>
      </c>
      <c r="F616" s="644" t="s">
        <v>917</v>
      </c>
      <c r="G616" s="559">
        <v>-420.78</v>
      </c>
      <c r="H616" s="644">
        <v>856</v>
      </c>
      <c r="I616" s="644" t="s">
        <v>1056</v>
      </c>
    </row>
    <row r="617" spans="1:9" x14ac:dyDescent="0.2">
      <c r="A617" s="628">
        <f t="shared" si="9"/>
        <v>612</v>
      </c>
      <c r="B617" s="643">
        <v>42490</v>
      </c>
      <c r="C617" s="644">
        <v>454151</v>
      </c>
      <c r="D617" s="644" t="s">
        <v>771</v>
      </c>
      <c r="E617" s="644" t="s">
        <v>1214</v>
      </c>
      <c r="F617" s="644" t="s">
        <v>917</v>
      </c>
      <c r="G617" s="559">
        <v>-407.19</v>
      </c>
      <c r="H617" s="644">
        <v>856</v>
      </c>
      <c r="I617" s="644" t="s">
        <v>1056</v>
      </c>
    </row>
    <row r="618" spans="1:9" x14ac:dyDescent="0.2">
      <c r="A618" s="628">
        <f t="shared" si="9"/>
        <v>613</v>
      </c>
      <c r="B618" s="643">
        <v>42521</v>
      </c>
      <c r="C618" s="644">
        <v>454151</v>
      </c>
      <c r="D618" s="644" t="s">
        <v>772</v>
      </c>
      <c r="E618" s="644" t="s">
        <v>1214</v>
      </c>
      <c r="F618" s="644" t="s">
        <v>917</v>
      </c>
      <c r="G618" s="559">
        <v>-424.29</v>
      </c>
      <c r="H618" s="644">
        <v>856</v>
      </c>
      <c r="I618" s="644" t="s">
        <v>1056</v>
      </c>
    </row>
    <row r="619" spans="1:9" x14ac:dyDescent="0.2">
      <c r="A619" s="628">
        <f t="shared" si="9"/>
        <v>614</v>
      </c>
      <c r="B619" s="643">
        <v>42551</v>
      </c>
      <c r="C619" s="644">
        <v>454151</v>
      </c>
      <c r="D619" s="644" t="s">
        <v>773</v>
      </c>
      <c r="E619" s="644" t="s">
        <v>1214</v>
      </c>
      <c r="F619" s="644" t="s">
        <v>917</v>
      </c>
      <c r="G619" s="559">
        <v>-410.6</v>
      </c>
      <c r="H619" s="644">
        <v>856</v>
      </c>
      <c r="I619" s="644" t="s">
        <v>1056</v>
      </c>
    </row>
    <row r="620" spans="1:9" x14ac:dyDescent="0.2">
      <c r="A620" s="628">
        <f t="shared" si="9"/>
        <v>615</v>
      </c>
      <c r="B620" s="643">
        <v>42582</v>
      </c>
      <c r="C620" s="644">
        <v>454151</v>
      </c>
      <c r="D620" s="644" t="s">
        <v>14</v>
      </c>
      <c r="E620" s="644" t="s">
        <v>1214</v>
      </c>
      <c r="F620" s="644" t="s">
        <v>917</v>
      </c>
      <c r="G620" s="559">
        <v>-424.29</v>
      </c>
      <c r="H620" s="644">
        <v>856</v>
      </c>
      <c r="I620" s="644" t="s">
        <v>1056</v>
      </c>
    </row>
    <row r="621" spans="1:9" x14ac:dyDescent="0.2">
      <c r="A621" s="628">
        <f t="shared" si="9"/>
        <v>616</v>
      </c>
      <c r="B621" s="643">
        <v>42613</v>
      </c>
      <c r="C621" s="644">
        <v>454151</v>
      </c>
      <c r="D621" s="644" t="s">
        <v>774</v>
      </c>
      <c r="E621" s="644" t="s">
        <v>1214</v>
      </c>
      <c r="F621" s="644" t="s">
        <v>917</v>
      </c>
      <c r="G621" s="559">
        <v>-424.29</v>
      </c>
      <c r="H621" s="644">
        <v>856</v>
      </c>
      <c r="I621" s="644" t="s">
        <v>1056</v>
      </c>
    </row>
    <row r="622" spans="1:9" x14ac:dyDescent="0.2">
      <c r="A622" s="628">
        <f t="shared" si="9"/>
        <v>617</v>
      </c>
      <c r="B622" s="643">
        <v>42643</v>
      </c>
      <c r="C622" s="644">
        <v>454151</v>
      </c>
      <c r="D622" s="644" t="s">
        <v>775</v>
      </c>
      <c r="E622" s="644" t="s">
        <v>1214</v>
      </c>
      <c r="F622" s="644" t="s">
        <v>917</v>
      </c>
      <c r="G622" s="559">
        <v>-410.6</v>
      </c>
      <c r="H622" s="644">
        <v>856</v>
      </c>
      <c r="I622" s="644" t="s">
        <v>1056</v>
      </c>
    </row>
    <row r="623" spans="1:9" x14ac:dyDescent="0.2">
      <c r="A623" s="628">
        <f t="shared" si="9"/>
        <v>618</v>
      </c>
      <c r="B623" s="643">
        <v>42674</v>
      </c>
      <c r="C623" s="644">
        <v>454151</v>
      </c>
      <c r="D623" s="644" t="s">
        <v>776</v>
      </c>
      <c r="E623" s="644" t="s">
        <v>1214</v>
      </c>
      <c r="F623" s="644" t="s">
        <v>917</v>
      </c>
      <c r="G623" s="559">
        <v>-424.29</v>
      </c>
      <c r="H623" s="644">
        <v>856</v>
      </c>
      <c r="I623" s="644" t="s">
        <v>1056</v>
      </c>
    </row>
    <row r="624" spans="1:9" x14ac:dyDescent="0.2">
      <c r="A624" s="628">
        <f t="shared" si="9"/>
        <v>619</v>
      </c>
      <c r="B624" s="643">
        <v>42704</v>
      </c>
      <c r="C624" s="644">
        <v>454151</v>
      </c>
      <c r="D624" s="644" t="s">
        <v>777</v>
      </c>
      <c r="E624" s="644" t="s">
        <v>1214</v>
      </c>
      <c r="F624" s="644" t="s">
        <v>917</v>
      </c>
      <c r="G624" s="559">
        <v>-410.6</v>
      </c>
      <c r="H624" s="644">
        <v>856</v>
      </c>
      <c r="I624" s="644" t="s">
        <v>1056</v>
      </c>
    </row>
    <row r="625" spans="1:10" x14ac:dyDescent="0.2">
      <c r="A625" s="628">
        <f t="shared" si="9"/>
        <v>620</v>
      </c>
      <c r="B625" s="643">
        <v>42735</v>
      </c>
      <c r="C625" s="644">
        <v>454151</v>
      </c>
      <c r="D625" s="644" t="s">
        <v>146</v>
      </c>
      <c r="E625" s="644" t="s">
        <v>1214</v>
      </c>
      <c r="F625" s="644" t="s">
        <v>917</v>
      </c>
      <c r="G625" s="559">
        <v>-424.29</v>
      </c>
      <c r="H625" s="644">
        <v>856</v>
      </c>
      <c r="I625" s="644" t="s">
        <v>1056</v>
      </c>
    </row>
    <row r="626" spans="1:10" x14ac:dyDescent="0.2">
      <c r="A626" s="628">
        <f t="shared" si="9"/>
        <v>621</v>
      </c>
      <c r="B626" s="649"/>
      <c r="C626" s="644"/>
      <c r="D626" s="644"/>
      <c r="E626" s="644"/>
      <c r="F626" s="650"/>
      <c r="G626" s="559"/>
      <c r="H626" s="644"/>
      <c r="I626" s="644"/>
    </row>
    <row r="627" spans="1:10" x14ac:dyDescent="0.2">
      <c r="A627" s="628">
        <f t="shared" si="9"/>
        <v>622</v>
      </c>
      <c r="B627" s="245"/>
      <c r="C627" s="446"/>
      <c r="D627" s="446"/>
      <c r="E627" s="445"/>
      <c r="F627" s="446" t="s">
        <v>443</v>
      </c>
      <c r="G627" s="447">
        <f>SUM(G6:G626)</f>
        <v>-252645.75000000029</v>
      </c>
      <c r="H627" s="446"/>
      <c r="I627" s="445"/>
      <c r="J627" s="445"/>
    </row>
    <row r="628" spans="1:10" x14ac:dyDescent="0.2">
      <c r="A628" s="628">
        <f t="shared" si="9"/>
        <v>623</v>
      </c>
      <c r="E628" s="153"/>
    </row>
    <row r="629" spans="1:10" x14ac:dyDescent="0.2">
      <c r="A629" s="628">
        <f t="shared" si="9"/>
        <v>624</v>
      </c>
      <c r="E629" s="153"/>
      <c r="F629" s="628" t="s">
        <v>740</v>
      </c>
      <c r="G629" s="440">
        <f>SUMIF($F$6:$F$626,"=PP",$G$6:$G$626)</f>
        <v>-35957.659999999996</v>
      </c>
      <c r="I629" s="445"/>
      <c r="J629" s="445"/>
    </row>
    <row r="630" spans="1:10" x14ac:dyDescent="0.2">
      <c r="A630" s="628">
        <f t="shared" si="9"/>
        <v>625</v>
      </c>
      <c r="E630" s="153"/>
      <c r="F630" s="628" t="s">
        <v>736</v>
      </c>
      <c r="G630" s="440">
        <f>SUMIF($F$6:$F$626,"=G",$G$6:$G$626)</f>
        <v>-120858.69999999997</v>
      </c>
    </row>
    <row r="631" spans="1:10" x14ac:dyDescent="0.2">
      <c r="A631" s="628">
        <f t="shared" si="9"/>
        <v>626</v>
      </c>
      <c r="E631" s="153"/>
      <c r="F631" s="628" t="s">
        <v>741</v>
      </c>
      <c r="G631" s="440">
        <f>SUMIF($F$6:$F$626,"=T",$G$6:$G$626)</f>
        <v>-45312.109999999993</v>
      </c>
    </row>
    <row r="632" spans="1:10" x14ac:dyDescent="0.2">
      <c r="A632" s="628">
        <f t="shared" si="9"/>
        <v>627</v>
      </c>
      <c r="E632" s="153"/>
      <c r="F632" s="628" t="s">
        <v>742</v>
      </c>
      <c r="G632" s="440">
        <f>SUMIF($F$6:$F$626,"=D",$G$6:$G$626)</f>
        <v>-50517.279999999999</v>
      </c>
    </row>
    <row r="633" spans="1:10" x14ac:dyDescent="0.2">
      <c r="A633" s="628">
        <f t="shared" ref="A633:A638" si="10">A632+1</f>
        <v>628</v>
      </c>
      <c r="E633" s="153"/>
      <c r="I633" s="249"/>
      <c r="J633" s="249"/>
    </row>
    <row r="634" spans="1:10" x14ac:dyDescent="0.2">
      <c r="A634" s="628">
        <f t="shared" si="10"/>
        <v>629</v>
      </c>
      <c r="E634" s="153"/>
      <c r="F634" s="628" t="s">
        <v>539</v>
      </c>
      <c r="G634" s="440">
        <f>SUM(G629:G633)</f>
        <v>-252645.74999999994</v>
      </c>
      <c r="I634" s="440"/>
      <c r="J634" s="440"/>
    </row>
    <row r="635" spans="1:10" x14ac:dyDescent="0.2">
      <c r="A635" s="628">
        <f t="shared" si="10"/>
        <v>630</v>
      </c>
      <c r="E635" s="153"/>
    </row>
    <row r="636" spans="1:10" x14ac:dyDescent="0.2">
      <c r="A636" s="628">
        <f t="shared" si="10"/>
        <v>631</v>
      </c>
      <c r="E636" s="363"/>
      <c r="F636" s="630"/>
      <c r="G636" s="448"/>
      <c r="H636" s="630"/>
      <c r="I636" s="365"/>
      <c r="J636" s="178"/>
    </row>
    <row r="637" spans="1:10" x14ac:dyDescent="0.2">
      <c r="A637" s="628">
        <f t="shared" si="10"/>
        <v>632</v>
      </c>
      <c r="E637" s="366" t="s">
        <v>521</v>
      </c>
      <c r="F637" s="632"/>
      <c r="G637" s="147">
        <f>ABS(G631)</f>
        <v>45312.109999999993</v>
      </c>
      <c r="H637" s="632"/>
      <c r="I637" s="219"/>
      <c r="J637" s="178"/>
    </row>
    <row r="638" spans="1:10" ht="15" x14ac:dyDescent="0.35">
      <c r="A638" s="628">
        <f t="shared" si="10"/>
        <v>633</v>
      </c>
      <c r="E638" s="366" t="s">
        <v>983</v>
      </c>
      <c r="F638" s="632">
        <f>'Schedule 3'!F27</f>
        <v>0.12067612</v>
      </c>
      <c r="G638" s="449">
        <f>ABS(G630) * F638</f>
        <v>14584.758984243996</v>
      </c>
      <c r="H638" s="632"/>
      <c r="I638" s="219"/>
      <c r="J638" s="178"/>
    </row>
    <row r="639" spans="1:10" x14ac:dyDescent="0.2">
      <c r="A639" s="628">
        <f t="shared" ref="A639:A645" si="11">A638+1</f>
        <v>634</v>
      </c>
      <c r="E639" s="366" t="s">
        <v>984</v>
      </c>
      <c r="F639" s="632"/>
      <c r="G639" s="147">
        <f>SUM(G637:G638)</f>
        <v>59896.868984243993</v>
      </c>
      <c r="H639" s="632"/>
      <c r="I639" s="219" t="s">
        <v>765</v>
      </c>
      <c r="J639" s="178"/>
    </row>
    <row r="640" spans="1:10" x14ac:dyDescent="0.2">
      <c r="A640" s="628">
        <f t="shared" si="11"/>
        <v>635</v>
      </c>
      <c r="E640" s="450"/>
      <c r="F640" s="235"/>
      <c r="G640" s="451"/>
      <c r="H640" s="235"/>
      <c r="I640" s="368"/>
      <c r="J640" s="178"/>
    </row>
    <row r="641" spans="1:5" x14ac:dyDescent="0.2">
      <c r="A641" s="628">
        <f t="shared" si="11"/>
        <v>636</v>
      </c>
      <c r="E641" s="153"/>
    </row>
    <row r="642" spans="1:5" x14ac:dyDescent="0.2">
      <c r="A642" s="628">
        <f t="shared" si="11"/>
        <v>637</v>
      </c>
      <c r="B642" s="154" t="s">
        <v>699</v>
      </c>
      <c r="E642" s="153"/>
    </row>
    <row r="643" spans="1:5" x14ac:dyDescent="0.2">
      <c r="A643" s="628">
        <f t="shared" si="11"/>
        <v>638</v>
      </c>
      <c r="B643" s="154" t="s">
        <v>982</v>
      </c>
      <c r="E643" s="153"/>
    </row>
    <row r="644" spans="1:5" x14ac:dyDescent="0.2">
      <c r="A644" s="628">
        <f t="shared" si="11"/>
        <v>639</v>
      </c>
      <c r="B644" s="154" t="s">
        <v>700</v>
      </c>
      <c r="E644" s="153"/>
    </row>
    <row r="645" spans="1:5" x14ac:dyDescent="0.2">
      <c r="A645" s="628">
        <f t="shared" si="11"/>
        <v>640</v>
      </c>
      <c r="B645" s="154" t="s">
        <v>701</v>
      </c>
      <c r="E645" s="153"/>
    </row>
  </sheetData>
  <sheetProtection formatCells="0"/>
  <sortState ref="A6:I237">
    <sortCondition ref="A7:A238"/>
  </sortState>
  <mergeCells count="3">
    <mergeCell ref="B1:I1"/>
    <mergeCell ref="B2:I2"/>
    <mergeCell ref="A3:I3"/>
  </mergeCells>
  <printOptions horizontalCentered="1"/>
  <pageMargins left="0.75" right="0.75" top="1" bottom="1" header="0.5" footer="0.5"/>
  <pageSetup scale="69" fitToHeight="15" orientation="portrait" r:id="rId1"/>
  <headerFooter alignWithMargins="0">
    <oddHeader>&amp;CIDAHO POWER COMPANY
Transmission Cost of Service Rate Development
12 Months Ended 12/31/2016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28"/>
  <sheetViews>
    <sheetView zoomScaleNormal="100" zoomScaleSheetLayoutView="100" workbookViewId="0">
      <selection activeCell="A19" sqref="A19"/>
    </sheetView>
  </sheetViews>
  <sheetFormatPr defaultRowHeight="12.75" x14ac:dyDescent="0.2"/>
  <cols>
    <col min="1" max="1" width="71.5703125" style="197" customWidth="1"/>
    <col min="2" max="2" width="1.5703125" style="197" customWidth="1"/>
    <col min="3" max="3" width="14.5703125" style="197" bestFit="1" customWidth="1"/>
    <col min="4" max="4" width="1.7109375" style="197" customWidth="1"/>
    <col min="5" max="5" width="13.42578125" style="197" bestFit="1" customWidth="1"/>
    <col min="6" max="6" width="2" style="142" customWidth="1"/>
    <col min="7" max="7" width="1.42578125" style="197" customWidth="1"/>
    <col min="8" max="8" width="13.28515625" style="197" bestFit="1" customWidth="1"/>
    <col min="9" max="9" width="1.85546875" style="197" customWidth="1"/>
    <col min="10" max="10" width="13" style="500" bestFit="1" customWidth="1"/>
    <col min="11" max="11" width="12.140625" style="197" customWidth="1"/>
    <col min="12" max="16384" width="9.140625" style="197"/>
  </cols>
  <sheetData>
    <row r="1" spans="1:16384" x14ac:dyDescent="0.2">
      <c r="A1" s="677"/>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c r="CC1" s="677"/>
      <c r="CD1" s="677"/>
      <c r="CE1" s="677"/>
      <c r="CF1" s="677"/>
      <c r="CG1" s="677"/>
      <c r="CH1" s="677"/>
      <c r="CI1" s="677"/>
      <c r="CJ1" s="677"/>
      <c r="CK1" s="677"/>
      <c r="CL1" s="677"/>
      <c r="CM1" s="677"/>
      <c r="CN1" s="677"/>
      <c r="CO1" s="677"/>
      <c r="CP1" s="677"/>
      <c r="CQ1" s="677"/>
      <c r="CR1" s="677"/>
      <c r="CS1" s="677"/>
      <c r="CT1" s="677"/>
      <c r="CU1" s="677"/>
      <c r="CV1" s="677"/>
      <c r="CW1" s="677"/>
      <c r="CX1" s="677"/>
      <c r="CY1" s="677"/>
      <c r="CZ1" s="677"/>
      <c r="DA1" s="677"/>
      <c r="DB1" s="677"/>
      <c r="DC1" s="677"/>
      <c r="DD1" s="677"/>
      <c r="DE1" s="677"/>
      <c r="DF1" s="677"/>
      <c r="DG1" s="677"/>
      <c r="DH1" s="677"/>
      <c r="DI1" s="677"/>
      <c r="DJ1" s="677"/>
      <c r="DK1" s="677"/>
      <c r="DL1" s="677"/>
      <c r="DM1" s="677"/>
      <c r="DN1" s="677"/>
      <c r="DO1" s="677"/>
      <c r="DP1" s="677"/>
      <c r="DQ1" s="677"/>
      <c r="DR1" s="677"/>
      <c r="DS1" s="677"/>
      <c r="DT1" s="677"/>
      <c r="DU1" s="677"/>
      <c r="DV1" s="677"/>
      <c r="DW1" s="677"/>
      <c r="DX1" s="677"/>
      <c r="DY1" s="677"/>
      <c r="DZ1" s="677"/>
      <c r="EA1" s="677"/>
      <c r="EB1" s="677"/>
      <c r="EC1" s="677"/>
      <c r="ED1" s="677"/>
      <c r="EE1" s="677"/>
      <c r="EF1" s="677"/>
      <c r="EG1" s="677"/>
      <c r="EH1" s="677"/>
      <c r="EI1" s="677"/>
      <c r="EJ1" s="677"/>
      <c r="EK1" s="677"/>
      <c r="EL1" s="677"/>
      <c r="EM1" s="677"/>
      <c r="EN1" s="677"/>
      <c r="EO1" s="677"/>
      <c r="EP1" s="677"/>
      <c r="EQ1" s="677"/>
      <c r="ER1" s="677"/>
      <c r="ES1" s="677"/>
      <c r="ET1" s="677"/>
      <c r="EU1" s="677"/>
      <c r="EV1" s="677"/>
      <c r="EW1" s="677"/>
      <c r="EX1" s="677"/>
      <c r="EY1" s="677"/>
      <c r="EZ1" s="677"/>
      <c r="FA1" s="677"/>
      <c r="FB1" s="677"/>
      <c r="FC1" s="677"/>
      <c r="FD1" s="677"/>
      <c r="FE1" s="677"/>
      <c r="FF1" s="677"/>
      <c r="FG1" s="677"/>
      <c r="FH1" s="677"/>
      <c r="FI1" s="677"/>
      <c r="FJ1" s="677"/>
      <c r="FK1" s="677"/>
      <c r="FL1" s="677"/>
      <c r="FM1" s="677"/>
      <c r="FN1" s="677"/>
      <c r="FO1" s="677"/>
      <c r="FP1" s="677"/>
      <c r="FQ1" s="677"/>
      <c r="FR1" s="677"/>
      <c r="FS1" s="677"/>
      <c r="FT1" s="677"/>
      <c r="FU1" s="677"/>
      <c r="FV1" s="677"/>
      <c r="FW1" s="677"/>
      <c r="FX1" s="677"/>
      <c r="FY1" s="677"/>
      <c r="FZ1" s="677"/>
      <c r="GA1" s="677"/>
      <c r="GB1" s="677"/>
      <c r="GC1" s="677"/>
      <c r="GD1" s="677"/>
      <c r="GE1" s="677"/>
      <c r="GF1" s="677"/>
      <c r="GG1" s="677"/>
      <c r="GH1" s="677"/>
      <c r="GI1" s="677"/>
      <c r="GJ1" s="677"/>
      <c r="GK1" s="677"/>
      <c r="GL1" s="677"/>
      <c r="GM1" s="677"/>
      <c r="GN1" s="677"/>
      <c r="GO1" s="677"/>
      <c r="GP1" s="677"/>
      <c r="GQ1" s="677"/>
      <c r="GR1" s="677"/>
      <c r="GS1" s="677"/>
      <c r="GT1" s="677"/>
      <c r="GU1" s="677"/>
      <c r="GV1" s="677"/>
      <c r="GW1" s="677"/>
      <c r="GX1" s="677"/>
      <c r="GY1" s="677"/>
      <c r="GZ1" s="677"/>
      <c r="HA1" s="677"/>
      <c r="HB1" s="677"/>
      <c r="HC1" s="677"/>
      <c r="HD1" s="677"/>
      <c r="HE1" s="677"/>
      <c r="HF1" s="677"/>
      <c r="HG1" s="677"/>
      <c r="HH1" s="677"/>
      <c r="HI1" s="677"/>
      <c r="HJ1" s="677"/>
      <c r="HK1" s="677"/>
      <c r="HL1" s="677"/>
      <c r="HM1" s="677"/>
      <c r="HN1" s="677"/>
      <c r="HO1" s="677"/>
      <c r="HP1" s="677"/>
      <c r="HQ1" s="677"/>
      <c r="HR1" s="677"/>
      <c r="HS1" s="677"/>
      <c r="HT1" s="677"/>
      <c r="HU1" s="677"/>
      <c r="HV1" s="677"/>
      <c r="HW1" s="677"/>
      <c r="HX1" s="677"/>
      <c r="HY1" s="677"/>
      <c r="HZ1" s="677"/>
      <c r="IA1" s="677"/>
      <c r="IB1" s="677"/>
      <c r="IC1" s="677"/>
      <c r="ID1" s="677"/>
      <c r="IE1" s="677"/>
      <c r="IF1" s="677"/>
      <c r="IG1" s="677"/>
      <c r="IH1" s="677"/>
      <c r="II1" s="677"/>
      <c r="IJ1" s="677"/>
      <c r="IK1" s="677"/>
      <c r="IL1" s="677"/>
      <c r="IM1" s="677"/>
      <c r="IN1" s="677"/>
      <c r="IO1" s="677"/>
      <c r="IP1" s="677"/>
      <c r="IQ1" s="677"/>
      <c r="IR1" s="677"/>
      <c r="IS1" s="677"/>
      <c r="IT1" s="677"/>
      <c r="IU1" s="677"/>
      <c r="IV1" s="677"/>
      <c r="IW1" s="677"/>
      <c r="IX1" s="677"/>
      <c r="IY1" s="677"/>
      <c r="IZ1" s="677"/>
      <c r="JA1" s="677"/>
      <c r="JB1" s="677"/>
      <c r="JC1" s="677"/>
      <c r="JD1" s="677"/>
      <c r="JE1" s="677"/>
      <c r="JF1" s="677"/>
      <c r="JG1" s="677"/>
      <c r="JH1" s="677"/>
      <c r="JI1" s="677"/>
      <c r="JJ1" s="677"/>
      <c r="JK1" s="677"/>
      <c r="JL1" s="677"/>
      <c r="JM1" s="677"/>
      <c r="JN1" s="677"/>
      <c r="JO1" s="677"/>
      <c r="JP1" s="677"/>
      <c r="JQ1" s="677"/>
      <c r="JR1" s="677"/>
      <c r="JS1" s="677"/>
      <c r="JT1" s="677"/>
      <c r="JU1" s="677"/>
      <c r="JV1" s="677"/>
      <c r="JW1" s="677"/>
      <c r="JX1" s="677"/>
      <c r="JY1" s="677"/>
      <c r="JZ1" s="677"/>
      <c r="KA1" s="677"/>
      <c r="KB1" s="677"/>
      <c r="KC1" s="677"/>
      <c r="KD1" s="677"/>
      <c r="KE1" s="677"/>
      <c r="KF1" s="677"/>
      <c r="KG1" s="677"/>
      <c r="KH1" s="677"/>
      <c r="KI1" s="677"/>
      <c r="KJ1" s="677"/>
      <c r="KK1" s="677"/>
      <c r="KL1" s="677"/>
      <c r="KM1" s="677"/>
      <c r="KN1" s="677"/>
      <c r="KO1" s="677"/>
      <c r="KP1" s="677"/>
      <c r="KQ1" s="677"/>
      <c r="KR1" s="677"/>
      <c r="KS1" s="677"/>
      <c r="KT1" s="677"/>
      <c r="KU1" s="677"/>
      <c r="KV1" s="677"/>
      <c r="KW1" s="677"/>
      <c r="KX1" s="677"/>
      <c r="KY1" s="677"/>
      <c r="KZ1" s="677"/>
      <c r="LA1" s="677"/>
      <c r="LB1" s="677"/>
      <c r="LC1" s="677"/>
      <c r="LD1" s="677"/>
      <c r="LE1" s="677"/>
      <c r="LF1" s="677"/>
      <c r="LG1" s="677"/>
      <c r="LH1" s="677"/>
      <c r="LI1" s="677"/>
      <c r="LJ1" s="677"/>
      <c r="LK1" s="677"/>
      <c r="LL1" s="677"/>
      <c r="LM1" s="677"/>
      <c r="LN1" s="677"/>
      <c r="LO1" s="677"/>
      <c r="LP1" s="677"/>
      <c r="LQ1" s="677"/>
      <c r="LR1" s="677"/>
      <c r="LS1" s="677"/>
      <c r="LT1" s="677"/>
      <c r="LU1" s="677"/>
      <c r="LV1" s="677"/>
      <c r="LW1" s="677"/>
      <c r="LX1" s="677"/>
      <c r="LY1" s="677"/>
      <c r="LZ1" s="677"/>
      <c r="MA1" s="677"/>
      <c r="MB1" s="677"/>
      <c r="MC1" s="677"/>
      <c r="MD1" s="677"/>
      <c r="ME1" s="677"/>
      <c r="MF1" s="677"/>
      <c r="MG1" s="677"/>
      <c r="MH1" s="677"/>
      <c r="MI1" s="677"/>
      <c r="MJ1" s="677"/>
      <c r="MK1" s="677"/>
      <c r="ML1" s="677"/>
      <c r="MM1" s="677"/>
      <c r="MN1" s="677"/>
      <c r="MO1" s="677"/>
      <c r="MP1" s="677"/>
      <c r="MQ1" s="677"/>
      <c r="MR1" s="677"/>
      <c r="MS1" s="677"/>
      <c r="MT1" s="677"/>
      <c r="MU1" s="677"/>
      <c r="MV1" s="677"/>
      <c r="MW1" s="677"/>
      <c r="MX1" s="677"/>
      <c r="MY1" s="677"/>
      <c r="MZ1" s="677"/>
      <c r="NA1" s="677"/>
      <c r="NB1" s="677"/>
      <c r="NC1" s="677"/>
      <c r="ND1" s="677"/>
      <c r="NE1" s="677"/>
      <c r="NF1" s="677"/>
      <c r="NG1" s="677"/>
      <c r="NH1" s="677"/>
      <c r="NI1" s="677"/>
      <c r="NJ1" s="677"/>
      <c r="NK1" s="677"/>
      <c r="NL1" s="677"/>
      <c r="NM1" s="677"/>
      <c r="NN1" s="677"/>
      <c r="NO1" s="677"/>
      <c r="NP1" s="677"/>
      <c r="NQ1" s="677"/>
      <c r="NR1" s="677"/>
      <c r="NS1" s="677"/>
      <c r="NT1" s="677"/>
      <c r="NU1" s="677"/>
      <c r="NV1" s="677"/>
      <c r="NW1" s="677"/>
      <c r="NX1" s="677"/>
      <c r="NY1" s="677"/>
      <c r="NZ1" s="677"/>
      <c r="OA1" s="677"/>
      <c r="OB1" s="677"/>
      <c r="OC1" s="677"/>
      <c r="OD1" s="677"/>
      <c r="OE1" s="677"/>
      <c r="OF1" s="677"/>
      <c r="OG1" s="677"/>
      <c r="OH1" s="677"/>
      <c r="OI1" s="677"/>
      <c r="OJ1" s="677"/>
      <c r="OK1" s="677"/>
      <c r="OL1" s="677"/>
      <c r="OM1" s="677"/>
      <c r="ON1" s="677"/>
      <c r="OO1" s="677"/>
      <c r="OP1" s="677"/>
      <c r="OQ1" s="677"/>
      <c r="OR1" s="677"/>
      <c r="OS1" s="677"/>
      <c r="OT1" s="677"/>
      <c r="OU1" s="677"/>
      <c r="OV1" s="677"/>
      <c r="OW1" s="677"/>
      <c r="OX1" s="677"/>
      <c r="OY1" s="677"/>
      <c r="OZ1" s="677"/>
      <c r="PA1" s="677"/>
      <c r="PB1" s="677"/>
      <c r="PC1" s="677"/>
      <c r="PD1" s="677"/>
      <c r="PE1" s="677"/>
      <c r="PF1" s="677"/>
      <c r="PG1" s="677"/>
      <c r="PH1" s="677"/>
      <c r="PI1" s="677"/>
      <c r="PJ1" s="677"/>
      <c r="PK1" s="677"/>
      <c r="PL1" s="677"/>
      <c r="PM1" s="677"/>
      <c r="PN1" s="677"/>
      <c r="PO1" s="677"/>
      <c r="PP1" s="677"/>
      <c r="PQ1" s="677"/>
      <c r="PR1" s="677"/>
      <c r="PS1" s="677"/>
      <c r="PT1" s="677"/>
      <c r="PU1" s="677"/>
      <c r="PV1" s="677"/>
      <c r="PW1" s="677"/>
      <c r="PX1" s="677"/>
      <c r="PY1" s="677"/>
      <c r="PZ1" s="677"/>
      <c r="QA1" s="677"/>
      <c r="QB1" s="677"/>
      <c r="QC1" s="677"/>
      <c r="QD1" s="677"/>
      <c r="QE1" s="677"/>
      <c r="QF1" s="677"/>
      <c r="QG1" s="677"/>
      <c r="QH1" s="677"/>
      <c r="QI1" s="677"/>
      <c r="QJ1" s="677"/>
      <c r="QK1" s="677"/>
      <c r="QL1" s="677"/>
      <c r="QM1" s="677"/>
      <c r="QN1" s="677"/>
      <c r="QO1" s="677"/>
      <c r="QP1" s="677"/>
      <c r="QQ1" s="677"/>
      <c r="QR1" s="677"/>
      <c r="QS1" s="677"/>
      <c r="QT1" s="677"/>
      <c r="QU1" s="677"/>
      <c r="QV1" s="677"/>
      <c r="QW1" s="677"/>
      <c r="QX1" s="677"/>
      <c r="QY1" s="677"/>
      <c r="QZ1" s="677"/>
      <c r="RA1" s="677"/>
      <c r="RB1" s="677"/>
      <c r="RC1" s="677"/>
      <c r="RD1" s="677"/>
      <c r="RE1" s="677"/>
      <c r="RF1" s="677"/>
      <c r="RG1" s="677"/>
      <c r="RH1" s="677"/>
      <c r="RI1" s="677"/>
      <c r="RJ1" s="677"/>
      <c r="RK1" s="677"/>
      <c r="RL1" s="677"/>
      <c r="RM1" s="677"/>
      <c r="RN1" s="677"/>
      <c r="RO1" s="677"/>
      <c r="RP1" s="677"/>
      <c r="RQ1" s="677"/>
      <c r="RR1" s="677"/>
      <c r="RS1" s="677"/>
      <c r="RT1" s="677"/>
      <c r="RU1" s="677"/>
      <c r="RV1" s="677"/>
      <c r="RW1" s="677"/>
      <c r="RX1" s="677"/>
      <c r="RY1" s="677"/>
      <c r="RZ1" s="677"/>
      <c r="SA1" s="677"/>
      <c r="SB1" s="677"/>
      <c r="SC1" s="677"/>
      <c r="SD1" s="677"/>
      <c r="SE1" s="677"/>
      <c r="SF1" s="677"/>
      <c r="SG1" s="677"/>
      <c r="SH1" s="677"/>
      <c r="SI1" s="677"/>
      <c r="SJ1" s="677"/>
      <c r="SK1" s="677"/>
      <c r="SL1" s="677"/>
      <c r="SM1" s="677"/>
      <c r="SN1" s="677"/>
      <c r="SO1" s="677"/>
      <c r="SP1" s="677"/>
      <c r="SQ1" s="677"/>
      <c r="SR1" s="677"/>
      <c r="SS1" s="677"/>
      <c r="ST1" s="677"/>
      <c r="SU1" s="677"/>
      <c r="SV1" s="677"/>
      <c r="SW1" s="677"/>
      <c r="SX1" s="677"/>
      <c r="SY1" s="677"/>
      <c r="SZ1" s="677"/>
      <c r="TA1" s="677"/>
      <c r="TB1" s="677"/>
      <c r="TC1" s="677"/>
      <c r="TD1" s="677"/>
      <c r="TE1" s="677"/>
      <c r="TF1" s="677"/>
      <c r="TG1" s="677"/>
      <c r="TH1" s="677"/>
      <c r="TI1" s="677"/>
      <c r="TJ1" s="677"/>
      <c r="TK1" s="677"/>
      <c r="TL1" s="677"/>
      <c r="TM1" s="677"/>
      <c r="TN1" s="677"/>
      <c r="TO1" s="677"/>
      <c r="TP1" s="677"/>
      <c r="TQ1" s="677"/>
      <c r="TR1" s="677"/>
      <c r="TS1" s="677"/>
      <c r="TT1" s="677"/>
      <c r="TU1" s="677"/>
      <c r="TV1" s="677"/>
      <c r="TW1" s="677"/>
      <c r="TX1" s="677"/>
      <c r="TY1" s="677"/>
      <c r="TZ1" s="677"/>
      <c r="UA1" s="677"/>
      <c r="UB1" s="677"/>
      <c r="UC1" s="677"/>
      <c r="UD1" s="677"/>
      <c r="UE1" s="677"/>
      <c r="UF1" s="677"/>
      <c r="UG1" s="677"/>
      <c r="UH1" s="677"/>
      <c r="UI1" s="677"/>
      <c r="UJ1" s="677"/>
      <c r="UK1" s="677"/>
      <c r="UL1" s="677"/>
      <c r="UM1" s="677"/>
      <c r="UN1" s="677"/>
      <c r="UO1" s="677"/>
      <c r="UP1" s="677"/>
      <c r="UQ1" s="677"/>
      <c r="UR1" s="677"/>
      <c r="US1" s="677"/>
      <c r="UT1" s="677"/>
      <c r="UU1" s="677"/>
      <c r="UV1" s="677"/>
      <c r="UW1" s="677"/>
      <c r="UX1" s="677"/>
      <c r="UY1" s="677"/>
      <c r="UZ1" s="677"/>
      <c r="VA1" s="677"/>
      <c r="VB1" s="677"/>
      <c r="VC1" s="677"/>
      <c r="VD1" s="677"/>
      <c r="VE1" s="677"/>
      <c r="VF1" s="677"/>
      <c r="VG1" s="677"/>
      <c r="VH1" s="677"/>
      <c r="VI1" s="677"/>
      <c r="VJ1" s="677"/>
      <c r="VK1" s="677"/>
      <c r="VL1" s="677"/>
      <c r="VM1" s="677"/>
      <c r="VN1" s="677"/>
      <c r="VO1" s="677"/>
      <c r="VP1" s="677"/>
      <c r="VQ1" s="677"/>
      <c r="VR1" s="677"/>
      <c r="VS1" s="677"/>
      <c r="VT1" s="677"/>
      <c r="VU1" s="677"/>
      <c r="VV1" s="677"/>
      <c r="VW1" s="677"/>
      <c r="VX1" s="677"/>
      <c r="VY1" s="677"/>
      <c r="VZ1" s="677"/>
      <c r="WA1" s="677"/>
      <c r="WB1" s="677"/>
      <c r="WC1" s="677"/>
      <c r="WD1" s="677"/>
      <c r="WE1" s="677"/>
      <c r="WF1" s="677"/>
      <c r="WG1" s="677"/>
      <c r="WH1" s="677"/>
      <c r="WI1" s="677"/>
      <c r="WJ1" s="677"/>
      <c r="WK1" s="677"/>
      <c r="WL1" s="677"/>
      <c r="WM1" s="677"/>
      <c r="WN1" s="677"/>
      <c r="WO1" s="677"/>
      <c r="WP1" s="677"/>
      <c r="WQ1" s="677"/>
      <c r="WR1" s="677"/>
      <c r="WS1" s="677"/>
      <c r="WT1" s="677"/>
      <c r="WU1" s="677"/>
      <c r="WV1" s="677"/>
      <c r="WW1" s="677"/>
      <c r="WX1" s="677"/>
      <c r="WY1" s="677"/>
      <c r="WZ1" s="677"/>
      <c r="XA1" s="677"/>
      <c r="XB1" s="677"/>
      <c r="XC1" s="677"/>
      <c r="XD1" s="677"/>
      <c r="XE1" s="677"/>
      <c r="XF1" s="677"/>
      <c r="XG1" s="677"/>
      <c r="XH1" s="677"/>
      <c r="XI1" s="677"/>
      <c r="XJ1" s="677"/>
      <c r="XK1" s="677"/>
      <c r="XL1" s="677"/>
      <c r="XM1" s="677"/>
      <c r="XN1" s="677"/>
      <c r="XO1" s="677"/>
      <c r="XP1" s="677"/>
      <c r="XQ1" s="677"/>
      <c r="XR1" s="677"/>
      <c r="XS1" s="677"/>
      <c r="XT1" s="677"/>
      <c r="XU1" s="677"/>
      <c r="XV1" s="677"/>
      <c r="XW1" s="677"/>
      <c r="XX1" s="677"/>
      <c r="XY1" s="677"/>
      <c r="XZ1" s="677"/>
      <c r="YA1" s="677"/>
      <c r="YB1" s="677"/>
      <c r="YC1" s="677"/>
      <c r="YD1" s="677"/>
      <c r="YE1" s="677"/>
      <c r="YF1" s="677"/>
      <c r="YG1" s="677"/>
      <c r="YH1" s="677"/>
      <c r="YI1" s="677"/>
      <c r="YJ1" s="677"/>
      <c r="YK1" s="677"/>
      <c r="YL1" s="677"/>
      <c r="YM1" s="677"/>
      <c r="YN1" s="677"/>
      <c r="YO1" s="677"/>
      <c r="YP1" s="677"/>
      <c r="YQ1" s="677"/>
      <c r="YR1" s="677"/>
      <c r="YS1" s="677"/>
      <c r="YT1" s="677"/>
      <c r="YU1" s="677"/>
      <c r="YV1" s="677"/>
      <c r="YW1" s="677"/>
      <c r="YX1" s="677"/>
      <c r="YY1" s="677"/>
      <c r="YZ1" s="677"/>
      <c r="ZA1" s="677"/>
      <c r="ZB1" s="677"/>
      <c r="ZC1" s="677"/>
      <c r="ZD1" s="677"/>
      <c r="ZE1" s="677"/>
      <c r="ZF1" s="677"/>
      <c r="ZG1" s="677"/>
      <c r="ZH1" s="677"/>
      <c r="ZI1" s="677"/>
      <c r="ZJ1" s="677"/>
      <c r="ZK1" s="677"/>
      <c r="ZL1" s="677"/>
      <c r="ZM1" s="677"/>
      <c r="ZN1" s="677"/>
      <c r="ZO1" s="677"/>
      <c r="ZP1" s="677"/>
      <c r="ZQ1" s="677"/>
      <c r="ZR1" s="677"/>
      <c r="ZS1" s="677"/>
      <c r="ZT1" s="677"/>
      <c r="ZU1" s="677"/>
      <c r="ZV1" s="677"/>
      <c r="ZW1" s="677"/>
      <c r="ZX1" s="677"/>
      <c r="ZY1" s="677"/>
      <c r="ZZ1" s="677"/>
      <c r="AAA1" s="677"/>
      <c r="AAB1" s="677"/>
      <c r="AAC1" s="677"/>
      <c r="AAD1" s="677"/>
      <c r="AAE1" s="677"/>
      <c r="AAF1" s="677"/>
      <c r="AAG1" s="677"/>
      <c r="AAH1" s="677"/>
      <c r="AAI1" s="677"/>
      <c r="AAJ1" s="677"/>
      <c r="AAK1" s="677"/>
      <c r="AAL1" s="677"/>
      <c r="AAM1" s="677"/>
      <c r="AAN1" s="677"/>
      <c r="AAO1" s="677"/>
      <c r="AAP1" s="677"/>
      <c r="AAQ1" s="677"/>
      <c r="AAR1" s="677"/>
      <c r="AAS1" s="677"/>
      <c r="AAT1" s="677"/>
      <c r="AAU1" s="677"/>
      <c r="AAV1" s="677"/>
      <c r="AAW1" s="677"/>
      <c r="AAX1" s="677"/>
      <c r="AAY1" s="677"/>
      <c r="AAZ1" s="677"/>
      <c r="ABA1" s="677"/>
      <c r="ABB1" s="677"/>
      <c r="ABC1" s="677"/>
      <c r="ABD1" s="677"/>
      <c r="ABE1" s="677"/>
      <c r="ABF1" s="677"/>
      <c r="ABG1" s="677"/>
      <c r="ABH1" s="677"/>
      <c r="ABI1" s="677"/>
      <c r="ABJ1" s="677"/>
      <c r="ABK1" s="677"/>
      <c r="ABL1" s="677"/>
      <c r="ABM1" s="677"/>
      <c r="ABN1" s="677"/>
      <c r="ABO1" s="677"/>
      <c r="ABP1" s="677"/>
      <c r="ABQ1" s="677"/>
      <c r="ABR1" s="677"/>
      <c r="ABS1" s="677"/>
      <c r="ABT1" s="677"/>
      <c r="ABU1" s="677"/>
      <c r="ABV1" s="677"/>
      <c r="ABW1" s="677"/>
      <c r="ABX1" s="677"/>
      <c r="ABY1" s="677"/>
      <c r="ABZ1" s="677"/>
      <c r="ACA1" s="677"/>
      <c r="ACB1" s="677"/>
      <c r="ACC1" s="677"/>
      <c r="ACD1" s="677"/>
      <c r="ACE1" s="677"/>
      <c r="ACF1" s="677"/>
      <c r="ACG1" s="677"/>
      <c r="ACH1" s="677"/>
      <c r="ACI1" s="677"/>
      <c r="ACJ1" s="677"/>
      <c r="ACK1" s="677"/>
      <c r="ACL1" s="677"/>
      <c r="ACM1" s="677"/>
      <c r="ACN1" s="677"/>
      <c r="ACO1" s="677"/>
      <c r="ACP1" s="677"/>
      <c r="ACQ1" s="677"/>
      <c r="ACR1" s="677"/>
      <c r="ACS1" s="677"/>
      <c r="ACT1" s="677"/>
      <c r="ACU1" s="677"/>
      <c r="ACV1" s="677"/>
      <c r="ACW1" s="677"/>
      <c r="ACX1" s="677"/>
      <c r="ACY1" s="677"/>
      <c r="ACZ1" s="677"/>
      <c r="ADA1" s="677"/>
      <c r="ADB1" s="677"/>
      <c r="ADC1" s="677"/>
      <c r="ADD1" s="677"/>
      <c r="ADE1" s="677"/>
      <c r="ADF1" s="677"/>
      <c r="ADG1" s="677"/>
      <c r="ADH1" s="677"/>
      <c r="ADI1" s="677"/>
      <c r="ADJ1" s="677"/>
      <c r="ADK1" s="677"/>
      <c r="ADL1" s="677"/>
      <c r="ADM1" s="677"/>
      <c r="ADN1" s="677"/>
      <c r="ADO1" s="677"/>
      <c r="ADP1" s="677"/>
      <c r="ADQ1" s="677"/>
      <c r="ADR1" s="677"/>
      <c r="ADS1" s="677"/>
      <c r="ADT1" s="677"/>
      <c r="ADU1" s="677"/>
      <c r="ADV1" s="677"/>
      <c r="ADW1" s="677"/>
      <c r="ADX1" s="677"/>
      <c r="ADY1" s="677"/>
      <c r="ADZ1" s="677"/>
      <c r="AEA1" s="677"/>
      <c r="AEB1" s="677"/>
      <c r="AEC1" s="677"/>
      <c r="AED1" s="677"/>
      <c r="AEE1" s="677"/>
      <c r="AEF1" s="677"/>
      <c r="AEG1" s="677"/>
      <c r="AEH1" s="677"/>
      <c r="AEI1" s="677"/>
      <c r="AEJ1" s="677"/>
      <c r="AEK1" s="677"/>
      <c r="AEL1" s="677"/>
      <c r="AEM1" s="677"/>
      <c r="AEN1" s="677"/>
      <c r="AEO1" s="677"/>
      <c r="AEP1" s="677"/>
      <c r="AEQ1" s="677"/>
      <c r="AER1" s="677"/>
      <c r="AES1" s="677"/>
      <c r="AET1" s="677"/>
      <c r="AEU1" s="677"/>
      <c r="AEV1" s="677"/>
      <c r="AEW1" s="677"/>
      <c r="AEX1" s="677"/>
      <c r="AEY1" s="677"/>
      <c r="AEZ1" s="677"/>
      <c r="AFA1" s="677"/>
      <c r="AFB1" s="677"/>
      <c r="AFC1" s="677"/>
      <c r="AFD1" s="677"/>
      <c r="AFE1" s="677"/>
      <c r="AFF1" s="677"/>
      <c r="AFG1" s="677"/>
      <c r="AFH1" s="677"/>
      <c r="AFI1" s="677"/>
      <c r="AFJ1" s="677"/>
      <c r="AFK1" s="677"/>
      <c r="AFL1" s="677"/>
      <c r="AFM1" s="677"/>
      <c r="AFN1" s="677"/>
      <c r="AFO1" s="677"/>
      <c r="AFP1" s="677"/>
      <c r="AFQ1" s="677"/>
      <c r="AFR1" s="677"/>
      <c r="AFS1" s="677"/>
      <c r="AFT1" s="677"/>
      <c r="AFU1" s="677"/>
      <c r="AFV1" s="677"/>
      <c r="AFW1" s="677"/>
      <c r="AFX1" s="677"/>
      <c r="AFY1" s="677"/>
      <c r="AFZ1" s="677"/>
      <c r="AGA1" s="677"/>
      <c r="AGB1" s="677"/>
      <c r="AGC1" s="677"/>
      <c r="AGD1" s="677"/>
      <c r="AGE1" s="677"/>
      <c r="AGF1" s="677"/>
      <c r="AGG1" s="677"/>
      <c r="AGH1" s="677"/>
      <c r="AGI1" s="677"/>
      <c r="AGJ1" s="677"/>
      <c r="AGK1" s="677"/>
      <c r="AGL1" s="677"/>
      <c r="AGM1" s="677"/>
      <c r="AGN1" s="677"/>
      <c r="AGO1" s="677"/>
      <c r="AGP1" s="677"/>
      <c r="AGQ1" s="677"/>
      <c r="AGR1" s="677"/>
      <c r="AGS1" s="677"/>
      <c r="AGT1" s="677"/>
      <c r="AGU1" s="677"/>
      <c r="AGV1" s="677"/>
      <c r="AGW1" s="677"/>
      <c r="AGX1" s="677"/>
      <c r="AGY1" s="677"/>
      <c r="AGZ1" s="677"/>
      <c r="AHA1" s="677"/>
      <c r="AHB1" s="677"/>
      <c r="AHC1" s="677"/>
      <c r="AHD1" s="677"/>
      <c r="AHE1" s="677"/>
      <c r="AHF1" s="677"/>
      <c r="AHG1" s="677"/>
      <c r="AHH1" s="677"/>
      <c r="AHI1" s="677"/>
      <c r="AHJ1" s="677"/>
      <c r="AHK1" s="677"/>
      <c r="AHL1" s="677"/>
      <c r="AHM1" s="677"/>
      <c r="AHN1" s="677"/>
      <c r="AHO1" s="677"/>
      <c r="AHP1" s="677"/>
      <c r="AHQ1" s="677"/>
      <c r="AHR1" s="677"/>
      <c r="AHS1" s="677"/>
      <c r="AHT1" s="677"/>
      <c r="AHU1" s="677"/>
      <c r="AHV1" s="677"/>
      <c r="AHW1" s="677"/>
      <c r="AHX1" s="677"/>
      <c r="AHY1" s="677"/>
      <c r="AHZ1" s="677"/>
      <c r="AIA1" s="677"/>
      <c r="AIB1" s="677"/>
      <c r="AIC1" s="677"/>
      <c r="AID1" s="677"/>
      <c r="AIE1" s="677"/>
      <c r="AIF1" s="677"/>
      <c r="AIG1" s="677"/>
      <c r="AIH1" s="677"/>
      <c r="AII1" s="677"/>
      <c r="AIJ1" s="677"/>
      <c r="AIK1" s="677"/>
      <c r="AIL1" s="677"/>
      <c r="AIM1" s="677"/>
      <c r="AIN1" s="677"/>
      <c r="AIO1" s="677"/>
      <c r="AIP1" s="677"/>
      <c r="AIQ1" s="677"/>
      <c r="AIR1" s="677"/>
      <c r="AIS1" s="677"/>
      <c r="AIT1" s="677"/>
      <c r="AIU1" s="677"/>
      <c r="AIV1" s="677"/>
      <c r="AIW1" s="677"/>
      <c r="AIX1" s="677"/>
      <c r="AIY1" s="677"/>
      <c r="AIZ1" s="677"/>
      <c r="AJA1" s="677"/>
      <c r="AJB1" s="677"/>
      <c r="AJC1" s="677"/>
      <c r="AJD1" s="677"/>
      <c r="AJE1" s="677"/>
      <c r="AJF1" s="677"/>
      <c r="AJG1" s="677"/>
      <c r="AJH1" s="677"/>
      <c r="AJI1" s="677"/>
      <c r="AJJ1" s="677"/>
      <c r="AJK1" s="677"/>
      <c r="AJL1" s="677"/>
      <c r="AJM1" s="677"/>
      <c r="AJN1" s="677"/>
      <c r="AJO1" s="677"/>
      <c r="AJP1" s="677"/>
      <c r="AJQ1" s="677"/>
      <c r="AJR1" s="677"/>
      <c r="AJS1" s="677"/>
      <c r="AJT1" s="677"/>
      <c r="AJU1" s="677"/>
      <c r="AJV1" s="677"/>
      <c r="AJW1" s="677"/>
      <c r="AJX1" s="677"/>
      <c r="AJY1" s="677"/>
      <c r="AJZ1" s="677"/>
      <c r="AKA1" s="677"/>
      <c r="AKB1" s="677"/>
      <c r="AKC1" s="677"/>
      <c r="AKD1" s="677"/>
      <c r="AKE1" s="677"/>
      <c r="AKF1" s="677"/>
      <c r="AKG1" s="677"/>
      <c r="AKH1" s="677"/>
      <c r="AKI1" s="677"/>
      <c r="AKJ1" s="677"/>
      <c r="AKK1" s="677"/>
      <c r="AKL1" s="677"/>
      <c r="AKM1" s="677"/>
      <c r="AKN1" s="677"/>
      <c r="AKO1" s="677"/>
      <c r="AKP1" s="677"/>
      <c r="AKQ1" s="677"/>
      <c r="AKR1" s="677"/>
      <c r="AKS1" s="677"/>
      <c r="AKT1" s="677"/>
      <c r="AKU1" s="677"/>
      <c r="AKV1" s="677"/>
      <c r="AKW1" s="677"/>
      <c r="AKX1" s="677"/>
      <c r="AKY1" s="677"/>
      <c r="AKZ1" s="677"/>
      <c r="ALA1" s="677"/>
      <c r="ALB1" s="677"/>
      <c r="ALC1" s="677"/>
      <c r="ALD1" s="677"/>
      <c r="ALE1" s="677"/>
      <c r="ALF1" s="677"/>
      <c r="ALG1" s="677"/>
      <c r="ALH1" s="677"/>
      <c r="ALI1" s="677"/>
      <c r="ALJ1" s="677"/>
      <c r="ALK1" s="677"/>
      <c r="ALL1" s="677"/>
      <c r="ALM1" s="677"/>
      <c r="ALN1" s="677"/>
      <c r="ALO1" s="677"/>
      <c r="ALP1" s="677"/>
      <c r="ALQ1" s="677"/>
      <c r="ALR1" s="677"/>
      <c r="ALS1" s="677"/>
      <c r="ALT1" s="677"/>
      <c r="ALU1" s="677"/>
      <c r="ALV1" s="677"/>
      <c r="ALW1" s="677"/>
      <c r="ALX1" s="677"/>
      <c r="ALY1" s="677"/>
      <c r="ALZ1" s="677"/>
      <c r="AMA1" s="677"/>
      <c r="AMB1" s="677"/>
      <c r="AMC1" s="677"/>
      <c r="AMD1" s="677"/>
      <c r="AME1" s="677"/>
      <c r="AMF1" s="677"/>
      <c r="AMG1" s="677"/>
      <c r="AMH1" s="677"/>
      <c r="AMI1" s="677"/>
      <c r="AMJ1" s="677"/>
      <c r="AMK1" s="677"/>
      <c r="AML1" s="677"/>
      <c r="AMM1" s="677"/>
      <c r="AMN1" s="677"/>
      <c r="AMO1" s="677"/>
      <c r="AMP1" s="677"/>
      <c r="AMQ1" s="677"/>
      <c r="AMR1" s="677"/>
      <c r="AMS1" s="677"/>
      <c r="AMT1" s="677"/>
      <c r="AMU1" s="677"/>
      <c r="AMV1" s="677"/>
      <c r="AMW1" s="677"/>
      <c r="AMX1" s="677"/>
      <c r="AMY1" s="677"/>
      <c r="AMZ1" s="677"/>
      <c r="ANA1" s="677"/>
      <c r="ANB1" s="677"/>
      <c r="ANC1" s="677"/>
      <c r="AND1" s="677"/>
      <c r="ANE1" s="677"/>
      <c r="ANF1" s="677"/>
      <c r="ANG1" s="677"/>
      <c r="ANH1" s="677"/>
      <c r="ANI1" s="677"/>
      <c r="ANJ1" s="677"/>
      <c r="ANK1" s="677"/>
      <c r="ANL1" s="677"/>
      <c r="ANM1" s="677"/>
      <c r="ANN1" s="677"/>
      <c r="ANO1" s="677"/>
      <c r="ANP1" s="677"/>
      <c r="ANQ1" s="677"/>
      <c r="ANR1" s="677"/>
      <c r="ANS1" s="677"/>
      <c r="ANT1" s="677"/>
      <c r="ANU1" s="677"/>
      <c r="ANV1" s="677"/>
      <c r="ANW1" s="677"/>
      <c r="ANX1" s="677"/>
      <c r="ANY1" s="677"/>
      <c r="ANZ1" s="677"/>
      <c r="AOA1" s="677"/>
      <c r="AOB1" s="677"/>
      <c r="AOC1" s="677"/>
      <c r="AOD1" s="677"/>
      <c r="AOE1" s="677"/>
      <c r="AOF1" s="677"/>
      <c r="AOG1" s="677"/>
      <c r="AOH1" s="677"/>
      <c r="AOI1" s="677"/>
      <c r="AOJ1" s="677"/>
      <c r="AOK1" s="677"/>
      <c r="AOL1" s="677"/>
      <c r="AOM1" s="677"/>
      <c r="AON1" s="677"/>
      <c r="AOO1" s="677"/>
      <c r="AOP1" s="677"/>
      <c r="AOQ1" s="677"/>
      <c r="AOR1" s="677"/>
      <c r="AOS1" s="677"/>
      <c r="AOT1" s="677"/>
      <c r="AOU1" s="677"/>
      <c r="AOV1" s="677"/>
      <c r="AOW1" s="677"/>
      <c r="AOX1" s="677"/>
      <c r="AOY1" s="677"/>
      <c r="AOZ1" s="677"/>
      <c r="APA1" s="677"/>
      <c r="APB1" s="677"/>
      <c r="APC1" s="677"/>
      <c r="APD1" s="677"/>
      <c r="APE1" s="677"/>
      <c r="APF1" s="677"/>
      <c r="APG1" s="677"/>
      <c r="APH1" s="677"/>
      <c r="API1" s="677"/>
      <c r="APJ1" s="677"/>
      <c r="APK1" s="677"/>
      <c r="APL1" s="677"/>
      <c r="APM1" s="677"/>
      <c r="APN1" s="677"/>
      <c r="APO1" s="677"/>
      <c r="APP1" s="677"/>
      <c r="APQ1" s="677"/>
      <c r="APR1" s="677"/>
      <c r="APS1" s="677"/>
      <c r="APT1" s="677"/>
      <c r="APU1" s="677"/>
      <c r="APV1" s="677"/>
      <c r="APW1" s="677"/>
      <c r="APX1" s="677"/>
      <c r="APY1" s="677"/>
      <c r="APZ1" s="677"/>
      <c r="AQA1" s="677"/>
      <c r="AQB1" s="677"/>
      <c r="AQC1" s="677"/>
      <c r="AQD1" s="677"/>
      <c r="AQE1" s="677"/>
      <c r="AQF1" s="677"/>
      <c r="AQG1" s="677"/>
      <c r="AQH1" s="677"/>
      <c r="AQI1" s="677"/>
      <c r="AQJ1" s="677"/>
      <c r="AQK1" s="677"/>
      <c r="AQL1" s="677"/>
      <c r="AQM1" s="677"/>
      <c r="AQN1" s="677"/>
      <c r="AQO1" s="677"/>
      <c r="AQP1" s="677"/>
      <c r="AQQ1" s="677"/>
      <c r="AQR1" s="677"/>
      <c r="AQS1" s="677"/>
      <c r="AQT1" s="677"/>
      <c r="AQU1" s="677"/>
      <c r="AQV1" s="677"/>
      <c r="AQW1" s="677"/>
      <c r="AQX1" s="677"/>
      <c r="AQY1" s="677"/>
      <c r="AQZ1" s="677"/>
      <c r="ARA1" s="677"/>
      <c r="ARB1" s="677"/>
      <c r="ARC1" s="677"/>
      <c r="ARD1" s="677"/>
      <c r="ARE1" s="677"/>
      <c r="ARF1" s="677"/>
      <c r="ARG1" s="677"/>
      <c r="ARH1" s="677"/>
      <c r="ARI1" s="677"/>
      <c r="ARJ1" s="677"/>
      <c r="ARK1" s="677"/>
      <c r="ARL1" s="677"/>
      <c r="ARM1" s="677"/>
      <c r="ARN1" s="677"/>
      <c r="ARO1" s="677"/>
      <c r="ARP1" s="677"/>
      <c r="ARQ1" s="677"/>
      <c r="ARR1" s="677"/>
      <c r="ARS1" s="677"/>
      <c r="ART1" s="677"/>
      <c r="ARU1" s="677"/>
      <c r="ARV1" s="677"/>
      <c r="ARW1" s="677"/>
      <c r="ARX1" s="677"/>
      <c r="ARY1" s="677"/>
      <c r="ARZ1" s="677"/>
      <c r="ASA1" s="677"/>
      <c r="ASB1" s="677"/>
      <c r="ASC1" s="677"/>
      <c r="ASD1" s="677"/>
      <c r="ASE1" s="677"/>
      <c r="ASF1" s="677"/>
      <c r="ASG1" s="677"/>
      <c r="ASH1" s="677"/>
      <c r="ASI1" s="677"/>
      <c r="ASJ1" s="677"/>
      <c r="ASK1" s="677"/>
      <c r="ASL1" s="677"/>
      <c r="ASM1" s="677"/>
      <c r="ASN1" s="677"/>
      <c r="ASO1" s="677"/>
      <c r="ASP1" s="677"/>
      <c r="ASQ1" s="677"/>
      <c r="ASR1" s="677"/>
      <c r="ASS1" s="677"/>
      <c r="AST1" s="677"/>
      <c r="ASU1" s="677"/>
      <c r="ASV1" s="677"/>
      <c r="ASW1" s="677"/>
      <c r="ASX1" s="677"/>
      <c r="ASY1" s="677"/>
      <c r="ASZ1" s="677"/>
      <c r="ATA1" s="677"/>
      <c r="ATB1" s="677"/>
      <c r="ATC1" s="677"/>
      <c r="ATD1" s="677"/>
      <c r="ATE1" s="677"/>
      <c r="ATF1" s="677"/>
      <c r="ATG1" s="677"/>
      <c r="ATH1" s="677"/>
      <c r="ATI1" s="677"/>
      <c r="ATJ1" s="677"/>
      <c r="ATK1" s="677"/>
      <c r="ATL1" s="677"/>
      <c r="ATM1" s="677"/>
      <c r="ATN1" s="677"/>
      <c r="ATO1" s="677"/>
      <c r="ATP1" s="677"/>
      <c r="ATQ1" s="677"/>
      <c r="ATR1" s="677"/>
      <c r="ATS1" s="677"/>
      <c r="ATT1" s="677"/>
      <c r="ATU1" s="677"/>
      <c r="ATV1" s="677"/>
      <c r="ATW1" s="677"/>
      <c r="ATX1" s="677"/>
      <c r="ATY1" s="677"/>
      <c r="ATZ1" s="677"/>
      <c r="AUA1" s="677"/>
      <c r="AUB1" s="677"/>
      <c r="AUC1" s="677"/>
      <c r="AUD1" s="677"/>
      <c r="AUE1" s="677"/>
      <c r="AUF1" s="677"/>
      <c r="AUG1" s="677"/>
      <c r="AUH1" s="677"/>
      <c r="AUI1" s="677"/>
      <c r="AUJ1" s="677"/>
      <c r="AUK1" s="677"/>
      <c r="AUL1" s="677"/>
      <c r="AUM1" s="677"/>
      <c r="AUN1" s="677"/>
      <c r="AUO1" s="677"/>
      <c r="AUP1" s="677"/>
      <c r="AUQ1" s="677"/>
      <c r="AUR1" s="677"/>
      <c r="AUS1" s="677"/>
      <c r="AUT1" s="677"/>
      <c r="AUU1" s="677"/>
      <c r="AUV1" s="677"/>
      <c r="AUW1" s="677"/>
      <c r="AUX1" s="677"/>
      <c r="AUY1" s="677"/>
      <c r="AUZ1" s="677"/>
      <c r="AVA1" s="677"/>
      <c r="AVB1" s="677"/>
      <c r="AVC1" s="677"/>
      <c r="AVD1" s="677"/>
      <c r="AVE1" s="677"/>
      <c r="AVF1" s="677"/>
      <c r="AVG1" s="677"/>
      <c r="AVH1" s="677"/>
      <c r="AVI1" s="677"/>
      <c r="AVJ1" s="677"/>
      <c r="AVK1" s="677"/>
      <c r="AVL1" s="677"/>
      <c r="AVM1" s="677"/>
      <c r="AVN1" s="677"/>
      <c r="AVO1" s="677"/>
      <c r="AVP1" s="677"/>
      <c r="AVQ1" s="677"/>
      <c r="AVR1" s="677"/>
      <c r="AVS1" s="677"/>
      <c r="AVT1" s="677"/>
      <c r="AVU1" s="677"/>
      <c r="AVV1" s="677"/>
      <c r="AVW1" s="677"/>
      <c r="AVX1" s="677"/>
      <c r="AVY1" s="677"/>
      <c r="AVZ1" s="677"/>
      <c r="AWA1" s="677"/>
      <c r="AWB1" s="677"/>
      <c r="AWC1" s="677"/>
      <c r="AWD1" s="677"/>
      <c r="AWE1" s="677"/>
      <c r="AWF1" s="677"/>
      <c r="AWG1" s="677"/>
      <c r="AWH1" s="677"/>
      <c r="AWI1" s="677"/>
      <c r="AWJ1" s="677"/>
      <c r="AWK1" s="677"/>
      <c r="AWL1" s="677"/>
      <c r="AWM1" s="677"/>
      <c r="AWN1" s="677"/>
      <c r="AWO1" s="677"/>
      <c r="AWP1" s="677"/>
      <c r="AWQ1" s="677"/>
      <c r="AWR1" s="677"/>
      <c r="AWS1" s="677"/>
      <c r="AWT1" s="677"/>
      <c r="AWU1" s="677"/>
      <c r="AWV1" s="677"/>
      <c r="AWW1" s="677"/>
      <c r="AWX1" s="677"/>
      <c r="AWY1" s="677"/>
      <c r="AWZ1" s="677"/>
      <c r="AXA1" s="677"/>
      <c r="AXB1" s="677"/>
      <c r="AXC1" s="677"/>
      <c r="AXD1" s="677"/>
      <c r="AXE1" s="677"/>
      <c r="AXF1" s="677"/>
      <c r="AXG1" s="677"/>
      <c r="AXH1" s="677"/>
      <c r="AXI1" s="677"/>
      <c r="AXJ1" s="677"/>
      <c r="AXK1" s="677"/>
      <c r="AXL1" s="677"/>
      <c r="AXM1" s="677"/>
      <c r="AXN1" s="677"/>
      <c r="AXO1" s="677"/>
      <c r="AXP1" s="677"/>
      <c r="AXQ1" s="677"/>
      <c r="AXR1" s="677"/>
      <c r="AXS1" s="677"/>
      <c r="AXT1" s="677"/>
      <c r="AXU1" s="677"/>
      <c r="AXV1" s="677"/>
      <c r="AXW1" s="677"/>
      <c r="AXX1" s="677"/>
      <c r="AXY1" s="677"/>
      <c r="AXZ1" s="677"/>
      <c r="AYA1" s="677"/>
      <c r="AYB1" s="677"/>
      <c r="AYC1" s="677"/>
      <c r="AYD1" s="677"/>
      <c r="AYE1" s="677"/>
      <c r="AYF1" s="677"/>
      <c r="AYG1" s="677"/>
      <c r="AYH1" s="677"/>
      <c r="AYI1" s="677"/>
      <c r="AYJ1" s="677"/>
      <c r="AYK1" s="677"/>
      <c r="AYL1" s="677"/>
      <c r="AYM1" s="677"/>
      <c r="AYN1" s="677"/>
      <c r="AYO1" s="677"/>
      <c r="AYP1" s="677"/>
      <c r="AYQ1" s="677"/>
      <c r="AYR1" s="677"/>
      <c r="AYS1" s="677"/>
      <c r="AYT1" s="677"/>
      <c r="AYU1" s="677"/>
      <c r="AYV1" s="677"/>
      <c r="AYW1" s="677"/>
      <c r="AYX1" s="677"/>
      <c r="AYY1" s="677"/>
      <c r="AYZ1" s="677"/>
      <c r="AZA1" s="677"/>
      <c r="AZB1" s="677"/>
      <c r="AZC1" s="677"/>
      <c r="AZD1" s="677"/>
      <c r="AZE1" s="677"/>
      <c r="AZF1" s="677"/>
      <c r="AZG1" s="677"/>
      <c r="AZH1" s="677"/>
      <c r="AZI1" s="677"/>
      <c r="AZJ1" s="677"/>
      <c r="AZK1" s="677"/>
      <c r="AZL1" s="677"/>
      <c r="AZM1" s="677"/>
      <c r="AZN1" s="677"/>
      <c r="AZO1" s="677"/>
      <c r="AZP1" s="677"/>
      <c r="AZQ1" s="677"/>
      <c r="AZR1" s="677"/>
      <c r="AZS1" s="677"/>
      <c r="AZT1" s="677"/>
      <c r="AZU1" s="677"/>
      <c r="AZV1" s="677"/>
      <c r="AZW1" s="677"/>
      <c r="AZX1" s="677"/>
      <c r="AZY1" s="677"/>
      <c r="AZZ1" s="677"/>
      <c r="BAA1" s="677"/>
      <c r="BAB1" s="677"/>
      <c r="BAC1" s="677"/>
      <c r="BAD1" s="677"/>
      <c r="BAE1" s="677"/>
      <c r="BAF1" s="677"/>
      <c r="BAG1" s="677"/>
      <c r="BAH1" s="677"/>
      <c r="BAI1" s="677"/>
      <c r="BAJ1" s="677"/>
      <c r="BAK1" s="677"/>
      <c r="BAL1" s="677"/>
      <c r="BAM1" s="677"/>
      <c r="BAN1" s="677"/>
      <c r="BAO1" s="677"/>
      <c r="BAP1" s="677"/>
      <c r="BAQ1" s="677"/>
      <c r="BAR1" s="677"/>
      <c r="BAS1" s="677"/>
      <c r="BAT1" s="677"/>
      <c r="BAU1" s="677"/>
      <c r="BAV1" s="677"/>
      <c r="BAW1" s="677"/>
      <c r="BAX1" s="677"/>
      <c r="BAY1" s="677"/>
      <c r="BAZ1" s="677"/>
      <c r="BBA1" s="677"/>
      <c r="BBB1" s="677"/>
      <c r="BBC1" s="677"/>
      <c r="BBD1" s="677"/>
      <c r="BBE1" s="677"/>
      <c r="BBF1" s="677"/>
      <c r="BBG1" s="677"/>
      <c r="BBH1" s="677"/>
      <c r="BBI1" s="677"/>
      <c r="BBJ1" s="677"/>
      <c r="BBK1" s="677"/>
      <c r="BBL1" s="677"/>
      <c r="BBM1" s="677"/>
      <c r="BBN1" s="677"/>
      <c r="BBO1" s="677"/>
      <c r="BBP1" s="677"/>
      <c r="BBQ1" s="677"/>
      <c r="BBR1" s="677"/>
      <c r="BBS1" s="677"/>
      <c r="BBT1" s="677"/>
      <c r="BBU1" s="677"/>
      <c r="BBV1" s="677"/>
      <c r="BBW1" s="677"/>
      <c r="BBX1" s="677"/>
      <c r="BBY1" s="677"/>
      <c r="BBZ1" s="677"/>
      <c r="BCA1" s="677"/>
      <c r="BCB1" s="677"/>
      <c r="BCC1" s="677"/>
      <c r="BCD1" s="677"/>
      <c r="BCE1" s="677"/>
      <c r="BCF1" s="677"/>
      <c r="BCG1" s="677"/>
      <c r="BCH1" s="677"/>
      <c r="BCI1" s="677"/>
      <c r="BCJ1" s="677"/>
      <c r="BCK1" s="677"/>
      <c r="BCL1" s="677"/>
      <c r="BCM1" s="677"/>
      <c r="BCN1" s="677"/>
      <c r="BCO1" s="677"/>
      <c r="BCP1" s="677"/>
      <c r="BCQ1" s="677"/>
      <c r="BCR1" s="677"/>
      <c r="BCS1" s="677"/>
      <c r="BCT1" s="677"/>
      <c r="BCU1" s="677"/>
      <c r="BCV1" s="677"/>
      <c r="BCW1" s="677"/>
      <c r="BCX1" s="677"/>
      <c r="BCY1" s="677"/>
      <c r="BCZ1" s="677"/>
      <c r="BDA1" s="677"/>
      <c r="BDB1" s="677"/>
      <c r="BDC1" s="677"/>
      <c r="BDD1" s="677"/>
      <c r="BDE1" s="677"/>
      <c r="BDF1" s="677"/>
      <c r="BDG1" s="677"/>
      <c r="BDH1" s="677"/>
      <c r="BDI1" s="677"/>
      <c r="BDJ1" s="677"/>
      <c r="BDK1" s="677"/>
      <c r="BDL1" s="677"/>
      <c r="BDM1" s="677"/>
      <c r="BDN1" s="677"/>
      <c r="BDO1" s="677"/>
      <c r="BDP1" s="677"/>
      <c r="BDQ1" s="677"/>
      <c r="BDR1" s="677"/>
      <c r="BDS1" s="677"/>
      <c r="BDT1" s="677"/>
      <c r="BDU1" s="677"/>
      <c r="BDV1" s="677"/>
      <c r="BDW1" s="677"/>
      <c r="BDX1" s="677"/>
      <c r="BDY1" s="677"/>
      <c r="BDZ1" s="677"/>
      <c r="BEA1" s="677"/>
      <c r="BEB1" s="677"/>
      <c r="BEC1" s="677"/>
      <c r="BED1" s="677"/>
      <c r="BEE1" s="677"/>
      <c r="BEF1" s="677"/>
      <c r="BEG1" s="677"/>
      <c r="BEH1" s="677"/>
      <c r="BEI1" s="677"/>
      <c r="BEJ1" s="677"/>
      <c r="BEK1" s="677"/>
      <c r="BEL1" s="677"/>
      <c r="BEM1" s="677"/>
      <c r="BEN1" s="677"/>
      <c r="BEO1" s="677"/>
      <c r="BEP1" s="677"/>
      <c r="BEQ1" s="677"/>
      <c r="BER1" s="677"/>
      <c r="BES1" s="677"/>
      <c r="BET1" s="677"/>
      <c r="BEU1" s="677"/>
      <c r="BEV1" s="677"/>
      <c r="BEW1" s="677"/>
      <c r="BEX1" s="677"/>
      <c r="BEY1" s="677"/>
      <c r="BEZ1" s="677"/>
      <c r="BFA1" s="677"/>
      <c r="BFB1" s="677"/>
      <c r="BFC1" s="677"/>
      <c r="BFD1" s="677"/>
      <c r="BFE1" s="677"/>
      <c r="BFF1" s="677"/>
      <c r="BFG1" s="677"/>
      <c r="BFH1" s="677"/>
      <c r="BFI1" s="677"/>
      <c r="BFJ1" s="677"/>
      <c r="BFK1" s="677"/>
      <c r="BFL1" s="677"/>
      <c r="BFM1" s="677"/>
      <c r="BFN1" s="677"/>
      <c r="BFO1" s="677"/>
      <c r="BFP1" s="677"/>
      <c r="BFQ1" s="677"/>
      <c r="BFR1" s="677"/>
      <c r="BFS1" s="677"/>
      <c r="BFT1" s="677"/>
      <c r="BFU1" s="677"/>
      <c r="BFV1" s="677"/>
      <c r="BFW1" s="677"/>
      <c r="BFX1" s="677"/>
      <c r="BFY1" s="677"/>
      <c r="BFZ1" s="677"/>
      <c r="BGA1" s="677"/>
      <c r="BGB1" s="677"/>
      <c r="BGC1" s="677"/>
      <c r="BGD1" s="677"/>
      <c r="BGE1" s="677"/>
      <c r="BGF1" s="677"/>
      <c r="BGG1" s="677"/>
      <c r="BGH1" s="677"/>
      <c r="BGI1" s="677"/>
      <c r="BGJ1" s="677"/>
      <c r="BGK1" s="677"/>
      <c r="BGL1" s="677"/>
      <c r="BGM1" s="677"/>
      <c r="BGN1" s="677"/>
      <c r="BGO1" s="677"/>
      <c r="BGP1" s="677"/>
      <c r="BGQ1" s="677"/>
      <c r="BGR1" s="677"/>
      <c r="BGS1" s="677"/>
      <c r="BGT1" s="677"/>
      <c r="BGU1" s="677"/>
      <c r="BGV1" s="677"/>
      <c r="BGW1" s="677"/>
      <c r="BGX1" s="677"/>
      <c r="BGY1" s="677"/>
      <c r="BGZ1" s="677"/>
      <c r="BHA1" s="677"/>
      <c r="BHB1" s="677"/>
      <c r="BHC1" s="677"/>
      <c r="BHD1" s="677"/>
      <c r="BHE1" s="677"/>
      <c r="BHF1" s="677"/>
      <c r="BHG1" s="677"/>
      <c r="BHH1" s="677"/>
      <c r="BHI1" s="677"/>
      <c r="BHJ1" s="677"/>
      <c r="BHK1" s="677"/>
      <c r="BHL1" s="677"/>
      <c r="BHM1" s="677"/>
      <c r="BHN1" s="677"/>
      <c r="BHO1" s="677"/>
      <c r="BHP1" s="677"/>
      <c r="BHQ1" s="677"/>
      <c r="BHR1" s="677"/>
      <c r="BHS1" s="677"/>
      <c r="BHT1" s="677"/>
      <c r="BHU1" s="677"/>
      <c r="BHV1" s="677"/>
      <c r="BHW1" s="677"/>
      <c r="BHX1" s="677"/>
      <c r="BHY1" s="677"/>
      <c r="BHZ1" s="677"/>
      <c r="BIA1" s="677"/>
      <c r="BIB1" s="677"/>
      <c r="BIC1" s="677"/>
      <c r="BID1" s="677"/>
      <c r="BIE1" s="677"/>
      <c r="BIF1" s="677"/>
      <c r="BIG1" s="677"/>
      <c r="BIH1" s="677"/>
      <c r="BII1" s="677"/>
      <c r="BIJ1" s="677"/>
      <c r="BIK1" s="677"/>
      <c r="BIL1" s="677"/>
      <c r="BIM1" s="677"/>
      <c r="BIN1" s="677"/>
      <c r="BIO1" s="677"/>
      <c r="BIP1" s="677"/>
      <c r="BIQ1" s="677"/>
      <c r="BIR1" s="677"/>
      <c r="BIS1" s="677"/>
      <c r="BIT1" s="677"/>
      <c r="BIU1" s="677"/>
      <c r="BIV1" s="677"/>
      <c r="BIW1" s="677"/>
      <c r="BIX1" s="677"/>
      <c r="BIY1" s="677"/>
      <c r="BIZ1" s="677"/>
      <c r="BJA1" s="677"/>
      <c r="BJB1" s="677"/>
      <c r="BJC1" s="677"/>
      <c r="BJD1" s="677"/>
      <c r="BJE1" s="677"/>
      <c r="BJF1" s="677"/>
      <c r="BJG1" s="677"/>
      <c r="BJH1" s="677"/>
      <c r="BJI1" s="677"/>
      <c r="BJJ1" s="677"/>
      <c r="BJK1" s="677"/>
      <c r="BJL1" s="677"/>
      <c r="BJM1" s="677"/>
      <c r="BJN1" s="677"/>
      <c r="BJO1" s="677"/>
      <c r="BJP1" s="677"/>
      <c r="BJQ1" s="677"/>
      <c r="BJR1" s="677"/>
      <c r="BJS1" s="677"/>
      <c r="BJT1" s="677"/>
      <c r="BJU1" s="677"/>
      <c r="BJV1" s="677"/>
      <c r="BJW1" s="677"/>
      <c r="BJX1" s="677"/>
      <c r="BJY1" s="677"/>
      <c r="BJZ1" s="677"/>
      <c r="BKA1" s="677"/>
      <c r="BKB1" s="677"/>
      <c r="BKC1" s="677"/>
      <c r="BKD1" s="677"/>
      <c r="BKE1" s="677"/>
      <c r="BKF1" s="677"/>
      <c r="BKG1" s="677"/>
      <c r="BKH1" s="677"/>
      <c r="BKI1" s="677"/>
      <c r="BKJ1" s="677"/>
      <c r="BKK1" s="677"/>
      <c r="BKL1" s="677"/>
      <c r="BKM1" s="677"/>
      <c r="BKN1" s="677"/>
      <c r="BKO1" s="677"/>
      <c r="BKP1" s="677"/>
      <c r="BKQ1" s="677"/>
      <c r="BKR1" s="677"/>
      <c r="BKS1" s="677"/>
      <c r="BKT1" s="677"/>
      <c r="BKU1" s="677"/>
      <c r="BKV1" s="677"/>
      <c r="BKW1" s="677"/>
      <c r="BKX1" s="677"/>
      <c r="BKY1" s="677"/>
      <c r="BKZ1" s="677"/>
      <c r="BLA1" s="677"/>
      <c r="BLB1" s="677"/>
      <c r="BLC1" s="677"/>
      <c r="BLD1" s="677"/>
      <c r="BLE1" s="677"/>
      <c r="BLF1" s="677"/>
      <c r="BLG1" s="677"/>
      <c r="BLH1" s="677"/>
      <c r="BLI1" s="677"/>
      <c r="BLJ1" s="677"/>
      <c r="BLK1" s="677"/>
      <c r="BLL1" s="677"/>
      <c r="BLM1" s="677"/>
      <c r="BLN1" s="677"/>
      <c r="BLO1" s="677"/>
      <c r="BLP1" s="677"/>
      <c r="BLQ1" s="677"/>
      <c r="BLR1" s="677"/>
      <c r="BLS1" s="677"/>
      <c r="BLT1" s="677"/>
      <c r="BLU1" s="677"/>
      <c r="BLV1" s="677"/>
      <c r="BLW1" s="677"/>
      <c r="BLX1" s="677"/>
      <c r="BLY1" s="677"/>
      <c r="BLZ1" s="677"/>
      <c r="BMA1" s="677"/>
      <c r="BMB1" s="677"/>
      <c r="BMC1" s="677"/>
      <c r="BMD1" s="677"/>
      <c r="BME1" s="677"/>
      <c r="BMF1" s="677"/>
      <c r="BMG1" s="677"/>
      <c r="BMH1" s="677"/>
      <c r="BMI1" s="677"/>
      <c r="BMJ1" s="677"/>
      <c r="BMK1" s="677"/>
      <c r="BML1" s="677"/>
      <c r="BMM1" s="677"/>
      <c r="BMN1" s="677"/>
      <c r="BMO1" s="677"/>
      <c r="BMP1" s="677"/>
      <c r="BMQ1" s="677"/>
      <c r="BMR1" s="677"/>
      <c r="BMS1" s="677"/>
      <c r="BMT1" s="677"/>
      <c r="BMU1" s="677"/>
      <c r="BMV1" s="677"/>
      <c r="BMW1" s="677"/>
      <c r="BMX1" s="677"/>
      <c r="BMY1" s="677"/>
      <c r="BMZ1" s="677"/>
      <c r="BNA1" s="677"/>
      <c r="BNB1" s="677"/>
      <c r="BNC1" s="677"/>
      <c r="BND1" s="677"/>
      <c r="BNE1" s="677"/>
      <c r="BNF1" s="677"/>
      <c r="BNG1" s="677"/>
      <c r="BNH1" s="677"/>
      <c r="BNI1" s="677"/>
      <c r="BNJ1" s="677"/>
      <c r="BNK1" s="677"/>
      <c r="BNL1" s="677"/>
      <c r="BNM1" s="677"/>
      <c r="BNN1" s="677"/>
      <c r="BNO1" s="677"/>
      <c r="BNP1" s="677"/>
      <c r="BNQ1" s="677"/>
      <c r="BNR1" s="677"/>
      <c r="BNS1" s="677"/>
      <c r="BNT1" s="677"/>
      <c r="BNU1" s="677"/>
      <c r="BNV1" s="677"/>
      <c r="BNW1" s="677"/>
      <c r="BNX1" s="677"/>
      <c r="BNY1" s="677"/>
      <c r="BNZ1" s="677"/>
      <c r="BOA1" s="677"/>
      <c r="BOB1" s="677"/>
      <c r="BOC1" s="677"/>
      <c r="BOD1" s="677"/>
      <c r="BOE1" s="677"/>
      <c r="BOF1" s="677"/>
      <c r="BOG1" s="677"/>
      <c r="BOH1" s="677"/>
      <c r="BOI1" s="677"/>
      <c r="BOJ1" s="677"/>
      <c r="BOK1" s="677"/>
      <c r="BOL1" s="677"/>
      <c r="BOM1" s="677"/>
      <c r="BON1" s="677"/>
      <c r="BOO1" s="677"/>
      <c r="BOP1" s="677"/>
      <c r="BOQ1" s="677"/>
      <c r="BOR1" s="677"/>
      <c r="BOS1" s="677"/>
      <c r="BOT1" s="677"/>
      <c r="BOU1" s="677"/>
      <c r="BOV1" s="677"/>
      <c r="BOW1" s="677"/>
      <c r="BOX1" s="677"/>
      <c r="BOY1" s="677"/>
      <c r="BOZ1" s="677"/>
      <c r="BPA1" s="677"/>
      <c r="BPB1" s="677"/>
      <c r="BPC1" s="677"/>
      <c r="BPD1" s="677"/>
      <c r="BPE1" s="677"/>
      <c r="BPF1" s="677"/>
      <c r="BPG1" s="677"/>
      <c r="BPH1" s="677"/>
      <c r="BPI1" s="677"/>
      <c r="BPJ1" s="677"/>
      <c r="BPK1" s="677"/>
      <c r="BPL1" s="677"/>
      <c r="BPM1" s="677"/>
      <c r="BPN1" s="677"/>
      <c r="BPO1" s="677"/>
      <c r="BPP1" s="677"/>
      <c r="BPQ1" s="677"/>
      <c r="BPR1" s="677"/>
      <c r="BPS1" s="677"/>
      <c r="BPT1" s="677"/>
      <c r="BPU1" s="677"/>
      <c r="BPV1" s="677"/>
      <c r="BPW1" s="677"/>
      <c r="BPX1" s="677"/>
      <c r="BPY1" s="677"/>
      <c r="BPZ1" s="677"/>
      <c r="BQA1" s="677"/>
      <c r="BQB1" s="677"/>
      <c r="BQC1" s="677"/>
      <c r="BQD1" s="677"/>
      <c r="BQE1" s="677"/>
      <c r="BQF1" s="677"/>
      <c r="BQG1" s="677"/>
      <c r="BQH1" s="677"/>
      <c r="BQI1" s="677"/>
      <c r="BQJ1" s="677"/>
      <c r="BQK1" s="677"/>
      <c r="BQL1" s="677"/>
      <c r="BQM1" s="677"/>
      <c r="BQN1" s="677"/>
      <c r="BQO1" s="677"/>
      <c r="BQP1" s="677"/>
      <c r="BQQ1" s="677"/>
      <c r="BQR1" s="677"/>
      <c r="BQS1" s="677"/>
      <c r="BQT1" s="677"/>
      <c r="BQU1" s="677"/>
      <c r="BQV1" s="677"/>
      <c r="BQW1" s="677"/>
      <c r="BQX1" s="677"/>
      <c r="BQY1" s="677"/>
      <c r="BQZ1" s="677"/>
      <c r="BRA1" s="677"/>
      <c r="BRB1" s="677"/>
      <c r="BRC1" s="677"/>
      <c r="BRD1" s="677"/>
      <c r="BRE1" s="677"/>
      <c r="BRF1" s="677"/>
      <c r="BRG1" s="677"/>
      <c r="BRH1" s="677"/>
      <c r="BRI1" s="677"/>
      <c r="BRJ1" s="677"/>
      <c r="BRK1" s="677"/>
      <c r="BRL1" s="677"/>
      <c r="BRM1" s="677"/>
      <c r="BRN1" s="677"/>
      <c r="BRO1" s="677"/>
      <c r="BRP1" s="677"/>
      <c r="BRQ1" s="677"/>
      <c r="BRR1" s="677"/>
      <c r="BRS1" s="677"/>
      <c r="BRT1" s="677"/>
      <c r="BRU1" s="677"/>
      <c r="BRV1" s="677"/>
      <c r="BRW1" s="677"/>
      <c r="BRX1" s="677"/>
      <c r="BRY1" s="677"/>
      <c r="BRZ1" s="677"/>
      <c r="BSA1" s="677"/>
      <c r="BSB1" s="677"/>
      <c r="BSC1" s="677"/>
      <c r="BSD1" s="677"/>
      <c r="BSE1" s="677"/>
      <c r="BSF1" s="677"/>
      <c r="BSG1" s="677"/>
      <c r="BSH1" s="677"/>
      <c r="BSI1" s="677"/>
      <c r="BSJ1" s="677"/>
      <c r="BSK1" s="677"/>
      <c r="BSL1" s="677"/>
      <c r="BSM1" s="677"/>
      <c r="BSN1" s="677"/>
      <c r="BSO1" s="677"/>
      <c r="BSP1" s="677"/>
      <c r="BSQ1" s="677"/>
      <c r="BSR1" s="677"/>
      <c r="BSS1" s="677"/>
      <c r="BST1" s="677"/>
      <c r="BSU1" s="677"/>
      <c r="BSV1" s="677"/>
      <c r="BSW1" s="677"/>
      <c r="BSX1" s="677"/>
      <c r="BSY1" s="677"/>
      <c r="BSZ1" s="677"/>
      <c r="BTA1" s="677"/>
      <c r="BTB1" s="677"/>
      <c r="BTC1" s="677"/>
      <c r="BTD1" s="677"/>
      <c r="BTE1" s="677"/>
      <c r="BTF1" s="677"/>
      <c r="BTG1" s="677"/>
      <c r="BTH1" s="677"/>
      <c r="BTI1" s="677"/>
      <c r="BTJ1" s="677"/>
      <c r="BTK1" s="677"/>
      <c r="BTL1" s="677"/>
      <c r="BTM1" s="677"/>
      <c r="BTN1" s="677"/>
      <c r="BTO1" s="677"/>
      <c r="BTP1" s="677"/>
      <c r="BTQ1" s="677"/>
      <c r="BTR1" s="677"/>
      <c r="BTS1" s="677"/>
      <c r="BTT1" s="677"/>
      <c r="BTU1" s="677"/>
      <c r="BTV1" s="677"/>
      <c r="BTW1" s="677"/>
      <c r="BTX1" s="677"/>
      <c r="BTY1" s="677"/>
      <c r="BTZ1" s="677"/>
      <c r="BUA1" s="677"/>
      <c r="BUB1" s="677"/>
      <c r="BUC1" s="677"/>
      <c r="BUD1" s="677"/>
      <c r="BUE1" s="677"/>
      <c r="BUF1" s="677"/>
      <c r="BUG1" s="677"/>
      <c r="BUH1" s="677"/>
      <c r="BUI1" s="677"/>
      <c r="BUJ1" s="677"/>
      <c r="BUK1" s="677"/>
      <c r="BUL1" s="677"/>
      <c r="BUM1" s="677"/>
      <c r="BUN1" s="677"/>
      <c r="BUO1" s="677"/>
      <c r="BUP1" s="677"/>
      <c r="BUQ1" s="677"/>
      <c r="BUR1" s="677"/>
      <c r="BUS1" s="677"/>
      <c r="BUT1" s="677"/>
      <c r="BUU1" s="677"/>
      <c r="BUV1" s="677"/>
      <c r="BUW1" s="677"/>
      <c r="BUX1" s="677"/>
      <c r="BUY1" s="677"/>
      <c r="BUZ1" s="677"/>
      <c r="BVA1" s="677"/>
      <c r="BVB1" s="677"/>
      <c r="BVC1" s="677"/>
      <c r="BVD1" s="677"/>
      <c r="BVE1" s="677"/>
      <c r="BVF1" s="677"/>
      <c r="BVG1" s="677"/>
      <c r="BVH1" s="677"/>
      <c r="BVI1" s="677"/>
      <c r="BVJ1" s="677"/>
      <c r="BVK1" s="677"/>
      <c r="BVL1" s="677"/>
      <c r="BVM1" s="677"/>
      <c r="BVN1" s="677"/>
      <c r="BVO1" s="677"/>
      <c r="BVP1" s="677"/>
      <c r="BVQ1" s="677"/>
      <c r="BVR1" s="677"/>
      <c r="BVS1" s="677"/>
      <c r="BVT1" s="677"/>
      <c r="BVU1" s="677"/>
      <c r="BVV1" s="677"/>
      <c r="BVW1" s="677"/>
      <c r="BVX1" s="677"/>
      <c r="BVY1" s="677"/>
      <c r="BVZ1" s="677"/>
      <c r="BWA1" s="677"/>
      <c r="BWB1" s="677"/>
      <c r="BWC1" s="677"/>
      <c r="BWD1" s="677"/>
      <c r="BWE1" s="677"/>
      <c r="BWF1" s="677"/>
      <c r="BWG1" s="677"/>
      <c r="BWH1" s="677"/>
      <c r="BWI1" s="677"/>
      <c r="BWJ1" s="677"/>
      <c r="BWK1" s="677"/>
      <c r="BWL1" s="677"/>
      <c r="BWM1" s="677"/>
      <c r="BWN1" s="677"/>
      <c r="BWO1" s="677"/>
      <c r="BWP1" s="677"/>
      <c r="BWQ1" s="677"/>
      <c r="BWR1" s="677"/>
      <c r="BWS1" s="677"/>
      <c r="BWT1" s="677"/>
      <c r="BWU1" s="677"/>
      <c r="BWV1" s="677"/>
      <c r="BWW1" s="677"/>
      <c r="BWX1" s="677"/>
      <c r="BWY1" s="677"/>
      <c r="BWZ1" s="677"/>
      <c r="BXA1" s="677"/>
      <c r="BXB1" s="677"/>
      <c r="BXC1" s="677"/>
      <c r="BXD1" s="677"/>
      <c r="BXE1" s="677"/>
      <c r="BXF1" s="677"/>
      <c r="BXG1" s="677"/>
      <c r="BXH1" s="677"/>
      <c r="BXI1" s="677"/>
      <c r="BXJ1" s="677"/>
      <c r="BXK1" s="677"/>
      <c r="BXL1" s="677"/>
      <c r="BXM1" s="677"/>
      <c r="BXN1" s="677"/>
      <c r="BXO1" s="677"/>
      <c r="BXP1" s="677"/>
      <c r="BXQ1" s="677"/>
      <c r="BXR1" s="677"/>
      <c r="BXS1" s="677"/>
      <c r="BXT1" s="677"/>
      <c r="BXU1" s="677"/>
      <c r="BXV1" s="677"/>
      <c r="BXW1" s="677"/>
      <c r="BXX1" s="677"/>
      <c r="BXY1" s="677"/>
      <c r="BXZ1" s="677"/>
      <c r="BYA1" s="677"/>
      <c r="BYB1" s="677"/>
      <c r="BYC1" s="677"/>
      <c r="BYD1" s="677"/>
      <c r="BYE1" s="677"/>
      <c r="BYF1" s="677"/>
      <c r="BYG1" s="677"/>
      <c r="BYH1" s="677"/>
      <c r="BYI1" s="677"/>
      <c r="BYJ1" s="677"/>
      <c r="BYK1" s="677"/>
      <c r="BYL1" s="677"/>
      <c r="BYM1" s="677"/>
      <c r="BYN1" s="677"/>
      <c r="BYO1" s="677"/>
      <c r="BYP1" s="677"/>
      <c r="BYQ1" s="677"/>
      <c r="BYR1" s="677"/>
      <c r="BYS1" s="677"/>
      <c r="BYT1" s="677"/>
      <c r="BYU1" s="677"/>
      <c r="BYV1" s="677"/>
      <c r="BYW1" s="677"/>
      <c r="BYX1" s="677"/>
      <c r="BYY1" s="677"/>
      <c r="BYZ1" s="677"/>
      <c r="BZA1" s="677"/>
      <c r="BZB1" s="677"/>
      <c r="BZC1" s="677"/>
      <c r="BZD1" s="677"/>
      <c r="BZE1" s="677"/>
      <c r="BZF1" s="677"/>
      <c r="BZG1" s="677"/>
      <c r="BZH1" s="677"/>
      <c r="BZI1" s="677"/>
      <c r="BZJ1" s="677"/>
      <c r="BZK1" s="677"/>
      <c r="BZL1" s="677"/>
      <c r="BZM1" s="677"/>
      <c r="BZN1" s="677"/>
      <c r="BZO1" s="677"/>
      <c r="BZP1" s="677"/>
      <c r="BZQ1" s="677"/>
      <c r="BZR1" s="677"/>
      <c r="BZS1" s="677"/>
      <c r="BZT1" s="677"/>
      <c r="BZU1" s="677"/>
      <c r="BZV1" s="677"/>
      <c r="BZW1" s="677"/>
      <c r="BZX1" s="677"/>
      <c r="BZY1" s="677"/>
      <c r="BZZ1" s="677"/>
      <c r="CAA1" s="677"/>
      <c r="CAB1" s="677"/>
      <c r="CAC1" s="677"/>
      <c r="CAD1" s="677"/>
      <c r="CAE1" s="677"/>
      <c r="CAF1" s="677"/>
      <c r="CAG1" s="677"/>
      <c r="CAH1" s="677"/>
      <c r="CAI1" s="677"/>
      <c r="CAJ1" s="677"/>
      <c r="CAK1" s="677"/>
      <c r="CAL1" s="677"/>
      <c r="CAM1" s="677"/>
      <c r="CAN1" s="677"/>
      <c r="CAO1" s="677"/>
      <c r="CAP1" s="677"/>
      <c r="CAQ1" s="677"/>
      <c r="CAR1" s="677"/>
      <c r="CAS1" s="677"/>
      <c r="CAT1" s="677"/>
      <c r="CAU1" s="677"/>
      <c r="CAV1" s="677"/>
      <c r="CAW1" s="677"/>
      <c r="CAX1" s="677"/>
      <c r="CAY1" s="677"/>
      <c r="CAZ1" s="677"/>
      <c r="CBA1" s="677"/>
      <c r="CBB1" s="677"/>
      <c r="CBC1" s="677"/>
      <c r="CBD1" s="677"/>
      <c r="CBE1" s="677"/>
      <c r="CBF1" s="677"/>
      <c r="CBG1" s="677"/>
      <c r="CBH1" s="677"/>
      <c r="CBI1" s="677"/>
      <c r="CBJ1" s="677"/>
      <c r="CBK1" s="677"/>
      <c r="CBL1" s="677"/>
      <c r="CBM1" s="677"/>
      <c r="CBN1" s="677"/>
      <c r="CBO1" s="677"/>
      <c r="CBP1" s="677"/>
      <c r="CBQ1" s="677"/>
      <c r="CBR1" s="677"/>
      <c r="CBS1" s="677"/>
      <c r="CBT1" s="677"/>
      <c r="CBU1" s="677"/>
      <c r="CBV1" s="677"/>
      <c r="CBW1" s="677"/>
      <c r="CBX1" s="677"/>
      <c r="CBY1" s="677"/>
      <c r="CBZ1" s="677"/>
      <c r="CCA1" s="677"/>
      <c r="CCB1" s="677"/>
      <c r="CCC1" s="677"/>
      <c r="CCD1" s="677"/>
      <c r="CCE1" s="677"/>
      <c r="CCF1" s="677"/>
      <c r="CCG1" s="677"/>
      <c r="CCH1" s="677"/>
      <c r="CCI1" s="677"/>
      <c r="CCJ1" s="677"/>
      <c r="CCK1" s="677"/>
      <c r="CCL1" s="677"/>
      <c r="CCM1" s="677"/>
      <c r="CCN1" s="677"/>
      <c r="CCO1" s="677"/>
      <c r="CCP1" s="677"/>
      <c r="CCQ1" s="677"/>
      <c r="CCR1" s="677"/>
      <c r="CCS1" s="677"/>
      <c r="CCT1" s="677"/>
      <c r="CCU1" s="677"/>
      <c r="CCV1" s="677"/>
      <c r="CCW1" s="677"/>
      <c r="CCX1" s="677"/>
      <c r="CCY1" s="677"/>
      <c r="CCZ1" s="677"/>
      <c r="CDA1" s="677"/>
      <c r="CDB1" s="677"/>
      <c r="CDC1" s="677"/>
      <c r="CDD1" s="677"/>
      <c r="CDE1" s="677"/>
      <c r="CDF1" s="677"/>
      <c r="CDG1" s="677"/>
      <c r="CDH1" s="677"/>
      <c r="CDI1" s="677"/>
      <c r="CDJ1" s="677"/>
      <c r="CDK1" s="677"/>
      <c r="CDL1" s="677"/>
      <c r="CDM1" s="677"/>
      <c r="CDN1" s="677"/>
      <c r="CDO1" s="677"/>
      <c r="CDP1" s="677"/>
      <c r="CDQ1" s="677"/>
      <c r="CDR1" s="677"/>
      <c r="CDS1" s="677"/>
      <c r="CDT1" s="677"/>
      <c r="CDU1" s="677"/>
      <c r="CDV1" s="677"/>
      <c r="CDW1" s="677"/>
      <c r="CDX1" s="677"/>
      <c r="CDY1" s="677"/>
      <c r="CDZ1" s="677"/>
      <c r="CEA1" s="677"/>
      <c r="CEB1" s="677"/>
      <c r="CEC1" s="677"/>
      <c r="CED1" s="677"/>
      <c r="CEE1" s="677"/>
      <c r="CEF1" s="677"/>
      <c r="CEG1" s="677"/>
      <c r="CEH1" s="677"/>
      <c r="CEI1" s="677"/>
      <c r="CEJ1" s="677"/>
      <c r="CEK1" s="677"/>
      <c r="CEL1" s="677"/>
      <c r="CEM1" s="677"/>
      <c r="CEN1" s="677"/>
      <c r="CEO1" s="677"/>
      <c r="CEP1" s="677"/>
      <c r="CEQ1" s="677"/>
      <c r="CER1" s="677"/>
      <c r="CES1" s="677"/>
      <c r="CET1" s="677"/>
      <c r="CEU1" s="677"/>
      <c r="CEV1" s="677"/>
      <c r="CEW1" s="677"/>
      <c r="CEX1" s="677"/>
      <c r="CEY1" s="677"/>
      <c r="CEZ1" s="677"/>
      <c r="CFA1" s="677"/>
      <c r="CFB1" s="677"/>
      <c r="CFC1" s="677"/>
      <c r="CFD1" s="677"/>
      <c r="CFE1" s="677"/>
      <c r="CFF1" s="677"/>
      <c r="CFG1" s="677"/>
      <c r="CFH1" s="677"/>
      <c r="CFI1" s="677"/>
      <c r="CFJ1" s="677"/>
      <c r="CFK1" s="677"/>
      <c r="CFL1" s="677"/>
      <c r="CFM1" s="677"/>
      <c r="CFN1" s="677"/>
      <c r="CFO1" s="677"/>
      <c r="CFP1" s="677"/>
      <c r="CFQ1" s="677"/>
      <c r="CFR1" s="677"/>
      <c r="CFS1" s="677"/>
      <c r="CFT1" s="677"/>
      <c r="CFU1" s="677"/>
      <c r="CFV1" s="677"/>
      <c r="CFW1" s="677"/>
      <c r="CFX1" s="677"/>
      <c r="CFY1" s="677"/>
      <c r="CFZ1" s="677"/>
      <c r="CGA1" s="677"/>
      <c r="CGB1" s="677"/>
      <c r="CGC1" s="677"/>
      <c r="CGD1" s="677"/>
      <c r="CGE1" s="677"/>
      <c r="CGF1" s="677"/>
      <c r="CGG1" s="677"/>
      <c r="CGH1" s="677"/>
      <c r="CGI1" s="677"/>
      <c r="CGJ1" s="677"/>
      <c r="CGK1" s="677"/>
      <c r="CGL1" s="677"/>
      <c r="CGM1" s="677"/>
      <c r="CGN1" s="677"/>
      <c r="CGO1" s="677"/>
      <c r="CGP1" s="677"/>
      <c r="CGQ1" s="677"/>
      <c r="CGR1" s="677"/>
      <c r="CGS1" s="677"/>
      <c r="CGT1" s="677"/>
      <c r="CGU1" s="677"/>
      <c r="CGV1" s="677"/>
      <c r="CGW1" s="677"/>
      <c r="CGX1" s="677"/>
      <c r="CGY1" s="677"/>
      <c r="CGZ1" s="677"/>
      <c r="CHA1" s="677"/>
      <c r="CHB1" s="677"/>
      <c r="CHC1" s="677"/>
      <c r="CHD1" s="677"/>
      <c r="CHE1" s="677"/>
      <c r="CHF1" s="677"/>
      <c r="CHG1" s="677"/>
      <c r="CHH1" s="677"/>
      <c r="CHI1" s="677"/>
      <c r="CHJ1" s="677"/>
      <c r="CHK1" s="677"/>
      <c r="CHL1" s="677"/>
      <c r="CHM1" s="677"/>
      <c r="CHN1" s="677"/>
      <c r="CHO1" s="677"/>
      <c r="CHP1" s="677"/>
      <c r="CHQ1" s="677"/>
      <c r="CHR1" s="677"/>
      <c r="CHS1" s="677"/>
      <c r="CHT1" s="677"/>
      <c r="CHU1" s="677"/>
      <c r="CHV1" s="677"/>
      <c r="CHW1" s="677"/>
      <c r="CHX1" s="677"/>
      <c r="CHY1" s="677"/>
      <c r="CHZ1" s="677"/>
      <c r="CIA1" s="677"/>
      <c r="CIB1" s="677"/>
      <c r="CIC1" s="677"/>
      <c r="CID1" s="677"/>
      <c r="CIE1" s="677"/>
      <c r="CIF1" s="677"/>
      <c r="CIG1" s="677"/>
      <c r="CIH1" s="677"/>
      <c r="CII1" s="677"/>
      <c r="CIJ1" s="677"/>
      <c r="CIK1" s="677"/>
      <c r="CIL1" s="677"/>
      <c r="CIM1" s="677"/>
      <c r="CIN1" s="677"/>
      <c r="CIO1" s="677"/>
      <c r="CIP1" s="677"/>
      <c r="CIQ1" s="677"/>
      <c r="CIR1" s="677"/>
      <c r="CIS1" s="677"/>
      <c r="CIT1" s="677"/>
      <c r="CIU1" s="677"/>
      <c r="CIV1" s="677"/>
      <c r="CIW1" s="677"/>
      <c r="CIX1" s="677"/>
      <c r="CIY1" s="677"/>
      <c r="CIZ1" s="677"/>
      <c r="CJA1" s="677"/>
      <c r="CJB1" s="677"/>
      <c r="CJC1" s="677"/>
      <c r="CJD1" s="677"/>
      <c r="CJE1" s="677"/>
      <c r="CJF1" s="677"/>
      <c r="CJG1" s="677"/>
      <c r="CJH1" s="677"/>
      <c r="CJI1" s="677"/>
      <c r="CJJ1" s="677"/>
      <c r="CJK1" s="677"/>
      <c r="CJL1" s="677"/>
      <c r="CJM1" s="677"/>
      <c r="CJN1" s="677"/>
      <c r="CJO1" s="677"/>
      <c r="CJP1" s="677"/>
      <c r="CJQ1" s="677"/>
      <c r="CJR1" s="677"/>
      <c r="CJS1" s="677"/>
      <c r="CJT1" s="677"/>
      <c r="CJU1" s="677"/>
      <c r="CJV1" s="677"/>
      <c r="CJW1" s="677"/>
      <c r="CJX1" s="677"/>
      <c r="CJY1" s="677"/>
      <c r="CJZ1" s="677"/>
      <c r="CKA1" s="677"/>
      <c r="CKB1" s="677"/>
      <c r="CKC1" s="677"/>
      <c r="CKD1" s="677"/>
      <c r="CKE1" s="677"/>
      <c r="CKF1" s="677"/>
      <c r="CKG1" s="677"/>
      <c r="CKH1" s="677"/>
      <c r="CKI1" s="677"/>
      <c r="CKJ1" s="677"/>
      <c r="CKK1" s="677"/>
      <c r="CKL1" s="677"/>
      <c r="CKM1" s="677"/>
      <c r="CKN1" s="677"/>
      <c r="CKO1" s="677"/>
      <c r="CKP1" s="677"/>
      <c r="CKQ1" s="677"/>
      <c r="CKR1" s="677"/>
      <c r="CKS1" s="677"/>
      <c r="CKT1" s="677"/>
      <c r="CKU1" s="677"/>
      <c r="CKV1" s="677"/>
      <c r="CKW1" s="677"/>
      <c r="CKX1" s="677"/>
      <c r="CKY1" s="677"/>
      <c r="CKZ1" s="677"/>
      <c r="CLA1" s="677"/>
      <c r="CLB1" s="677"/>
      <c r="CLC1" s="677"/>
      <c r="CLD1" s="677"/>
      <c r="CLE1" s="677"/>
      <c r="CLF1" s="677"/>
      <c r="CLG1" s="677"/>
      <c r="CLH1" s="677"/>
      <c r="CLI1" s="677"/>
      <c r="CLJ1" s="677"/>
      <c r="CLK1" s="677"/>
      <c r="CLL1" s="677"/>
      <c r="CLM1" s="677"/>
      <c r="CLN1" s="677"/>
      <c r="CLO1" s="677"/>
      <c r="CLP1" s="677"/>
      <c r="CLQ1" s="677"/>
      <c r="CLR1" s="677"/>
      <c r="CLS1" s="677"/>
      <c r="CLT1" s="677"/>
      <c r="CLU1" s="677"/>
      <c r="CLV1" s="677"/>
      <c r="CLW1" s="677"/>
      <c r="CLX1" s="677"/>
      <c r="CLY1" s="677"/>
      <c r="CLZ1" s="677"/>
      <c r="CMA1" s="677"/>
      <c r="CMB1" s="677"/>
      <c r="CMC1" s="677"/>
      <c r="CMD1" s="677"/>
      <c r="CME1" s="677"/>
      <c r="CMF1" s="677"/>
      <c r="CMG1" s="677"/>
      <c r="CMH1" s="677"/>
      <c r="CMI1" s="677"/>
      <c r="CMJ1" s="677"/>
      <c r="CMK1" s="677"/>
      <c r="CML1" s="677"/>
      <c r="CMM1" s="677"/>
      <c r="CMN1" s="677"/>
      <c r="CMO1" s="677"/>
      <c r="CMP1" s="677"/>
      <c r="CMQ1" s="677"/>
      <c r="CMR1" s="677"/>
      <c r="CMS1" s="677"/>
      <c r="CMT1" s="677"/>
      <c r="CMU1" s="677"/>
      <c r="CMV1" s="677"/>
      <c r="CMW1" s="677"/>
      <c r="CMX1" s="677"/>
      <c r="CMY1" s="677"/>
      <c r="CMZ1" s="677"/>
      <c r="CNA1" s="677"/>
      <c r="CNB1" s="677"/>
      <c r="CNC1" s="677"/>
      <c r="CND1" s="677"/>
      <c r="CNE1" s="677"/>
      <c r="CNF1" s="677"/>
      <c r="CNG1" s="677"/>
      <c r="CNH1" s="677"/>
      <c r="CNI1" s="677"/>
      <c r="CNJ1" s="677"/>
      <c r="CNK1" s="677"/>
      <c r="CNL1" s="677"/>
      <c r="CNM1" s="677"/>
      <c r="CNN1" s="677"/>
      <c r="CNO1" s="677"/>
      <c r="CNP1" s="677"/>
      <c r="CNQ1" s="677"/>
      <c r="CNR1" s="677"/>
      <c r="CNS1" s="677"/>
      <c r="CNT1" s="677"/>
      <c r="CNU1" s="677"/>
      <c r="CNV1" s="677"/>
      <c r="CNW1" s="677"/>
      <c r="CNX1" s="677"/>
      <c r="CNY1" s="677"/>
      <c r="CNZ1" s="677"/>
      <c r="COA1" s="677"/>
      <c r="COB1" s="677"/>
      <c r="COC1" s="677"/>
      <c r="COD1" s="677"/>
      <c r="COE1" s="677"/>
      <c r="COF1" s="677"/>
      <c r="COG1" s="677"/>
      <c r="COH1" s="677"/>
      <c r="COI1" s="677"/>
      <c r="COJ1" s="677"/>
      <c r="COK1" s="677"/>
      <c r="COL1" s="677"/>
      <c r="COM1" s="677"/>
      <c r="CON1" s="677"/>
      <c r="COO1" s="677"/>
      <c r="COP1" s="677"/>
      <c r="COQ1" s="677"/>
      <c r="COR1" s="677"/>
      <c r="COS1" s="677"/>
      <c r="COT1" s="677"/>
      <c r="COU1" s="677"/>
      <c r="COV1" s="677"/>
      <c r="COW1" s="677"/>
      <c r="COX1" s="677"/>
      <c r="COY1" s="677"/>
      <c r="COZ1" s="677"/>
      <c r="CPA1" s="677"/>
      <c r="CPB1" s="677"/>
      <c r="CPC1" s="677"/>
      <c r="CPD1" s="677"/>
      <c r="CPE1" s="677"/>
      <c r="CPF1" s="677"/>
      <c r="CPG1" s="677"/>
      <c r="CPH1" s="677"/>
      <c r="CPI1" s="677"/>
      <c r="CPJ1" s="677"/>
      <c r="CPK1" s="677"/>
      <c r="CPL1" s="677"/>
      <c r="CPM1" s="677"/>
      <c r="CPN1" s="677"/>
      <c r="CPO1" s="677"/>
      <c r="CPP1" s="677"/>
      <c r="CPQ1" s="677"/>
      <c r="CPR1" s="677"/>
      <c r="CPS1" s="677"/>
      <c r="CPT1" s="677"/>
      <c r="CPU1" s="677"/>
      <c r="CPV1" s="677"/>
      <c r="CPW1" s="677"/>
      <c r="CPX1" s="677"/>
      <c r="CPY1" s="677"/>
      <c r="CPZ1" s="677"/>
      <c r="CQA1" s="677"/>
      <c r="CQB1" s="677"/>
      <c r="CQC1" s="677"/>
      <c r="CQD1" s="677"/>
      <c r="CQE1" s="677"/>
      <c r="CQF1" s="677"/>
      <c r="CQG1" s="677"/>
      <c r="CQH1" s="677"/>
      <c r="CQI1" s="677"/>
      <c r="CQJ1" s="677"/>
      <c r="CQK1" s="677"/>
      <c r="CQL1" s="677"/>
      <c r="CQM1" s="677"/>
      <c r="CQN1" s="677"/>
      <c r="CQO1" s="677"/>
      <c r="CQP1" s="677"/>
      <c r="CQQ1" s="677"/>
      <c r="CQR1" s="677"/>
      <c r="CQS1" s="677"/>
      <c r="CQT1" s="677"/>
      <c r="CQU1" s="677"/>
      <c r="CQV1" s="677"/>
      <c r="CQW1" s="677"/>
      <c r="CQX1" s="677"/>
      <c r="CQY1" s="677"/>
      <c r="CQZ1" s="677"/>
      <c r="CRA1" s="677"/>
      <c r="CRB1" s="677"/>
      <c r="CRC1" s="677"/>
      <c r="CRD1" s="677"/>
      <c r="CRE1" s="677"/>
      <c r="CRF1" s="677"/>
      <c r="CRG1" s="677"/>
      <c r="CRH1" s="677"/>
      <c r="CRI1" s="677"/>
      <c r="CRJ1" s="677"/>
      <c r="CRK1" s="677"/>
      <c r="CRL1" s="677"/>
      <c r="CRM1" s="677"/>
      <c r="CRN1" s="677"/>
      <c r="CRO1" s="677"/>
      <c r="CRP1" s="677"/>
      <c r="CRQ1" s="677"/>
      <c r="CRR1" s="677"/>
      <c r="CRS1" s="677"/>
      <c r="CRT1" s="677"/>
      <c r="CRU1" s="677"/>
      <c r="CRV1" s="677"/>
      <c r="CRW1" s="677"/>
      <c r="CRX1" s="677"/>
      <c r="CRY1" s="677"/>
      <c r="CRZ1" s="677"/>
      <c r="CSA1" s="677"/>
      <c r="CSB1" s="677"/>
      <c r="CSC1" s="677"/>
      <c r="CSD1" s="677"/>
      <c r="CSE1" s="677"/>
      <c r="CSF1" s="677"/>
      <c r="CSG1" s="677"/>
      <c r="CSH1" s="677"/>
      <c r="CSI1" s="677"/>
      <c r="CSJ1" s="677"/>
      <c r="CSK1" s="677"/>
      <c r="CSL1" s="677"/>
      <c r="CSM1" s="677"/>
      <c r="CSN1" s="677"/>
      <c r="CSO1" s="677"/>
      <c r="CSP1" s="677"/>
      <c r="CSQ1" s="677"/>
      <c r="CSR1" s="677"/>
      <c r="CSS1" s="677"/>
      <c r="CST1" s="677"/>
      <c r="CSU1" s="677"/>
      <c r="CSV1" s="677"/>
      <c r="CSW1" s="677"/>
      <c r="CSX1" s="677"/>
      <c r="CSY1" s="677"/>
      <c r="CSZ1" s="677"/>
      <c r="CTA1" s="677"/>
      <c r="CTB1" s="677"/>
      <c r="CTC1" s="677"/>
      <c r="CTD1" s="677"/>
      <c r="CTE1" s="677"/>
      <c r="CTF1" s="677"/>
      <c r="CTG1" s="677"/>
      <c r="CTH1" s="677"/>
      <c r="CTI1" s="677"/>
      <c r="CTJ1" s="677"/>
      <c r="CTK1" s="677"/>
      <c r="CTL1" s="677"/>
      <c r="CTM1" s="677"/>
      <c r="CTN1" s="677"/>
      <c r="CTO1" s="677"/>
      <c r="CTP1" s="677"/>
      <c r="CTQ1" s="677"/>
      <c r="CTR1" s="677"/>
      <c r="CTS1" s="677"/>
      <c r="CTT1" s="677"/>
      <c r="CTU1" s="677"/>
      <c r="CTV1" s="677"/>
      <c r="CTW1" s="677"/>
      <c r="CTX1" s="677"/>
      <c r="CTY1" s="677"/>
      <c r="CTZ1" s="677"/>
      <c r="CUA1" s="677"/>
      <c r="CUB1" s="677"/>
      <c r="CUC1" s="677"/>
      <c r="CUD1" s="677"/>
      <c r="CUE1" s="677"/>
      <c r="CUF1" s="677"/>
      <c r="CUG1" s="677"/>
      <c r="CUH1" s="677"/>
      <c r="CUI1" s="677"/>
      <c r="CUJ1" s="677"/>
      <c r="CUK1" s="677"/>
      <c r="CUL1" s="677"/>
      <c r="CUM1" s="677"/>
      <c r="CUN1" s="677"/>
      <c r="CUO1" s="677"/>
      <c r="CUP1" s="677"/>
      <c r="CUQ1" s="677"/>
      <c r="CUR1" s="677"/>
      <c r="CUS1" s="677"/>
      <c r="CUT1" s="677"/>
      <c r="CUU1" s="677"/>
      <c r="CUV1" s="677"/>
      <c r="CUW1" s="677"/>
      <c r="CUX1" s="677"/>
      <c r="CUY1" s="677"/>
      <c r="CUZ1" s="677"/>
      <c r="CVA1" s="677"/>
      <c r="CVB1" s="677"/>
      <c r="CVC1" s="677"/>
      <c r="CVD1" s="677"/>
      <c r="CVE1" s="677"/>
      <c r="CVF1" s="677"/>
      <c r="CVG1" s="677"/>
      <c r="CVH1" s="677"/>
      <c r="CVI1" s="677"/>
      <c r="CVJ1" s="677"/>
      <c r="CVK1" s="677"/>
      <c r="CVL1" s="677"/>
      <c r="CVM1" s="677"/>
      <c r="CVN1" s="677"/>
      <c r="CVO1" s="677"/>
      <c r="CVP1" s="677"/>
      <c r="CVQ1" s="677"/>
      <c r="CVR1" s="677"/>
      <c r="CVS1" s="677"/>
      <c r="CVT1" s="677"/>
      <c r="CVU1" s="677"/>
      <c r="CVV1" s="677"/>
      <c r="CVW1" s="677"/>
      <c r="CVX1" s="677"/>
      <c r="CVY1" s="677"/>
      <c r="CVZ1" s="677"/>
      <c r="CWA1" s="677"/>
      <c r="CWB1" s="677"/>
      <c r="CWC1" s="677"/>
      <c r="CWD1" s="677"/>
      <c r="CWE1" s="677"/>
      <c r="CWF1" s="677"/>
      <c r="CWG1" s="677"/>
      <c r="CWH1" s="677"/>
      <c r="CWI1" s="677"/>
      <c r="CWJ1" s="677"/>
      <c r="CWK1" s="677"/>
      <c r="CWL1" s="677"/>
      <c r="CWM1" s="677"/>
      <c r="CWN1" s="677"/>
      <c r="CWO1" s="677"/>
      <c r="CWP1" s="677"/>
      <c r="CWQ1" s="677"/>
      <c r="CWR1" s="677"/>
      <c r="CWS1" s="677"/>
      <c r="CWT1" s="677"/>
      <c r="CWU1" s="677"/>
      <c r="CWV1" s="677"/>
      <c r="CWW1" s="677"/>
      <c r="CWX1" s="677"/>
      <c r="CWY1" s="677"/>
      <c r="CWZ1" s="677"/>
      <c r="CXA1" s="677"/>
      <c r="CXB1" s="677"/>
      <c r="CXC1" s="677"/>
      <c r="CXD1" s="677"/>
      <c r="CXE1" s="677"/>
      <c r="CXF1" s="677"/>
      <c r="CXG1" s="677"/>
      <c r="CXH1" s="677"/>
      <c r="CXI1" s="677"/>
      <c r="CXJ1" s="677"/>
      <c r="CXK1" s="677"/>
      <c r="CXL1" s="677"/>
      <c r="CXM1" s="677"/>
      <c r="CXN1" s="677"/>
      <c r="CXO1" s="677"/>
      <c r="CXP1" s="677"/>
      <c r="CXQ1" s="677"/>
      <c r="CXR1" s="677"/>
      <c r="CXS1" s="677"/>
      <c r="CXT1" s="677"/>
      <c r="CXU1" s="677"/>
      <c r="CXV1" s="677"/>
      <c r="CXW1" s="677"/>
      <c r="CXX1" s="677"/>
      <c r="CXY1" s="677"/>
      <c r="CXZ1" s="677"/>
      <c r="CYA1" s="677"/>
      <c r="CYB1" s="677"/>
      <c r="CYC1" s="677"/>
      <c r="CYD1" s="677"/>
      <c r="CYE1" s="677"/>
      <c r="CYF1" s="677"/>
      <c r="CYG1" s="677"/>
      <c r="CYH1" s="677"/>
      <c r="CYI1" s="677"/>
      <c r="CYJ1" s="677"/>
      <c r="CYK1" s="677"/>
      <c r="CYL1" s="677"/>
      <c r="CYM1" s="677"/>
      <c r="CYN1" s="677"/>
      <c r="CYO1" s="677"/>
      <c r="CYP1" s="677"/>
      <c r="CYQ1" s="677"/>
      <c r="CYR1" s="677"/>
      <c r="CYS1" s="677"/>
      <c r="CYT1" s="677"/>
      <c r="CYU1" s="677"/>
      <c r="CYV1" s="677"/>
      <c r="CYW1" s="677"/>
      <c r="CYX1" s="677"/>
      <c r="CYY1" s="677"/>
      <c r="CYZ1" s="677"/>
      <c r="CZA1" s="677"/>
      <c r="CZB1" s="677"/>
      <c r="CZC1" s="677"/>
      <c r="CZD1" s="677"/>
      <c r="CZE1" s="677"/>
      <c r="CZF1" s="677"/>
      <c r="CZG1" s="677"/>
      <c r="CZH1" s="677"/>
      <c r="CZI1" s="677"/>
      <c r="CZJ1" s="677"/>
      <c r="CZK1" s="677"/>
      <c r="CZL1" s="677"/>
      <c r="CZM1" s="677"/>
      <c r="CZN1" s="677"/>
      <c r="CZO1" s="677"/>
      <c r="CZP1" s="677"/>
      <c r="CZQ1" s="677"/>
      <c r="CZR1" s="677"/>
      <c r="CZS1" s="677"/>
      <c r="CZT1" s="677"/>
      <c r="CZU1" s="677"/>
      <c r="CZV1" s="677"/>
      <c r="CZW1" s="677"/>
      <c r="CZX1" s="677"/>
      <c r="CZY1" s="677"/>
      <c r="CZZ1" s="677"/>
      <c r="DAA1" s="677"/>
      <c r="DAB1" s="677"/>
      <c r="DAC1" s="677"/>
      <c r="DAD1" s="677"/>
      <c r="DAE1" s="677"/>
      <c r="DAF1" s="677"/>
      <c r="DAG1" s="677"/>
      <c r="DAH1" s="677"/>
      <c r="DAI1" s="677"/>
      <c r="DAJ1" s="677"/>
      <c r="DAK1" s="677"/>
      <c r="DAL1" s="677"/>
      <c r="DAM1" s="677"/>
      <c r="DAN1" s="677"/>
      <c r="DAO1" s="677"/>
      <c r="DAP1" s="677"/>
      <c r="DAQ1" s="677"/>
      <c r="DAR1" s="677"/>
      <c r="DAS1" s="677"/>
      <c r="DAT1" s="677"/>
      <c r="DAU1" s="677"/>
      <c r="DAV1" s="677"/>
      <c r="DAW1" s="677"/>
      <c r="DAX1" s="677"/>
      <c r="DAY1" s="677"/>
      <c r="DAZ1" s="677"/>
      <c r="DBA1" s="677"/>
      <c r="DBB1" s="677"/>
      <c r="DBC1" s="677"/>
      <c r="DBD1" s="677"/>
      <c r="DBE1" s="677"/>
      <c r="DBF1" s="677"/>
      <c r="DBG1" s="677"/>
      <c r="DBH1" s="677"/>
      <c r="DBI1" s="677"/>
      <c r="DBJ1" s="677"/>
      <c r="DBK1" s="677"/>
      <c r="DBL1" s="677"/>
      <c r="DBM1" s="677"/>
      <c r="DBN1" s="677"/>
      <c r="DBO1" s="677"/>
      <c r="DBP1" s="677"/>
      <c r="DBQ1" s="677"/>
      <c r="DBR1" s="677"/>
      <c r="DBS1" s="677"/>
      <c r="DBT1" s="677"/>
      <c r="DBU1" s="677"/>
      <c r="DBV1" s="677"/>
      <c r="DBW1" s="677"/>
      <c r="DBX1" s="677"/>
      <c r="DBY1" s="677"/>
      <c r="DBZ1" s="677"/>
      <c r="DCA1" s="677"/>
      <c r="DCB1" s="677"/>
      <c r="DCC1" s="677"/>
      <c r="DCD1" s="677"/>
      <c r="DCE1" s="677"/>
      <c r="DCF1" s="677"/>
      <c r="DCG1" s="677"/>
      <c r="DCH1" s="677"/>
      <c r="DCI1" s="677"/>
      <c r="DCJ1" s="677"/>
      <c r="DCK1" s="677"/>
      <c r="DCL1" s="677"/>
      <c r="DCM1" s="677"/>
      <c r="DCN1" s="677"/>
      <c r="DCO1" s="677"/>
      <c r="DCP1" s="677"/>
      <c r="DCQ1" s="677"/>
      <c r="DCR1" s="677"/>
      <c r="DCS1" s="677"/>
      <c r="DCT1" s="677"/>
      <c r="DCU1" s="677"/>
      <c r="DCV1" s="677"/>
      <c r="DCW1" s="677"/>
      <c r="DCX1" s="677"/>
      <c r="DCY1" s="677"/>
      <c r="DCZ1" s="677"/>
      <c r="DDA1" s="677"/>
      <c r="DDB1" s="677"/>
      <c r="DDC1" s="677"/>
      <c r="DDD1" s="677"/>
      <c r="DDE1" s="677"/>
      <c r="DDF1" s="677"/>
      <c r="DDG1" s="677"/>
      <c r="DDH1" s="677"/>
      <c r="DDI1" s="677"/>
      <c r="DDJ1" s="677"/>
      <c r="DDK1" s="677"/>
      <c r="DDL1" s="677"/>
      <c r="DDM1" s="677"/>
      <c r="DDN1" s="677"/>
      <c r="DDO1" s="677"/>
      <c r="DDP1" s="677"/>
      <c r="DDQ1" s="677"/>
      <c r="DDR1" s="677"/>
      <c r="DDS1" s="677"/>
      <c r="DDT1" s="677"/>
      <c r="DDU1" s="677"/>
      <c r="DDV1" s="677"/>
      <c r="DDW1" s="677"/>
      <c r="DDX1" s="677"/>
      <c r="DDY1" s="677"/>
      <c r="DDZ1" s="677"/>
      <c r="DEA1" s="677"/>
      <c r="DEB1" s="677"/>
      <c r="DEC1" s="677"/>
      <c r="DED1" s="677"/>
      <c r="DEE1" s="677"/>
      <c r="DEF1" s="677"/>
      <c r="DEG1" s="677"/>
      <c r="DEH1" s="677"/>
      <c r="DEI1" s="677"/>
      <c r="DEJ1" s="677"/>
      <c r="DEK1" s="677"/>
      <c r="DEL1" s="677"/>
      <c r="DEM1" s="677"/>
      <c r="DEN1" s="677"/>
      <c r="DEO1" s="677"/>
      <c r="DEP1" s="677"/>
      <c r="DEQ1" s="677"/>
      <c r="DER1" s="677"/>
      <c r="DES1" s="677"/>
      <c r="DET1" s="677"/>
      <c r="DEU1" s="677"/>
      <c r="DEV1" s="677"/>
      <c r="DEW1" s="677"/>
      <c r="DEX1" s="677"/>
      <c r="DEY1" s="677"/>
      <c r="DEZ1" s="677"/>
      <c r="DFA1" s="677"/>
      <c r="DFB1" s="677"/>
      <c r="DFC1" s="677"/>
      <c r="DFD1" s="677"/>
      <c r="DFE1" s="677"/>
      <c r="DFF1" s="677"/>
      <c r="DFG1" s="677"/>
      <c r="DFH1" s="677"/>
      <c r="DFI1" s="677"/>
      <c r="DFJ1" s="677"/>
      <c r="DFK1" s="677"/>
      <c r="DFL1" s="677"/>
      <c r="DFM1" s="677"/>
      <c r="DFN1" s="677"/>
      <c r="DFO1" s="677"/>
      <c r="DFP1" s="677"/>
      <c r="DFQ1" s="677"/>
      <c r="DFR1" s="677"/>
      <c r="DFS1" s="677"/>
      <c r="DFT1" s="677"/>
      <c r="DFU1" s="677"/>
      <c r="DFV1" s="677"/>
      <c r="DFW1" s="677"/>
      <c r="DFX1" s="677"/>
      <c r="DFY1" s="677"/>
      <c r="DFZ1" s="677"/>
      <c r="DGA1" s="677"/>
      <c r="DGB1" s="677"/>
      <c r="DGC1" s="677"/>
      <c r="DGD1" s="677"/>
      <c r="DGE1" s="677"/>
      <c r="DGF1" s="677"/>
      <c r="DGG1" s="677"/>
      <c r="DGH1" s="677"/>
      <c r="DGI1" s="677"/>
      <c r="DGJ1" s="677"/>
      <c r="DGK1" s="677"/>
      <c r="DGL1" s="677"/>
      <c r="DGM1" s="677"/>
      <c r="DGN1" s="677"/>
      <c r="DGO1" s="677"/>
      <c r="DGP1" s="677"/>
      <c r="DGQ1" s="677"/>
      <c r="DGR1" s="677"/>
      <c r="DGS1" s="677"/>
      <c r="DGT1" s="677"/>
      <c r="DGU1" s="677"/>
      <c r="DGV1" s="677"/>
      <c r="DGW1" s="677"/>
      <c r="DGX1" s="677"/>
      <c r="DGY1" s="677"/>
      <c r="DGZ1" s="677"/>
      <c r="DHA1" s="677"/>
      <c r="DHB1" s="677"/>
      <c r="DHC1" s="677"/>
      <c r="DHD1" s="677"/>
      <c r="DHE1" s="677"/>
      <c r="DHF1" s="677"/>
      <c r="DHG1" s="677"/>
      <c r="DHH1" s="677"/>
      <c r="DHI1" s="677"/>
      <c r="DHJ1" s="677"/>
      <c r="DHK1" s="677"/>
      <c r="DHL1" s="677"/>
      <c r="DHM1" s="677"/>
      <c r="DHN1" s="677"/>
      <c r="DHO1" s="677"/>
      <c r="DHP1" s="677"/>
      <c r="DHQ1" s="677"/>
      <c r="DHR1" s="677"/>
      <c r="DHS1" s="677"/>
      <c r="DHT1" s="677"/>
      <c r="DHU1" s="677"/>
      <c r="DHV1" s="677"/>
      <c r="DHW1" s="677"/>
      <c r="DHX1" s="677"/>
      <c r="DHY1" s="677"/>
      <c r="DHZ1" s="677"/>
      <c r="DIA1" s="677"/>
      <c r="DIB1" s="677"/>
      <c r="DIC1" s="677"/>
      <c r="DID1" s="677"/>
      <c r="DIE1" s="677"/>
      <c r="DIF1" s="677"/>
      <c r="DIG1" s="677"/>
      <c r="DIH1" s="677"/>
      <c r="DII1" s="677"/>
      <c r="DIJ1" s="677"/>
      <c r="DIK1" s="677"/>
      <c r="DIL1" s="677"/>
      <c r="DIM1" s="677"/>
      <c r="DIN1" s="677"/>
      <c r="DIO1" s="677"/>
      <c r="DIP1" s="677"/>
      <c r="DIQ1" s="677"/>
      <c r="DIR1" s="677"/>
      <c r="DIS1" s="677"/>
      <c r="DIT1" s="677"/>
      <c r="DIU1" s="677"/>
      <c r="DIV1" s="677"/>
      <c r="DIW1" s="677"/>
      <c r="DIX1" s="677"/>
      <c r="DIY1" s="677"/>
      <c r="DIZ1" s="677"/>
      <c r="DJA1" s="677"/>
      <c r="DJB1" s="677"/>
      <c r="DJC1" s="677"/>
      <c r="DJD1" s="677"/>
      <c r="DJE1" s="677"/>
      <c r="DJF1" s="677"/>
      <c r="DJG1" s="677"/>
      <c r="DJH1" s="677"/>
      <c r="DJI1" s="677"/>
      <c r="DJJ1" s="677"/>
      <c r="DJK1" s="677"/>
      <c r="DJL1" s="677"/>
      <c r="DJM1" s="677"/>
      <c r="DJN1" s="677"/>
      <c r="DJO1" s="677"/>
      <c r="DJP1" s="677"/>
      <c r="DJQ1" s="677"/>
      <c r="DJR1" s="677"/>
      <c r="DJS1" s="677"/>
      <c r="DJT1" s="677"/>
      <c r="DJU1" s="677"/>
      <c r="DJV1" s="677"/>
      <c r="DJW1" s="677"/>
      <c r="DJX1" s="677"/>
      <c r="DJY1" s="677"/>
      <c r="DJZ1" s="677"/>
      <c r="DKA1" s="677"/>
      <c r="DKB1" s="677"/>
      <c r="DKC1" s="677"/>
      <c r="DKD1" s="677"/>
      <c r="DKE1" s="677"/>
      <c r="DKF1" s="677"/>
      <c r="DKG1" s="677"/>
      <c r="DKH1" s="677"/>
      <c r="DKI1" s="677"/>
      <c r="DKJ1" s="677"/>
      <c r="DKK1" s="677"/>
      <c r="DKL1" s="677"/>
      <c r="DKM1" s="677"/>
      <c r="DKN1" s="677"/>
      <c r="DKO1" s="677"/>
      <c r="DKP1" s="677"/>
      <c r="DKQ1" s="677"/>
      <c r="DKR1" s="677"/>
      <c r="DKS1" s="677"/>
      <c r="DKT1" s="677"/>
      <c r="DKU1" s="677"/>
      <c r="DKV1" s="677"/>
      <c r="DKW1" s="677"/>
      <c r="DKX1" s="677"/>
      <c r="DKY1" s="677"/>
      <c r="DKZ1" s="677"/>
      <c r="DLA1" s="677"/>
      <c r="DLB1" s="677"/>
      <c r="DLC1" s="677"/>
      <c r="DLD1" s="677"/>
      <c r="DLE1" s="677"/>
      <c r="DLF1" s="677"/>
      <c r="DLG1" s="677"/>
      <c r="DLH1" s="677"/>
      <c r="DLI1" s="677"/>
      <c r="DLJ1" s="677"/>
      <c r="DLK1" s="677"/>
      <c r="DLL1" s="677"/>
      <c r="DLM1" s="677"/>
      <c r="DLN1" s="677"/>
      <c r="DLO1" s="677"/>
      <c r="DLP1" s="677"/>
      <c r="DLQ1" s="677"/>
      <c r="DLR1" s="677"/>
      <c r="DLS1" s="677"/>
      <c r="DLT1" s="677"/>
      <c r="DLU1" s="677"/>
      <c r="DLV1" s="677"/>
      <c r="DLW1" s="677"/>
      <c r="DLX1" s="677"/>
      <c r="DLY1" s="677"/>
      <c r="DLZ1" s="677"/>
      <c r="DMA1" s="677"/>
      <c r="DMB1" s="677"/>
      <c r="DMC1" s="677"/>
      <c r="DMD1" s="677"/>
      <c r="DME1" s="677"/>
      <c r="DMF1" s="677"/>
      <c r="DMG1" s="677"/>
      <c r="DMH1" s="677"/>
      <c r="DMI1" s="677"/>
      <c r="DMJ1" s="677"/>
      <c r="DMK1" s="677"/>
      <c r="DML1" s="677"/>
      <c r="DMM1" s="677"/>
      <c r="DMN1" s="677"/>
      <c r="DMO1" s="677"/>
      <c r="DMP1" s="677"/>
      <c r="DMQ1" s="677"/>
      <c r="DMR1" s="677"/>
      <c r="DMS1" s="677"/>
      <c r="DMT1" s="677"/>
      <c r="DMU1" s="677"/>
      <c r="DMV1" s="677"/>
      <c r="DMW1" s="677"/>
      <c r="DMX1" s="677"/>
      <c r="DMY1" s="677"/>
      <c r="DMZ1" s="677"/>
      <c r="DNA1" s="677"/>
      <c r="DNB1" s="677"/>
      <c r="DNC1" s="677"/>
      <c r="DND1" s="677"/>
      <c r="DNE1" s="677"/>
      <c r="DNF1" s="677"/>
      <c r="DNG1" s="677"/>
      <c r="DNH1" s="677"/>
      <c r="DNI1" s="677"/>
      <c r="DNJ1" s="677"/>
      <c r="DNK1" s="677"/>
      <c r="DNL1" s="677"/>
      <c r="DNM1" s="677"/>
      <c r="DNN1" s="677"/>
      <c r="DNO1" s="677"/>
      <c r="DNP1" s="677"/>
      <c r="DNQ1" s="677"/>
      <c r="DNR1" s="677"/>
      <c r="DNS1" s="677"/>
      <c r="DNT1" s="677"/>
      <c r="DNU1" s="677"/>
      <c r="DNV1" s="677"/>
      <c r="DNW1" s="677"/>
      <c r="DNX1" s="677"/>
      <c r="DNY1" s="677"/>
      <c r="DNZ1" s="677"/>
      <c r="DOA1" s="677"/>
      <c r="DOB1" s="677"/>
      <c r="DOC1" s="677"/>
      <c r="DOD1" s="677"/>
      <c r="DOE1" s="677"/>
      <c r="DOF1" s="677"/>
      <c r="DOG1" s="677"/>
      <c r="DOH1" s="677"/>
      <c r="DOI1" s="677"/>
      <c r="DOJ1" s="677"/>
      <c r="DOK1" s="677"/>
      <c r="DOL1" s="677"/>
      <c r="DOM1" s="677"/>
      <c r="DON1" s="677"/>
      <c r="DOO1" s="677"/>
      <c r="DOP1" s="677"/>
      <c r="DOQ1" s="677"/>
      <c r="DOR1" s="677"/>
      <c r="DOS1" s="677"/>
      <c r="DOT1" s="677"/>
      <c r="DOU1" s="677"/>
      <c r="DOV1" s="677"/>
      <c r="DOW1" s="677"/>
      <c r="DOX1" s="677"/>
      <c r="DOY1" s="677"/>
      <c r="DOZ1" s="677"/>
      <c r="DPA1" s="677"/>
      <c r="DPB1" s="677"/>
      <c r="DPC1" s="677"/>
      <c r="DPD1" s="677"/>
      <c r="DPE1" s="677"/>
      <c r="DPF1" s="677"/>
      <c r="DPG1" s="677"/>
      <c r="DPH1" s="677"/>
      <c r="DPI1" s="677"/>
      <c r="DPJ1" s="677"/>
      <c r="DPK1" s="677"/>
      <c r="DPL1" s="677"/>
      <c r="DPM1" s="677"/>
      <c r="DPN1" s="677"/>
      <c r="DPO1" s="677"/>
      <c r="DPP1" s="677"/>
      <c r="DPQ1" s="677"/>
      <c r="DPR1" s="677"/>
      <c r="DPS1" s="677"/>
      <c r="DPT1" s="677"/>
      <c r="DPU1" s="677"/>
      <c r="DPV1" s="677"/>
      <c r="DPW1" s="677"/>
      <c r="DPX1" s="677"/>
      <c r="DPY1" s="677"/>
      <c r="DPZ1" s="677"/>
      <c r="DQA1" s="677"/>
      <c r="DQB1" s="677"/>
      <c r="DQC1" s="677"/>
      <c r="DQD1" s="677"/>
      <c r="DQE1" s="677"/>
      <c r="DQF1" s="677"/>
      <c r="DQG1" s="677"/>
      <c r="DQH1" s="677"/>
      <c r="DQI1" s="677"/>
      <c r="DQJ1" s="677"/>
      <c r="DQK1" s="677"/>
      <c r="DQL1" s="677"/>
      <c r="DQM1" s="677"/>
      <c r="DQN1" s="677"/>
      <c r="DQO1" s="677"/>
      <c r="DQP1" s="677"/>
      <c r="DQQ1" s="677"/>
      <c r="DQR1" s="677"/>
      <c r="DQS1" s="677"/>
      <c r="DQT1" s="677"/>
      <c r="DQU1" s="677"/>
      <c r="DQV1" s="677"/>
      <c r="DQW1" s="677"/>
      <c r="DQX1" s="677"/>
      <c r="DQY1" s="677"/>
      <c r="DQZ1" s="677"/>
      <c r="DRA1" s="677"/>
      <c r="DRB1" s="677"/>
      <c r="DRC1" s="677"/>
      <c r="DRD1" s="677"/>
      <c r="DRE1" s="677"/>
      <c r="DRF1" s="677"/>
      <c r="DRG1" s="677"/>
      <c r="DRH1" s="677"/>
      <c r="DRI1" s="677"/>
      <c r="DRJ1" s="677"/>
      <c r="DRK1" s="677"/>
      <c r="DRL1" s="677"/>
      <c r="DRM1" s="677"/>
      <c r="DRN1" s="677"/>
      <c r="DRO1" s="677"/>
      <c r="DRP1" s="677"/>
      <c r="DRQ1" s="677"/>
      <c r="DRR1" s="677"/>
      <c r="DRS1" s="677"/>
      <c r="DRT1" s="677"/>
      <c r="DRU1" s="677"/>
      <c r="DRV1" s="677"/>
      <c r="DRW1" s="677"/>
      <c r="DRX1" s="677"/>
      <c r="DRY1" s="677"/>
      <c r="DRZ1" s="677"/>
      <c r="DSA1" s="677"/>
      <c r="DSB1" s="677"/>
      <c r="DSC1" s="677"/>
      <c r="DSD1" s="677"/>
      <c r="DSE1" s="677"/>
      <c r="DSF1" s="677"/>
      <c r="DSG1" s="677"/>
      <c r="DSH1" s="677"/>
      <c r="DSI1" s="677"/>
      <c r="DSJ1" s="677"/>
      <c r="DSK1" s="677"/>
      <c r="DSL1" s="677"/>
      <c r="DSM1" s="677"/>
      <c r="DSN1" s="677"/>
      <c r="DSO1" s="677"/>
      <c r="DSP1" s="677"/>
      <c r="DSQ1" s="677"/>
      <c r="DSR1" s="677"/>
      <c r="DSS1" s="677"/>
      <c r="DST1" s="677"/>
      <c r="DSU1" s="677"/>
      <c r="DSV1" s="677"/>
      <c r="DSW1" s="677"/>
      <c r="DSX1" s="677"/>
      <c r="DSY1" s="677"/>
      <c r="DSZ1" s="677"/>
      <c r="DTA1" s="677"/>
      <c r="DTB1" s="677"/>
      <c r="DTC1" s="677"/>
      <c r="DTD1" s="677"/>
      <c r="DTE1" s="677"/>
      <c r="DTF1" s="677"/>
      <c r="DTG1" s="677"/>
      <c r="DTH1" s="677"/>
      <c r="DTI1" s="677"/>
      <c r="DTJ1" s="677"/>
      <c r="DTK1" s="677"/>
      <c r="DTL1" s="677"/>
      <c r="DTM1" s="677"/>
      <c r="DTN1" s="677"/>
      <c r="DTO1" s="677"/>
      <c r="DTP1" s="677"/>
      <c r="DTQ1" s="677"/>
      <c r="DTR1" s="677"/>
      <c r="DTS1" s="677"/>
      <c r="DTT1" s="677"/>
      <c r="DTU1" s="677"/>
      <c r="DTV1" s="677"/>
      <c r="DTW1" s="677"/>
      <c r="DTX1" s="677"/>
      <c r="DTY1" s="677"/>
      <c r="DTZ1" s="677"/>
      <c r="DUA1" s="677"/>
      <c r="DUB1" s="677"/>
      <c r="DUC1" s="677"/>
      <c r="DUD1" s="677"/>
      <c r="DUE1" s="677"/>
      <c r="DUF1" s="677"/>
      <c r="DUG1" s="677"/>
      <c r="DUH1" s="677"/>
      <c r="DUI1" s="677"/>
      <c r="DUJ1" s="677"/>
      <c r="DUK1" s="677"/>
      <c r="DUL1" s="677"/>
      <c r="DUM1" s="677"/>
      <c r="DUN1" s="677"/>
      <c r="DUO1" s="677"/>
      <c r="DUP1" s="677"/>
      <c r="DUQ1" s="677"/>
      <c r="DUR1" s="677"/>
      <c r="DUS1" s="677"/>
      <c r="DUT1" s="677"/>
      <c r="DUU1" s="677"/>
      <c r="DUV1" s="677"/>
      <c r="DUW1" s="677"/>
      <c r="DUX1" s="677"/>
      <c r="DUY1" s="677"/>
      <c r="DUZ1" s="677"/>
      <c r="DVA1" s="677"/>
      <c r="DVB1" s="677"/>
      <c r="DVC1" s="677"/>
      <c r="DVD1" s="677"/>
      <c r="DVE1" s="677"/>
      <c r="DVF1" s="677"/>
      <c r="DVG1" s="677"/>
      <c r="DVH1" s="677"/>
      <c r="DVI1" s="677"/>
      <c r="DVJ1" s="677"/>
      <c r="DVK1" s="677"/>
      <c r="DVL1" s="677"/>
      <c r="DVM1" s="677"/>
      <c r="DVN1" s="677"/>
      <c r="DVO1" s="677"/>
      <c r="DVP1" s="677"/>
      <c r="DVQ1" s="677"/>
      <c r="DVR1" s="677"/>
      <c r="DVS1" s="677"/>
      <c r="DVT1" s="677"/>
      <c r="DVU1" s="677"/>
      <c r="DVV1" s="677"/>
      <c r="DVW1" s="677"/>
      <c r="DVX1" s="677"/>
      <c r="DVY1" s="677"/>
      <c r="DVZ1" s="677"/>
      <c r="DWA1" s="677"/>
      <c r="DWB1" s="677"/>
      <c r="DWC1" s="677"/>
      <c r="DWD1" s="677"/>
      <c r="DWE1" s="677"/>
      <c r="DWF1" s="677"/>
      <c r="DWG1" s="677"/>
      <c r="DWH1" s="677"/>
      <c r="DWI1" s="677"/>
      <c r="DWJ1" s="677"/>
      <c r="DWK1" s="677"/>
      <c r="DWL1" s="677"/>
      <c r="DWM1" s="677"/>
      <c r="DWN1" s="677"/>
      <c r="DWO1" s="677"/>
      <c r="DWP1" s="677"/>
      <c r="DWQ1" s="677"/>
      <c r="DWR1" s="677"/>
      <c r="DWS1" s="677"/>
      <c r="DWT1" s="677"/>
      <c r="DWU1" s="677"/>
      <c r="DWV1" s="677"/>
      <c r="DWW1" s="677"/>
      <c r="DWX1" s="677"/>
      <c r="DWY1" s="677"/>
      <c r="DWZ1" s="677"/>
      <c r="DXA1" s="677"/>
      <c r="DXB1" s="677"/>
      <c r="DXC1" s="677"/>
      <c r="DXD1" s="677"/>
      <c r="DXE1" s="677"/>
      <c r="DXF1" s="677"/>
      <c r="DXG1" s="677"/>
      <c r="DXH1" s="677"/>
      <c r="DXI1" s="677"/>
      <c r="DXJ1" s="677"/>
      <c r="DXK1" s="677"/>
      <c r="DXL1" s="677"/>
      <c r="DXM1" s="677"/>
      <c r="DXN1" s="677"/>
      <c r="DXO1" s="677"/>
      <c r="DXP1" s="677"/>
      <c r="DXQ1" s="677"/>
      <c r="DXR1" s="677"/>
      <c r="DXS1" s="677"/>
      <c r="DXT1" s="677"/>
      <c r="DXU1" s="677"/>
      <c r="DXV1" s="677"/>
      <c r="DXW1" s="677"/>
      <c r="DXX1" s="677"/>
      <c r="DXY1" s="677"/>
      <c r="DXZ1" s="677"/>
      <c r="DYA1" s="677"/>
      <c r="DYB1" s="677"/>
      <c r="DYC1" s="677"/>
      <c r="DYD1" s="677"/>
      <c r="DYE1" s="677"/>
      <c r="DYF1" s="677"/>
      <c r="DYG1" s="677"/>
      <c r="DYH1" s="677"/>
      <c r="DYI1" s="677"/>
      <c r="DYJ1" s="677"/>
      <c r="DYK1" s="677"/>
      <c r="DYL1" s="677"/>
      <c r="DYM1" s="677"/>
      <c r="DYN1" s="677"/>
      <c r="DYO1" s="677"/>
      <c r="DYP1" s="677"/>
      <c r="DYQ1" s="677"/>
      <c r="DYR1" s="677"/>
      <c r="DYS1" s="677"/>
      <c r="DYT1" s="677"/>
      <c r="DYU1" s="677"/>
      <c r="DYV1" s="677"/>
      <c r="DYW1" s="677"/>
      <c r="DYX1" s="677"/>
      <c r="DYY1" s="677"/>
      <c r="DYZ1" s="677"/>
      <c r="DZA1" s="677"/>
      <c r="DZB1" s="677"/>
      <c r="DZC1" s="677"/>
      <c r="DZD1" s="677"/>
      <c r="DZE1" s="677"/>
      <c r="DZF1" s="677"/>
      <c r="DZG1" s="677"/>
      <c r="DZH1" s="677"/>
      <c r="DZI1" s="677"/>
      <c r="DZJ1" s="677"/>
      <c r="DZK1" s="677"/>
      <c r="DZL1" s="677"/>
      <c r="DZM1" s="677"/>
      <c r="DZN1" s="677"/>
      <c r="DZO1" s="677"/>
      <c r="DZP1" s="677"/>
      <c r="DZQ1" s="677"/>
      <c r="DZR1" s="677"/>
      <c r="DZS1" s="677"/>
      <c r="DZT1" s="677"/>
      <c r="DZU1" s="677"/>
      <c r="DZV1" s="677"/>
      <c r="DZW1" s="677"/>
      <c r="DZX1" s="677"/>
      <c r="DZY1" s="677"/>
      <c r="DZZ1" s="677"/>
      <c r="EAA1" s="677"/>
      <c r="EAB1" s="677"/>
      <c r="EAC1" s="677"/>
      <c r="EAD1" s="677"/>
      <c r="EAE1" s="677"/>
      <c r="EAF1" s="677"/>
      <c r="EAG1" s="677"/>
      <c r="EAH1" s="677"/>
      <c r="EAI1" s="677"/>
      <c r="EAJ1" s="677"/>
      <c r="EAK1" s="677"/>
      <c r="EAL1" s="677"/>
      <c r="EAM1" s="677"/>
      <c r="EAN1" s="677"/>
      <c r="EAO1" s="677"/>
      <c r="EAP1" s="677"/>
      <c r="EAQ1" s="677"/>
      <c r="EAR1" s="677"/>
      <c r="EAS1" s="677"/>
      <c r="EAT1" s="677"/>
      <c r="EAU1" s="677"/>
      <c r="EAV1" s="677"/>
      <c r="EAW1" s="677"/>
      <c r="EAX1" s="677"/>
      <c r="EAY1" s="677"/>
      <c r="EAZ1" s="677"/>
      <c r="EBA1" s="677"/>
      <c r="EBB1" s="677"/>
      <c r="EBC1" s="677"/>
      <c r="EBD1" s="677"/>
      <c r="EBE1" s="677"/>
      <c r="EBF1" s="677"/>
      <c r="EBG1" s="677"/>
      <c r="EBH1" s="677"/>
      <c r="EBI1" s="677"/>
      <c r="EBJ1" s="677"/>
      <c r="EBK1" s="677"/>
      <c r="EBL1" s="677"/>
      <c r="EBM1" s="677"/>
      <c r="EBN1" s="677"/>
      <c r="EBO1" s="677"/>
      <c r="EBP1" s="677"/>
      <c r="EBQ1" s="677"/>
      <c r="EBR1" s="677"/>
      <c r="EBS1" s="677"/>
      <c r="EBT1" s="677"/>
      <c r="EBU1" s="677"/>
      <c r="EBV1" s="677"/>
      <c r="EBW1" s="677"/>
      <c r="EBX1" s="677"/>
      <c r="EBY1" s="677"/>
      <c r="EBZ1" s="677"/>
      <c r="ECA1" s="677"/>
      <c r="ECB1" s="677"/>
      <c r="ECC1" s="677"/>
      <c r="ECD1" s="677"/>
      <c r="ECE1" s="677"/>
      <c r="ECF1" s="677"/>
      <c r="ECG1" s="677"/>
      <c r="ECH1" s="677"/>
      <c r="ECI1" s="677"/>
      <c r="ECJ1" s="677"/>
      <c r="ECK1" s="677"/>
      <c r="ECL1" s="677"/>
      <c r="ECM1" s="677"/>
      <c r="ECN1" s="677"/>
      <c r="ECO1" s="677"/>
      <c r="ECP1" s="677"/>
      <c r="ECQ1" s="677"/>
      <c r="ECR1" s="677"/>
      <c r="ECS1" s="677"/>
      <c r="ECT1" s="677"/>
      <c r="ECU1" s="677"/>
      <c r="ECV1" s="677"/>
      <c r="ECW1" s="677"/>
      <c r="ECX1" s="677"/>
      <c r="ECY1" s="677"/>
      <c r="ECZ1" s="677"/>
      <c r="EDA1" s="677"/>
      <c r="EDB1" s="677"/>
      <c r="EDC1" s="677"/>
      <c r="EDD1" s="677"/>
      <c r="EDE1" s="677"/>
      <c r="EDF1" s="677"/>
      <c r="EDG1" s="677"/>
      <c r="EDH1" s="677"/>
      <c r="EDI1" s="677"/>
      <c r="EDJ1" s="677"/>
      <c r="EDK1" s="677"/>
      <c r="EDL1" s="677"/>
      <c r="EDM1" s="677"/>
      <c r="EDN1" s="677"/>
      <c r="EDO1" s="677"/>
      <c r="EDP1" s="677"/>
      <c r="EDQ1" s="677"/>
      <c r="EDR1" s="677"/>
      <c r="EDS1" s="677"/>
      <c r="EDT1" s="677"/>
      <c r="EDU1" s="677"/>
      <c r="EDV1" s="677"/>
      <c r="EDW1" s="677"/>
      <c r="EDX1" s="677"/>
      <c r="EDY1" s="677"/>
      <c r="EDZ1" s="677"/>
      <c r="EEA1" s="677"/>
      <c r="EEB1" s="677"/>
      <c r="EEC1" s="677"/>
      <c r="EED1" s="677"/>
      <c r="EEE1" s="677"/>
      <c r="EEF1" s="677"/>
      <c r="EEG1" s="677"/>
      <c r="EEH1" s="677"/>
      <c r="EEI1" s="677"/>
      <c r="EEJ1" s="677"/>
      <c r="EEK1" s="677"/>
      <c r="EEL1" s="677"/>
      <c r="EEM1" s="677"/>
      <c r="EEN1" s="677"/>
      <c r="EEO1" s="677"/>
      <c r="EEP1" s="677"/>
      <c r="EEQ1" s="677"/>
      <c r="EER1" s="677"/>
      <c r="EES1" s="677"/>
      <c r="EET1" s="677"/>
      <c r="EEU1" s="677"/>
      <c r="EEV1" s="677"/>
      <c r="EEW1" s="677"/>
      <c r="EEX1" s="677"/>
      <c r="EEY1" s="677"/>
      <c r="EEZ1" s="677"/>
      <c r="EFA1" s="677"/>
      <c r="EFB1" s="677"/>
      <c r="EFC1" s="677"/>
      <c r="EFD1" s="677"/>
      <c r="EFE1" s="677"/>
      <c r="EFF1" s="677"/>
      <c r="EFG1" s="677"/>
      <c r="EFH1" s="677"/>
      <c r="EFI1" s="677"/>
      <c r="EFJ1" s="677"/>
      <c r="EFK1" s="677"/>
      <c r="EFL1" s="677"/>
      <c r="EFM1" s="677"/>
      <c r="EFN1" s="677"/>
      <c r="EFO1" s="677"/>
      <c r="EFP1" s="677"/>
      <c r="EFQ1" s="677"/>
      <c r="EFR1" s="677"/>
      <c r="EFS1" s="677"/>
      <c r="EFT1" s="677"/>
      <c r="EFU1" s="677"/>
      <c r="EFV1" s="677"/>
      <c r="EFW1" s="677"/>
      <c r="EFX1" s="677"/>
      <c r="EFY1" s="677"/>
      <c r="EFZ1" s="677"/>
      <c r="EGA1" s="677"/>
      <c r="EGB1" s="677"/>
      <c r="EGC1" s="677"/>
      <c r="EGD1" s="677"/>
      <c r="EGE1" s="677"/>
      <c r="EGF1" s="677"/>
      <c r="EGG1" s="677"/>
      <c r="EGH1" s="677"/>
      <c r="EGI1" s="677"/>
      <c r="EGJ1" s="677"/>
      <c r="EGK1" s="677"/>
      <c r="EGL1" s="677"/>
      <c r="EGM1" s="677"/>
      <c r="EGN1" s="677"/>
      <c r="EGO1" s="677"/>
      <c r="EGP1" s="677"/>
      <c r="EGQ1" s="677"/>
      <c r="EGR1" s="677"/>
      <c r="EGS1" s="677"/>
      <c r="EGT1" s="677"/>
      <c r="EGU1" s="677"/>
      <c r="EGV1" s="677"/>
      <c r="EGW1" s="677"/>
      <c r="EGX1" s="677"/>
      <c r="EGY1" s="677"/>
      <c r="EGZ1" s="677"/>
      <c r="EHA1" s="677"/>
      <c r="EHB1" s="677"/>
      <c r="EHC1" s="677"/>
      <c r="EHD1" s="677"/>
      <c r="EHE1" s="677"/>
      <c r="EHF1" s="677"/>
      <c r="EHG1" s="677"/>
      <c r="EHH1" s="677"/>
      <c r="EHI1" s="677"/>
      <c r="EHJ1" s="677"/>
      <c r="EHK1" s="677"/>
      <c r="EHL1" s="677"/>
      <c r="EHM1" s="677"/>
      <c r="EHN1" s="677"/>
      <c r="EHO1" s="677"/>
      <c r="EHP1" s="677"/>
      <c r="EHQ1" s="677"/>
      <c r="EHR1" s="677"/>
      <c r="EHS1" s="677"/>
      <c r="EHT1" s="677"/>
      <c r="EHU1" s="677"/>
      <c r="EHV1" s="677"/>
      <c r="EHW1" s="677"/>
      <c r="EHX1" s="677"/>
      <c r="EHY1" s="677"/>
      <c r="EHZ1" s="677"/>
      <c r="EIA1" s="677"/>
      <c r="EIB1" s="677"/>
      <c r="EIC1" s="677"/>
      <c r="EID1" s="677"/>
      <c r="EIE1" s="677"/>
      <c r="EIF1" s="677"/>
      <c r="EIG1" s="677"/>
      <c r="EIH1" s="677"/>
      <c r="EII1" s="677"/>
      <c r="EIJ1" s="677"/>
      <c r="EIK1" s="677"/>
      <c r="EIL1" s="677"/>
      <c r="EIM1" s="677"/>
      <c r="EIN1" s="677"/>
      <c r="EIO1" s="677"/>
      <c r="EIP1" s="677"/>
      <c r="EIQ1" s="677"/>
      <c r="EIR1" s="677"/>
      <c r="EIS1" s="677"/>
      <c r="EIT1" s="677"/>
      <c r="EIU1" s="677"/>
      <c r="EIV1" s="677"/>
      <c r="EIW1" s="677"/>
      <c r="EIX1" s="677"/>
      <c r="EIY1" s="677"/>
      <c r="EIZ1" s="677"/>
      <c r="EJA1" s="677"/>
      <c r="EJB1" s="677"/>
      <c r="EJC1" s="677"/>
      <c r="EJD1" s="677"/>
      <c r="EJE1" s="677"/>
      <c r="EJF1" s="677"/>
      <c r="EJG1" s="677"/>
      <c r="EJH1" s="677"/>
      <c r="EJI1" s="677"/>
      <c r="EJJ1" s="677"/>
      <c r="EJK1" s="677"/>
      <c r="EJL1" s="677"/>
      <c r="EJM1" s="677"/>
      <c r="EJN1" s="677"/>
      <c r="EJO1" s="677"/>
      <c r="EJP1" s="677"/>
      <c r="EJQ1" s="677"/>
      <c r="EJR1" s="677"/>
      <c r="EJS1" s="677"/>
      <c r="EJT1" s="677"/>
      <c r="EJU1" s="677"/>
      <c r="EJV1" s="677"/>
      <c r="EJW1" s="677"/>
      <c r="EJX1" s="677"/>
      <c r="EJY1" s="677"/>
      <c r="EJZ1" s="677"/>
      <c r="EKA1" s="677"/>
      <c r="EKB1" s="677"/>
      <c r="EKC1" s="677"/>
      <c r="EKD1" s="677"/>
      <c r="EKE1" s="677"/>
      <c r="EKF1" s="677"/>
      <c r="EKG1" s="677"/>
      <c r="EKH1" s="677"/>
      <c r="EKI1" s="677"/>
      <c r="EKJ1" s="677"/>
      <c r="EKK1" s="677"/>
      <c r="EKL1" s="677"/>
      <c r="EKM1" s="677"/>
      <c r="EKN1" s="677"/>
      <c r="EKO1" s="677"/>
      <c r="EKP1" s="677"/>
      <c r="EKQ1" s="677"/>
      <c r="EKR1" s="677"/>
      <c r="EKS1" s="677"/>
      <c r="EKT1" s="677"/>
      <c r="EKU1" s="677"/>
      <c r="EKV1" s="677"/>
      <c r="EKW1" s="677"/>
      <c r="EKX1" s="677"/>
      <c r="EKY1" s="677"/>
      <c r="EKZ1" s="677"/>
      <c r="ELA1" s="677"/>
      <c r="ELB1" s="677"/>
      <c r="ELC1" s="677"/>
      <c r="ELD1" s="677"/>
      <c r="ELE1" s="677"/>
      <c r="ELF1" s="677"/>
      <c r="ELG1" s="677"/>
      <c r="ELH1" s="677"/>
      <c r="ELI1" s="677"/>
      <c r="ELJ1" s="677"/>
      <c r="ELK1" s="677"/>
      <c r="ELL1" s="677"/>
      <c r="ELM1" s="677"/>
      <c r="ELN1" s="677"/>
      <c r="ELO1" s="677"/>
      <c r="ELP1" s="677"/>
      <c r="ELQ1" s="677"/>
      <c r="ELR1" s="677"/>
      <c r="ELS1" s="677"/>
      <c r="ELT1" s="677"/>
      <c r="ELU1" s="677"/>
      <c r="ELV1" s="677"/>
      <c r="ELW1" s="677"/>
      <c r="ELX1" s="677"/>
      <c r="ELY1" s="677"/>
      <c r="ELZ1" s="677"/>
      <c r="EMA1" s="677"/>
      <c r="EMB1" s="677"/>
      <c r="EMC1" s="677"/>
      <c r="EMD1" s="677"/>
      <c r="EME1" s="677"/>
      <c r="EMF1" s="677"/>
      <c r="EMG1" s="677"/>
      <c r="EMH1" s="677"/>
      <c r="EMI1" s="677"/>
      <c r="EMJ1" s="677"/>
      <c r="EMK1" s="677"/>
      <c r="EML1" s="677"/>
      <c r="EMM1" s="677"/>
      <c r="EMN1" s="677"/>
      <c r="EMO1" s="677"/>
      <c r="EMP1" s="677"/>
      <c r="EMQ1" s="677"/>
      <c r="EMR1" s="677"/>
      <c r="EMS1" s="677"/>
      <c r="EMT1" s="677"/>
      <c r="EMU1" s="677"/>
      <c r="EMV1" s="677"/>
      <c r="EMW1" s="677"/>
      <c r="EMX1" s="677"/>
      <c r="EMY1" s="677"/>
      <c r="EMZ1" s="677"/>
      <c r="ENA1" s="677"/>
      <c r="ENB1" s="677"/>
      <c r="ENC1" s="677"/>
      <c r="END1" s="677"/>
      <c r="ENE1" s="677"/>
      <c r="ENF1" s="677"/>
      <c r="ENG1" s="677"/>
      <c r="ENH1" s="677"/>
      <c r="ENI1" s="677"/>
      <c r="ENJ1" s="677"/>
      <c r="ENK1" s="677"/>
      <c r="ENL1" s="677"/>
      <c r="ENM1" s="677"/>
      <c r="ENN1" s="677"/>
      <c r="ENO1" s="677"/>
      <c r="ENP1" s="677"/>
      <c r="ENQ1" s="677"/>
      <c r="ENR1" s="677"/>
      <c r="ENS1" s="677"/>
      <c r="ENT1" s="677"/>
      <c r="ENU1" s="677"/>
      <c r="ENV1" s="677"/>
      <c r="ENW1" s="677"/>
      <c r="ENX1" s="677"/>
      <c r="ENY1" s="677"/>
      <c r="ENZ1" s="677"/>
      <c r="EOA1" s="677"/>
      <c r="EOB1" s="677"/>
      <c r="EOC1" s="677"/>
      <c r="EOD1" s="677"/>
      <c r="EOE1" s="677"/>
      <c r="EOF1" s="677"/>
      <c r="EOG1" s="677"/>
      <c r="EOH1" s="677"/>
      <c r="EOI1" s="677"/>
      <c r="EOJ1" s="677"/>
      <c r="EOK1" s="677"/>
      <c r="EOL1" s="677"/>
      <c r="EOM1" s="677"/>
      <c r="EON1" s="677"/>
      <c r="EOO1" s="677"/>
      <c r="EOP1" s="677"/>
      <c r="EOQ1" s="677"/>
      <c r="EOR1" s="677"/>
      <c r="EOS1" s="677"/>
      <c r="EOT1" s="677"/>
      <c r="EOU1" s="677"/>
      <c r="EOV1" s="677"/>
      <c r="EOW1" s="677"/>
      <c r="EOX1" s="677"/>
      <c r="EOY1" s="677"/>
      <c r="EOZ1" s="677"/>
      <c r="EPA1" s="677"/>
      <c r="EPB1" s="677"/>
      <c r="EPC1" s="677"/>
      <c r="EPD1" s="677"/>
      <c r="EPE1" s="677"/>
      <c r="EPF1" s="677"/>
      <c r="EPG1" s="677"/>
      <c r="EPH1" s="677"/>
      <c r="EPI1" s="677"/>
      <c r="EPJ1" s="677"/>
      <c r="EPK1" s="677"/>
      <c r="EPL1" s="677"/>
      <c r="EPM1" s="677"/>
      <c r="EPN1" s="677"/>
      <c r="EPO1" s="677"/>
      <c r="EPP1" s="677"/>
      <c r="EPQ1" s="677"/>
      <c r="EPR1" s="677"/>
      <c r="EPS1" s="677"/>
      <c r="EPT1" s="677"/>
      <c r="EPU1" s="677"/>
      <c r="EPV1" s="677"/>
      <c r="EPW1" s="677"/>
      <c r="EPX1" s="677"/>
      <c r="EPY1" s="677"/>
      <c r="EPZ1" s="677"/>
      <c r="EQA1" s="677"/>
      <c r="EQB1" s="677"/>
      <c r="EQC1" s="677"/>
      <c r="EQD1" s="677"/>
      <c r="EQE1" s="677"/>
      <c r="EQF1" s="677"/>
      <c r="EQG1" s="677"/>
      <c r="EQH1" s="677"/>
      <c r="EQI1" s="677"/>
      <c r="EQJ1" s="677"/>
      <c r="EQK1" s="677"/>
      <c r="EQL1" s="677"/>
      <c r="EQM1" s="677"/>
      <c r="EQN1" s="677"/>
      <c r="EQO1" s="677"/>
      <c r="EQP1" s="677"/>
      <c r="EQQ1" s="677"/>
      <c r="EQR1" s="677"/>
      <c r="EQS1" s="677"/>
      <c r="EQT1" s="677"/>
      <c r="EQU1" s="677"/>
      <c r="EQV1" s="677"/>
      <c r="EQW1" s="677"/>
      <c r="EQX1" s="677"/>
      <c r="EQY1" s="677"/>
      <c r="EQZ1" s="677"/>
      <c r="ERA1" s="677"/>
      <c r="ERB1" s="677"/>
      <c r="ERC1" s="677"/>
      <c r="ERD1" s="677"/>
      <c r="ERE1" s="677"/>
      <c r="ERF1" s="677"/>
      <c r="ERG1" s="677"/>
      <c r="ERH1" s="677"/>
      <c r="ERI1" s="677"/>
      <c r="ERJ1" s="677"/>
      <c r="ERK1" s="677"/>
      <c r="ERL1" s="677"/>
      <c r="ERM1" s="677"/>
      <c r="ERN1" s="677"/>
      <c r="ERO1" s="677"/>
      <c r="ERP1" s="677"/>
      <c r="ERQ1" s="677"/>
      <c r="ERR1" s="677"/>
      <c r="ERS1" s="677"/>
      <c r="ERT1" s="677"/>
      <c r="ERU1" s="677"/>
      <c r="ERV1" s="677"/>
      <c r="ERW1" s="677"/>
      <c r="ERX1" s="677"/>
      <c r="ERY1" s="677"/>
      <c r="ERZ1" s="677"/>
      <c r="ESA1" s="677"/>
      <c r="ESB1" s="677"/>
      <c r="ESC1" s="677"/>
      <c r="ESD1" s="677"/>
      <c r="ESE1" s="677"/>
      <c r="ESF1" s="677"/>
      <c r="ESG1" s="677"/>
      <c r="ESH1" s="677"/>
      <c r="ESI1" s="677"/>
      <c r="ESJ1" s="677"/>
      <c r="ESK1" s="677"/>
      <c r="ESL1" s="677"/>
      <c r="ESM1" s="677"/>
      <c r="ESN1" s="677"/>
      <c r="ESO1" s="677"/>
      <c r="ESP1" s="677"/>
      <c r="ESQ1" s="677"/>
      <c r="ESR1" s="677"/>
      <c r="ESS1" s="677"/>
      <c r="EST1" s="677"/>
      <c r="ESU1" s="677"/>
      <c r="ESV1" s="677"/>
      <c r="ESW1" s="677"/>
      <c r="ESX1" s="677"/>
      <c r="ESY1" s="677"/>
      <c r="ESZ1" s="677"/>
      <c r="ETA1" s="677"/>
      <c r="ETB1" s="677"/>
      <c r="ETC1" s="677"/>
      <c r="ETD1" s="677"/>
      <c r="ETE1" s="677"/>
      <c r="ETF1" s="677"/>
      <c r="ETG1" s="677"/>
      <c r="ETH1" s="677"/>
      <c r="ETI1" s="677"/>
      <c r="ETJ1" s="677"/>
      <c r="ETK1" s="677"/>
      <c r="ETL1" s="677"/>
      <c r="ETM1" s="677"/>
      <c r="ETN1" s="677"/>
      <c r="ETO1" s="677"/>
      <c r="ETP1" s="677"/>
      <c r="ETQ1" s="677"/>
      <c r="ETR1" s="677"/>
      <c r="ETS1" s="677"/>
      <c r="ETT1" s="677"/>
      <c r="ETU1" s="677"/>
      <c r="ETV1" s="677"/>
      <c r="ETW1" s="677"/>
      <c r="ETX1" s="677"/>
      <c r="ETY1" s="677"/>
      <c r="ETZ1" s="677"/>
      <c r="EUA1" s="677"/>
      <c r="EUB1" s="677"/>
      <c r="EUC1" s="677"/>
      <c r="EUD1" s="677"/>
      <c r="EUE1" s="677"/>
      <c r="EUF1" s="677"/>
      <c r="EUG1" s="677"/>
      <c r="EUH1" s="677"/>
      <c r="EUI1" s="677"/>
      <c r="EUJ1" s="677"/>
      <c r="EUK1" s="677"/>
      <c r="EUL1" s="677"/>
      <c r="EUM1" s="677"/>
      <c r="EUN1" s="677"/>
      <c r="EUO1" s="677"/>
      <c r="EUP1" s="677"/>
      <c r="EUQ1" s="677"/>
      <c r="EUR1" s="677"/>
      <c r="EUS1" s="677"/>
      <c r="EUT1" s="677"/>
      <c r="EUU1" s="677"/>
      <c r="EUV1" s="677"/>
      <c r="EUW1" s="677"/>
      <c r="EUX1" s="677"/>
      <c r="EUY1" s="677"/>
      <c r="EUZ1" s="677"/>
      <c r="EVA1" s="677"/>
      <c r="EVB1" s="677"/>
      <c r="EVC1" s="677"/>
      <c r="EVD1" s="677"/>
      <c r="EVE1" s="677"/>
      <c r="EVF1" s="677"/>
      <c r="EVG1" s="677"/>
      <c r="EVH1" s="677"/>
      <c r="EVI1" s="677"/>
      <c r="EVJ1" s="677"/>
      <c r="EVK1" s="677"/>
      <c r="EVL1" s="677"/>
      <c r="EVM1" s="677"/>
      <c r="EVN1" s="677"/>
      <c r="EVO1" s="677"/>
      <c r="EVP1" s="677"/>
      <c r="EVQ1" s="677"/>
      <c r="EVR1" s="677"/>
      <c r="EVS1" s="677"/>
      <c r="EVT1" s="677"/>
      <c r="EVU1" s="677"/>
      <c r="EVV1" s="677"/>
      <c r="EVW1" s="677"/>
      <c r="EVX1" s="677"/>
      <c r="EVY1" s="677"/>
      <c r="EVZ1" s="677"/>
      <c r="EWA1" s="677"/>
      <c r="EWB1" s="677"/>
      <c r="EWC1" s="677"/>
      <c r="EWD1" s="677"/>
      <c r="EWE1" s="677"/>
      <c r="EWF1" s="677"/>
      <c r="EWG1" s="677"/>
      <c r="EWH1" s="677"/>
      <c r="EWI1" s="677"/>
      <c r="EWJ1" s="677"/>
      <c r="EWK1" s="677"/>
      <c r="EWL1" s="677"/>
      <c r="EWM1" s="677"/>
      <c r="EWN1" s="677"/>
      <c r="EWO1" s="677"/>
      <c r="EWP1" s="677"/>
      <c r="EWQ1" s="677"/>
      <c r="EWR1" s="677"/>
      <c r="EWS1" s="677"/>
      <c r="EWT1" s="677"/>
      <c r="EWU1" s="677"/>
      <c r="EWV1" s="677"/>
      <c r="EWW1" s="677"/>
      <c r="EWX1" s="677"/>
      <c r="EWY1" s="677"/>
      <c r="EWZ1" s="677"/>
      <c r="EXA1" s="677"/>
      <c r="EXB1" s="677"/>
      <c r="EXC1" s="677"/>
      <c r="EXD1" s="677"/>
      <c r="EXE1" s="677"/>
      <c r="EXF1" s="677"/>
      <c r="EXG1" s="677"/>
      <c r="EXH1" s="677"/>
      <c r="EXI1" s="677"/>
      <c r="EXJ1" s="677"/>
      <c r="EXK1" s="677"/>
      <c r="EXL1" s="677"/>
      <c r="EXM1" s="677"/>
      <c r="EXN1" s="677"/>
      <c r="EXO1" s="677"/>
      <c r="EXP1" s="677"/>
      <c r="EXQ1" s="677"/>
      <c r="EXR1" s="677"/>
      <c r="EXS1" s="677"/>
      <c r="EXT1" s="677"/>
      <c r="EXU1" s="677"/>
      <c r="EXV1" s="677"/>
      <c r="EXW1" s="677"/>
      <c r="EXX1" s="677"/>
      <c r="EXY1" s="677"/>
      <c r="EXZ1" s="677"/>
      <c r="EYA1" s="677"/>
      <c r="EYB1" s="677"/>
      <c r="EYC1" s="677"/>
      <c r="EYD1" s="677"/>
      <c r="EYE1" s="677"/>
      <c r="EYF1" s="677"/>
      <c r="EYG1" s="677"/>
      <c r="EYH1" s="677"/>
      <c r="EYI1" s="677"/>
      <c r="EYJ1" s="677"/>
      <c r="EYK1" s="677"/>
      <c r="EYL1" s="677"/>
      <c r="EYM1" s="677"/>
      <c r="EYN1" s="677"/>
      <c r="EYO1" s="677"/>
      <c r="EYP1" s="677"/>
      <c r="EYQ1" s="677"/>
      <c r="EYR1" s="677"/>
      <c r="EYS1" s="677"/>
      <c r="EYT1" s="677"/>
      <c r="EYU1" s="677"/>
      <c r="EYV1" s="677"/>
      <c r="EYW1" s="677"/>
      <c r="EYX1" s="677"/>
      <c r="EYY1" s="677"/>
      <c r="EYZ1" s="677"/>
      <c r="EZA1" s="677"/>
      <c r="EZB1" s="677"/>
      <c r="EZC1" s="677"/>
      <c r="EZD1" s="677"/>
      <c r="EZE1" s="677"/>
      <c r="EZF1" s="677"/>
      <c r="EZG1" s="677"/>
      <c r="EZH1" s="677"/>
      <c r="EZI1" s="677"/>
      <c r="EZJ1" s="677"/>
      <c r="EZK1" s="677"/>
      <c r="EZL1" s="677"/>
      <c r="EZM1" s="677"/>
      <c r="EZN1" s="677"/>
      <c r="EZO1" s="677"/>
      <c r="EZP1" s="677"/>
      <c r="EZQ1" s="677"/>
      <c r="EZR1" s="677"/>
      <c r="EZS1" s="677"/>
      <c r="EZT1" s="677"/>
      <c r="EZU1" s="677"/>
      <c r="EZV1" s="677"/>
      <c r="EZW1" s="677"/>
      <c r="EZX1" s="677"/>
      <c r="EZY1" s="677"/>
      <c r="EZZ1" s="677"/>
      <c r="FAA1" s="677"/>
      <c r="FAB1" s="677"/>
      <c r="FAC1" s="677"/>
      <c r="FAD1" s="677"/>
      <c r="FAE1" s="677"/>
      <c r="FAF1" s="677"/>
      <c r="FAG1" s="677"/>
      <c r="FAH1" s="677"/>
      <c r="FAI1" s="677"/>
      <c r="FAJ1" s="677"/>
      <c r="FAK1" s="677"/>
      <c r="FAL1" s="677"/>
      <c r="FAM1" s="677"/>
      <c r="FAN1" s="677"/>
      <c r="FAO1" s="677"/>
      <c r="FAP1" s="677"/>
      <c r="FAQ1" s="677"/>
      <c r="FAR1" s="677"/>
      <c r="FAS1" s="677"/>
      <c r="FAT1" s="677"/>
      <c r="FAU1" s="677"/>
      <c r="FAV1" s="677"/>
      <c r="FAW1" s="677"/>
      <c r="FAX1" s="677"/>
      <c r="FAY1" s="677"/>
      <c r="FAZ1" s="677"/>
      <c r="FBA1" s="677"/>
      <c r="FBB1" s="677"/>
      <c r="FBC1" s="677"/>
      <c r="FBD1" s="677"/>
      <c r="FBE1" s="677"/>
      <c r="FBF1" s="677"/>
      <c r="FBG1" s="677"/>
      <c r="FBH1" s="677"/>
      <c r="FBI1" s="677"/>
      <c r="FBJ1" s="677"/>
      <c r="FBK1" s="677"/>
      <c r="FBL1" s="677"/>
      <c r="FBM1" s="677"/>
      <c r="FBN1" s="677"/>
      <c r="FBO1" s="677"/>
      <c r="FBP1" s="677"/>
      <c r="FBQ1" s="677"/>
      <c r="FBR1" s="677"/>
      <c r="FBS1" s="677"/>
      <c r="FBT1" s="677"/>
      <c r="FBU1" s="677"/>
      <c r="FBV1" s="677"/>
      <c r="FBW1" s="677"/>
      <c r="FBX1" s="677"/>
      <c r="FBY1" s="677"/>
      <c r="FBZ1" s="677"/>
      <c r="FCA1" s="677"/>
      <c r="FCB1" s="677"/>
      <c r="FCC1" s="677"/>
      <c r="FCD1" s="677"/>
      <c r="FCE1" s="677"/>
      <c r="FCF1" s="677"/>
      <c r="FCG1" s="677"/>
      <c r="FCH1" s="677"/>
      <c r="FCI1" s="677"/>
      <c r="FCJ1" s="677"/>
      <c r="FCK1" s="677"/>
      <c r="FCL1" s="677"/>
      <c r="FCM1" s="677"/>
      <c r="FCN1" s="677"/>
      <c r="FCO1" s="677"/>
      <c r="FCP1" s="677"/>
      <c r="FCQ1" s="677"/>
      <c r="FCR1" s="677"/>
      <c r="FCS1" s="677"/>
      <c r="FCT1" s="677"/>
      <c r="FCU1" s="677"/>
      <c r="FCV1" s="677"/>
      <c r="FCW1" s="677"/>
      <c r="FCX1" s="677"/>
      <c r="FCY1" s="677"/>
      <c r="FCZ1" s="677"/>
      <c r="FDA1" s="677"/>
      <c r="FDB1" s="677"/>
      <c r="FDC1" s="677"/>
      <c r="FDD1" s="677"/>
      <c r="FDE1" s="677"/>
      <c r="FDF1" s="677"/>
      <c r="FDG1" s="677"/>
      <c r="FDH1" s="677"/>
      <c r="FDI1" s="677"/>
      <c r="FDJ1" s="677"/>
      <c r="FDK1" s="677"/>
      <c r="FDL1" s="677"/>
      <c r="FDM1" s="677"/>
      <c r="FDN1" s="677"/>
      <c r="FDO1" s="677"/>
      <c r="FDP1" s="677"/>
      <c r="FDQ1" s="677"/>
      <c r="FDR1" s="677"/>
      <c r="FDS1" s="677"/>
      <c r="FDT1" s="677"/>
      <c r="FDU1" s="677"/>
      <c r="FDV1" s="677"/>
      <c r="FDW1" s="677"/>
      <c r="FDX1" s="677"/>
      <c r="FDY1" s="677"/>
      <c r="FDZ1" s="677"/>
      <c r="FEA1" s="677"/>
      <c r="FEB1" s="677"/>
      <c r="FEC1" s="677"/>
      <c r="FED1" s="677"/>
      <c r="FEE1" s="677"/>
      <c r="FEF1" s="677"/>
      <c r="FEG1" s="677"/>
      <c r="FEH1" s="677"/>
      <c r="FEI1" s="677"/>
      <c r="FEJ1" s="677"/>
      <c r="FEK1" s="677"/>
      <c r="FEL1" s="677"/>
      <c r="FEM1" s="677"/>
      <c r="FEN1" s="677"/>
      <c r="FEO1" s="677"/>
      <c r="FEP1" s="677"/>
      <c r="FEQ1" s="677"/>
      <c r="FER1" s="677"/>
      <c r="FES1" s="677"/>
      <c r="FET1" s="677"/>
      <c r="FEU1" s="677"/>
      <c r="FEV1" s="677"/>
      <c r="FEW1" s="677"/>
      <c r="FEX1" s="677"/>
      <c r="FEY1" s="677"/>
      <c r="FEZ1" s="677"/>
      <c r="FFA1" s="677"/>
      <c r="FFB1" s="677"/>
      <c r="FFC1" s="677"/>
      <c r="FFD1" s="677"/>
      <c r="FFE1" s="677"/>
      <c r="FFF1" s="677"/>
      <c r="FFG1" s="677"/>
      <c r="FFH1" s="677"/>
      <c r="FFI1" s="677"/>
      <c r="FFJ1" s="677"/>
      <c r="FFK1" s="677"/>
      <c r="FFL1" s="677"/>
      <c r="FFM1" s="677"/>
      <c r="FFN1" s="677"/>
      <c r="FFO1" s="677"/>
      <c r="FFP1" s="677"/>
      <c r="FFQ1" s="677"/>
      <c r="FFR1" s="677"/>
      <c r="FFS1" s="677"/>
      <c r="FFT1" s="677"/>
      <c r="FFU1" s="677"/>
      <c r="FFV1" s="677"/>
      <c r="FFW1" s="677"/>
      <c r="FFX1" s="677"/>
      <c r="FFY1" s="677"/>
      <c r="FFZ1" s="677"/>
      <c r="FGA1" s="677"/>
      <c r="FGB1" s="677"/>
      <c r="FGC1" s="677"/>
      <c r="FGD1" s="677"/>
      <c r="FGE1" s="677"/>
      <c r="FGF1" s="677"/>
      <c r="FGG1" s="677"/>
      <c r="FGH1" s="677"/>
      <c r="FGI1" s="677"/>
      <c r="FGJ1" s="677"/>
      <c r="FGK1" s="677"/>
      <c r="FGL1" s="677"/>
      <c r="FGM1" s="677"/>
      <c r="FGN1" s="677"/>
      <c r="FGO1" s="677"/>
      <c r="FGP1" s="677"/>
      <c r="FGQ1" s="677"/>
      <c r="FGR1" s="677"/>
      <c r="FGS1" s="677"/>
      <c r="FGT1" s="677"/>
      <c r="FGU1" s="677"/>
      <c r="FGV1" s="677"/>
      <c r="FGW1" s="677"/>
      <c r="FGX1" s="677"/>
      <c r="FGY1" s="677"/>
      <c r="FGZ1" s="677"/>
      <c r="FHA1" s="677"/>
      <c r="FHB1" s="677"/>
      <c r="FHC1" s="677"/>
      <c r="FHD1" s="677"/>
      <c r="FHE1" s="677"/>
      <c r="FHF1" s="677"/>
      <c r="FHG1" s="677"/>
      <c r="FHH1" s="677"/>
      <c r="FHI1" s="677"/>
      <c r="FHJ1" s="677"/>
      <c r="FHK1" s="677"/>
      <c r="FHL1" s="677"/>
      <c r="FHM1" s="677"/>
      <c r="FHN1" s="677"/>
      <c r="FHO1" s="677"/>
      <c r="FHP1" s="677"/>
      <c r="FHQ1" s="677"/>
      <c r="FHR1" s="677"/>
      <c r="FHS1" s="677"/>
      <c r="FHT1" s="677"/>
      <c r="FHU1" s="677"/>
      <c r="FHV1" s="677"/>
      <c r="FHW1" s="677"/>
      <c r="FHX1" s="677"/>
      <c r="FHY1" s="677"/>
      <c r="FHZ1" s="677"/>
      <c r="FIA1" s="677"/>
      <c r="FIB1" s="677"/>
      <c r="FIC1" s="677"/>
      <c r="FID1" s="677"/>
      <c r="FIE1" s="677"/>
      <c r="FIF1" s="677"/>
      <c r="FIG1" s="677"/>
      <c r="FIH1" s="677"/>
      <c r="FII1" s="677"/>
      <c r="FIJ1" s="677"/>
      <c r="FIK1" s="677"/>
      <c r="FIL1" s="677"/>
      <c r="FIM1" s="677"/>
      <c r="FIN1" s="677"/>
      <c r="FIO1" s="677"/>
      <c r="FIP1" s="677"/>
      <c r="FIQ1" s="677"/>
      <c r="FIR1" s="677"/>
      <c r="FIS1" s="677"/>
      <c r="FIT1" s="677"/>
      <c r="FIU1" s="677"/>
      <c r="FIV1" s="677"/>
      <c r="FIW1" s="677"/>
      <c r="FIX1" s="677"/>
      <c r="FIY1" s="677"/>
      <c r="FIZ1" s="677"/>
      <c r="FJA1" s="677"/>
      <c r="FJB1" s="677"/>
      <c r="FJC1" s="677"/>
      <c r="FJD1" s="677"/>
      <c r="FJE1" s="677"/>
      <c r="FJF1" s="677"/>
      <c r="FJG1" s="677"/>
      <c r="FJH1" s="677"/>
      <c r="FJI1" s="677"/>
      <c r="FJJ1" s="677"/>
      <c r="FJK1" s="677"/>
      <c r="FJL1" s="677"/>
      <c r="FJM1" s="677"/>
      <c r="FJN1" s="677"/>
      <c r="FJO1" s="677"/>
      <c r="FJP1" s="677"/>
      <c r="FJQ1" s="677"/>
      <c r="FJR1" s="677"/>
      <c r="FJS1" s="677"/>
      <c r="FJT1" s="677"/>
      <c r="FJU1" s="677"/>
      <c r="FJV1" s="677"/>
      <c r="FJW1" s="677"/>
      <c r="FJX1" s="677"/>
      <c r="FJY1" s="677"/>
      <c r="FJZ1" s="677"/>
      <c r="FKA1" s="677"/>
      <c r="FKB1" s="677"/>
      <c r="FKC1" s="677"/>
      <c r="FKD1" s="677"/>
      <c r="FKE1" s="677"/>
      <c r="FKF1" s="677"/>
      <c r="FKG1" s="677"/>
      <c r="FKH1" s="677"/>
      <c r="FKI1" s="677"/>
      <c r="FKJ1" s="677"/>
      <c r="FKK1" s="677"/>
      <c r="FKL1" s="677"/>
      <c r="FKM1" s="677"/>
      <c r="FKN1" s="677"/>
      <c r="FKO1" s="677"/>
      <c r="FKP1" s="677"/>
      <c r="FKQ1" s="677"/>
      <c r="FKR1" s="677"/>
      <c r="FKS1" s="677"/>
      <c r="FKT1" s="677"/>
      <c r="FKU1" s="677"/>
      <c r="FKV1" s="677"/>
      <c r="FKW1" s="677"/>
      <c r="FKX1" s="677"/>
      <c r="FKY1" s="677"/>
      <c r="FKZ1" s="677"/>
      <c r="FLA1" s="677"/>
      <c r="FLB1" s="677"/>
      <c r="FLC1" s="677"/>
      <c r="FLD1" s="677"/>
      <c r="FLE1" s="677"/>
      <c r="FLF1" s="677"/>
      <c r="FLG1" s="677"/>
      <c r="FLH1" s="677"/>
      <c r="FLI1" s="677"/>
      <c r="FLJ1" s="677"/>
      <c r="FLK1" s="677"/>
      <c r="FLL1" s="677"/>
      <c r="FLM1" s="677"/>
      <c r="FLN1" s="677"/>
      <c r="FLO1" s="677"/>
      <c r="FLP1" s="677"/>
      <c r="FLQ1" s="677"/>
      <c r="FLR1" s="677"/>
      <c r="FLS1" s="677"/>
      <c r="FLT1" s="677"/>
      <c r="FLU1" s="677"/>
      <c r="FLV1" s="677"/>
      <c r="FLW1" s="677"/>
      <c r="FLX1" s="677"/>
      <c r="FLY1" s="677"/>
      <c r="FLZ1" s="677"/>
      <c r="FMA1" s="677"/>
      <c r="FMB1" s="677"/>
      <c r="FMC1" s="677"/>
      <c r="FMD1" s="677"/>
      <c r="FME1" s="677"/>
      <c r="FMF1" s="677"/>
      <c r="FMG1" s="677"/>
      <c r="FMH1" s="677"/>
      <c r="FMI1" s="677"/>
      <c r="FMJ1" s="677"/>
      <c r="FMK1" s="677"/>
      <c r="FML1" s="677"/>
      <c r="FMM1" s="677"/>
      <c r="FMN1" s="677"/>
      <c r="FMO1" s="677"/>
      <c r="FMP1" s="677"/>
      <c r="FMQ1" s="677"/>
      <c r="FMR1" s="677"/>
      <c r="FMS1" s="677"/>
      <c r="FMT1" s="677"/>
      <c r="FMU1" s="677"/>
      <c r="FMV1" s="677"/>
      <c r="FMW1" s="677"/>
      <c r="FMX1" s="677"/>
      <c r="FMY1" s="677"/>
      <c r="FMZ1" s="677"/>
      <c r="FNA1" s="677"/>
      <c r="FNB1" s="677"/>
      <c r="FNC1" s="677"/>
      <c r="FND1" s="677"/>
      <c r="FNE1" s="677"/>
      <c r="FNF1" s="677"/>
      <c r="FNG1" s="677"/>
      <c r="FNH1" s="677"/>
      <c r="FNI1" s="677"/>
      <c r="FNJ1" s="677"/>
      <c r="FNK1" s="677"/>
      <c r="FNL1" s="677"/>
      <c r="FNM1" s="677"/>
      <c r="FNN1" s="677"/>
      <c r="FNO1" s="677"/>
      <c r="FNP1" s="677"/>
      <c r="FNQ1" s="677"/>
      <c r="FNR1" s="677"/>
      <c r="FNS1" s="677"/>
      <c r="FNT1" s="677"/>
      <c r="FNU1" s="677"/>
      <c r="FNV1" s="677"/>
      <c r="FNW1" s="677"/>
      <c r="FNX1" s="677"/>
      <c r="FNY1" s="677"/>
      <c r="FNZ1" s="677"/>
      <c r="FOA1" s="677"/>
      <c r="FOB1" s="677"/>
      <c r="FOC1" s="677"/>
      <c r="FOD1" s="677"/>
      <c r="FOE1" s="677"/>
      <c r="FOF1" s="677"/>
      <c r="FOG1" s="677"/>
      <c r="FOH1" s="677"/>
      <c r="FOI1" s="677"/>
      <c r="FOJ1" s="677"/>
      <c r="FOK1" s="677"/>
      <c r="FOL1" s="677"/>
      <c r="FOM1" s="677"/>
      <c r="FON1" s="677"/>
      <c r="FOO1" s="677"/>
      <c r="FOP1" s="677"/>
      <c r="FOQ1" s="677"/>
      <c r="FOR1" s="677"/>
      <c r="FOS1" s="677"/>
      <c r="FOT1" s="677"/>
      <c r="FOU1" s="677"/>
      <c r="FOV1" s="677"/>
      <c r="FOW1" s="677"/>
      <c r="FOX1" s="677"/>
      <c r="FOY1" s="677"/>
      <c r="FOZ1" s="677"/>
      <c r="FPA1" s="677"/>
      <c r="FPB1" s="677"/>
      <c r="FPC1" s="677"/>
      <c r="FPD1" s="677"/>
      <c r="FPE1" s="677"/>
      <c r="FPF1" s="677"/>
      <c r="FPG1" s="677"/>
      <c r="FPH1" s="677"/>
      <c r="FPI1" s="677"/>
      <c r="FPJ1" s="677"/>
      <c r="FPK1" s="677"/>
      <c r="FPL1" s="677"/>
      <c r="FPM1" s="677"/>
      <c r="FPN1" s="677"/>
      <c r="FPO1" s="677"/>
      <c r="FPP1" s="677"/>
      <c r="FPQ1" s="677"/>
      <c r="FPR1" s="677"/>
      <c r="FPS1" s="677"/>
      <c r="FPT1" s="677"/>
      <c r="FPU1" s="677"/>
      <c r="FPV1" s="677"/>
      <c r="FPW1" s="677"/>
      <c r="FPX1" s="677"/>
      <c r="FPY1" s="677"/>
      <c r="FPZ1" s="677"/>
      <c r="FQA1" s="677"/>
      <c r="FQB1" s="677"/>
      <c r="FQC1" s="677"/>
      <c r="FQD1" s="677"/>
      <c r="FQE1" s="677"/>
      <c r="FQF1" s="677"/>
      <c r="FQG1" s="677"/>
      <c r="FQH1" s="677"/>
      <c r="FQI1" s="677"/>
      <c r="FQJ1" s="677"/>
      <c r="FQK1" s="677"/>
      <c r="FQL1" s="677"/>
      <c r="FQM1" s="677"/>
      <c r="FQN1" s="677"/>
      <c r="FQO1" s="677"/>
      <c r="FQP1" s="677"/>
      <c r="FQQ1" s="677"/>
      <c r="FQR1" s="677"/>
      <c r="FQS1" s="677"/>
      <c r="FQT1" s="677"/>
      <c r="FQU1" s="677"/>
      <c r="FQV1" s="677"/>
      <c r="FQW1" s="677"/>
      <c r="FQX1" s="677"/>
      <c r="FQY1" s="677"/>
      <c r="FQZ1" s="677"/>
      <c r="FRA1" s="677"/>
      <c r="FRB1" s="677"/>
      <c r="FRC1" s="677"/>
      <c r="FRD1" s="677"/>
      <c r="FRE1" s="677"/>
      <c r="FRF1" s="677"/>
      <c r="FRG1" s="677"/>
      <c r="FRH1" s="677"/>
      <c r="FRI1" s="677"/>
      <c r="FRJ1" s="677"/>
      <c r="FRK1" s="677"/>
      <c r="FRL1" s="677"/>
      <c r="FRM1" s="677"/>
      <c r="FRN1" s="677"/>
      <c r="FRO1" s="677"/>
      <c r="FRP1" s="677"/>
      <c r="FRQ1" s="677"/>
      <c r="FRR1" s="677"/>
      <c r="FRS1" s="677"/>
      <c r="FRT1" s="677"/>
      <c r="FRU1" s="677"/>
      <c r="FRV1" s="677"/>
      <c r="FRW1" s="677"/>
      <c r="FRX1" s="677"/>
      <c r="FRY1" s="677"/>
      <c r="FRZ1" s="677"/>
      <c r="FSA1" s="677"/>
      <c r="FSB1" s="677"/>
      <c r="FSC1" s="677"/>
      <c r="FSD1" s="677"/>
      <c r="FSE1" s="677"/>
      <c r="FSF1" s="677"/>
      <c r="FSG1" s="677"/>
      <c r="FSH1" s="677"/>
      <c r="FSI1" s="677"/>
      <c r="FSJ1" s="677"/>
      <c r="FSK1" s="677"/>
      <c r="FSL1" s="677"/>
      <c r="FSM1" s="677"/>
      <c r="FSN1" s="677"/>
      <c r="FSO1" s="677"/>
      <c r="FSP1" s="677"/>
      <c r="FSQ1" s="677"/>
      <c r="FSR1" s="677"/>
      <c r="FSS1" s="677"/>
      <c r="FST1" s="677"/>
      <c r="FSU1" s="677"/>
      <c r="FSV1" s="677"/>
      <c r="FSW1" s="677"/>
      <c r="FSX1" s="677"/>
      <c r="FSY1" s="677"/>
      <c r="FSZ1" s="677"/>
      <c r="FTA1" s="677"/>
      <c r="FTB1" s="677"/>
      <c r="FTC1" s="677"/>
      <c r="FTD1" s="677"/>
      <c r="FTE1" s="677"/>
      <c r="FTF1" s="677"/>
      <c r="FTG1" s="677"/>
      <c r="FTH1" s="677"/>
      <c r="FTI1" s="677"/>
      <c r="FTJ1" s="677"/>
      <c r="FTK1" s="677"/>
      <c r="FTL1" s="677"/>
      <c r="FTM1" s="677"/>
      <c r="FTN1" s="677"/>
      <c r="FTO1" s="677"/>
      <c r="FTP1" s="677"/>
      <c r="FTQ1" s="677"/>
      <c r="FTR1" s="677"/>
      <c r="FTS1" s="677"/>
      <c r="FTT1" s="677"/>
      <c r="FTU1" s="677"/>
      <c r="FTV1" s="677"/>
      <c r="FTW1" s="677"/>
      <c r="FTX1" s="677"/>
      <c r="FTY1" s="677"/>
      <c r="FTZ1" s="677"/>
      <c r="FUA1" s="677"/>
      <c r="FUB1" s="677"/>
      <c r="FUC1" s="677"/>
      <c r="FUD1" s="677"/>
      <c r="FUE1" s="677"/>
      <c r="FUF1" s="677"/>
      <c r="FUG1" s="677"/>
      <c r="FUH1" s="677"/>
      <c r="FUI1" s="677"/>
      <c r="FUJ1" s="677"/>
      <c r="FUK1" s="677"/>
      <c r="FUL1" s="677"/>
      <c r="FUM1" s="677"/>
      <c r="FUN1" s="677"/>
      <c r="FUO1" s="677"/>
      <c r="FUP1" s="677"/>
      <c r="FUQ1" s="677"/>
      <c r="FUR1" s="677"/>
      <c r="FUS1" s="677"/>
      <c r="FUT1" s="677"/>
      <c r="FUU1" s="677"/>
      <c r="FUV1" s="677"/>
      <c r="FUW1" s="677"/>
      <c r="FUX1" s="677"/>
      <c r="FUY1" s="677"/>
      <c r="FUZ1" s="677"/>
      <c r="FVA1" s="677"/>
      <c r="FVB1" s="677"/>
      <c r="FVC1" s="677"/>
      <c r="FVD1" s="677"/>
      <c r="FVE1" s="677"/>
      <c r="FVF1" s="677"/>
      <c r="FVG1" s="677"/>
      <c r="FVH1" s="677"/>
      <c r="FVI1" s="677"/>
      <c r="FVJ1" s="677"/>
      <c r="FVK1" s="677"/>
      <c r="FVL1" s="677"/>
      <c r="FVM1" s="677"/>
      <c r="FVN1" s="677"/>
      <c r="FVO1" s="677"/>
      <c r="FVP1" s="677"/>
      <c r="FVQ1" s="677"/>
      <c r="FVR1" s="677"/>
      <c r="FVS1" s="677"/>
      <c r="FVT1" s="677"/>
      <c r="FVU1" s="677"/>
      <c r="FVV1" s="677"/>
      <c r="FVW1" s="677"/>
      <c r="FVX1" s="677"/>
      <c r="FVY1" s="677"/>
      <c r="FVZ1" s="677"/>
      <c r="FWA1" s="677"/>
      <c r="FWB1" s="677"/>
      <c r="FWC1" s="677"/>
      <c r="FWD1" s="677"/>
      <c r="FWE1" s="677"/>
      <c r="FWF1" s="677"/>
      <c r="FWG1" s="677"/>
      <c r="FWH1" s="677"/>
      <c r="FWI1" s="677"/>
      <c r="FWJ1" s="677"/>
      <c r="FWK1" s="677"/>
      <c r="FWL1" s="677"/>
      <c r="FWM1" s="677"/>
      <c r="FWN1" s="677"/>
      <c r="FWO1" s="677"/>
      <c r="FWP1" s="677"/>
      <c r="FWQ1" s="677"/>
      <c r="FWR1" s="677"/>
      <c r="FWS1" s="677"/>
      <c r="FWT1" s="677"/>
      <c r="FWU1" s="677"/>
      <c r="FWV1" s="677"/>
      <c r="FWW1" s="677"/>
      <c r="FWX1" s="677"/>
      <c r="FWY1" s="677"/>
      <c r="FWZ1" s="677"/>
      <c r="FXA1" s="677"/>
      <c r="FXB1" s="677"/>
      <c r="FXC1" s="677"/>
      <c r="FXD1" s="677"/>
      <c r="FXE1" s="677"/>
      <c r="FXF1" s="677"/>
      <c r="FXG1" s="677"/>
      <c r="FXH1" s="677"/>
      <c r="FXI1" s="677"/>
      <c r="FXJ1" s="677"/>
      <c r="FXK1" s="677"/>
      <c r="FXL1" s="677"/>
      <c r="FXM1" s="677"/>
      <c r="FXN1" s="677"/>
      <c r="FXO1" s="677"/>
      <c r="FXP1" s="677"/>
      <c r="FXQ1" s="677"/>
      <c r="FXR1" s="677"/>
      <c r="FXS1" s="677"/>
      <c r="FXT1" s="677"/>
      <c r="FXU1" s="677"/>
      <c r="FXV1" s="677"/>
      <c r="FXW1" s="677"/>
      <c r="FXX1" s="677"/>
      <c r="FXY1" s="677"/>
      <c r="FXZ1" s="677"/>
      <c r="FYA1" s="677"/>
      <c r="FYB1" s="677"/>
      <c r="FYC1" s="677"/>
      <c r="FYD1" s="677"/>
      <c r="FYE1" s="677"/>
      <c r="FYF1" s="677"/>
      <c r="FYG1" s="677"/>
      <c r="FYH1" s="677"/>
      <c r="FYI1" s="677"/>
      <c r="FYJ1" s="677"/>
      <c r="FYK1" s="677"/>
      <c r="FYL1" s="677"/>
      <c r="FYM1" s="677"/>
      <c r="FYN1" s="677"/>
      <c r="FYO1" s="677"/>
      <c r="FYP1" s="677"/>
      <c r="FYQ1" s="677"/>
      <c r="FYR1" s="677"/>
      <c r="FYS1" s="677"/>
      <c r="FYT1" s="677"/>
      <c r="FYU1" s="677"/>
      <c r="FYV1" s="677"/>
      <c r="FYW1" s="677"/>
      <c r="FYX1" s="677"/>
      <c r="FYY1" s="677"/>
      <c r="FYZ1" s="677"/>
      <c r="FZA1" s="677"/>
      <c r="FZB1" s="677"/>
      <c r="FZC1" s="677"/>
      <c r="FZD1" s="677"/>
      <c r="FZE1" s="677"/>
      <c r="FZF1" s="677"/>
      <c r="FZG1" s="677"/>
      <c r="FZH1" s="677"/>
      <c r="FZI1" s="677"/>
      <c r="FZJ1" s="677"/>
      <c r="FZK1" s="677"/>
      <c r="FZL1" s="677"/>
      <c r="FZM1" s="677"/>
      <c r="FZN1" s="677"/>
      <c r="FZO1" s="677"/>
      <c r="FZP1" s="677"/>
      <c r="FZQ1" s="677"/>
      <c r="FZR1" s="677"/>
      <c r="FZS1" s="677"/>
      <c r="FZT1" s="677"/>
      <c r="FZU1" s="677"/>
      <c r="FZV1" s="677"/>
      <c r="FZW1" s="677"/>
      <c r="FZX1" s="677"/>
      <c r="FZY1" s="677"/>
      <c r="FZZ1" s="677"/>
      <c r="GAA1" s="677"/>
      <c r="GAB1" s="677"/>
      <c r="GAC1" s="677"/>
      <c r="GAD1" s="677"/>
      <c r="GAE1" s="677"/>
      <c r="GAF1" s="677"/>
      <c r="GAG1" s="677"/>
      <c r="GAH1" s="677"/>
      <c r="GAI1" s="677"/>
      <c r="GAJ1" s="677"/>
      <c r="GAK1" s="677"/>
      <c r="GAL1" s="677"/>
      <c r="GAM1" s="677"/>
      <c r="GAN1" s="677"/>
      <c r="GAO1" s="677"/>
      <c r="GAP1" s="677"/>
      <c r="GAQ1" s="677"/>
      <c r="GAR1" s="677"/>
      <c r="GAS1" s="677"/>
      <c r="GAT1" s="677"/>
      <c r="GAU1" s="677"/>
      <c r="GAV1" s="677"/>
      <c r="GAW1" s="677"/>
      <c r="GAX1" s="677"/>
      <c r="GAY1" s="677"/>
      <c r="GAZ1" s="677"/>
      <c r="GBA1" s="677"/>
      <c r="GBB1" s="677"/>
      <c r="GBC1" s="677"/>
      <c r="GBD1" s="677"/>
      <c r="GBE1" s="677"/>
      <c r="GBF1" s="677"/>
      <c r="GBG1" s="677"/>
      <c r="GBH1" s="677"/>
      <c r="GBI1" s="677"/>
      <c r="GBJ1" s="677"/>
      <c r="GBK1" s="677"/>
      <c r="GBL1" s="677"/>
      <c r="GBM1" s="677"/>
      <c r="GBN1" s="677"/>
      <c r="GBO1" s="677"/>
      <c r="GBP1" s="677"/>
      <c r="GBQ1" s="677"/>
      <c r="GBR1" s="677"/>
      <c r="GBS1" s="677"/>
      <c r="GBT1" s="677"/>
      <c r="GBU1" s="677"/>
      <c r="GBV1" s="677"/>
      <c r="GBW1" s="677"/>
      <c r="GBX1" s="677"/>
      <c r="GBY1" s="677"/>
      <c r="GBZ1" s="677"/>
      <c r="GCA1" s="677"/>
      <c r="GCB1" s="677"/>
      <c r="GCC1" s="677"/>
      <c r="GCD1" s="677"/>
      <c r="GCE1" s="677"/>
      <c r="GCF1" s="677"/>
      <c r="GCG1" s="677"/>
      <c r="GCH1" s="677"/>
      <c r="GCI1" s="677"/>
      <c r="GCJ1" s="677"/>
      <c r="GCK1" s="677"/>
      <c r="GCL1" s="677"/>
      <c r="GCM1" s="677"/>
      <c r="GCN1" s="677"/>
      <c r="GCO1" s="677"/>
      <c r="GCP1" s="677"/>
      <c r="GCQ1" s="677"/>
      <c r="GCR1" s="677"/>
      <c r="GCS1" s="677"/>
      <c r="GCT1" s="677"/>
      <c r="GCU1" s="677"/>
      <c r="GCV1" s="677"/>
      <c r="GCW1" s="677"/>
      <c r="GCX1" s="677"/>
      <c r="GCY1" s="677"/>
      <c r="GCZ1" s="677"/>
      <c r="GDA1" s="677"/>
      <c r="GDB1" s="677"/>
      <c r="GDC1" s="677"/>
      <c r="GDD1" s="677"/>
      <c r="GDE1" s="677"/>
      <c r="GDF1" s="677"/>
      <c r="GDG1" s="677"/>
      <c r="GDH1" s="677"/>
      <c r="GDI1" s="677"/>
      <c r="GDJ1" s="677"/>
      <c r="GDK1" s="677"/>
      <c r="GDL1" s="677"/>
      <c r="GDM1" s="677"/>
      <c r="GDN1" s="677"/>
      <c r="GDO1" s="677"/>
      <c r="GDP1" s="677"/>
      <c r="GDQ1" s="677"/>
      <c r="GDR1" s="677"/>
      <c r="GDS1" s="677"/>
      <c r="GDT1" s="677"/>
      <c r="GDU1" s="677"/>
      <c r="GDV1" s="677"/>
      <c r="GDW1" s="677"/>
      <c r="GDX1" s="677"/>
      <c r="GDY1" s="677"/>
      <c r="GDZ1" s="677"/>
      <c r="GEA1" s="677"/>
      <c r="GEB1" s="677"/>
      <c r="GEC1" s="677"/>
      <c r="GED1" s="677"/>
      <c r="GEE1" s="677"/>
      <c r="GEF1" s="677"/>
      <c r="GEG1" s="677"/>
      <c r="GEH1" s="677"/>
      <c r="GEI1" s="677"/>
      <c r="GEJ1" s="677"/>
      <c r="GEK1" s="677"/>
      <c r="GEL1" s="677"/>
      <c r="GEM1" s="677"/>
      <c r="GEN1" s="677"/>
      <c r="GEO1" s="677"/>
      <c r="GEP1" s="677"/>
      <c r="GEQ1" s="677"/>
      <c r="GER1" s="677"/>
      <c r="GES1" s="677"/>
      <c r="GET1" s="677"/>
      <c r="GEU1" s="677"/>
      <c r="GEV1" s="677"/>
      <c r="GEW1" s="677"/>
      <c r="GEX1" s="677"/>
      <c r="GEY1" s="677"/>
      <c r="GEZ1" s="677"/>
      <c r="GFA1" s="677"/>
      <c r="GFB1" s="677"/>
      <c r="GFC1" s="677"/>
      <c r="GFD1" s="677"/>
      <c r="GFE1" s="677"/>
      <c r="GFF1" s="677"/>
      <c r="GFG1" s="677"/>
      <c r="GFH1" s="677"/>
      <c r="GFI1" s="677"/>
      <c r="GFJ1" s="677"/>
      <c r="GFK1" s="677"/>
      <c r="GFL1" s="677"/>
      <c r="GFM1" s="677"/>
      <c r="GFN1" s="677"/>
      <c r="GFO1" s="677"/>
      <c r="GFP1" s="677"/>
      <c r="GFQ1" s="677"/>
      <c r="GFR1" s="677"/>
      <c r="GFS1" s="677"/>
      <c r="GFT1" s="677"/>
      <c r="GFU1" s="677"/>
      <c r="GFV1" s="677"/>
      <c r="GFW1" s="677"/>
      <c r="GFX1" s="677"/>
      <c r="GFY1" s="677"/>
      <c r="GFZ1" s="677"/>
      <c r="GGA1" s="677"/>
      <c r="GGB1" s="677"/>
      <c r="GGC1" s="677"/>
      <c r="GGD1" s="677"/>
      <c r="GGE1" s="677"/>
      <c r="GGF1" s="677"/>
      <c r="GGG1" s="677"/>
      <c r="GGH1" s="677"/>
      <c r="GGI1" s="677"/>
      <c r="GGJ1" s="677"/>
      <c r="GGK1" s="677"/>
      <c r="GGL1" s="677"/>
      <c r="GGM1" s="677"/>
      <c r="GGN1" s="677"/>
      <c r="GGO1" s="677"/>
      <c r="GGP1" s="677"/>
      <c r="GGQ1" s="677"/>
      <c r="GGR1" s="677"/>
      <c r="GGS1" s="677"/>
      <c r="GGT1" s="677"/>
      <c r="GGU1" s="677"/>
      <c r="GGV1" s="677"/>
      <c r="GGW1" s="677"/>
      <c r="GGX1" s="677"/>
      <c r="GGY1" s="677"/>
      <c r="GGZ1" s="677"/>
      <c r="GHA1" s="677"/>
      <c r="GHB1" s="677"/>
      <c r="GHC1" s="677"/>
      <c r="GHD1" s="677"/>
      <c r="GHE1" s="677"/>
      <c r="GHF1" s="677"/>
      <c r="GHG1" s="677"/>
      <c r="GHH1" s="677"/>
      <c r="GHI1" s="677"/>
      <c r="GHJ1" s="677"/>
      <c r="GHK1" s="677"/>
      <c r="GHL1" s="677"/>
      <c r="GHM1" s="677"/>
      <c r="GHN1" s="677"/>
      <c r="GHO1" s="677"/>
      <c r="GHP1" s="677"/>
      <c r="GHQ1" s="677"/>
      <c r="GHR1" s="677"/>
      <c r="GHS1" s="677"/>
      <c r="GHT1" s="677"/>
      <c r="GHU1" s="677"/>
      <c r="GHV1" s="677"/>
      <c r="GHW1" s="677"/>
      <c r="GHX1" s="677"/>
      <c r="GHY1" s="677"/>
      <c r="GHZ1" s="677"/>
      <c r="GIA1" s="677"/>
      <c r="GIB1" s="677"/>
      <c r="GIC1" s="677"/>
      <c r="GID1" s="677"/>
      <c r="GIE1" s="677"/>
      <c r="GIF1" s="677"/>
      <c r="GIG1" s="677"/>
      <c r="GIH1" s="677"/>
      <c r="GII1" s="677"/>
      <c r="GIJ1" s="677"/>
      <c r="GIK1" s="677"/>
      <c r="GIL1" s="677"/>
      <c r="GIM1" s="677"/>
      <c r="GIN1" s="677"/>
      <c r="GIO1" s="677"/>
      <c r="GIP1" s="677"/>
      <c r="GIQ1" s="677"/>
      <c r="GIR1" s="677"/>
      <c r="GIS1" s="677"/>
      <c r="GIT1" s="677"/>
      <c r="GIU1" s="677"/>
      <c r="GIV1" s="677"/>
      <c r="GIW1" s="677"/>
      <c r="GIX1" s="677"/>
      <c r="GIY1" s="677"/>
      <c r="GIZ1" s="677"/>
      <c r="GJA1" s="677"/>
      <c r="GJB1" s="677"/>
      <c r="GJC1" s="677"/>
      <c r="GJD1" s="677"/>
      <c r="GJE1" s="677"/>
      <c r="GJF1" s="677"/>
      <c r="GJG1" s="677"/>
      <c r="GJH1" s="677"/>
      <c r="GJI1" s="677"/>
      <c r="GJJ1" s="677"/>
      <c r="GJK1" s="677"/>
      <c r="GJL1" s="677"/>
      <c r="GJM1" s="677"/>
      <c r="GJN1" s="677"/>
      <c r="GJO1" s="677"/>
      <c r="GJP1" s="677"/>
      <c r="GJQ1" s="677"/>
      <c r="GJR1" s="677"/>
      <c r="GJS1" s="677"/>
      <c r="GJT1" s="677"/>
      <c r="GJU1" s="677"/>
      <c r="GJV1" s="677"/>
      <c r="GJW1" s="677"/>
      <c r="GJX1" s="677"/>
      <c r="GJY1" s="677"/>
      <c r="GJZ1" s="677"/>
      <c r="GKA1" s="677"/>
      <c r="GKB1" s="677"/>
      <c r="GKC1" s="677"/>
      <c r="GKD1" s="677"/>
      <c r="GKE1" s="677"/>
      <c r="GKF1" s="677"/>
      <c r="GKG1" s="677"/>
      <c r="GKH1" s="677"/>
      <c r="GKI1" s="677"/>
      <c r="GKJ1" s="677"/>
      <c r="GKK1" s="677"/>
      <c r="GKL1" s="677"/>
      <c r="GKM1" s="677"/>
      <c r="GKN1" s="677"/>
      <c r="GKO1" s="677"/>
      <c r="GKP1" s="677"/>
      <c r="GKQ1" s="677"/>
      <c r="GKR1" s="677"/>
      <c r="GKS1" s="677"/>
      <c r="GKT1" s="677"/>
      <c r="GKU1" s="677"/>
      <c r="GKV1" s="677"/>
      <c r="GKW1" s="677"/>
      <c r="GKX1" s="677"/>
      <c r="GKY1" s="677"/>
      <c r="GKZ1" s="677"/>
      <c r="GLA1" s="677"/>
      <c r="GLB1" s="677"/>
      <c r="GLC1" s="677"/>
      <c r="GLD1" s="677"/>
      <c r="GLE1" s="677"/>
      <c r="GLF1" s="677"/>
      <c r="GLG1" s="677"/>
      <c r="GLH1" s="677"/>
      <c r="GLI1" s="677"/>
      <c r="GLJ1" s="677"/>
      <c r="GLK1" s="677"/>
      <c r="GLL1" s="677"/>
      <c r="GLM1" s="677"/>
      <c r="GLN1" s="677"/>
      <c r="GLO1" s="677"/>
      <c r="GLP1" s="677"/>
      <c r="GLQ1" s="677"/>
      <c r="GLR1" s="677"/>
      <c r="GLS1" s="677"/>
      <c r="GLT1" s="677"/>
      <c r="GLU1" s="677"/>
      <c r="GLV1" s="677"/>
      <c r="GLW1" s="677"/>
      <c r="GLX1" s="677"/>
      <c r="GLY1" s="677"/>
      <c r="GLZ1" s="677"/>
      <c r="GMA1" s="677"/>
      <c r="GMB1" s="677"/>
      <c r="GMC1" s="677"/>
      <c r="GMD1" s="677"/>
      <c r="GME1" s="677"/>
      <c r="GMF1" s="677"/>
      <c r="GMG1" s="677"/>
      <c r="GMH1" s="677"/>
      <c r="GMI1" s="677"/>
      <c r="GMJ1" s="677"/>
      <c r="GMK1" s="677"/>
      <c r="GML1" s="677"/>
      <c r="GMM1" s="677"/>
      <c r="GMN1" s="677"/>
      <c r="GMO1" s="677"/>
      <c r="GMP1" s="677"/>
      <c r="GMQ1" s="677"/>
      <c r="GMR1" s="677"/>
      <c r="GMS1" s="677"/>
      <c r="GMT1" s="677"/>
      <c r="GMU1" s="677"/>
      <c r="GMV1" s="677"/>
      <c r="GMW1" s="677"/>
      <c r="GMX1" s="677"/>
      <c r="GMY1" s="677"/>
      <c r="GMZ1" s="677"/>
      <c r="GNA1" s="677"/>
      <c r="GNB1" s="677"/>
      <c r="GNC1" s="677"/>
      <c r="GND1" s="677"/>
      <c r="GNE1" s="677"/>
      <c r="GNF1" s="677"/>
      <c r="GNG1" s="677"/>
      <c r="GNH1" s="677"/>
      <c r="GNI1" s="677"/>
      <c r="GNJ1" s="677"/>
      <c r="GNK1" s="677"/>
      <c r="GNL1" s="677"/>
      <c r="GNM1" s="677"/>
      <c r="GNN1" s="677"/>
      <c r="GNO1" s="677"/>
      <c r="GNP1" s="677"/>
      <c r="GNQ1" s="677"/>
      <c r="GNR1" s="677"/>
      <c r="GNS1" s="677"/>
      <c r="GNT1" s="677"/>
      <c r="GNU1" s="677"/>
      <c r="GNV1" s="677"/>
      <c r="GNW1" s="677"/>
      <c r="GNX1" s="677"/>
      <c r="GNY1" s="677"/>
      <c r="GNZ1" s="677"/>
      <c r="GOA1" s="677"/>
      <c r="GOB1" s="677"/>
      <c r="GOC1" s="677"/>
      <c r="GOD1" s="677"/>
      <c r="GOE1" s="677"/>
      <c r="GOF1" s="677"/>
      <c r="GOG1" s="677"/>
      <c r="GOH1" s="677"/>
      <c r="GOI1" s="677"/>
      <c r="GOJ1" s="677"/>
      <c r="GOK1" s="677"/>
      <c r="GOL1" s="677"/>
      <c r="GOM1" s="677"/>
      <c r="GON1" s="677"/>
      <c r="GOO1" s="677"/>
      <c r="GOP1" s="677"/>
      <c r="GOQ1" s="677"/>
      <c r="GOR1" s="677"/>
      <c r="GOS1" s="677"/>
      <c r="GOT1" s="677"/>
      <c r="GOU1" s="677"/>
      <c r="GOV1" s="677"/>
      <c r="GOW1" s="677"/>
      <c r="GOX1" s="677"/>
      <c r="GOY1" s="677"/>
      <c r="GOZ1" s="677"/>
      <c r="GPA1" s="677"/>
      <c r="GPB1" s="677"/>
      <c r="GPC1" s="677"/>
      <c r="GPD1" s="677"/>
      <c r="GPE1" s="677"/>
      <c r="GPF1" s="677"/>
      <c r="GPG1" s="677"/>
      <c r="GPH1" s="677"/>
      <c r="GPI1" s="677"/>
      <c r="GPJ1" s="677"/>
      <c r="GPK1" s="677"/>
      <c r="GPL1" s="677"/>
      <c r="GPM1" s="677"/>
      <c r="GPN1" s="677"/>
      <c r="GPO1" s="677"/>
      <c r="GPP1" s="677"/>
      <c r="GPQ1" s="677"/>
      <c r="GPR1" s="677"/>
      <c r="GPS1" s="677"/>
      <c r="GPT1" s="677"/>
      <c r="GPU1" s="677"/>
      <c r="GPV1" s="677"/>
      <c r="GPW1" s="677"/>
      <c r="GPX1" s="677"/>
      <c r="GPY1" s="677"/>
      <c r="GPZ1" s="677"/>
      <c r="GQA1" s="677"/>
      <c r="GQB1" s="677"/>
      <c r="GQC1" s="677"/>
      <c r="GQD1" s="677"/>
      <c r="GQE1" s="677"/>
      <c r="GQF1" s="677"/>
      <c r="GQG1" s="677"/>
      <c r="GQH1" s="677"/>
      <c r="GQI1" s="677"/>
      <c r="GQJ1" s="677"/>
      <c r="GQK1" s="677"/>
      <c r="GQL1" s="677"/>
      <c r="GQM1" s="677"/>
      <c r="GQN1" s="677"/>
      <c r="GQO1" s="677"/>
      <c r="GQP1" s="677"/>
      <c r="GQQ1" s="677"/>
      <c r="GQR1" s="677"/>
      <c r="GQS1" s="677"/>
      <c r="GQT1" s="677"/>
      <c r="GQU1" s="677"/>
      <c r="GQV1" s="677"/>
      <c r="GQW1" s="677"/>
      <c r="GQX1" s="677"/>
      <c r="GQY1" s="677"/>
      <c r="GQZ1" s="677"/>
      <c r="GRA1" s="677"/>
      <c r="GRB1" s="677"/>
      <c r="GRC1" s="677"/>
      <c r="GRD1" s="677"/>
      <c r="GRE1" s="677"/>
      <c r="GRF1" s="677"/>
      <c r="GRG1" s="677"/>
      <c r="GRH1" s="677"/>
      <c r="GRI1" s="677"/>
      <c r="GRJ1" s="677"/>
      <c r="GRK1" s="677"/>
      <c r="GRL1" s="677"/>
      <c r="GRM1" s="677"/>
      <c r="GRN1" s="677"/>
      <c r="GRO1" s="677"/>
      <c r="GRP1" s="677"/>
      <c r="GRQ1" s="677"/>
      <c r="GRR1" s="677"/>
      <c r="GRS1" s="677"/>
      <c r="GRT1" s="677"/>
      <c r="GRU1" s="677"/>
      <c r="GRV1" s="677"/>
      <c r="GRW1" s="677"/>
      <c r="GRX1" s="677"/>
      <c r="GRY1" s="677"/>
      <c r="GRZ1" s="677"/>
      <c r="GSA1" s="677"/>
      <c r="GSB1" s="677"/>
      <c r="GSC1" s="677"/>
      <c r="GSD1" s="677"/>
      <c r="GSE1" s="677"/>
      <c r="GSF1" s="677"/>
      <c r="GSG1" s="677"/>
      <c r="GSH1" s="677"/>
      <c r="GSI1" s="677"/>
      <c r="GSJ1" s="677"/>
      <c r="GSK1" s="677"/>
      <c r="GSL1" s="677"/>
      <c r="GSM1" s="677"/>
      <c r="GSN1" s="677"/>
      <c r="GSO1" s="677"/>
      <c r="GSP1" s="677"/>
      <c r="GSQ1" s="677"/>
      <c r="GSR1" s="677"/>
      <c r="GSS1" s="677"/>
      <c r="GST1" s="677"/>
      <c r="GSU1" s="677"/>
      <c r="GSV1" s="677"/>
      <c r="GSW1" s="677"/>
      <c r="GSX1" s="677"/>
      <c r="GSY1" s="677"/>
      <c r="GSZ1" s="677"/>
      <c r="GTA1" s="677"/>
      <c r="GTB1" s="677"/>
      <c r="GTC1" s="677"/>
      <c r="GTD1" s="677"/>
      <c r="GTE1" s="677"/>
      <c r="GTF1" s="677"/>
      <c r="GTG1" s="677"/>
      <c r="GTH1" s="677"/>
      <c r="GTI1" s="677"/>
      <c r="GTJ1" s="677"/>
      <c r="GTK1" s="677"/>
      <c r="GTL1" s="677"/>
      <c r="GTM1" s="677"/>
      <c r="GTN1" s="677"/>
      <c r="GTO1" s="677"/>
      <c r="GTP1" s="677"/>
      <c r="GTQ1" s="677"/>
      <c r="GTR1" s="677"/>
      <c r="GTS1" s="677"/>
      <c r="GTT1" s="677"/>
      <c r="GTU1" s="677"/>
      <c r="GTV1" s="677"/>
      <c r="GTW1" s="677"/>
      <c r="GTX1" s="677"/>
      <c r="GTY1" s="677"/>
      <c r="GTZ1" s="677"/>
      <c r="GUA1" s="677"/>
      <c r="GUB1" s="677"/>
      <c r="GUC1" s="677"/>
      <c r="GUD1" s="677"/>
      <c r="GUE1" s="677"/>
      <c r="GUF1" s="677"/>
      <c r="GUG1" s="677"/>
      <c r="GUH1" s="677"/>
      <c r="GUI1" s="677"/>
      <c r="GUJ1" s="677"/>
      <c r="GUK1" s="677"/>
      <c r="GUL1" s="677"/>
      <c r="GUM1" s="677"/>
      <c r="GUN1" s="677"/>
      <c r="GUO1" s="677"/>
      <c r="GUP1" s="677"/>
      <c r="GUQ1" s="677"/>
      <c r="GUR1" s="677"/>
      <c r="GUS1" s="677"/>
      <c r="GUT1" s="677"/>
      <c r="GUU1" s="677"/>
      <c r="GUV1" s="677"/>
      <c r="GUW1" s="677"/>
      <c r="GUX1" s="677"/>
      <c r="GUY1" s="677"/>
      <c r="GUZ1" s="677"/>
      <c r="GVA1" s="677"/>
      <c r="GVB1" s="677"/>
      <c r="GVC1" s="677"/>
      <c r="GVD1" s="677"/>
      <c r="GVE1" s="677"/>
      <c r="GVF1" s="677"/>
      <c r="GVG1" s="677"/>
      <c r="GVH1" s="677"/>
      <c r="GVI1" s="677"/>
      <c r="GVJ1" s="677"/>
      <c r="GVK1" s="677"/>
      <c r="GVL1" s="677"/>
      <c r="GVM1" s="677"/>
      <c r="GVN1" s="677"/>
      <c r="GVO1" s="677"/>
      <c r="GVP1" s="677"/>
      <c r="GVQ1" s="677"/>
      <c r="GVR1" s="677"/>
      <c r="GVS1" s="677"/>
      <c r="GVT1" s="677"/>
      <c r="GVU1" s="677"/>
      <c r="GVV1" s="677"/>
      <c r="GVW1" s="677"/>
      <c r="GVX1" s="677"/>
      <c r="GVY1" s="677"/>
      <c r="GVZ1" s="677"/>
      <c r="GWA1" s="677"/>
      <c r="GWB1" s="677"/>
      <c r="GWC1" s="677"/>
      <c r="GWD1" s="677"/>
      <c r="GWE1" s="677"/>
      <c r="GWF1" s="677"/>
      <c r="GWG1" s="677"/>
      <c r="GWH1" s="677"/>
      <c r="GWI1" s="677"/>
      <c r="GWJ1" s="677"/>
      <c r="GWK1" s="677"/>
      <c r="GWL1" s="677"/>
      <c r="GWM1" s="677"/>
      <c r="GWN1" s="677"/>
      <c r="GWO1" s="677"/>
      <c r="GWP1" s="677"/>
      <c r="GWQ1" s="677"/>
      <c r="GWR1" s="677"/>
      <c r="GWS1" s="677"/>
      <c r="GWT1" s="677"/>
      <c r="GWU1" s="677"/>
      <c r="GWV1" s="677"/>
      <c r="GWW1" s="677"/>
      <c r="GWX1" s="677"/>
      <c r="GWY1" s="677"/>
      <c r="GWZ1" s="677"/>
      <c r="GXA1" s="677"/>
      <c r="GXB1" s="677"/>
      <c r="GXC1" s="677"/>
      <c r="GXD1" s="677"/>
      <c r="GXE1" s="677"/>
      <c r="GXF1" s="677"/>
      <c r="GXG1" s="677"/>
      <c r="GXH1" s="677"/>
      <c r="GXI1" s="677"/>
      <c r="GXJ1" s="677"/>
      <c r="GXK1" s="677"/>
      <c r="GXL1" s="677"/>
      <c r="GXM1" s="677"/>
      <c r="GXN1" s="677"/>
      <c r="GXO1" s="677"/>
      <c r="GXP1" s="677"/>
      <c r="GXQ1" s="677"/>
      <c r="GXR1" s="677"/>
      <c r="GXS1" s="677"/>
      <c r="GXT1" s="677"/>
      <c r="GXU1" s="677"/>
      <c r="GXV1" s="677"/>
      <c r="GXW1" s="677"/>
      <c r="GXX1" s="677"/>
      <c r="GXY1" s="677"/>
      <c r="GXZ1" s="677"/>
      <c r="GYA1" s="677"/>
      <c r="GYB1" s="677"/>
      <c r="GYC1" s="677"/>
      <c r="GYD1" s="677"/>
      <c r="GYE1" s="677"/>
      <c r="GYF1" s="677"/>
      <c r="GYG1" s="677"/>
      <c r="GYH1" s="677"/>
      <c r="GYI1" s="677"/>
      <c r="GYJ1" s="677"/>
      <c r="GYK1" s="677"/>
      <c r="GYL1" s="677"/>
      <c r="GYM1" s="677"/>
      <c r="GYN1" s="677"/>
      <c r="GYO1" s="677"/>
      <c r="GYP1" s="677"/>
      <c r="GYQ1" s="677"/>
      <c r="GYR1" s="677"/>
      <c r="GYS1" s="677"/>
      <c r="GYT1" s="677"/>
      <c r="GYU1" s="677"/>
      <c r="GYV1" s="677"/>
      <c r="GYW1" s="677"/>
      <c r="GYX1" s="677"/>
      <c r="GYY1" s="677"/>
      <c r="GYZ1" s="677"/>
      <c r="GZA1" s="677"/>
      <c r="GZB1" s="677"/>
      <c r="GZC1" s="677"/>
      <c r="GZD1" s="677"/>
      <c r="GZE1" s="677"/>
      <c r="GZF1" s="677"/>
      <c r="GZG1" s="677"/>
      <c r="GZH1" s="677"/>
      <c r="GZI1" s="677"/>
      <c r="GZJ1" s="677"/>
      <c r="GZK1" s="677"/>
      <c r="GZL1" s="677"/>
      <c r="GZM1" s="677"/>
      <c r="GZN1" s="677"/>
      <c r="GZO1" s="677"/>
      <c r="GZP1" s="677"/>
      <c r="GZQ1" s="677"/>
      <c r="GZR1" s="677"/>
      <c r="GZS1" s="677"/>
      <c r="GZT1" s="677"/>
      <c r="GZU1" s="677"/>
      <c r="GZV1" s="677"/>
      <c r="GZW1" s="677"/>
      <c r="GZX1" s="677"/>
      <c r="GZY1" s="677"/>
      <c r="GZZ1" s="677"/>
      <c r="HAA1" s="677"/>
      <c r="HAB1" s="677"/>
      <c r="HAC1" s="677"/>
      <c r="HAD1" s="677"/>
      <c r="HAE1" s="677"/>
      <c r="HAF1" s="677"/>
      <c r="HAG1" s="677"/>
      <c r="HAH1" s="677"/>
      <c r="HAI1" s="677"/>
      <c r="HAJ1" s="677"/>
      <c r="HAK1" s="677"/>
      <c r="HAL1" s="677"/>
      <c r="HAM1" s="677"/>
      <c r="HAN1" s="677"/>
      <c r="HAO1" s="677"/>
      <c r="HAP1" s="677"/>
      <c r="HAQ1" s="677"/>
      <c r="HAR1" s="677"/>
      <c r="HAS1" s="677"/>
      <c r="HAT1" s="677"/>
      <c r="HAU1" s="677"/>
      <c r="HAV1" s="677"/>
      <c r="HAW1" s="677"/>
      <c r="HAX1" s="677"/>
      <c r="HAY1" s="677"/>
      <c r="HAZ1" s="677"/>
      <c r="HBA1" s="677"/>
      <c r="HBB1" s="677"/>
      <c r="HBC1" s="677"/>
      <c r="HBD1" s="677"/>
      <c r="HBE1" s="677"/>
      <c r="HBF1" s="677"/>
      <c r="HBG1" s="677"/>
      <c r="HBH1" s="677"/>
      <c r="HBI1" s="677"/>
      <c r="HBJ1" s="677"/>
      <c r="HBK1" s="677"/>
      <c r="HBL1" s="677"/>
      <c r="HBM1" s="677"/>
      <c r="HBN1" s="677"/>
      <c r="HBO1" s="677"/>
      <c r="HBP1" s="677"/>
      <c r="HBQ1" s="677"/>
      <c r="HBR1" s="677"/>
      <c r="HBS1" s="677"/>
      <c r="HBT1" s="677"/>
      <c r="HBU1" s="677"/>
      <c r="HBV1" s="677"/>
      <c r="HBW1" s="677"/>
      <c r="HBX1" s="677"/>
      <c r="HBY1" s="677"/>
      <c r="HBZ1" s="677"/>
      <c r="HCA1" s="677"/>
      <c r="HCB1" s="677"/>
      <c r="HCC1" s="677"/>
      <c r="HCD1" s="677"/>
      <c r="HCE1" s="677"/>
      <c r="HCF1" s="677"/>
      <c r="HCG1" s="677"/>
      <c r="HCH1" s="677"/>
      <c r="HCI1" s="677"/>
      <c r="HCJ1" s="677"/>
      <c r="HCK1" s="677"/>
      <c r="HCL1" s="677"/>
      <c r="HCM1" s="677"/>
      <c r="HCN1" s="677"/>
      <c r="HCO1" s="677"/>
      <c r="HCP1" s="677"/>
      <c r="HCQ1" s="677"/>
      <c r="HCR1" s="677"/>
      <c r="HCS1" s="677"/>
      <c r="HCT1" s="677"/>
      <c r="HCU1" s="677"/>
      <c r="HCV1" s="677"/>
      <c r="HCW1" s="677"/>
      <c r="HCX1" s="677"/>
      <c r="HCY1" s="677"/>
      <c r="HCZ1" s="677"/>
      <c r="HDA1" s="677"/>
      <c r="HDB1" s="677"/>
      <c r="HDC1" s="677"/>
      <c r="HDD1" s="677"/>
      <c r="HDE1" s="677"/>
      <c r="HDF1" s="677"/>
      <c r="HDG1" s="677"/>
      <c r="HDH1" s="677"/>
      <c r="HDI1" s="677"/>
      <c r="HDJ1" s="677"/>
      <c r="HDK1" s="677"/>
      <c r="HDL1" s="677"/>
      <c r="HDM1" s="677"/>
      <c r="HDN1" s="677"/>
      <c r="HDO1" s="677"/>
      <c r="HDP1" s="677"/>
      <c r="HDQ1" s="677"/>
      <c r="HDR1" s="677"/>
      <c r="HDS1" s="677"/>
      <c r="HDT1" s="677"/>
      <c r="HDU1" s="677"/>
      <c r="HDV1" s="677"/>
      <c r="HDW1" s="677"/>
      <c r="HDX1" s="677"/>
      <c r="HDY1" s="677"/>
      <c r="HDZ1" s="677"/>
      <c r="HEA1" s="677"/>
      <c r="HEB1" s="677"/>
      <c r="HEC1" s="677"/>
      <c r="HED1" s="677"/>
      <c r="HEE1" s="677"/>
      <c r="HEF1" s="677"/>
      <c r="HEG1" s="677"/>
      <c r="HEH1" s="677"/>
      <c r="HEI1" s="677"/>
      <c r="HEJ1" s="677"/>
      <c r="HEK1" s="677"/>
      <c r="HEL1" s="677"/>
      <c r="HEM1" s="677"/>
      <c r="HEN1" s="677"/>
      <c r="HEO1" s="677"/>
      <c r="HEP1" s="677"/>
      <c r="HEQ1" s="677"/>
      <c r="HER1" s="677"/>
      <c r="HES1" s="677"/>
      <c r="HET1" s="677"/>
      <c r="HEU1" s="677"/>
      <c r="HEV1" s="677"/>
      <c r="HEW1" s="677"/>
      <c r="HEX1" s="677"/>
      <c r="HEY1" s="677"/>
      <c r="HEZ1" s="677"/>
      <c r="HFA1" s="677"/>
      <c r="HFB1" s="677"/>
      <c r="HFC1" s="677"/>
      <c r="HFD1" s="677"/>
      <c r="HFE1" s="677"/>
      <c r="HFF1" s="677"/>
      <c r="HFG1" s="677"/>
      <c r="HFH1" s="677"/>
      <c r="HFI1" s="677"/>
      <c r="HFJ1" s="677"/>
      <c r="HFK1" s="677"/>
      <c r="HFL1" s="677"/>
      <c r="HFM1" s="677"/>
      <c r="HFN1" s="677"/>
      <c r="HFO1" s="677"/>
      <c r="HFP1" s="677"/>
      <c r="HFQ1" s="677"/>
      <c r="HFR1" s="677"/>
      <c r="HFS1" s="677"/>
      <c r="HFT1" s="677"/>
      <c r="HFU1" s="677"/>
      <c r="HFV1" s="677"/>
      <c r="HFW1" s="677"/>
      <c r="HFX1" s="677"/>
      <c r="HFY1" s="677"/>
      <c r="HFZ1" s="677"/>
      <c r="HGA1" s="677"/>
      <c r="HGB1" s="677"/>
      <c r="HGC1" s="677"/>
      <c r="HGD1" s="677"/>
      <c r="HGE1" s="677"/>
      <c r="HGF1" s="677"/>
      <c r="HGG1" s="677"/>
      <c r="HGH1" s="677"/>
      <c r="HGI1" s="677"/>
      <c r="HGJ1" s="677"/>
      <c r="HGK1" s="677"/>
      <c r="HGL1" s="677"/>
      <c r="HGM1" s="677"/>
      <c r="HGN1" s="677"/>
      <c r="HGO1" s="677"/>
      <c r="HGP1" s="677"/>
      <c r="HGQ1" s="677"/>
      <c r="HGR1" s="677"/>
      <c r="HGS1" s="677"/>
      <c r="HGT1" s="677"/>
      <c r="HGU1" s="677"/>
      <c r="HGV1" s="677"/>
      <c r="HGW1" s="677"/>
      <c r="HGX1" s="677"/>
      <c r="HGY1" s="677"/>
      <c r="HGZ1" s="677"/>
      <c r="HHA1" s="677"/>
      <c r="HHB1" s="677"/>
      <c r="HHC1" s="677"/>
      <c r="HHD1" s="677"/>
      <c r="HHE1" s="677"/>
      <c r="HHF1" s="677"/>
      <c r="HHG1" s="677"/>
      <c r="HHH1" s="677"/>
      <c r="HHI1" s="677"/>
      <c r="HHJ1" s="677"/>
      <c r="HHK1" s="677"/>
      <c r="HHL1" s="677"/>
      <c r="HHM1" s="677"/>
      <c r="HHN1" s="677"/>
      <c r="HHO1" s="677"/>
      <c r="HHP1" s="677"/>
      <c r="HHQ1" s="677"/>
      <c r="HHR1" s="677"/>
      <c r="HHS1" s="677"/>
      <c r="HHT1" s="677"/>
      <c r="HHU1" s="677"/>
      <c r="HHV1" s="677"/>
      <c r="HHW1" s="677"/>
      <c r="HHX1" s="677"/>
      <c r="HHY1" s="677"/>
      <c r="HHZ1" s="677"/>
      <c r="HIA1" s="677"/>
      <c r="HIB1" s="677"/>
      <c r="HIC1" s="677"/>
      <c r="HID1" s="677"/>
      <c r="HIE1" s="677"/>
      <c r="HIF1" s="677"/>
      <c r="HIG1" s="677"/>
      <c r="HIH1" s="677"/>
      <c r="HII1" s="677"/>
      <c r="HIJ1" s="677"/>
      <c r="HIK1" s="677"/>
      <c r="HIL1" s="677"/>
      <c r="HIM1" s="677"/>
      <c r="HIN1" s="677"/>
      <c r="HIO1" s="677"/>
      <c r="HIP1" s="677"/>
      <c r="HIQ1" s="677"/>
      <c r="HIR1" s="677"/>
      <c r="HIS1" s="677"/>
      <c r="HIT1" s="677"/>
      <c r="HIU1" s="677"/>
      <c r="HIV1" s="677"/>
      <c r="HIW1" s="677"/>
      <c r="HIX1" s="677"/>
      <c r="HIY1" s="677"/>
      <c r="HIZ1" s="677"/>
      <c r="HJA1" s="677"/>
      <c r="HJB1" s="677"/>
      <c r="HJC1" s="677"/>
      <c r="HJD1" s="677"/>
      <c r="HJE1" s="677"/>
      <c r="HJF1" s="677"/>
      <c r="HJG1" s="677"/>
      <c r="HJH1" s="677"/>
      <c r="HJI1" s="677"/>
      <c r="HJJ1" s="677"/>
      <c r="HJK1" s="677"/>
      <c r="HJL1" s="677"/>
      <c r="HJM1" s="677"/>
      <c r="HJN1" s="677"/>
      <c r="HJO1" s="677"/>
      <c r="HJP1" s="677"/>
      <c r="HJQ1" s="677"/>
      <c r="HJR1" s="677"/>
      <c r="HJS1" s="677"/>
      <c r="HJT1" s="677"/>
      <c r="HJU1" s="677"/>
      <c r="HJV1" s="677"/>
      <c r="HJW1" s="677"/>
      <c r="HJX1" s="677"/>
      <c r="HJY1" s="677"/>
      <c r="HJZ1" s="677"/>
      <c r="HKA1" s="677"/>
      <c r="HKB1" s="677"/>
      <c r="HKC1" s="677"/>
      <c r="HKD1" s="677"/>
      <c r="HKE1" s="677"/>
      <c r="HKF1" s="677"/>
      <c r="HKG1" s="677"/>
      <c r="HKH1" s="677"/>
      <c r="HKI1" s="677"/>
      <c r="HKJ1" s="677"/>
      <c r="HKK1" s="677"/>
      <c r="HKL1" s="677"/>
      <c r="HKM1" s="677"/>
      <c r="HKN1" s="677"/>
      <c r="HKO1" s="677"/>
      <c r="HKP1" s="677"/>
      <c r="HKQ1" s="677"/>
      <c r="HKR1" s="677"/>
      <c r="HKS1" s="677"/>
      <c r="HKT1" s="677"/>
      <c r="HKU1" s="677"/>
      <c r="HKV1" s="677"/>
      <c r="HKW1" s="677"/>
      <c r="HKX1" s="677"/>
      <c r="HKY1" s="677"/>
      <c r="HKZ1" s="677"/>
      <c r="HLA1" s="677"/>
      <c r="HLB1" s="677"/>
      <c r="HLC1" s="677"/>
      <c r="HLD1" s="677"/>
      <c r="HLE1" s="677"/>
      <c r="HLF1" s="677"/>
      <c r="HLG1" s="677"/>
      <c r="HLH1" s="677"/>
      <c r="HLI1" s="677"/>
      <c r="HLJ1" s="677"/>
      <c r="HLK1" s="677"/>
      <c r="HLL1" s="677"/>
      <c r="HLM1" s="677"/>
      <c r="HLN1" s="677"/>
      <c r="HLO1" s="677"/>
      <c r="HLP1" s="677"/>
      <c r="HLQ1" s="677"/>
      <c r="HLR1" s="677"/>
      <c r="HLS1" s="677"/>
      <c r="HLT1" s="677"/>
      <c r="HLU1" s="677"/>
      <c r="HLV1" s="677"/>
      <c r="HLW1" s="677"/>
      <c r="HLX1" s="677"/>
      <c r="HLY1" s="677"/>
      <c r="HLZ1" s="677"/>
      <c r="HMA1" s="677"/>
      <c r="HMB1" s="677"/>
      <c r="HMC1" s="677"/>
      <c r="HMD1" s="677"/>
      <c r="HME1" s="677"/>
      <c r="HMF1" s="677"/>
      <c r="HMG1" s="677"/>
      <c r="HMH1" s="677"/>
      <c r="HMI1" s="677"/>
      <c r="HMJ1" s="677"/>
      <c r="HMK1" s="677"/>
      <c r="HML1" s="677"/>
      <c r="HMM1" s="677"/>
      <c r="HMN1" s="677"/>
      <c r="HMO1" s="677"/>
      <c r="HMP1" s="677"/>
      <c r="HMQ1" s="677"/>
      <c r="HMR1" s="677"/>
      <c r="HMS1" s="677"/>
      <c r="HMT1" s="677"/>
      <c r="HMU1" s="677"/>
      <c r="HMV1" s="677"/>
      <c r="HMW1" s="677"/>
      <c r="HMX1" s="677"/>
      <c r="HMY1" s="677"/>
      <c r="HMZ1" s="677"/>
      <c r="HNA1" s="677"/>
      <c r="HNB1" s="677"/>
      <c r="HNC1" s="677"/>
      <c r="HND1" s="677"/>
      <c r="HNE1" s="677"/>
      <c r="HNF1" s="677"/>
      <c r="HNG1" s="677"/>
      <c r="HNH1" s="677"/>
      <c r="HNI1" s="677"/>
      <c r="HNJ1" s="677"/>
      <c r="HNK1" s="677"/>
      <c r="HNL1" s="677"/>
      <c r="HNM1" s="677"/>
      <c r="HNN1" s="677"/>
      <c r="HNO1" s="677"/>
      <c r="HNP1" s="677"/>
      <c r="HNQ1" s="677"/>
      <c r="HNR1" s="677"/>
      <c r="HNS1" s="677"/>
      <c r="HNT1" s="677"/>
      <c r="HNU1" s="677"/>
      <c r="HNV1" s="677"/>
      <c r="HNW1" s="677"/>
      <c r="HNX1" s="677"/>
      <c r="HNY1" s="677"/>
      <c r="HNZ1" s="677"/>
      <c r="HOA1" s="677"/>
      <c r="HOB1" s="677"/>
      <c r="HOC1" s="677"/>
      <c r="HOD1" s="677"/>
      <c r="HOE1" s="677"/>
      <c r="HOF1" s="677"/>
      <c r="HOG1" s="677"/>
      <c r="HOH1" s="677"/>
      <c r="HOI1" s="677"/>
      <c r="HOJ1" s="677"/>
      <c r="HOK1" s="677"/>
      <c r="HOL1" s="677"/>
      <c r="HOM1" s="677"/>
      <c r="HON1" s="677"/>
      <c r="HOO1" s="677"/>
      <c r="HOP1" s="677"/>
      <c r="HOQ1" s="677"/>
      <c r="HOR1" s="677"/>
      <c r="HOS1" s="677"/>
      <c r="HOT1" s="677"/>
      <c r="HOU1" s="677"/>
      <c r="HOV1" s="677"/>
      <c r="HOW1" s="677"/>
      <c r="HOX1" s="677"/>
      <c r="HOY1" s="677"/>
      <c r="HOZ1" s="677"/>
      <c r="HPA1" s="677"/>
      <c r="HPB1" s="677"/>
      <c r="HPC1" s="677"/>
      <c r="HPD1" s="677"/>
      <c r="HPE1" s="677"/>
      <c r="HPF1" s="677"/>
      <c r="HPG1" s="677"/>
      <c r="HPH1" s="677"/>
      <c r="HPI1" s="677"/>
      <c r="HPJ1" s="677"/>
      <c r="HPK1" s="677"/>
      <c r="HPL1" s="677"/>
      <c r="HPM1" s="677"/>
      <c r="HPN1" s="677"/>
      <c r="HPO1" s="677"/>
      <c r="HPP1" s="677"/>
      <c r="HPQ1" s="677"/>
      <c r="HPR1" s="677"/>
      <c r="HPS1" s="677"/>
      <c r="HPT1" s="677"/>
      <c r="HPU1" s="677"/>
      <c r="HPV1" s="677"/>
      <c r="HPW1" s="677"/>
      <c r="HPX1" s="677"/>
      <c r="HPY1" s="677"/>
      <c r="HPZ1" s="677"/>
      <c r="HQA1" s="677"/>
      <c r="HQB1" s="677"/>
      <c r="HQC1" s="677"/>
      <c r="HQD1" s="677"/>
      <c r="HQE1" s="677"/>
      <c r="HQF1" s="677"/>
      <c r="HQG1" s="677"/>
      <c r="HQH1" s="677"/>
      <c r="HQI1" s="677"/>
      <c r="HQJ1" s="677"/>
      <c r="HQK1" s="677"/>
      <c r="HQL1" s="677"/>
      <c r="HQM1" s="677"/>
      <c r="HQN1" s="677"/>
      <c r="HQO1" s="677"/>
      <c r="HQP1" s="677"/>
      <c r="HQQ1" s="677"/>
      <c r="HQR1" s="677"/>
      <c r="HQS1" s="677"/>
      <c r="HQT1" s="677"/>
      <c r="HQU1" s="677"/>
      <c r="HQV1" s="677"/>
      <c r="HQW1" s="677"/>
      <c r="HQX1" s="677"/>
      <c r="HQY1" s="677"/>
      <c r="HQZ1" s="677"/>
      <c r="HRA1" s="677"/>
      <c r="HRB1" s="677"/>
      <c r="HRC1" s="677"/>
      <c r="HRD1" s="677"/>
      <c r="HRE1" s="677"/>
      <c r="HRF1" s="677"/>
      <c r="HRG1" s="677"/>
      <c r="HRH1" s="677"/>
      <c r="HRI1" s="677"/>
      <c r="HRJ1" s="677"/>
      <c r="HRK1" s="677"/>
      <c r="HRL1" s="677"/>
      <c r="HRM1" s="677"/>
      <c r="HRN1" s="677"/>
      <c r="HRO1" s="677"/>
      <c r="HRP1" s="677"/>
      <c r="HRQ1" s="677"/>
      <c r="HRR1" s="677"/>
      <c r="HRS1" s="677"/>
      <c r="HRT1" s="677"/>
      <c r="HRU1" s="677"/>
      <c r="HRV1" s="677"/>
      <c r="HRW1" s="677"/>
      <c r="HRX1" s="677"/>
      <c r="HRY1" s="677"/>
      <c r="HRZ1" s="677"/>
      <c r="HSA1" s="677"/>
      <c r="HSB1" s="677"/>
      <c r="HSC1" s="677"/>
      <c r="HSD1" s="677"/>
      <c r="HSE1" s="677"/>
      <c r="HSF1" s="677"/>
      <c r="HSG1" s="677"/>
      <c r="HSH1" s="677"/>
      <c r="HSI1" s="677"/>
      <c r="HSJ1" s="677"/>
      <c r="HSK1" s="677"/>
      <c r="HSL1" s="677"/>
      <c r="HSM1" s="677"/>
      <c r="HSN1" s="677"/>
      <c r="HSO1" s="677"/>
      <c r="HSP1" s="677"/>
      <c r="HSQ1" s="677"/>
      <c r="HSR1" s="677"/>
      <c r="HSS1" s="677"/>
      <c r="HST1" s="677"/>
      <c r="HSU1" s="677"/>
      <c r="HSV1" s="677"/>
      <c r="HSW1" s="677"/>
      <c r="HSX1" s="677"/>
      <c r="HSY1" s="677"/>
      <c r="HSZ1" s="677"/>
      <c r="HTA1" s="677"/>
      <c r="HTB1" s="677"/>
      <c r="HTC1" s="677"/>
      <c r="HTD1" s="677"/>
      <c r="HTE1" s="677"/>
      <c r="HTF1" s="677"/>
      <c r="HTG1" s="677"/>
      <c r="HTH1" s="677"/>
      <c r="HTI1" s="677"/>
      <c r="HTJ1" s="677"/>
      <c r="HTK1" s="677"/>
      <c r="HTL1" s="677"/>
      <c r="HTM1" s="677"/>
      <c r="HTN1" s="677"/>
      <c r="HTO1" s="677"/>
      <c r="HTP1" s="677"/>
      <c r="HTQ1" s="677"/>
      <c r="HTR1" s="677"/>
      <c r="HTS1" s="677"/>
      <c r="HTT1" s="677"/>
      <c r="HTU1" s="677"/>
      <c r="HTV1" s="677"/>
      <c r="HTW1" s="677"/>
      <c r="HTX1" s="677"/>
      <c r="HTY1" s="677"/>
      <c r="HTZ1" s="677"/>
      <c r="HUA1" s="677"/>
      <c r="HUB1" s="677"/>
      <c r="HUC1" s="677"/>
      <c r="HUD1" s="677"/>
      <c r="HUE1" s="677"/>
      <c r="HUF1" s="677"/>
      <c r="HUG1" s="677"/>
      <c r="HUH1" s="677"/>
      <c r="HUI1" s="677"/>
      <c r="HUJ1" s="677"/>
      <c r="HUK1" s="677"/>
      <c r="HUL1" s="677"/>
      <c r="HUM1" s="677"/>
      <c r="HUN1" s="677"/>
      <c r="HUO1" s="677"/>
      <c r="HUP1" s="677"/>
      <c r="HUQ1" s="677"/>
      <c r="HUR1" s="677"/>
      <c r="HUS1" s="677"/>
      <c r="HUT1" s="677"/>
      <c r="HUU1" s="677"/>
      <c r="HUV1" s="677"/>
      <c r="HUW1" s="677"/>
      <c r="HUX1" s="677"/>
      <c r="HUY1" s="677"/>
      <c r="HUZ1" s="677"/>
      <c r="HVA1" s="677"/>
      <c r="HVB1" s="677"/>
      <c r="HVC1" s="677"/>
      <c r="HVD1" s="677"/>
      <c r="HVE1" s="677"/>
      <c r="HVF1" s="677"/>
      <c r="HVG1" s="677"/>
      <c r="HVH1" s="677"/>
      <c r="HVI1" s="677"/>
      <c r="HVJ1" s="677"/>
      <c r="HVK1" s="677"/>
      <c r="HVL1" s="677"/>
      <c r="HVM1" s="677"/>
      <c r="HVN1" s="677"/>
      <c r="HVO1" s="677"/>
      <c r="HVP1" s="677"/>
      <c r="HVQ1" s="677"/>
      <c r="HVR1" s="677"/>
      <c r="HVS1" s="677"/>
      <c r="HVT1" s="677"/>
      <c r="HVU1" s="677"/>
      <c r="HVV1" s="677"/>
      <c r="HVW1" s="677"/>
      <c r="HVX1" s="677"/>
      <c r="HVY1" s="677"/>
      <c r="HVZ1" s="677"/>
      <c r="HWA1" s="677"/>
      <c r="HWB1" s="677"/>
      <c r="HWC1" s="677"/>
      <c r="HWD1" s="677"/>
      <c r="HWE1" s="677"/>
      <c r="HWF1" s="677"/>
      <c r="HWG1" s="677"/>
      <c r="HWH1" s="677"/>
      <c r="HWI1" s="677"/>
      <c r="HWJ1" s="677"/>
      <c r="HWK1" s="677"/>
      <c r="HWL1" s="677"/>
      <c r="HWM1" s="677"/>
      <c r="HWN1" s="677"/>
      <c r="HWO1" s="677"/>
      <c r="HWP1" s="677"/>
      <c r="HWQ1" s="677"/>
      <c r="HWR1" s="677"/>
      <c r="HWS1" s="677"/>
      <c r="HWT1" s="677"/>
      <c r="HWU1" s="677"/>
      <c r="HWV1" s="677"/>
      <c r="HWW1" s="677"/>
      <c r="HWX1" s="677"/>
      <c r="HWY1" s="677"/>
      <c r="HWZ1" s="677"/>
      <c r="HXA1" s="677"/>
      <c r="HXB1" s="677"/>
      <c r="HXC1" s="677"/>
      <c r="HXD1" s="677"/>
      <c r="HXE1" s="677"/>
      <c r="HXF1" s="677"/>
      <c r="HXG1" s="677"/>
      <c r="HXH1" s="677"/>
      <c r="HXI1" s="677"/>
      <c r="HXJ1" s="677"/>
      <c r="HXK1" s="677"/>
      <c r="HXL1" s="677"/>
      <c r="HXM1" s="677"/>
      <c r="HXN1" s="677"/>
      <c r="HXO1" s="677"/>
      <c r="HXP1" s="677"/>
      <c r="HXQ1" s="677"/>
      <c r="HXR1" s="677"/>
      <c r="HXS1" s="677"/>
      <c r="HXT1" s="677"/>
      <c r="HXU1" s="677"/>
      <c r="HXV1" s="677"/>
      <c r="HXW1" s="677"/>
      <c r="HXX1" s="677"/>
      <c r="HXY1" s="677"/>
      <c r="HXZ1" s="677"/>
      <c r="HYA1" s="677"/>
      <c r="HYB1" s="677"/>
      <c r="HYC1" s="677"/>
      <c r="HYD1" s="677"/>
      <c r="HYE1" s="677"/>
      <c r="HYF1" s="677"/>
      <c r="HYG1" s="677"/>
      <c r="HYH1" s="677"/>
      <c r="HYI1" s="677"/>
      <c r="HYJ1" s="677"/>
      <c r="HYK1" s="677"/>
      <c r="HYL1" s="677"/>
      <c r="HYM1" s="677"/>
      <c r="HYN1" s="677"/>
      <c r="HYO1" s="677"/>
      <c r="HYP1" s="677"/>
      <c r="HYQ1" s="677"/>
      <c r="HYR1" s="677"/>
      <c r="HYS1" s="677"/>
      <c r="HYT1" s="677"/>
      <c r="HYU1" s="677"/>
      <c r="HYV1" s="677"/>
      <c r="HYW1" s="677"/>
      <c r="HYX1" s="677"/>
      <c r="HYY1" s="677"/>
      <c r="HYZ1" s="677"/>
      <c r="HZA1" s="677"/>
      <c r="HZB1" s="677"/>
      <c r="HZC1" s="677"/>
      <c r="HZD1" s="677"/>
      <c r="HZE1" s="677"/>
      <c r="HZF1" s="677"/>
      <c r="HZG1" s="677"/>
      <c r="HZH1" s="677"/>
      <c r="HZI1" s="677"/>
      <c r="HZJ1" s="677"/>
      <c r="HZK1" s="677"/>
      <c r="HZL1" s="677"/>
      <c r="HZM1" s="677"/>
      <c r="HZN1" s="677"/>
      <c r="HZO1" s="677"/>
      <c r="HZP1" s="677"/>
      <c r="HZQ1" s="677"/>
      <c r="HZR1" s="677"/>
      <c r="HZS1" s="677"/>
      <c r="HZT1" s="677"/>
      <c r="HZU1" s="677"/>
      <c r="HZV1" s="677"/>
      <c r="HZW1" s="677"/>
      <c r="HZX1" s="677"/>
      <c r="HZY1" s="677"/>
      <c r="HZZ1" s="677"/>
      <c r="IAA1" s="677"/>
      <c r="IAB1" s="677"/>
      <c r="IAC1" s="677"/>
      <c r="IAD1" s="677"/>
      <c r="IAE1" s="677"/>
      <c r="IAF1" s="677"/>
      <c r="IAG1" s="677"/>
      <c r="IAH1" s="677"/>
      <c r="IAI1" s="677"/>
      <c r="IAJ1" s="677"/>
      <c r="IAK1" s="677"/>
      <c r="IAL1" s="677"/>
      <c r="IAM1" s="677"/>
      <c r="IAN1" s="677"/>
      <c r="IAO1" s="677"/>
      <c r="IAP1" s="677"/>
      <c r="IAQ1" s="677"/>
      <c r="IAR1" s="677"/>
      <c r="IAS1" s="677"/>
      <c r="IAT1" s="677"/>
      <c r="IAU1" s="677"/>
      <c r="IAV1" s="677"/>
      <c r="IAW1" s="677"/>
      <c r="IAX1" s="677"/>
      <c r="IAY1" s="677"/>
      <c r="IAZ1" s="677"/>
      <c r="IBA1" s="677"/>
      <c r="IBB1" s="677"/>
      <c r="IBC1" s="677"/>
      <c r="IBD1" s="677"/>
      <c r="IBE1" s="677"/>
      <c r="IBF1" s="677"/>
      <c r="IBG1" s="677"/>
      <c r="IBH1" s="677"/>
      <c r="IBI1" s="677"/>
      <c r="IBJ1" s="677"/>
      <c r="IBK1" s="677"/>
      <c r="IBL1" s="677"/>
      <c r="IBM1" s="677"/>
      <c r="IBN1" s="677"/>
      <c r="IBO1" s="677"/>
      <c r="IBP1" s="677"/>
      <c r="IBQ1" s="677"/>
      <c r="IBR1" s="677"/>
      <c r="IBS1" s="677"/>
      <c r="IBT1" s="677"/>
      <c r="IBU1" s="677"/>
      <c r="IBV1" s="677"/>
      <c r="IBW1" s="677"/>
      <c r="IBX1" s="677"/>
      <c r="IBY1" s="677"/>
      <c r="IBZ1" s="677"/>
      <c r="ICA1" s="677"/>
      <c r="ICB1" s="677"/>
      <c r="ICC1" s="677"/>
      <c r="ICD1" s="677"/>
      <c r="ICE1" s="677"/>
      <c r="ICF1" s="677"/>
      <c r="ICG1" s="677"/>
      <c r="ICH1" s="677"/>
      <c r="ICI1" s="677"/>
      <c r="ICJ1" s="677"/>
      <c r="ICK1" s="677"/>
      <c r="ICL1" s="677"/>
      <c r="ICM1" s="677"/>
      <c r="ICN1" s="677"/>
      <c r="ICO1" s="677"/>
      <c r="ICP1" s="677"/>
      <c r="ICQ1" s="677"/>
      <c r="ICR1" s="677"/>
      <c r="ICS1" s="677"/>
      <c r="ICT1" s="677"/>
      <c r="ICU1" s="677"/>
      <c r="ICV1" s="677"/>
      <c r="ICW1" s="677"/>
      <c r="ICX1" s="677"/>
      <c r="ICY1" s="677"/>
      <c r="ICZ1" s="677"/>
      <c r="IDA1" s="677"/>
      <c r="IDB1" s="677"/>
      <c r="IDC1" s="677"/>
      <c r="IDD1" s="677"/>
      <c r="IDE1" s="677"/>
      <c r="IDF1" s="677"/>
      <c r="IDG1" s="677"/>
      <c r="IDH1" s="677"/>
      <c r="IDI1" s="677"/>
      <c r="IDJ1" s="677"/>
      <c r="IDK1" s="677"/>
      <c r="IDL1" s="677"/>
      <c r="IDM1" s="677"/>
      <c r="IDN1" s="677"/>
      <c r="IDO1" s="677"/>
      <c r="IDP1" s="677"/>
      <c r="IDQ1" s="677"/>
      <c r="IDR1" s="677"/>
      <c r="IDS1" s="677"/>
      <c r="IDT1" s="677"/>
      <c r="IDU1" s="677"/>
      <c r="IDV1" s="677"/>
      <c r="IDW1" s="677"/>
      <c r="IDX1" s="677"/>
      <c r="IDY1" s="677"/>
      <c r="IDZ1" s="677"/>
      <c r="IEA1" s="677"/>
      <c r="IEB1" s="677"/>
      <c r="IEC1" s="677"/>
      <c r="IED1" s="677"/>
      <c r="IEE1" s="677"/>
      <c r="IEF1" s="677"/>
      <c r="IEG1" s="677"/>
      <c r="IEH1" s="677"/>
      <c r="IEI1" s="677"/>
      <c r="IEJ1" s="677"/>
      <c r="IEK1" s="677"/>
      <c r="IEL1" s="677"/>
      <c r="IEM1" s="677"/>
      <c r="IEN1" s="677"/>
      <c r="IEO1" s="677"/>
      <c r="IEP1" s="677"/>
      <c r="IEQ1" s="677"/>
      <c r="IER1" s="677"/>
      <c r="IES1" s="677"/>
      <c r="IET1" s="677"/>
      <c r="IEU1" s="677"/>
      <c r="IEV1" s="677"/>
      <c r="IEW1" s="677"/>
      <c r="IEX1" s="677"/>
      <c r="IEY1" s="677"/>
      <c r="IEZ1" s="677"/>
      <c r="IFA1" s="677"/>
      <c r="IFB1" s="677"/>
      <c r="IFC1" s="677"/>
      <c r="IFD1" s="677"/>
      <c r="IFE1" s="677"/>
      <c r="IFF1" s="677"/>
      <c r="IFG1" s="677"/>
      <c r="IFH1" s="677"/>
      <c r="IFI1" s="677"/>
      <c r="IFJ1" s="677"/>
      <c r="IFK1" s="677"/>
      <c r="IFL1" s="677"/>
      <c r="IFM1" s="677"/>
      <c r="IFN1" s="677"/>
      <c r="IFO1" s="677"/>
      <c r="IFP1" s="677"/>
      <c r="IFQ1" s="677"/>
      <c r="IFR1" s="677"/>
      <c r="IFS1" s="677"/>
      <c r="IFT1" s="677"/>
      <c r="IFU1" s="677"/>
      <c r="IFV1" s="677"/>
      <c r="IFW1" s="677"/>
      <c r="IFX1" s="677"/>
      <c r="IFY1" s="677"/>
      <c r="IFZ1" s="677"/>
      <c r="IGA1" s="677"/>
      <c r="IGB1" s="677"/>
      <c r="IGC1" s="677"/>
      <c r="IGD1" s="677"/>
      <c r="IGE1" s="677"/>
      <c r="IGF1" s="677"/>
      <c r="IGG1" s="677"/>
      <c r="IGH1" s="677"/>
      <c r="IGI1" s="677"/>
      <c r="IGJ1" s="677"/>
      <c r="IGK1" s="677"/>
      <c r="IGL1" s="677"/>
      <c r="IGM1" s="677"/>
      <c r="IGN1" s="677"/>
      <c r="IGO1" s="677"/>
      <c r="IGP1" s="677"/>
      <c r="IGQ1" s="677"/>
      <c r="IGR1" s="677"/>
      <c r="IGS1" s="677"/>
      <c r="IGT1" s="677"/>
      <c r="IGU1" s="677"/>
      <c r="IGV1" s="677"/>
      <c r="IGW1" s="677"/>
      <c r="IGX1" s="677"/>
      <c r="IGY1" s="677"/>
      <c r="IGZ1" s="677"/>
      <c r="IHA1" s="677"/>
      <c r="IHB1" s="677"/>
      <c r="IHC1" s="677"/>
      <c r="IHD1" s="677"/>
      <c r="IHE1" s="677"/>
      <c r="IHF1" s="677"/>
      <c r="IHG1" s="677"/>
      <c r="IHH1" s="677"/>
      <c r="IHI1" s="677"/>
      <c r="IHJ1" s="677"/>
      <c r="IHK1" s="677"/>
      <c r="IHL1" s="677"/>
      <c r="IHM1" s="677"/>
      <c r="IHN1" s="677"/>
      <c r="IHO1" s="677"/>
      <c r="IHP1" s="677"/>
      <c r="IHQ1" s="677"/>
      <c r="IHR1" s="677"/>
      <c r="IHS1" s="677"/>
      <c r="IHT1" s="677"/>
      <c r="IHU1" s="677"/>
      <c r="IHV1" s="677"/>
      <c r="IHW1" s="677"/>
      <c r="IHX1" s="677"/>
      <c r="IHY1" s="677"/>
      <c r="IHZ1" s="677"/>
      <c r="IIA1" s="677"/>
      <c r="IIB1" s="677"/>
      <c r="IIC1" s="677"/>
      <c r="IID1" s="677"/>
      <c r="IIE1" s="677"/>
      <c r="IIF1" s="677"/>
      <c r="IIG1" s="677"/>
      <c r="IIH1" s="677"/>
      <c r="III1" s="677"/>
      <c r="IIJ1" s="677"/>
      <c r="IIK1" s="677"/>
      <c r="IIL1" s="677"/>
      <c r="IIM1" s="677"/>
      <c r="IIN1" s="677"/>
      <c r="IIO1" s="677"/>
      <c r="IIP1" s="677"/>
      <c r="IIQ1" s="677"/>
      <c r="IIR1" s="677"/>
      <c r="IIS1" s="677"/>
      <c r="IIT1" s="677"/>
      <c r="IIU1" s="677"/>
      <c r="IIV1" s="677"/>
      <c r="IIW1" s="677"/>
      <c r="IIX1" s="677"/>
      <c r="IIY1" s="677"/>
      <c r="IIZ1" s="677"/>
      <c r="IJA1" s="677"/>
      <c r="IJB1" s="677"/>
      <c r="IJC1" s="677"/>
      <c r="IJD1" s="677"/>
      <c r="IJE1" s="677"/>
      <c r="IJF1" s="677"/>
      <c r="IJG1" s="677"/>
      <c r="IJH1" s="677"/>
      <c r="IJI1" s="677"/>
      <c r="IJJ1" s="677"/>
      <c r="IJK1" s="677"/>
      <c r="IJL1" s="677"/>
      <c r="IJM1" s="677"/>
      <c r="IJN1" s="677"/>
      <c r="IJO1" s="677"/>
      <c r="IJP1" s="677"/>
      <c r="IJQ1" s="677"/>
      <c r="IJR1" s="677"/>
      <c r="IJS1" s="677"/>
      <c r="IJT1" s="677"/>
      <c r="IJU1" s="677"/>
      <c r="IJV1" s="677"/>
      <c r="IJW1" s="677"/>
      <c r="IJX1" s="677"/>
      <c r="IJY1" s="677"/>
      <c r="IJZ1" s="677"/>
      <c r="IKA1" s="677"/>
      <c r="IKB1" s="677"/>
      <c r="IKC1" s="677"/>
      <c r="IKD1" s="677"/>
      <c r="IKE1" s="677"/>
      <c r="IKF1" s="677"/>
      <c r="IKG1" s="677"/>
      <c r="IKH1" s="677"/>
      <c r="IKI1" s="677"/>
      <c r="IKJ1" s="677"/>
      <c r="IKK1" s="677"/>
      <c r="IKL1" s="677"/>
      <c r="IKM1" s="677"/>
      <c r="IKN1" s="677"/>
      <c r="IKO1" s="677"/>
      <c r="IKP1" s="677"/>
      <c r="IKQ1" s="677"/>
      <c r="IKR1" s="677"/>
      <c r="IKS1" s="677"/>
      <c r="IKT1" s="677"/>
      <c r="IKU1" s="677"/>
      <c r="IKV1" s="677"/>
      <c r="IKW1" s="677"/>
      <c r="IKX1" s="677"/>
      <c r="IKY1" s="677"/>
      <c r="IKZ1" s="677"/>
      <c r="ILA1" s="677"/>
      <c r="ILB1" s="677"/>
      <c r="ILC1" s="677"/>
      <c r="ILD1" s="677"/>
      <c r="ILE1" s="677"/>
      <c r="ILF1" s="677"/>
      <c r="ILG1" s="677"/>
      <c r="ILH1" s="677"/>
      <c r="ILI1" s="677"/>
      <c r="ILJ1" s="677"/>
      <c r="ILK1" s="677"/>
      <c r="ILL1" s="677"/>
      <c r="ILM1" s="677"/>
      <c r="ILN1" s="677"/>
      <c r="ILO1" s="677"/>
      <c r="ILP1" s="677"/>
      <c r="ILQ1" s="677"/>
      <c r="ILR1" s="677"/>
      <c r="ILS1" s="677"/>
      <c r="ILT1" s="677"/>
      <c r="ILU1" s="677"/>
      <c r="ILV1" s="677"/>
      <c r="ILW1" s="677"/>
      <c r="ILX1" s="677"/>
      <c r="ILY1" s="677"/>
      <c r="ILZ1" s="677"/>
      <c r="IMA1" s="677"/>
      <c r="IMB1" s="677"/>
      <c r="IMC1" s="677"/>
      <c r="IMD1" s="677"/>
      <c r="IME1" s="677"/>
      <c r="IMF1" s="677"/>
      <c r="IMG1" s="677"/>
      <c r="IMH1" s="677"/>
      <c r="IMI1" s="677"/>
      <c r="IMJ1" s="677"/>
      <c r="IMK1" s="677"/>
      <c r="IML1" s="677"/>
      <c r="IMM1" s="677"/>
      <c r="IMN1" s="677"/>
      <c r="IMO1" s="677"/>
      <c r="IMP1" s="677"/>
      <c r="IMQ1" s="677"/>
      <c r="IMR1" s="677"/>
      <c r="IMS1" s="677"/>
      <c r="IMT1" s="677"/>
      <c r="IMU1" s="677"/>
      <c r="IMV1" s="677"/>
      <c r="IMW1" s="677"/>
      <c r="IMX1" s="677"/>
      <c r="IMY1" s="677"/>
      <c r="IMZ1" s="677"/>
      <c r="INA1" s="677"/>
      <c r="INB1" s="677"/>
      <c r="INC1" s="677"/>
      <c r="IND1" s="677"/>
      <c r="INE1" s="677"/>
      <c r="INF1" s="677"/>
      <c r="ING1" s="677"/>
      <c r="INH1" s="677"/>
      <c r="INI1" s="677"/>
      <c r="INJ1" s="677"/>
      <c r="INK1" s="677"/>
      <c r="INL1" s="677"/>
      <c r="INM1" s="677"/>
      <c r="INN1" s="677"/>
      <c r="INO1" s="677"/>
      <c r="INP1" s="677"/>
      <c r="INQ1" s="677"/>
      <c r="INR1" s="677"/>
      <c r="INS1" s="677"/>
      <c r="INT1" s="677"/>
      <c r="INU1" s="677"/>
      <c r="INV1" s="677"/>
      <c r="INW1" s="677"/>
      <c r="INX1" s="677"/>
      <c r="INY1" s="677"/>
      <c r="INZ1" s="677"/>
      <c r="IOA1" s="677"/>
      <c r="IOB1" s="677"/>
      <c r="IOC1" s="677"/>
      <c r="IOD1" s="677"/>
      <c r="IOE1" s="677"/>
      <c r="IOF1" s="677"/>
      <c r="IOG1" s="677"/>
      <c r="IOH1" s="677"/>
      <c r="IOI1" s="677"/>
      <c r="IOJ1" s="677"/>
      <c r="IOK1" s="677"/>
      <c r="IOL1" s="677"/>
      <c r="IOM1" s="677"/>
      <c r="ION1" s="677"/>
      <c r="IOO1" s="677"/>
      <c r="IOP1" s="677"/>
      <c r="IOQ1" s="677"/>
      <c r="IOR1" s="677"/>
      <c r="IOS1" s="677"/>
      <c r="IOT1" s="677"/>
      <c r="IOU1" s="677"/>
      <c r="IOV1" s="677"/>
      <c r="IOW1" s="677"/>
      <c r="IOX1" s="677"/>
      <c r="IOY1" s="677"/>
      <c r="IOZ1" s="677"/>
      <c r="IPA1" s="677"/>
      <c r="IPB1" s="677"/>
      <c r="IPC1" s="677"/>
      <c r="IPD1" s="677"/>
      <c r="IPE1" s="677"/>
      <c r="IPF1" s="677"/>
      <c r="IPG1" s="677"/>
      <c r="IPH1" s="677"/>
      <c r="IPI1" s="677"/>
      <c r="IPJ1" s="677"/>
      <c r="IPK1" s="677"/>
      <c r="IPL1" s="677"/>
      <c r="IPM1" s="677"/>
      <c r="IPN1" s="677"/>
      <c r="IPO1" s="677"/>
      <c r="IPP1" s="677"/>
      <c r="IPQ1" s="677"/>
      <c r="IPR1" s="677"/>
      <c r="IPS1" s="677"/>
      <c r="IPT1" s="677"/>
      <c r="IPU1" s="677"/>
      <c r="IPV1" s="677"/>
      <c r="IPW1" s="677"/>
      <c r="IPX1" s="677"/>
      <c r="IPY1" s="677"/>
      <c r="IPZ1" s="677"/>
      <c r="IQA1" s="677"/>
      <c r="IQB1" s="677"/>
      <c r="IQC1" s="677"/>
      <c r="IQD1" s="677"/>
      <c r="IQE1" s="677"/>
      <c r="IQF1" s="677"/>
      <c r="IQG1" s="677"/>
      <c r="IQH1" s="677"/>
      <c r="IQI1" s="677"/>
      <c r="IQJ1" s="677"/>
      <c r="IQK1" s="677"/>
      <c r="IQL1" s="677"/>
      <c r="IQM1" s="677"/>
      <c r="IQN1" s="677"/>
      <c r="IQO1" s="677"/>
      <c r="IQP1" s="677"/>
      <c r="IQQ1" s="677"/>
      <c r="IQR1" s="677"/>
      <c r="IQS1" s="677"/>
      <c r="IQT1" s="677"/>
      <c r="IQU1" s="677"/>
      <c r="IQV1" s="677"/>
      <c r="IQW1" s="677"/>
      <c r="IQX1" s="677"/>
      <c r="IQY1" s="677"/>
      <c r="IQZ1" s="677"/>
      <c r="IRA1" s="677"/>
      <c r="IRB1" s="677"/>
      <c r="IRC1" s="677"/>
      <c r="IRD1" s="677"/>
      <c r="IRE1" s="677"/>
      <c r="IRF1" s="677"/>
      <c r="IRG1" s="677"/>
      <c r="IRH1" s="677"/>
      <c r="IRI1" s="677"/>
      <c r="IRJ1" s="677"/>
      <c r="IRK1" s="677"/>
      <c r="IRL1" s="677"/>
      <c r="IRM1" s="677"/>
      <c r="IRN1" s="677"/>
      <c r="IRO1" s="677"/>
      <c r="IRP1" s="677"/>
      <c r="IRQ1" s="677"/>
      <c r="IRR1" s="677"/>
      <c r="IRS1" s="677"/>
      <c r="IRT1" s="677"/>
      <c r="IRU1" s="677"/>
      <c r="IRV1" s="677"/>
      <c r="IRW1" s="677"/>
      <c r="IRX1" s="677"/>
      <c r="IRY1" s="677"/>
      <c r="IRZ1" s="677"/>
      <c r="ISA1" s="677"/>
      <c r="ISB1" s="677"/>
      <c r="ISC1" s="677"/>
      <c r="ISD1" s="677"/>
      <c r="ISE1" s="677"/>
      <c r="ISF1" s="677"/>
      <c r="ISG1" s="677"/>
      <c r="ISH1" s="677"/>
      <c r="ISI1" s="677"/>
      <c r="ISJ1" s="677"/>
      <c r="ISK1" s="677"/>
      <c r="ISL1" s="677"/>
      <c r="ISM1" s="677"/>
      <c r="ISN1" s="677"/>
      <c r="ISO1" s="677"/>
      <c r="ISP1" s="677"/>
      <c r="ISQ1" s="677"/>
      <c r="ISR1" s="677"/>
      <c r="ISS1" s="677"/>
      <c r="IST1" s="677"/>
      <c r="ISU1" s="677"/>
      <c r="ISV1" s="677"/>
      <c r="ISW1" s="677"/>
      <c r="ISX1" s="677"/>
      <c r="ISY1" s="677"/>
      <c r="ISZ1" s="677"/>
      <c r="ITA1" s="677"/>
      <c r="ITB1" s="677"/>
      <c r="ITC1" s="677"/>
      <c r="ITD1" s="677"/>
      <c r="ITE1" s="677"/>
      <c r="ITF1" s="677"/>
      <c r="ITG1" s="677"/>
      <c r="ITH1" s="677"/>
      <c r="ITI1" s="677"/>
      <c r="ITJ1" s="677"/>
      <c r="ITK1" s="677"/>
      <c r="ITL1" s="677"/>
      <c r="ITM1" s="677"/>
      <c r="ITN1" s="677"/>
      <c r="ITO1" s="677"/>
      <c r="ITP1" s="677"/>
      <c r="ITQ1" s="677"/>
      <c r="ITR1" s="677"/>
      <c r="ITS1" s="677"/>
      <c r="ITT1" s="677"/>
      <c r="ITU1" s="677"/>
      <c r="ITV1" s="677"/>
      <c r="ITW1" s="677"/>
      <c r="ITX1" s="677"/>
      <c r="ITY1" s="677"/>
      <c r="ITZ1" s="677"/>
      <c r="IUA1" s="677"/>
      <c r="IUB1" s="677"/>
      <c r="IUC1" s="677"/>
      <c r="IUD1" s="677"/>
      <c r="IUE1" s="677"/>
      <c r="IUF1" s="677"/>
      <c r="IUG1" s="677"/>
      <c r="IUH1" s="677"/>
      <c r="IUI1" s="677"/>
      <c r="IUJ1" s="677"/>
      <c r="IUK1" s="677"/>
      <c r="IUL1" s="677"/>
      <c r="IUM1" s="677"/>
      <c r="IUN1" s="677"/>
      <c r="IUO1" s="677"/>
      <c r="IUP1" s="677"/>
      <c r="IUQ1" s="677"/>
      <c r="IUR1" s="677"/>
      <c r="IUS1" s="677"/>
      <c r="IUT1" s="677"/>
      <c r="IUU1" s="677"/>
      <c r="IUV1" s="677"/>
      <c r="IUW1" s="677"/>
      <c r="IUX1" s="677"/>
      <c r="IUY1" s="677"/>
      <c r="IUZ1" s="677"/>
      <c r="IVA1" s="677"/>
      <c r="IVB1" s="677"/>
      <c r="IVC1" s="677"/>
      <c r="IVD1" s="677"/>
      <c r="IVE1" s="677"/>
      <c r="IVF1" s="677"/>
      <c r="IVG1" s="677"/>
      <c r="IVH1" s="677"/>
      <c r="IVI1" s="677"/>
      <c r="IVJ1" s="677"/>
      <c r="IVK1" s="677"/>
      <c r="IVL1" s="677"/>
      <c r="IVM1" s="677"/>
      <c r="IVN1" s="677"/>
      <c r="IVO1" s="677"/>
      <c r="IVP1" s="677"/>
      <c r="IVQ1" s="677"/>
      <c r="IVR1" s="677"/>
      <c r="IVS1" s="677"/>
      <c r="IVT1" s="677"/>
      <c r="IVU1" s="677"/>
      <c r="IVV1" s="677"/>
      <c r="IVW1" s="677"/>
      <c r="IVX1" s="677"/>
      <c r="IVY1" s="677"/>
      <c r="IVZ1" s="677"/>
      <c r="IWA1" s="677"/>
      <c r="IWB1" s="677"/>
      <c r="IWC1" s="677"/>
      <c r="IWD1" s="677"/>
      <c r="IWE1" s="677"/>
      <c r="IWF1" s="677"/>
      <c r="IWG1" s="677"/>
      <c r="IWH1" s="677"/>
      <c r="IWI1" s="677"/>
      <c r="IWJ1" s="677"/>
      <c r="IWK1" s="677"/>
      <c r="IWL1" s="677"/>
      <c r="IWM1" s="677"/>
      <c r="IWN1" s="677"/>
      <c r="IWO1" s="677"/>
      <c r="IWP1" s="677"/>
      <c r="IWQ1" s="677"/>
      <c r="IWR1" s="677"/>
      <c r="IWS1" s="677"/>
      <c r="IWT1" s="677"/>
      <c r="IWU1" s="677"/>
      <c r="IWV1" s="677"/>
      <c r="IWW1" s="677"/>
      <c r="IWX1" s="677"/>
      <c r="IWY1" s="677"/>
      <c r="IWZ1" s="677"/>
      <c r="IXA1" s="677"/>
      <c r="IXB1" s="677"/>
      <c r="IXC1" s="677"/>
      <c r="IXD1" s="677"/>
      <c r="IXE1" s="677"/>
      <c r="IXF1" s="677"/>
      <c r="IXG1" s="677"/>
      <c r="IXH1" s="677"/>
      <c r="IXI1" s="677"/>
      <c r="IXJ1" s="677"/>
      <c r="IXK1" s="677"/>
      <c r="IXL1" s="677"/>
      <c r="IXM1" s="677"/>
      <c r="IXN1" s="677"/>
      <c r="IXO1" s="677"/>
      <c r="IXP1" s="677"/>
      <c r="IXQ1" s="677"/>
      <c r="IXR1" s="677"/>
      <c r="IXS1" s="677"/>
      <c r="IXT1" s="677"/>
      <c r="IXU1" s="677"/>
      <c r="IXV1" s="677"/>
      <c r="IXW1" s="677"/>
      <c r="IXX1" s="677"/>
      <c r="IXY1" s="677"/>
      <c r="IXZ1" s="677"/>
      <c r="IYA1" s="677"/>
      <c r="IYB1" s="677"/>
      <c r="IYC1" s="677"/>
      <c r="IYD1" s="677"/>
      <c r="IYE1" s="677"/>
      <c r="IYF1" s="677"/>
      <c r="IYG1" s="677"/>
      <c r="IYH1" s="677"/>
      <c r="IYI1" s="677"/>
      <c r="IYJ1" s="677"/>
      <c r="IYK1" s="677"/>
      <c r="IYL1" s="677"/>
      <c r="IYM1" s="677"/>
      <c r="IYN1" s="677"/>
      <c r="IYO1" s="677"/>
      <c r="IYP1" s="677"/>
      <c r="IYQ1" s="677"/>
      <c r="IYR1" s="677"/>
      <c r="IYS1" s="677"/>
      <c r="IYT1" s="677"/>
      <c r="IYU1" s="677"/>
      <c r="IYV1" s="677"/>
      <c r="IYW1" s="677"/>
      <c r="IYX1" s="677"/>
      <c r="IYY1" s="677"/>
      <c r="IYZ1" s="677"/>
      <c r="IZA1" s="677"/>
      <c r="IZB1" s="677"/>
      <c r="IZC1" s="677"/>
      <c r="IZD1" s="677"/>
      <c r="IZE1" s="677"/>
      <c r="IZF1" s="677"/>
      <c r="IZG1" s="677"/>
      <c r="IZH1" s="677"/>
      <c r="IZI1" s="677"/>
      <c r="IZJ1" s="677"/>
      <c r="IZK1" s="677"/>
      <c r="IZL1" s="677"/>
      <c r="IZM1" s="677"/>
      <c r="IZN1" s="677"/>
      <c r="IZO1" s="677"/>
      <c r="IZP1" s="677"/>
      <c r="IZQ1" s="677"/>
      <c r="IZR1" s="677"/>
      <c r="IZS1" s="677"/>
      <c r="IZT1" s="677"/>
      <c r="IZU1" s="677"/>
      <c r="IZV1" s="677"/>
      <c r="IZW1" s="677"/>
      <c r="IZX1" s="677"/>
      <c r="IZY1" s="677"/>
      <c r="IZZ1" s="677"/>
      <c r="JAA1" s="677"/>
      <c r="JAB1" s="677"/>
      <c r="JAC1" s="677"/>
      <c r="JAD1" s="677"/>
      <c r="JAE1" s="677"/>
      <c r="JAF1" s="677"/>
      <c r="JAG1" s="677"/>
      <c r="JAH1" s="677"/>
      <c r="JAI1" s="677"/>
      <c r="JAJ1" s="677"/>
      <c r="JAK1" s="677"/>
      <c r="JAL1" s="677"/>
      <c r="JAM1" s="677"/>
      <c r="JAN1" s="677"/>
      <c r="JAO1" s="677"/>
      <c r="JAP1" s="677"/>
      <c r="JAQ1" s="677"/>
      <c r="JAR1" s="677"/>
      <c r="JAS1" s="677"/>
      <c r="JAT1" s="677"/>
      <c r="JAU1" s="677"/>
      <c r="JAV1" s="677"/>
      <c r="JAW1" s="677"/>
      <c r="JAX1" s="677"/>
      <c r="JAY1" s="677"/>
      <c r="JAZ1" s="677"/>
      <c r="JBA1" s="677"/>
      <c r="JBB1" s="677"/>
      <c r="JBC1" s="677"/>
      <c r="JBD1" s="677"/>
      <c r="JBE1" s="677"/>
      <c r="JBF1" s="677"/>
      <c r="JBG1" s="677"/>
      <c r="JBH1" s="677"/>
      <c r="JBI1" s="677"/>
      <c r="JBJ1" s="677"/>
      <c r="JBK1" s="677"/>
      <c r="JBL1" s="677"/>
      <c r="JBM1" s="677"/>
      <c r="JBN1" s="677"/>
      <c r="JBO1" s="677"/>
      <c r="JBP1" s="677"/>
      <c r="JBQ1" s="677"/>
      <c r="JBR1" s="677"/>
      <c r="JBS1" s="677"/>
      <c r="JBT1" s="677"/>
      <c r="JBU1" s="677"/>
      <c r="JBV1" s="677"/>
      <c r="JBW1" s="677"/>
      <c r="JBX1" s="677"/>
      <c r="JBY1" s="677"/>
      <c r="JBZ1" s="677"/>
      <c r="JCA1" s="677"/>
      <c r="JCB1" s="677"/>
      <c r="JCC1" s="677"/>
      <c r="JCD1" s="677"/>
      <c r="JCE1" s="677"/>
      <c r="JCF1" s="677"/>
      <c r="JCG1" s="677"/>
      <c r="JCH1" s="677"/>
      <c r="JCI1" s="677"/>
      <c r="JCJ1" s="677"/>
      <c r="JCK1" s="677"/>
      <c r="JCL1" s="677"/>
      <c r="JCM1" s="677"/>
      <c r="JCN1" s="677"/>
      <c r="JCO1" s="677"/>
      <c r="JCP1" s="677"/>
      <c r="JCQ1" s="677"/>
      <c r="JCR1" s="677"/>
      <c r="JCS1" s="677"/>
      <c r="JCT1" s="677"/>
      <c r="JCU1" s="677"/>
      <c r="JCV1" s="677"/>
      <c r="JCW1" s="677"/>
      <c r="JCX1" s="677"/>
      <c r="JCY1" s="677"/>
      <c r="JCZ1" s="677"/>
      <c r="JDA1" s="677"/>
      <c r="JDB1" s="677"/>
      <c r="JDC1" s="677"/>
      <c r="JDD1" s="677"/>
      <c r="JDE1" s="677"/>
      <c r="JDF1" s="677"/>
      <c r="JDG1" s="677"/>
      <c r="JDH1" s="677"/>
      <c r="JDI1" s="677"/>
      <c r="JDJ1" s="677"/>
      <c r="JDK1" s="677"/>
      <c r="JDL1" s="677"/>
      <c r="JDM1" s="677"/>
      <c r="JDN1" s="677"/>
      <c r="JDO1" s="677"/>
      <c r="JDP1" s="677"/>
      <c r="JDQ1" s="677"/>
      <c r="JDR1" s="677"/>
      <c r="JDS1" s="677"/>
      <c r="JDT1" s="677"/>
      <c r="JDU1" s="677"/>
      <c r="JDV1" s="677"/>
      <c r="JDW1" s="677"/>
      <c r="JDX1" s="677"/>
      <c r="JDY1" s="677"/>
      <c r="JDZ1" s="677"/>
      <c r="JEA1" s="677"/>
      <c r="JEB1" s="677"/>
      <c r="JEC1" s="677"/>
      <c r="JED1" s="677"/>
      <c r="JEE1" s="677"/>
      <c r="JEF1" s="677"/>
      <c r="JEG1" s="677"/>
      <c r="JEH1" s="677"/>
      <c r="JEI1" s="677"/>
      <c r="JEJ1" s="677"/>
      <c r="JEK1" s="677"/>
      <c r="JEL1" s="677"/>
      <c r="JEM1" s="677"/>
      <c r="JEN1" s="677"/>
      <c r="JEO1" s="677"/>
      <c r="JEP1" s="677"/>
      <c r="JEQ1" s="677"/>
      <c r="JER1" s="677"/>
      <c r="JES1" s="677"/>
      <c r="JET1" s="677"/>
      <c r="JEU1" s="677"/>
      <c r="JEV1" s="677"/>
      <c r="JEW1" s="677"/>
      <c r="JEX1" s="677"/>
      <c r="JEY1" s="677"/>
      <c r="JEZ1" s="677"/>
      <c r="JFA1" s="677"/>
      <c r="JFB1" s="677"/>
      <c r="JFC1" s="677"/>
      <c r="JFD1" s="677"/>
      <c r="JFE1" s="677"/>
      <c r="JFF1" s="677"/>
      <c r="JFG1" s="677"/>
      <c r="JFH1" s="677"/>
      <c r="JFI1" s="677"/>
      <c r="JFJ1" s="677"/>
      <c r="JFK1" s="677"/>
      <c r="JFL1" s="677"/>
      <c r="JFM1" s="677"/>
      <c r="JFN1" s="677"/>
      <c r="JFO1" s="677"/>
      <c r="JFP1" s="677"/>
      <c r="JFQ1" s="677"/>
      <c r="JFR1" s="677"/>
      <c r="JFS1" s="677"/>
      <c r="JFT1" s="677"/>
      <c r="JFU1" s="677"/>
      <c r="JFV1" s="677"/>
      <c r="JFW1" s="677"/>
      <c r="JFX1" s="677"/>
      <c r="JFY1" s="677"/>
      <c r="JFZ1" s="677"/>
      <c r="JGA1" s="677"/>
      <c r="JGB1" s="677"/>
      <c r="JGC1" s="677"/>
      <c r="JGD1" s="677"/>
      <c r="JGE1" s="677"/>
      <c r="JGF1" s="677"/>
      <c r="JGG1" s="677"/>
      <c r="JGH1" s="677"/>
      <c r="JGI1" s="677"/>
      <c r="JGJ1" s="677"/>
      <c r="JGK1" s="677"/>
      <c r="JGL1" s="677"/>
      <c r="JGM1" s="677"/>
      <c r="JGN1" s="677"/>
      <c r="JGO1" s="677"/>
      <c r="JGP1" s="677"/>
      <c r="JGQ1" s="677"/>
      <c r="JGR1" s="677"/>
      <c r="JGS1" s="677"/>
      <c r="JGT1" s="677"/>
      <c r="JGU1" s="677"/>
      <c r="JGV1" s="677"/>
      <c r="JGW1" s="677"/>
      <c r="JGX1" s="677"/>
      <c r="JGY1" s="677"/>
      <c r="JGZ1" s="677"/>
      <c r="JHA1" s="677"/>
      <c r="JHB1" s="677"/>
      <c r="JHC1" s="677"/>
      <c r="JHD1" s="677"/>
      <c r="JHE1" s="677"/>
      <c r="JHF1" s="677"/>
      <c r="JHG1" s="677"/>
      <c r="JHH1" s="677"/>
      <c r="JHI1" s="677"/>
      <c r="JHJ1" s="677"/>
      <c r="JHK1" s="677"/>
      <c r="JHL1" s="677"/>
      <c r="JHM1" s="677"/>
      <c r="JHN1" s="677"/>
      <c r="JHO1" s="677"/>
      <c r="JHP1" s="677"/>
      <c r="JHQ1" s="677"/>
      <c r="JHR1" s="677"/>
      <c r="JHS1" s="677"/>
      <c r="JHT1" s="677"/>
      <c r="JHU1" s="677"/>
      <c r="JHV1" s="677"/>
      <c r="JHW1" s="677"/>
      <c r="JHX1" s="677"/>
      <c r="JHY1" s="677"/>
      <c r="JHZ1" s="677"/>
      <c r="JIA1" s="677"/>
      <c r="JIB1" s="677"/>
      <c r="JIC1" s="677"/>
      <c r="JID1" s="677"/>
      <c r="JIE1" s="677"/>
      <c r="JIF1" s="677"/>
      <c r="JIG1" s="677"/>
      <c r="JIH1" s="677"/>
      <c r="JII1" s="677"/>
      <c r="JIJ1" s="677"/>
      <c r="JIK1" s="677"/>
      <c r="JIL1" s="677"/>
      <c r="JIM1" s="677"/>
      <c r="JIN1" s="677"/>
      <c r="JIO1" s="677"/>
      <c r="JIP1" s="677"/>
      <c r="JIQ1" s="677"/>
      <c r="JIR1" s="677"/>
      <c r="JIS1" s="677"/>
      <c r="JIT1" s="677"/>
      <c r="JIU1" s="677"/>
      <c r="JIV1" s="677"/>
      <c r="JIW1" s="677"/>
      <c r="JIX1" s="677"/>
      <c r="JIY1" s="677"/>
      <c r="JIZ1" s="677"/>
      <c r="JJA1" s="677"/>
      <c r="JJB1" s="677"/>
      <c r="JJC1" s="677"/>
      <c r="JJD1" s="677"/>
      <c r="JJE1" s="677"/>
      <c r="JJF1" s="677"/>
      <c r="JJG1" s="677"/>
      <c r="JJH1" s="677"/>
      <c r="JJI1" s="677"/>
      <c r="JJJ1" s="677"/>
      <c r="JJK1" s="677"/>
      <c r="JJL1" s="677"/>
      <c r="JJM1" s="677"/>
      <c r="JJN1" s="677"/>
      <c r="JJO1" s="677"/>
      <c r="JJP1" s="677"/>
      <c r="JJQ1" s="677"/>
      <c r="JJR1" s="677"/>
      <c r="JJS1" s="677"/>
      <c r="JJT1" s="677"/>
      <c r="JJU1" s="677"/>
      <c r="JJV1" s="677"/>
      <c r="JJW1" s="677"/>
      <c r="JJX1" s="677"/>
      <c r="JJY1" s="677"/>
      <c r="JJZ1" s="677"/>
      <c r="JKA1" s="677"/>
      <c r="JKB1" s="677"/>
      <c r="JKC1" s="677"/>
      <c r="JKD1" s="677"/>
      <c r="JKE1" s="677"/>
      <c r="JKF1" s="677"/>
      <c r="JKG1" s="677"/>
      <c r="JKH1" s="677"/>
      <c r="JKI1" s="677"/>
      <c r="JKJ1" s="677"/>
      <c r="JKK1" s="677"/>
      <c r="JKL1" s="677"/>
      <c r="JKM1" s="677"/>
      <c r="JKN1" s="677"/>
      <c r="JKO1" s="677"/>
      <c r="JKP1" s="677"/>
      <c r="JKQ1" s="677"/>
      <c r="JKR1" s="677"/>
      <c r="JKS1" s="677"/>
      <c r="JKT1" s="677"/>
      <c r="JKU1" s="677"/>
      <c r="JKV1" s="677"/>
      <c r="JKW1" s="677"/>
      <c r="JKX1" s="677"/>
      <c r="JKY1" s="677"/>
      <c r="JKZ1" s="677"/>
      <c r="JLA1" s="677"/>
      <c r="JLB1" s="677"/>
      <c r="JLC1" s="677"/>
      <c r="JLD1" s="677"/>
      <c r="JLE1" s="677"/>
      <c r="JLF1" s="677"/>
      <c r="JLG1" s="677"/>
      <c r="JLH1" s="677"/>
      <c r="JLI1" s="677"/>
      <c r="JLJ1" s="677"/>
      <c r="JLK1" s="677"/>
      <c r="JLL1" s="677"/>
      <c r="JLM1" s="677"/>
      <c r="JLN1" s="677"/>
      <c r="JLO1" s="677"/>
      <c r="JLP1" s="677"/>
      <c r="JLQ1" s="677"/>
      <c r="JLR1" s="677"/>
      <c r="JLS1" s="677"/>
      <c r="JLT1" s="677"/>
      <c r="JLU1" s="677"/>
      <c r="JLV1" s="677"/>
      <c r="JLW1" s="677"/>
      <c r="JLX1" s="677"/>
      <c r="JLY1" s="677"/>
      <c r="JLZ1" s="677"/>
      <c r="JMA1" s="677"/>
      <c r="JMB1" s="677"/>
      <c r="JMC1" s="677"/>
      <c r="JMD1" s="677"/>
      <c r="JME1" s="677"/>
      <c r="JMF1" s="677"/>
      <c r="JMG1" s="677"/>
      <c r="JMH1" s="677"/>
      <c r="JMI1" s="677"/>
      <c r="JMJ1" s="677"/>
      <c r="JMK1" s="677"/>
      <c r="JML1" s="677"/>
      <c r="JMM1" s="677"/>
      <c r="JMN1" s="677"/>
      <c r="JMO1" s="677"/>
      <c r="JMP1" s="677"/>
      <c r="JMQ1" s="677"/>
      <c r="JMR1" s="677"/>
      <c r="JMS1" s="677"/>
      <c r="JMT1" s="677"/>
      <c r="JMU1" s="677"/>
      <c r="JMV1" s="677"/>
      <c r="JMW1" s="677"/>
      <c r="JMX1" s="677"/>
      <c r="JMY1" s="677"/>
      <c r="JMZ1" s="677"/>
      <c r="JNA1" s="677"/>
      <c r="JNB1" s="677"/>
      <c r="JNC1" s="677"/>
      <c r="JND1" s="677"/>
      <c r="JNE1" s="677"/>
      <c r="JNF1" s="677"/>
      <c r="JNG1" s="677"/>
      <c r="JNH1" s="677"/>
      <c r="JNI1" s="677"/>
      <c r="JNJ1" s="677"/>
      <c r="JNK1" s="677"/>
      <c r="JNL1" s="677"/>
      <c r="JNM1" s="677"/>
      <c r="JNN1" s="677"/>
      <c r="JNO1" s="677"/>
      <c r="JNP1" s="677"/>
      <c r="JNQ1" s="677"/>
      <c r="JNR1" s="677"/>
      <c r="JNS1" s="677"/>
      <c r="JNT1" s="677"/>
      <c r="JNU1" s="677"/>
      <c r="JNV1" s="677"/>
      <c r="JNW1" s="677"/>
      <c r="JNX1" s="677"/>
      <c r="JNY1" s="677"/>
      <c r="JNZ1" s="677"/>
      <c r="JOA1" s="677"/>
      <c r="JOB1" s="677"/>
      <c r="JOC1" s="677"/>
      <c r="JOD1" s="677"/>
      <c r="JOE1" s="677"/>
      <c r="JOF1" s="677"/>
      <c r="JOG1" s="677"/>
      <c r="JOH1" s="677"/>
      <c r="JOI1" s="677"/>
      <c r="JOJ1" s="677"/>
      <c r="JOK1" s="677"/>
      <c r="JOL1" s="677"/>
      <c r="JOM1" s="677"/>
      <c r="JON1" s="677"/>
      <c r="JOO1" s="677"/>
      <c r="JOP1" s="677"/>
      <c r="JOQ1" s="677"/>
      <c r="JOR1" s="677"/>
      <c r="JOS1" s="677"/>
      <c r="JOT1" s="677"/>
      <c r="JOU1" s="677"/>
      <c r="JOV1" s="677"/>
      <c r="JOW1" s="677"/>
      <c r="JOX1" s="677"/>
      <c r="JOY1" s="677"/>
      <c r="JOZ1" s="677"/>
      <c r="JPA1" s="677"/>
      <c r="JPB1" s="677"/>
      <c r="JPC1" s="677"/>
      <c r="JPD1" s="677"/>
      <c r="JPE1" s="677"/>
      <c r="JPF1" s="677"/>
      <c r="JPG1" s="677"/>
      <c r="JPH1" s="677"/>
      <c r="JPI1" s="677"/>
      <c r="JPJ1" s="677"/>
      <c r="JPK1" s="677"/>
      <c r="JPL1" s="677"/>
      <c r="JPM1" s="677"/>
      <c r="JPN1" s="677"/>
      <c r="JPO1" s="677"/>
      <c r="JPP1" s="677"/>
      <c r="JPQ1" s="677"/>
      <c r="JPR1" s="677"/>
      <c r="JPS1" s="677"/>
      <c r="JPT1" s="677"/>
      <c r="JPU1" s="677"/>
      <c r="JPV1" s="677"/>
      <c r="JPW1" s="677"/>
      <c r="JPX1" s="677"/>
      <c r="JPY1" s="677"/>
      <c r="JPZ1" s="677"/>
      <c r="JQA1" s="677"/>
      <c r="JQB1" s="677"/>
      <c r="JQC1" s="677"/>
      <c r="JQD1" s="677"/>
      <c r="JQE1" s="677"/>
      <c r="JQF1" s="677"/>
      <c r="JQG1" s="677"/>
      <c r="JQH1" s="677"/>
      <c r="JQI1" s="677"/>
      <c r="JQJ1" s="677"/>
      <c r="JQK1" s="677"/>
      <c r="JQL1" s="677"/>
      <c r="JQM1" s="677"/>
      <c r="JQN1" s="677"/>
      <c r="JQO1" s="677"/>
      <c r="JQP1" s="677"/>
      <c r="JQQ1" s="677"/>
      <c r="JQR1" s="677"/>
      <c r="JQS1" s="677"/>
      <c r="JQT1" s="677"/>
      <c r="JQU1" s="677"/>
      <c r="JQV1" s="677"/>
      <c r="JQW1" s="677"/>
      <c r="JQX1" s="677"/>
      <c r="JQY1" s="677"/>
      <c r="JQZ1" s="677"/>
      <c r="JRA1" s="677"/>
      <c r="JRB1" s="677"/>
      <c r="JRC1" s="677"/>
      <c r="JRD1" s="677"/>
      <c r="JRE1" s="677"/>
      <c r="JRF1" s="677"/>
      <c r="JRG1" s="677"/>
      <c r="JRH1" s="677"/>
      <c r="JRI1" s="677"/>
      <c r="JRJ1" s="677"/>
      <c r="JRK1" s="677"/>
      <c r="JRL1" s="677"/>
      <c r="JRM1" s="677"/>
      <c r="JRN1" s="677"/>
      <c r="JRO1" s="677"/>
      <c r="JRP1" s="677"/>
      <c r="JRQ1" s="677"/>
      <c r="JRR1" s="677"/>
      <c r="JRS1" s="677"/>
      <c r="JRT1" s="677"/>
      <c r="JRU1" s="677"/>
      <c r="JRV1" s="677"/>
      <c r="JRW1" s="677"/>
      <c r="JRX1" s="677"/>
      <c r="JRY1" s="677"/>
      <c r="JRZ1" s="677"/>
      <c r="JSA1" s="677"/>
      <c r="JSB1" s="677"/>
      <c r="JSC1" s="677"/>
      <c r="JSD1" s="677"/>
      <c r="JSE1" s="677"/>
      <c r="JSF1" s="677"/>
      <c r="JSG1" s="677"/>
      <c r="JSH1" s="677"/>
      <c r="JSI1" s="677"/>
      <c r="JSJ1" s="677"/>
      <c r="JSK1" s="677"/>
      <c r="JSL1" s="677"/>
      <c r="JSM1" s="677"/>
      <c r="JSN1" s="677"/>
      <c r="JSO1" s="677"/>
      <c r="JSP1" s="677"/>
      <c r="JSQ1" s="677"/>
      <c r="JSR1" s="677"/>
      <c r="JSS1" s="677"/>
      <c r="JST1" s="677"/>
      <c r="JSU1" s="677"/>
      <c r="JSV1" s="677"/>
      <c r="JSW1" s="677"/>
      <c r="JSX1" s="677"/>
      <c r="JSY1" s="677"/>
      <c r="JSZ1" s="677"/>
      <c r="JTA1" s="677"/>
      <c r="JTB1" s="677"/>
      <c r="JTC1" s="677"/>
      <c r="JTD1" s="677"/>
      <c r="JTE1" s="677"/>
      <c r="JTF1" s="677"/>
      <c r="JTG1" s="677"/>
      <c r="JTH1" s="677"/>
      <c r="JTI1" s="677"/>
      <c r="JTJ1" s="677"/>
      <c r="JTK1" s="677"/>
      <c r="JTL1" s="677"/>
      <c r="JTM1" s="677"/>
      <c r="JTN1" s="677"/>
      <c r="JTO1" s="677"/>
      <c r="JTP1" s="677"/>
      <c r="JTQ1" s="677"/>
      <c r="JTR1" s="677"/>
      <c r="JTS1" s="677"/>
      <c r="JTT1" s="677"/>
      <c r="JTU1" s="677"/>
      <c r="JTV1" s="677"/>
      <c r="JTW1" s="677"/>
      <c r="JTX1" s="677"/>
      <c r="JTY1" s="677"/>
      <c r="JTZ1" s="677"/>
      <c r="JUA1" s="677"/>
      <c r="JUB1" s="677"/>
      <c r="JUC1" s="677"/>
      <c r="JUD1" s="677"/>
      <c r="JUE1" s="677"/>
      <c r="JUF1" s="677"/>
      <c r="JUG1" s="677"/>
      <c r="JUH1" s="677"/>
      <c r="JUI1" s="677"/>
      <c r="JUJ1" s="677"/>
      <c r="JUK1" s="677"/>
      <c r="JUL1" s="677"/>
      <c r="JUM1" s="677"/>
      <c r="JUN1" s="677"/>
      <c r="JUO1" s="677"/>
      <c r="JUP1" s="677"/>
      <c r="JUQ1" s="677"/>
      <c r="JUR1" s="677"/>
      <c r="JUS1" s="677"/>
      <c r="JUT1" s="677"/>
      <c r="JUU1" s="677"/>
      <c r="JUV1" s="677"/>
      <c r="JUW1" s="677"/>
      <c r="JUX1" s="677"/>
      <c r="JUY1" s="677"/>
      <c r="JUZ1" s="677"/>
      <c r="JVA1" s="677"/>
      <c r="JVB1" s="677"/>
      <c r="JVC1" s="677"/>
      <c r="JVD1" s="677"/>
      <c r="JVE1" s="677"/>
      <c r="JVF1" s="677"/>
      <c r="JVG1" s="677"/>
      <c r="JVH1" s="677"/>
      <c r="JVI1" s="677"/>
      <c r="JVJ1" s="677"/>
      <c r="JVK1" s="677"/>
      <c r="JVL1" s="677"/>
      <c r="JVM1" s="677"/>
      <c r="JVN1" s="677"/>
      <c r="JVO1" s="677"/>
      <c r="JVP1" s="677"/>
      <c r="JVQ1" s="677"/>
      <c r="JVR1" s="677"/>
      <c r="JVS1" s="677"/>
      <c r="JVT1" s="677"/>
      <c r="JVU1" s="677"/>
      <c r="JVV1" s="677"/>
      <c r="JVW1" s="677"/>
      <c r="JVX1" s="677"/>
      <c r="JVY1" s="677"/>
      <c r="JVZ1" s="677"/>
      <c r="JWA1" s="677"/>
      <c r="JWB1" s="677"/>
      <c r="JWC1" s="677"/>
      <c r="JWD1" s="677"/>
      <c r="JWE1" s="677"/>
      <c r="JWF1" s="677"/>
      <c r="JWG1" s="677"/>
      <c r="JWH1" s="677"/>
      <c r="JWI1" s="677"/>
      <c r="JWJ1" s="677"/>
      <c r="JWK1" s="677"/>
      <c r="JWL1" s="677"/>
      <c r="JWM1" s="677"/>
      <c r="JWN1" s="677"/>
      <c r="JWO1" s="677"/>
      <c r="JWP1" s="677"/>
      <c r="JWQ1" s="677"/>
      <c r="JWR1" s="677"/>
      <c r="JWS1" s="677"/>
      <c r="JWT1" s="677"/>
      <c r="JWU1" s="677"/>
      <c r="JWV1" s="677"/>
      <c r="JWW1" s="677"/>
      <c r="JWX1" s="677"/>
      <c r="JWY1" s="677"/>
      <c r="JWZ1" s="677"/>
      <c r="JXA1" s="677"/>
      <c r="JXB1" s="677"/>
      <c r="JXC1" s="677"/>
      <c r="JXD1" s="677"/>
      <c r="JXE1" s="677"/>
      <c r="JXF1" s="677"/>
      <c r="JXG1" s="677"/>
      <c r="JXH1" s="677"/>
      <c r="JXI1" s="677"/>
      <c r="JXJ1" s="677"/>
      <c r="JXK1" s="677"/>
      <c r="JXL1" s="677"/>
      <c r="JXM1" s="677"/>
      <c r="JXN1" s="677"/>
      <c r="JXO1" s="677"/>
      <c r="JXP1" s="677"/>
      <c r="JXQ1" s="677"/>
      <c r="JXR1" s="677"/>
      <c r="JXS1" s="677"/>
      <c r="JXT1" s="677"/>
      <c r="JXU1" s="677"/>
      <c r="JXV1" s="677"/>
      <c r="JXW1" s="677"/>
      <c r="JXX1" s="677"/>
      <c r="JXY1" s="677"/>
      <c r="JXZ1" s="677"/>
      <c r="JYA1" s="677"/>
      <c r="JYB1" s="677"/>
      <c r="JYC1" s="677"/>
      <c r="JYD1" s="677"/>
      <c r="JYE1" s="677"/>
      <c r="JYF1" s="677"/>
      <c r="JYG1" s="677"/>
      <c r="JYH1" s="677"/>
      <c r="JYI1" s="677"/>
      <c r="JYJ1" s="677"/>
      <c r="JYK1" s="677"/>
      <c r="JYL1" s="677"/>
      <c r="JYM1" s="677"/>
      <c r="JYN1" s="677"/>
      <c r="JYO1" s="677"/>
      <c r="JYP1" s="677"/>
      <c r="JYQ1" s="677"/>
      <c r="JYR1" s="677"/>
      <c r="JYS1" s="677"/>
      <c r="JYT1" s="677"/>
      <c r="JYU1" s="677"/>
      <c r="JYV1" s="677"/>
      <c r="JYW1" s="677"/>
      <c r="JYX1" s="677"/>
      <c r="JYY1" s="677"/>
      <c r="JYZ1" s="677"/>
      <c r="JZA1" s="677"/>
      <c r="JZB1" s="677"/>
      <c r="JZC1" s="677"/>
      <c r="JZD1" s="677"/>
      <c r="JZE1" s="677"/>
      <c r="JZF1" s="677"/>
      <c r="JZG1" s="677"/>
      <c r="JZH1" s="677"/>
      <c r="JZI1" s="677"/>
      <c r="JZJ1" s="677"/>
      <c r="JZK1" s="677"/>
      <c r="JZL1" s="677"/>
      <c r="JZM1" s="677"/>
      <c r="JZN1" s="677"/>
      <c r="JZO1" s="677"/>
      <c r="JZP1" s="677"/>
      <c r="JZQ1" s="677"/>
      <c r="JZR1" s="677"/>
      <c r="JZS1" s="677"/>
      <c r="JZT1" s="677"/>
      <c r="JZU1" s="677"/>
      <c r="JZV1" s="677"/>
      <c r="JZW1" s="677"/>
      <c r="JZX1" s="677"/>
      <c r="JZY1" s="677"/>
      <c r="JZZ1" s="677"/>
      <c r="KAA1" s="677"/>
      <c r="KAB1" s="677"/>
      <c r="KAC1" s="677"/>
      <c r="KAD1" s="677"/>
      <c r="KAE1" s="677"/>
      <c r="KAF1" s="677"/>
      <c r="KAG1" s="677"/>
      <c r="KAH1" s="677"/>
      <c r="KAI1" s="677"/>
      <c r="KAJ1" s="677"/>
      <c r="KAK1" s="677"/>
      <c r="KAL1" s="677"/>
      <c r="KAM1" s="677"/>
      <c r="KAN1" s="677"/>
      <c r="KAO1" s="677"/>
      <c r="KAP1" s="677"/>
      <c r="KAQ1" s="677"/>
      <c r="KAR1" s="677"/>
      <c r="KAS1" s="677"/>
      <c r="KAT1" s="677"/>
      <c r="KAU1" s="677"/>
      <c r="KAV1" s="677"/>
      <c r="KAW1" s="677"/>
      <c r="KAX1" s="677"/>
      <c r="KAY1" s="677"/>
      <c r="KAZ1" s="677"/>
      <c r="KBA1" s="677"/>
      <c r="KBB1" s="677"/>
      <c r="KBC1" s="677"/>
      <c r="KBD1" s="677"/>
      <c r="KBE1" s="677"/>
      <c r="KBF1" s="677"/>
      <c r="KBG1" s="677"/>
      <c r="KBH1" s="677"/>
      <c r="KBI1" s="677"/>
      <c r="KBJ1" s="677"/>
      <c r="KBK1" s="677"/>
      <c r="KBL1" s="677"/>
      <c r="KBM1" s="677"/>
      <c r="KBN1" s="677"/>
      <c r="KBO1" s="677"/>
      <c r="KBP1" s="677"/>
      <c r="KBQ1" s="677"/>
      <c r="KBR1" s="677"/>
      <c r="KBS1" s="677"/>
      <c r="KBT1" s="677"/>
      <c r="KBU1" s="677"/>
      <c r="KBV1" s="677"/>
      <c r="KBW1" s="677"/>
      <c r="KBX1" s="677"/>
      <c r="KBY1" s="677"/>
      <c r="KBZ1" s="677"/>
      <c r="KCA1" s="677"/>
      <c r="KCB1" s="677"/>
      <c r="KCC1" s="677"/>
      <c r="KCD1" s="677"/>
      <c r="KCE1" s="677"/>
      <c r="KCF1" s="677"/>
      <c r="KCG1" s="677"/>
      <c r="KCH1" s="677"/>
      <c r="KCI1" s="677"/>
      <c r="KCJ1" s="677"/>
      <c r="KCK1" s="677"/>
      <c r="KCL1" s="677"/>
      <c r="KCM1" s="677"/>
      <c r="KCN1" s="677"/>
      <c r="KCO1" s="677"/>
      <c r="KCP1" s="677"/>
      <c r="KCQ1" s="677"/>
      <c r="KCR1" s="677"/>
      <c r="KCS1" s="677"/>
      <c r="KCT1" s="677"/>
      <c r="KCU1" s="677"/>
      <c r="KCV1" s="677"/>
      <c r="KCW1" s="677"/>
      <c r="KCX1" s="677"/>
      <c r="KCY1" s="677"/>
      <c r="KCZ1" s="677"/>
      <c r="KDA1" s="677"/>
      <c r="KDB1" s="677"/>
      <c r="KDC1" s="677"/>
      <c r="KDD1" s="677"/>
      <c r="KDE1" s="677"/>
      <c r="KDF1" s="677"/>
      <c r="KDG1" s="677"/>
      <c r="KDH1" s="677"/>
      <c r="KDI1" s="677"/>
      <c r="KDJ1" s="677"/>
      <c r="KDK1" s="677"/>
      <c r="KDL1" s="677"/>
      <c r="KDM1" s="677"/>
      <c r="KDN1" s="677"/>
      <c r="KDO1" s="677"/>
      <c r="KDP1" s="677"/>
      <c r="KDQ1" s="677"/>
      <c r="KDR1" s="677"/>
      <c r="KDS1" s="677"/>
      <c r="KDT1" s="677"/>
      <c r="KDU1" s="677"/>
      <c r="KDV1" s="677"/>
      <c r="KDW1" s="677"/>
      <c r="KDX1" s="677"/>
      <c r="KDY1" s="677"/>
      <c r="KDZ1" s="677"/>
      <c r="KEA1" s="677"/>
      <c r="KEB1" s="677"/>
      <c r="KEC1" s="677"/>
      <c r="KED1" s="677"/>
      <c r="KEE1" s="677"/>
      <c r="KEF1" s="677"/>
      <c r="KEG1" s="677"/>
      <c r="KEH1" s="677"/>
      <c r="KEI1" s="677"/>
      <c r="KEJ1" s="677"/>
      <c r="KEK1" s="677"/>
      <c r="KEL1" s="677"/>
      <c r="KEM1" s="677"/>
      <c r="KEN1" s="677"/>
      <c r="KEO1" s="677"/>
      <c r="KEP1" s="677"/>
      <c r="KEQ1" s="677"/>
      <c r="KER1" s="677"/>
      <c r="KES1" s="677"/>
      <c r="KET1" s="677"/>
      <c r="KEU1" s="677"/>
      <c r="KEV1" s="677"/>
      <c r="KEW1" s="677"/>
      <c r="KEX1" s="677"/>
      <c r="KEY1" s="677"/>
      <c r="KEZ1" s="677"/>
      <c r="KFA1" s="677"/>
      <c r="KFB1" s="677"/>
      <c r="KFC1" s="677"/>
      <c r="KFD1" s="677"/>
      <c r="KFE1" s="677"/>
      <c r="KFF1" s="677"/>
      <c r="KFG1" s="677"/>
      <c r="KFH1" s="677"/>
      <c r="KFI1" s="677"/>
      <c r="KFJ1" s="677"/>
      <c r="KFK1" s="677"/>
      <c r="KFL1" s="677"/>
      <c r="KFM1" s="677"/>
      <c r="KFN1" s="677"/>
      <c r="KFO1" s="677"/>
      <c r="KFP1" s="677"/>
      <c r="KFQ1" s="677"/>
      <c r="KFR1" s="677"/>
      <c r="KFS1" s="677"/>
      <c r="KFT1" s="677"/>
      <c r="KFU1" s="677"/>
      <c r="KFV1" s="677"/>
      <c r="KFW1" s="677"/>
      <c r="KFX1" s="677"/>
      <c r="KFY1" s="677"/>
      <c r="KFZ1" s="677"/>
      <c r="KGA1" s="677"/>
      <c r="KGB1" s="677"/>
      <c r="KGC1" s="677"/>
      <c r="KGD1" s="677"/>
      <c r="KGE1" s="677"/>
      <c r="KGF1" s="677"/>
      <c r="KGG1" s="677"/>
      <c r="KGH1" s="677"/>
      <c r="KGI1" s="677"/>
      <c r="KGJ1" s="677"/>
      <c r="KGK1" s="677"/>
      <c r="KGL1" s="677"/>
      <c r="KGM1" s="677"/>
      <c r="KGN1" s="677"/>
      <c r="KGO1" s="677"/>
      <c r="KGP1" s="677"/>
      <c r="KGQ1" s="677"/>
      <c r="KGR1" s="677"/>
      <c r="KGS1" s="677"/>
      <c r="KGT1" s="677"/>
      <c r="KGU1" s="677"/>
      <c r="KGV1" s="677"/>
      <c r="KGW1" s="677"/>
      <c r="KGX1" s="677"/>
      <c r="KGY1" s="677"/>
      <c r="KGZ1" s="677"/>
      <c r="KHA1" s="677"/>
      <c r="KHB1" s="677"/>
      <c r="KHC1" s="677"/>
      <c r="KHD1" s="677"/>
      <c r="KHE1" s="677"/>
      <c r="KHF1" s="677"/>
      <c r="KHG1" s="677"/>
      <c r="KHH1" s="677"/>
      <c r="KHI1" s="677"/>
      <c r="KHJ1" s="677"/>
      <c r="KHK1" s="677"/>
      <c r="KHL1" s="677"/>
      <c r="KHM1" s="677"/>
      <c r="KHN1" s="677"/>
      <c r="KHO1" s="677"/>
      <c r="KHP1" s="677"/>
      <c r="KHQ1" s="677"/>
      <c r="KHR1" s="677"/>
      <c r="KHS1" s="677"/>
      <c r="KHT1" s="677"/>
      <c r="KHU1" s="677"/>
      <c r="KHV1" s="677"/>
      <c r="KHW1" s="677"/>
      <c r="KHX1" s="677"/>
      <c r="KHY1" s="677"/>
      <c r="KHZ1" s="677"/>
      <c r="KIA1" s="677"/>
      <c r="KIB1" s="677"/>
      <c r="KIC1" s="677"/>
      <c r="KID1" s="677"/>
      <c r="KIE1" s="677"/>
      <c r="KIF1" s="677"/>
      <c r="KIG1" s="677"/>
      <c r="KIH1" s="677"/>
      <c r="KII1" s="677"/>
      <c r="KIJ1" s="677"/>
      <c r="KIK1" s="677"/>
      <c r="KIL1" s="677"/>
      <c r="KIM1" s="677"/>
      <c r="KIN1" s="677"/>
      <c r="KIO1" s="677"/>
      <c r="KIP1" s="677"/>
      <c r="KIQ1" s="677"/>
      <c r="KIR1" s="677"/>
      <c r="KIS1" s="677"/>
      <c r="KIT1" s="677"/>
      <c r="KIU1" s="677"/>
      <c r="KIV1" s="677"/>
      <c r="KIW1" s="677"/>
      <c r="KIX1" s="677"/>
      <c r="KIY1" s="677"/>
      <c r="KIZ1" s="677"/>
      <c r="KJA1" s="677"/>
      <c r="KJB1" s="677"/>
      <c r="KJC1" s="677"/>
      <c r="KJD1" s="677"/>
      <c r="KJE1" s="677"/>
      <c r="KJF1" s="677"/>
      <c r="KJG1" s="677"/>
      <c r="KJH1" s="677"/>
      <c r="KJI1" s="677"/>
      <c r="KJJ1" s="677"/>
      <c r="KJK1" s="677"/>
      <c r="KJL1" s="677"/>
      <c r="KJM1" s="677"/>
      <c r="KJN1" s="677"/>
      <c r="KJO1" s="677"/>
      <c r="KJP1" s="677"/>
      <c r="KJQ1" s="677"/>
      <c r="KJR1" s="677"/>
      <c r="KJS1" s="677"/>
      <c r="KJT1" s="677"/>
      <c r="KJU1" s="677"/>
      <c r="KJV1" s="677"/>
      <c r="KJW1" s="677"/>
      <c r="KJX1" s="677"/>
      <c r="KJY1" s="677"/>
      <c r="KJZ1" s="677"/>
      <c r="KKA1" s="677"/>
      <c r="KKB1" s="677"/>
      <c r="KKC1" s="677"/>
      <c r="KKD1" s="677"/>
      <c r="KKE1" s="677"/>
      <c r="KKF1" s="677"/>
      <c r="KKG1" s="677"/>
      <c r="KKH1" s="677"/>
      <c r="KKI1" s="677"/>
      <c r="KKJ1" s="677"/>
      <c r="KKK1" s="677"/>
      <c r="KKL1" s="677"/>
      <c r="KKM1" s="677"/>
      <c r="KKN1" s="677"/>
      <c r="KKO1" s="677"/>
      <c r="KKP1" s="677"/>
      <c r="KKQ1" s="677"/>
      <c r="KKR1" s="677"/>
      <c r="KKS1" s="677"/>
      <c r="KKT1" s="677"/>
      <c r="KKU1" s="677"/>
      <c r="KKV1" s="677"/>
      <c r="KKW1" s="677"/>
      <c r="KKX1" s="677"/>
      <c r="KKY1" s="677"/>
      <c r="KKZ1" s="677"/>
      <c r="KLA1" s="677"/>
      <c r="KLB1" s="677"/>
      <c r="KLC1" s="677"/>
      <c r="KLD1" s="677"/>
      <c r="KLE1" s="677"/>
      <c r="KLF1" s="677"/>
      <c r="KLG1" s="677"/>
      <c r="KLH1" s="677"/>
      <c r="KLI1" s="677"/>
      <c r="KLJ1" s="677"/>
      <c r="KLK1" s="677"/>
      <c r="KLL1" s="677"/>
      <c r="KLM1" s="677"/>
      <c r="KLN1" s="677"/>
      <c r="KLO1" s="677"/>
      <c r="KLP1" s="677"/>
      <c r="KLQ1" s="677"/>
      <c r="KLR1" s="677"/>
      <c r="KLS1" s="677"/>
      <c r="KLT1" s="677"/>
      <c r="KLU1" s="677"/>
      <c r="KLV1" s="677"/>
      <c r="KLW1" s="677"/>
      <c r="KLX1" s="677"/>
      <c r="KLY1" s="677"/>
      <c r="KLZ1" s="677"/>
      <c r="KMA1" s="677"/>
      <c r="KMB1" s="677"/>
      <c r="KMC1" s="677"/>
      <c r="KMD1" s="677"/>
      <c r="KME1" s="677"/>
      <c r="KMF1" s="677"/>
      <c r="KMG1" s="677"/>
      <c r="KMH1" s="677"/>
      <c r="KMI1" s="677"/>
      <c r="KMJ1" s="677"/>
      <c r="KMK1" s="677"/>
      <c r="KML1" s="677"/>
      <c r="KMM1" s="677"/>
      <c r="KMN1" s="677"/>
      <c r="KMO1" s="677"/>
      <c r="KMP1" s="677"/>
      <c r="KMQ1" s="677"/>
      <c r="KMR1" s="677"/>
      <c r="KMS1" s="677"/>
      <c r="KMT1" s="677"/>
      <c r="KMU1" s="677"/>
      <c r="KMV1" s="677"/>
      <c r="KMW1" s="677"/>
      <c r="KMX1" s="677"/>
      <c r="KMY1" s="677"/>
      <c r="KMZ1" s="677"/>
      <c r="KNA1" s="677"/>
      <c r="KNB1" s="677"/>
      <c r="KNC1" s="677"/>
      <c r="KND1" s="677"/>
      <c r="KNE1" s="677"/>
      <c r="KNF1" s="677"/>
      <c r="KNG1" s="677"/>
      <c r="KNH1" s="677"/>
      <c r="KNI1" s="677"/>
      <c r="KNJ1" s="677"/>
      <c r="KNK1" s="677"/>
      <c r="KNL1" s="677"/>
      <c r="KNM1" s="677"/>
      <c r="KNN1" s="677"/>
      <c r="KNO1" s="677"/>
      <c r="KNP1" s="677"/>
      <c r="KNQ1" s="677"/>
      <c r="KNR1" s="677"/>
      <c r="KNS1" s="677"/>
      <c r="KNT1" s="677"/>
      <c r="KNU1" s="677"/>
      <c r="KNV1" s="677"/>
      <c r="KNW1" s="677"/>
      <c r="KNX1" s="677"/>
      <c r="KNY1" s="677"/>
      <c r="KNZ1" s="677"/>
      <c r="KOA1" s="677"/>
      <c r="KOB1" s="677"/>
      <c r="KOC1" s="677"/>
      <c r="KOD1" s="677"/>
      <c r="KOE1" s="677"/>
      <c r="KOF1" s="677"/>
      <c r="KOG1" s="677"/>
      <c r="KOH1" s="677"/>
      <c r="KOI1" s="677"/>
      <c r="KOJ1" s="677"/>
      <c r="KOK1" s="677"/>
      <c r="KOL1" s="677"/>
      <c r="KOM1" s="677"/>
      <c r="KON1" s="677"/>
      <c r="KOO1" s="677"/>
      <c r="KOP1" s="677"/>
      <c r="KOQ1" s="677"/>
      <c r="KOR1" s="677"/>
      <c r="KOS1" s="677"/>
      <c r="KOT1" s="677"/>
      <c r="KOU1" s="677"/>
      <c r="KOV1" s="677"/>
      <c r="KOW1" s="677"/>
      <c r="KOX1" s="677"/>
      <c r="KOY1" s="677"/>
      <c r="KOZ1" s="677"/>
      <c r="KPA1" s="677"/>
      <c r="KPB1" s="677"/>
      <c r="KPC1" s="677"/>
      <c r="KPD1" s="677"/>
      <c r="KPE1" s="677"/>
      <c r="KPF1" s="677"/>
      <c r="KPG1" s="677"/>
      <c r="KPH1" s="677"/>
      <c r="KPI1" s="677"/>
      <c r="KPJ1" s="677"/>
      <c r="KPK1" s="677"/>
      <c r="KPL1" s="677"/>
      <c r="KPM1" s="677"/>
      <c r="KPN1" s="677"/>
      <c r="KPO1" s="677"/>
      <c r="KPP1" s="677"/>
      <c r="KPQ1" s="677"/>
      <c r="KPR1" s="677"/>
      <c r="KPS1" s="677"/>
      <c r="KPT1" s="677"/>
      <c r="KPU1" s="677"/>
      <c r="KPV1" s="677"/>
      <c r="KPW1" s="677"/>
      <c r="KPX1" s="677"/>
      <c r="KPY1" s="677"/>
      <c r="KPZ1" s="677"/>
      <c r="KQA1" s="677"/>
      <c r="KQB1" s="677"/>
      <c r="KQC1" s="677"/>
      <c r="KQD1" s="677"/>
      <c r="KQE1" s="677"/>
      <c r="KQF1" s="677"/>
      <c r="KQG1" s="677"/>
      <c r="KQH1" s="677"/>
      <c r="KQI1" s="677"/>
      <c r="KQJ1" s="677"/>
      <c r="KQK1" s="677"/>
      <c r="KQL1" s="677"/>
      <c r="KQM1" s="677"/>
      <c r="KQN1" s="677"/>
      <c r="KQO1" s="677"/>
      <c r="KQP1" s="677"/>
      <c r="KQQ1" s="677"/>
      <c r="KQR1" s="677"/>
      <c r="KQS1" s="677"/>
      <c r="KQT1" s="677"/>
      <c r="KQU1" s="677"/>
      <c r="KQV1" s="677"/>
      <c r="KQW1" s="677"/>
      <c r="KQX1" s="677"/>
      <c r="KQY1" s="677"/>
      <c r="KQZ1" s="677"/>
      <c r="KRA1" s="677"/>
      <c r="KRB1" s="677"/>
      <c r="KRC1" s="677"/>
      <c r="KRD1" s="677"/>
      <c r="KRE1" s="677"/>
      <c r="KRF1" s="677"/>
      <c r="KRG1" s="677"/>
      <c r="KRH1" s="677"/>
      <c r="KRI1" s="677"/>
      <c r="KRJ1" s="677"/>
      <c r="KRK1" s="677"/>
      <c r="KRL1" s="677"/>
      <c r="KRM1" s="677"/>
      <c r="KRN1" s="677"/>
      <c r="KRO1" s="677"/>
      <c r="KRP1" s="677"/>
      <c r="KRQ1" s="677"/>
      <c r="KRR1" s="677"/>
      <c r="KRS1" s="677"/>
      <c r="KRT1" s="677"/>
      <c r="KRU1" s="677"/>
      <c r="KRV1" s="677"/>
      <c r="KRW1" s="677"/>
      <c r="KRX1" s="677"/>
      <c r="KRY1" s="677"/>
      <c r="KRZ1" s="677"/>
      <c r="KSA1" s="677"/>
      <c r="KSB1" s="677"/>
      <c r="KSC1" s="677"/>
      <c r="KSD1" s="677"/>
      <c r="KSE1" s="677"/>
      <c r="KSF1" s="677"/>
      <c r="KSG1" s="677"/>
      <c r="KSH1" s="677"/>
      <c r="KSI1" s="677"/>
      <c r="KSJ1" s="677"/>
      <c r="KSK1" s="677"/>
      <c r="KSL1" s="677"/>
      <c r="KSM1" s="677"/>
      <c r="KSN1" s="677"/>
      <c r="KSO1" s="677"/>
      <c r="KSP1" s="677"/>
      <c r="KSQ1" s="677"/>
      <c r="KSR1" s="677"/>
      <c r="KSS1" s="677"/>
      <c r="KST1" s="677"/>
      <c r="KSU1" s="677"/>
      <c r="KSV1" s="677"/>
      <c r="KSW1" s="677"/>
      <c r="KSX1" s="677"/>
      <c r="KSY1" s="677"/>
      <c r="KSZ1" s="677"/>
      <c r="KTA1" s="677"/>
      <c r="KTB1" s="677"/>
      <c r="KTC1" s="677"/>
      <c r="KTD1" s="677"/>
      <c r="KTE1" s="677"/>
      <c r="KTF1" s="677"/>
      <c r="KTG1" s="677"/>
      <c r="KTH1" s="677"/>
      <c r="KTI1" s="677"/>
      <c r="KTJ1" s="677"/>
      <c r="KTK1" s="677"/>
      <c r="KTL1" s="677"/>
      <c r="KTM1" s="677"/>
      <c r="KTN1" s="677"/>
      <c r="KTO1" s="677"/>
      <c r="KTP1" s="677"/>
      <c r="KTQ1" s="677"/>
      <c r="KTR1" s="677"/>
      <c r="KTS1" s="677"/>
      <c r="KTT1" s="677"/>
      <c r="KTU1" s="677"/>
      <c r="KTV1" s="677"/>
      <c r="KTW1" s="677"/>
      <c r="KTX1" s="677"/>
      <c r="KTY1" s="677"/>
      <c r="KTZ1" s="677"/>
      <c r="KUA1" s="677"/>
      <c r="KUB1" s="677"/>
      <c r="KUC1" s="677"/>
      <c r="KUD1" s="677"/>
      <c r="KUE1" s="677"/>
      <c r="KUF1" s="677"/>
      <c r="KUG1" s="677"/>
      <c r="KUH1" s="677"/>
      <c r="KUI1" s="677"/>
      <c r="KUJ1" s="677"/>
      <c r="KUK1" s="677"/>
      <c r="KUL1" s="677"/>
      <c r="KUM1" s="677"/>
      <c r="KUN1" s="677"/>
      <c r="KUO1" s="677"/>
      <c r="KUP1" s="677"/>
      <c r="KUQ1" s="677"/>
      <c r="KUR1" s="677"/>
      <c r="KUS1" s="677"/>
      <c r="KUT1" s="677"/>
      <c r="KUU1" s="677"/>
      <c r="KUV1" s="677"/>
      <c r="KUW1" s="677"/>
      <c r="KUX1" s="677"/>
      <c r="KUY1" s="677"/>
      <c r="KUZ1" s="677"/>
      <c r="KVA1" s="677"/>
      <c r="KVB1" s="677"/>
      <c r="KVC1" s="677"/>
      <c r="KVD1" s="677"/>
      <c r="KVE1" s="677"/>
      <c r="KVF1" s="677"/>
      <c r="KVG1" s="677"/>
      <c r="KVH1" s="677"/>
      <c r="KVI1" s="677"/>
      <c r="KVJ1" s="677"/>
      <c r="KVK1" s="677"/>
      <c r="KVL1" s="677"/>
      <c r="KVM1" s="677"/>
      <c r="KVN1" s="677"/>
      <c r="KVO1" s="677"/>
      <c r="KVP1" s="677"/>
      <c r="KVQ1" s="677"/>
      <c r="KVR1" s="677"/>
      <c r="KVS1" s="677"/>
      <c r="KVT1" s="677"/>
      <c r="KVU1" s="677"/>
      <c r="KVV1" s="677"/>
      <c r="KVW1" s="677"/>
      <c r="KVX1" s="677"/>
      <c r="KVY1" s="677"/>
      <c r="KVZ1" s="677"/>
      <c r="KWA1" s="677"/>
      <c r="KWB1" s="677"/>
      <c r="KWC1" s="677"/>
      <c r="KWD1" s="677"/>
      <c r="KWE1" s="677"/>
      <c r="KWF1" s="677"/>
      <c r="KWG1" s="677"/>
      <c r="KWH1" s="677"/>
      <c r="KWI1" s="677"/>
      <c r="KWJ1" s="677"/>
      <c r="KWK1" s="677"/>
      <c r="KWL1" s="677"/>
      <c r="KWM1" s="677"/>
      <c r="KWN1" s="677"/>
      <c r="KWO1" s="677"/>
      <c r="KWP1" s="677"/>
      <c r="KWQ1" s="677"/>
      <c r="KWR1" s="677"/>
      <c r="KWS1" s="677"/>
      <c r="KWT1" s="677"/>
      <c r="KWU1" s="677"/>
      <c r="KWV1" s="677"/>
      <c r="KWW1" s="677"/>
      <c r="KWX1" s="677"/>
      <c r="KWY1" s="677"/>
      <c r="KWZ1" s="677"/>
      <c r="KXA1" s="677"/>
      <c r="KXB1" s="677"/>
      <c r="KXC1" s="677"/>
      <c r="KXD1" s="677"/>
      <c r="KXE1" s="677"/>
      <c r="KXF1" s="677"/>
      <c r="KXG1" s="677"/>
      <c r="KXH1" s="677"/>
      <c r="KXI1" s="677"/>
      <c r="KXJ1" s="677"/>
      <c r="KXK1" s="677"/>
      <c r="KXL1" s="677"/>
      <c r="KXM1" s="677"/>
      <c r="KXN1" s="677"/>
      <c r="KXO1" s="677"/>
      <c r="KXP1" s="677"/>
      <c r="KXQ1" s="677"/>
      <c r="KXR1" s="677"/>
      <c r="KXS1" s="677"/>
      <c r="KXT1" s="677"/>
      <c r="KXU1" s="677"/>
      <c r="KXV1" s="677"/>
      <c r="KXW1" s="677"/>
      <c r="KXX1" s="677"/>
      <c r="KXY1" s="677"/>
      <c r="KXZ1" s="677"/>
      <c r="KYA1" s="677"/>
      <c r="KYB1" s="677"/>
      <c r="KYC1" s="677"/>
      <c r="KYD1" s="677"/>
      <c r="KYE1" s="677"/>
      <c r="KYF1" s="677"/>
      <c r="KYG1" s="677"/>
      <c r="KYH1" s="677"/>
      <c r="KYI1" s="677"/>
      <c r="KYJ1" s="677"/>
      <c r="KYK1" s="677"/>
      <c r="KYL1" s="677"/>
      <c r="KYM1" s="677"/>
      <c r="KYN1" s="677"/>
      <c r="KYO1" s="677"/>
      <c r="KYP1" s="677"/>
      <c r="KYQ1" s="677"/>
      <c r="KYR1" s="677"/>
      <c r="KYS1" s="677"/>
      <c r="KYT1" s="677"/>
      <c r="KYU1" s="677"/>
      <c r="KYV1" s="677"/>
      <c r="KYW1" s="677"/>
      <c r="KYX1" s="677"/>
      <c r="KYY1" s="677"/>
      <c r="KYZ1" s="677"/>
      <c r="KZA1" s="677"/>
      <c r="KZB1" s="677"/>
      <c r="KZC1" s="677"/>
      <c r="KZD1" s="677"/>
      <c r="KZE1" s="677"/>
      <c r="KZF1" s="677"/>
      <c r="KZG1" s="677"/>
      <c r="KZH1" s="677"/>
      <c r="KZI1" s="677"/>
      <c r="KZJ1" s="677"/>
      <c r="KZK1" s="677"/>
      <c r="KZL1" s="677"/>
      <c r="KZM1" s="677"/>
      <c r="KZN1" s="677"/>
      <c r="KZO1" s="677"/>
      <c r="KZP1" s="677"/>
      <c r="KZQ1" s="677"/>
      <c r="KZR1" s="677"/>
      <c r="KZS1" s="677"/>
      <c r="KZT1" s="677"/>
      <c r="KZU1" s="677"/>
      <c r="KZV1" s="677"/>
      <c r="KZW1" s="677"/>
      <c r="KZX1" s="677"/>
      <c r="KZY1" s="677"/>
      <c r="KZZ1" s="677"/>
      <c r="LAA1" s="677"/>
      <c r="LAB1" s="677"/>
      <c r="LAC1" s="677"/>
      <c r="LAD1" s="677"/>
      <c r="LAE1" s="677"/>
      <c r="LAF1" s="677"/>
      <c r="LAG1" s="677"/>
      <c r="LAH1" s="677"/>
      <c r="LAI1" s="677"/>
      <c r="LAJ1" s="677"/>
      <c r="LAK1" s="677"/>
      <c r="LAL1" s="677"/>
      <c r="LAM1" s="677"/>
      <c r="LAN1" s="677"/>
      <c r="LAO1" s="677"/>
      <c r="LAP1" s="677"/>
      <c r="LAQ1" s="677"/>
      <c r="LAR1" s="677"/>
      <c r="LAS1" s="677"/>
      <c r="LAT1" s="677"/>
      <c r="LAU1" s="677"/>
      <c r="LAV1" s="677"/>
      <c r="LAW1" s="677"/>
      <c r="LAX1" s="677"/>
      <c r="LAY1" s="677"/>
      <c r="LAZ1" s="677"/>
      <c r="LBA1" s="677"/>
      <c r="LBB1" s="677"/>
      <c r="LBC1" s="677"/>
      <c r="LBD1" s="677"/>
      <c r="LBE1" s="677"/>
      <c r="LBF1" s="677"/>
      <c r="LBG1" s="677"/>
      <c r="LBH1" s="677"/>
      <c r="LBI1" s="677"/>
      <c r="LBJ1" s="677"/>
      <c r="LBK1" s="677"/>
      <c r="LBL1" s="677"/>
      <c r="LBM1" s="677"/>
      <c r="LBN1" s="677"/>
      <c r="LBO1" s="677"/>
      <c r="LBP1" s="677"/>
      <c r="LBQ1" s="677"/>
      <c r="LBR1" s="677"/>
      <c r="LBS1" s="677"/>
      <c r="LBT1" s="677"/>
      <c r="LBU1" s="677"/>
      <c r="LBV1" s="677"/>
      <c r="LBW1" s="677"/>
      <c r="LBX1" s="677"/>
      <c r="LBY1" s="677"/>
      <c r="LBZ1" s="677"/>
      <c r="LCA1" s="677"/>
      <c r="LCB1" s="677"/>
      <c r="LCC1" s="677"/>
      <c r="LCD1" s="677"/>
      <c r="LCE1" s="677"/>
      <c r="LCF1" s="677"/>
      <c r="LCG1" s="677"/>
      <c r="LCH1" s="677"/>
      <c r="LCI1" s="677"/>
      <c r="LCJ1" s="677"/>
      <c r="LCK1" s="677"/>
      <c r="LCL1" s="677"/>
      <c r="LCM1" s="677"/>
      <c r="LCN1" s="677"/>
      <c r="LCO1" s="677"/>
      <c r="LCP1" s="677"/>
      <c r="LCQ1" s="677"/>
      <c r="LCR1" s="677"/>
      <c r="LCS1" s="677"/>
      <c r="LCT1" s="677"/>
      <c r="LCU1" s="677"/>
      <c r="LCV1" s="677"/>
      <c r="LCW1" s="677"/>
      <c r="LCX1" s="677"/>
      <c r="LCY1" s="677"/>
      <c r="LCZ1" s="677"/>
      <c r="LDA1" s="677"/>
      <c r="LDB1" s="677"/>
      <c r="LDC1" s="677"/>
      <c r="LDD1" s="677"/>
      <c r="LDE1" s="677"/>
      <c r="LDF1" s="677"/>
      <c r="LDG1" s="677"/>
      <c r="LDH1" s="677"/>
      <c r="LDI1" s="677"/>
      <c r="LDJ1" s="677"/>
      <c r="LDK1" s="677"/>
      <c r="LDL1" s="677"/>
      <c r="LDM1" s="677"/>
      <c r="LDN1" s="677"/>
      <c r="LDO1" s="677"/>
      <c r="LDP1" s="677"/>
      <c r="LDQ1" s="677"/>
      <c r="LDR1" s="677"/>
      <c r="LDS1" s="677"/>
      <c r="LDT1" s="677"/>
      <c r="LDU1" s="677"/>
      <c r="LDV1" s="677"/>
      <c r="LDW1" s="677"/>
      <c r="LDX1" s="677"/>
      <c r="LDY1" s="677"/>
      <c r="LDZ1" s="677"/>
      <c r="LEA1" s="677"/>
      <c r="LEB1" s="677"/>
      <c r="LEC1" s="677"/>
      <c r="LED1" s="677"/>
      <c r="LEE1" s="677"/>
      <c r="LEF1" s="677"/>
      <c r="LEG1" s="677"/>
      <c r="LEH1" s="677"/>
      <c r="LEI1" s="677"/>
      <c r="LEJ1" s="677"/>
      <c r="LEK1" s="677"/>
      <c r="LEL1" s="677"/>
      <c r="LEM1" s="677"/>
      <c r="LEN1" s="677"/>
      <c r="LEO1" s="677"/>
      <c r="LEP1" s="677"/>
      <c r="LEQ1" s="677"/>
      <c r="LER1" s="677"/>
      <c r="LES1" s="677"/>
      <c r="LET1" s="677"/>
      <c r="LEU1" s="677"/>
      <c r="LEV1" s="677"/>
      <c r="LEW1" s="677"/>
      <c r="LEX1" s="677"/>
      <c r="LEY1" s="677"/>
      <c r="LEZ1" s="677"/>
      <c r="LFA1" s="677"/>
      <c r="LFB1" s="677"/>
      <c r="LFC1" s="677"/>
      <c r="LFD1" s="677"/>
      <c r="LFE1" s="677"/>
      <c r="LFF1" s="677"/>
      <c r="LFG1" s="677"/>
      <c r="LFH1" s="677"/>
      <c r="LFI1" s="677"/>
      <c r="LFJ1" s="677"/>
      <c r="LFK1" s="677"/>
      <c r="LFL1" s="677"/>
      <c r="LFM1" s="677"/>
      <c r="LFN1" s="677"/>
      <c r="LFO1" s="677"/>
      <c r="LFP1" s="677"/>
      <c r="LFQ1" s="677"/>
      <c r="LFR1" s="677"/>
      <c r="LFS1" s="677"/>
      <c r="LFT1" s="677"/>
      <c r="LFU1" s="677"/>
      <c r="LFV1" s="677"/>
      <c r="LFW1" s="677"/>
      <c r="LFX1" s="677"/>
      <c r="LFY1" s="677"/>
      <c r="LFZ1" s="677"/>
      <c r="LGA1" s="677"/>
      <c r="LGB1" s="677"/>
      <c r="LGC1" s="677"/>
      <c r="LGD1" s="677"/>
      <c r="LGE1" s="677"/>
      <c r="LGF1" s="677"/>
      <c r="LGG1" s="677"/>
      <c r="LGH1" s="677"/>
      <c r="LGI1" s="677"/>
      <c r="LGJ1" s="677"/>
      <c r="LGK1" s="677"/>
      <c r="LGL1" s="677"/>
      <c r="LGM1" s="677"/>
      <c r="LGN1" s="677"/>
      <c r="LGO1" s="677"/>
      <c r="LGP1" s="677"/>
      <c r="LGQ1" s="677"/>
      <c r="LGR1" s="677"/>
      <c r="LGS1" s="677"/>
      <c r="LGT1" s="677"/>
      <c r="LGU1" s="677"/>
      <c r="LGV1" s="677"/>
      <c r="LGW1" s="677"/>
      <c r="LGX1" s="677"/>
      <c r="LGY1" s="677"/>
      <c r="LGZ1" s="677"/>
      <c r="LHA1" s="677"/>
      <c r="LHB1" s="677"/>
      <c r="LHC1" s="677"/>
      <c r="LHD1" s="677"/>
      <c r="LHE1" s="677"/>
      <c r="LHF1" s="677"/>
      <c r="LHG1" s="677"/>
      <c r="LHH1" s="677"/>
      <c r="LHI1" s="677"/>
      <c r="LHJ1" s="677"/>
      <c r="LHK1" s="677"/>
      <c r="LHL1" s="677"/>
      <c r="LHM1" s="677"/>
      <c r="LHN1" s="677"/>
      <c r="LHO1" s="677"/>
      <c r="LHP1" s="677"/>
      <c r="LHQ1" s="677"/>
      <c r="LHR1" s="677"/>
      <c r="LHS1" s="677"/>
      <c r="LHT1" s="677"/>
      <c r="LHU1" s="677"/>
      <c r="LHV1" s="677"/>
      <c r="LHW1" s="677"/>
      <c r="LHX1" s="677"/>
      <c r="LHY1" s="677"/>
      <c r="LHZ1" s="677"/>
      <c r="LIA1" s="677"/>
      <c r="LIB1" s="677"/>
      <c r="LIC1" s="677"/>
      <c r="LID1" s="677"/>
      <c r="LIE1" s="677"/>
      <c r="LIF1" s="677"/>
      <c r="LIG1" s="677"/>
      <c r="LIH1" s="677"/>
      <c r="LII1" s="677"/>
      <c r="LIJ1" s="677"/>
      <c r="LIK1" s="677"/>
      <c r="LIL1" s="677"/>
      <c r="LIM1" s="677"/>
      <c r="LIN1" s="677"/>
      <c r="LIO1" s="677"/>
      <c r="LIP1" s="677"/>
      <c r="LIQ1" s="677"/>
      <c r="LIR1" s="677"/>
      <c r="LIS1" s="677"/>
      <c r="LIT1" s="677"/>
      <c r="LIU1" s="677"/>
      <c r="LIV1" s="677"/>
      <c r="LIW1" s="677"/>
      <c r="LIX1" s="677"/>
      <c r="LIY1" s="677"/>
      <c r="LIZ1" s="677"/>
      <c r="LJA1" s="677"/>
      <c r="LJB1" s="677"/>
      <c r="LJC1" s="677"/>
      <c r="LJD1" s="677"/>
      <c r="LJE1" s="677"/>
      <c r="LJF1" s="677"/>
      <c r="LJG1" s="677"/>
      <c r="LJH1" s="677"/>
      <c r="LJI1" s="677"/>
      <c r="LJJ1" s="677"/>
      <c r="LJK1" s="677"/>
      <c r="LJL1" s="677"/>
      <c r="LJM1" s="677"/>
      <c r="LJN1" s="677"/>
      <c r="LJO1" s="677"/>
      <c r="LJP1" s="677"/>
      <c r="LJQ1" s="677"/>
      <c r="LJR1" s="677"/>
      <c r="LJS1" s="677"/>
      <c r="LJT1" s="677"/>
      <c r="LJU1" s="677"/>
      <c r="LJV1" s="677"/>
      <c r="LJW1" s="677"/>
      <c r="LJX1" s="677"/>
      <c r="LJY1" s="677"/>
      <c r="LJZ1" s="677"/>
      <c r="LKA1" s="677"/>
      <c r="LKB1" s="677"/>
      <c r="LKC1" s="677"/>
      <c r="LKD1" s="677"/>
      <c r="LKE1" s="677"/>
      <c r="LKF1" s="677"/>
      <c r="LKG1" s="677"/>
      <c r="LKH1" s="677"/>
      <c r="LKI1" s="677"/>
      <c r="LKJ1" s="677"/>
      <c r="LKK1" s="677"/>
      <c r="LKL1" s="677"/>
      <c r="LKM1" s="677"/>
      <c r="LKN1" s="677"/>
      <c r="LKO1" s="677"/>
      <c r="LKP1" s="677"/>
      <c r="LKQ1" s="677"/>
      <c r="LKR1" s="677"/>
      <c r="LKS1" s="677"/>
      <c r="LKT1" s="677"/>
      <c r="LKU1" s="677"/>
      <c r="LKV1" s="677"/>
      <c r="LKW1" s="677"/>
      <c r="LKX1" s="677"/>
      <c r="LKY1" s="677"/>
      <c r="LKZ1" s="677"/>
      <c r="LLA1" s="677"/>
      <c r="LLB1" s="677"/>
      <c r="LLC1" s="677"/>
      <c r="LLD1" s="677"/>
      <c r="LLE1" s="677"/>
      <c r="LLF1" s="677"/>
      <c r="LLG1" s="677"/>
      <c r="LLH1" s="677"/>
      <c r="LLI1" s="677"/>
      <c r="LLJ1" s="677"/>
      <c r="LLK1" s="677"/>
      <c r="LLL1" s="677"/>
      <c r="LLM1" s="677"/>
      <c r="LLN1" s="677"/>
      <c r="LLO1" s="677"/>
      <c r="LLP1" s="677"/>
      <c r="LLQ1" s="677"/>
      <c r="LLR1" s="677"/>
      <c r="LLS1" s="677"/>
      <c r="LLT1" s="677"/>
      <c r="LLU1" s="677"/>
      <c r="LLV1" s="677"/>
      <c r="LLW1" s="677"/>
      <c r="LLX1" s="677"/>
      <c r="LLY1" s="677"/>
      <c r="LLZ1" s="677"/>
      <c r="LMA1" s="677"/>
      <c r="LMB1" s="677"/>
      <c r="LMC1" s="677"/>
      <c r="LMD1" s="677"/>
      <c r="LME1" s="677"/>
      <c r="LMF1" s="677"/>
      <c r="LMG1" s="677"/>
      <c r="LMH1" s="677"/>
      <c r="LMI1" s="677"/>
      <c r="LMJ1" s="677"/>
      <c r="LMK1" s="677"/>
      <c r="LML1" s="677"/>
      <c r="LMM1" s="677"/>
      <c r="LMN1" s="677"/>
      <c r="LMO1" s="677"/>
      <c r="LMP1" s="677"/>
      <c r="LMQ1" s="677"/>
      <c r="LMR1" s="677"/>
      <c r="LMS1" s="677"/>
      <c r="LMT1" s="677"/>
      <c r="LMU1" s="677"/>
      <c r="LMV1" s="677"/>
      <c r="LMW1" s="677"/>
      <c r="LMX1" s="677"/>
      <c r="LMY1" s="677"/>
      <c r="LMZ1" s="677"/>
      <c r="LNA1" s="677"/>
      <c r="LNB1" s="677"/>
      <c r="LNC1" s="677"/>
      <c r="LND1" s="677"/>
      <c r="LNE1" s="677"/>
      <c r="LNF1" s="677"/>
      <c r="LNG1" s="677"/>
      <c r="LNH1" s="677"/>
      <c r="LNI1" s="677"/>
      <c r="LNJ1" s="677"/>
      <c r="LNK1" s="677"/>
      <c r="LNL1" s="677"/>
      <c r="LNM1" s="677"/>
      <c r="LNN1" s="677"/>
      <c r="LNO1" s="677"/>
      <c r="LNP1" s="677"/>
      <c r="LNQ1" s="677"/>
      <c r="LNR1" s="677"/>
      <c r="LNS1" s="677"/>
      <c r="LNT1" s="677"/>
      <c r="LNU1" s="677"/>
      <c r="LNV1" s="677"/>
      <c r="LNW1" s="677"/>
      <c r="LNX1" s="677"/>
      <c r="LNY1" s="677"/>
      <c r="LNZ1" s="677"/>
      <c r="LOA1" s="677"/>
      <c r="LOB1" s="677"/>
      <c r="LOC1" s="677"/>
      <c r="LOD1" s="677"/>
      <c r="LOE1" s="677"/>
      <c r="LOF1" s="677"/>
      <c r="LOG1" s="677"/>
      <c r="LOH1" s="677"/>
      <c r="LOI1" s="677"/>
      <c r="LOJ1" s="677"/>
      <c r="LOK1" s="677"/>
      <c r="LOL1" s="677"/>
      <c r="LOM1" s="677"/>
      <c r="LON1" s="677"/>
      <c r="LOO1" s="677"/>
      <c r="LOP1" s="677"/>
      <c r="LOQ1" s="677"/>
      <c r="LOR1" s="677"/>
      <c r="LOS1" s="677"/>
      <c r="LOT1" s="677"/>
      <c r="LOU1" s="677"/>
      <c r="LOV1" s="677"/>
      <c r="LOW1" s="677"/>
      <c r="LOX1" s="677"/>
      <c r="LOY1" s="677"/>
      <c r="LOZ1" s="677"/>
      <c r="LPA1" s="677"/>
      <c r="LPB1" s="677"/>
      <c r="LPC1" s="677"/>
      <c r="LPD1" s="677"/>
      <c r="LPE1" s="677"/>
      <c r="LPF1" s="677"/>
      <c r="LPG1" s="677"/>
      <c r="LPH1" s="677"/>
      <c r="LPI1" s="677"/>
      <c r="LPJ1" s="677"/>
      <c r="LPK1" s="677"/>
      <c r="LPL1" s="677"/>
      <c r="LPM1" s="677"/>
      <c r="LPN1" s="677"/>
      <c r="LPO1" s="677"/>
      <c r="LPP1" s="677"/>
      <c r="LPQ1" s="677"/>
      <c r="LPR1" s="677"/>
      <c r="LPS1" s="677"/>
      <c r="LPT1" s="677"/>
      <c r="LPU1" s="677"/>
      <c r="LPV1" s="677"/>
      <c r="LPW1" s="677"/>
      <c r="LPX1" s="677"/>
      <c r="LPY1" s="677"/>
      <c r="LPZ1" s="677"/>
      <c r="LQA1" s="677"/>
      <c r="LQB1" s="677"/>
      <c r="LQC1" s="677"/>
      <c r="LQD1" s="677"/>
      <c r="LQE1" s="677"/>
      <c r="LQF1" s="677"/>
      <c r="LQG1" s="677"/>
      <c r="LQH1" s="677"/>
      <c r="LQI1" s="677"/>
      <c r="LQJ1" s="677"/>
      <c r="LQK1" s="677"/>
      <c r="LQL1" s="677"/>
      <c r="LQM1" s="677"/>
      <c r="LQN1" s="677"/>
      <c r="LQO1" s="677"/>
      <c r="LQP1" s="677"/>
      <c r="LQQ1" s="677"/>
      <c r="LQR1" s="677"/>
      <c r="LQS1" s="677"/>
      <c r="LQT1" s="677"/>
      <c r="LQU1" s="677"/>
      <c r="LQV1" s="677"/>
      <c r="LQW1" s="677"/>
      <c r="LQX1" s="677"/>
      <c r="LQY1" s="677"/>
      <c r="LQZ1" s="677"/>
      <c r="LRA1" s="677"/>
      <c r="LRB1" s="677"/>
      <c r="LRC1" s="677"/>
      <c r="LRD1" s="677"/>
      <c r="LRE1" s="677"/>
      <c r="LRF1" s="677"/>
      <c r="LRG1" s="677"/>
      <c r="LRH1" s="677"/>
      <c r="LRI1" s="677"/>
      <c r="LRJ1" s="677"/>
      <c r="LRK1" s="677"/>
      <c r="LRL1" s="677"/>
      <c r="LRM1" s="677"/>
      <c r="LRN1" s="677"/>
      <c r="LRO1" s="677"/>
      <c r="LRP1" s="677"/>
      <c r="LRQ1" s="677"/>
      <c r="LRR1" s="677"/>
      <c r="LRS1" s="677"/>
      <c r="LRT1" s="677"/>
      <c r="LRU1" s="677"/>
      <c r="LRV1" s="677"/>
      <c r="LRW1" s="677"/>
      <c r="LRX1" s="677"/>
      <c r="LRY1" s="677"/>
      <c r="LRZ1" s="677"/>
      <c r="LSA1" s="677"/>
      <c r="LSB1" s="677"/>
      <c r="LSC1" s="677"/>
      <c r="LSD1" s="677"/>
      <c r="LSE1" s="677"/>
      <c r="LSF1" s="677"/>
      <c r="LSG1" s="677"/>
      <c r="LSH1" s="677"/>
      <c r="LSI1" s="677"/>
      <c r="LSJ1" s="677"/>
      <c r="LSK1" s="677"/>
      <c r="LSL1" s="677"/>
      <c r="LSM1" s="677"/>
      <c r="LSN1" s="677"/>
      <c r="LSO1" s="677"/>
      <c r="LSP1" s="677"/>
      <c r="LSQ1" s="677"/>
      <c r="LSR1" s="677"/>
      <c r="LSS1" s="677"/>
      <c r="LST1" s="677"/>
      <c r="LSU1" s="677"/>
      <c r="LSV1" s="677"/>
      <c r="LSW1" s="677"/>
      <c r="LSX1" s="677"/>
      <c r="LSY1" s="677"/>
      <c r="LSZ1" s="677"/>
      <c r="LTA1" s="677"/>
      <c r="LTB1" s="677"/>
      <c r="LTC1" s="677"/>
      <c r="LTD1" s="677"/>
      <c r="LTE1" s="677"/>
      <c r="LTF1" s="677"/>
      <c r="LTG1" s="677"/>
      <c r="LTH1" s="677"/>
      <c r="LTI1" s="677"/>
      <c r="LTJ1" s="677"/>
      <c r="LTK1" s="677"/>
      <c r="LTL1" s="677"/>
      <c r="LTM1" s="677"/>
      <c r="LTN1" s="677"/>
      <c r="LTO1" s="677"/>
      <c r="LTP1" s="677"/>
      <c r="LTQ1" s="677"/>
      <c r="LTR1" s="677"/>
      <c r="LTS1" s="677"/>
      <c r="LTT1" s="677"/>
      <c r="LTU1" s="677"/>
      <c r="LTV1" s="677"/>
      <c r="LTW1" s="677"/>
      <c r="LTX1" s="677"/>
      <c r="LTY1" s="677"/>
      <c r="LTZ1" s="677"/>
      <c r="LUA1" s="677"/>
      <c r="LUB1" s="677"/>
      <c r="LUC1" s="677"/>
      <c r="LUD1" s="677"/>
      <c r="LUE1" s="677"/>
      <c r="LUF1" s="677"/>
      <c r="LUG1" s="677"/>
      <c r="LUH1" s="677"/>
      <c r="LUI1" s="677"/>
      <c r="LUJ1" s="677"/>
      <c r="LUK1" s="677"/>
      <c r="LUL1" s="677"/>
      <c r="LUM1" s="677"/>
      <c r="LUN1" s="677"/>
      <c r="LUO1" s="677"/>
      <c r="LUP1" s="677"/>
      <c r="LUQ1" s="677"/>
      <c r="LUR1" s="677"/>
      <c r="LUS1" s="677"/>
      <c r="LUT1" s="677"/>
      <c r="LUU1" s="677"/>
      <c r="LUV1" s="677"/>
      <c r="LUW1" s="677"/>
      <c r="LUX1" s="677"/>
      <c r="LUY1" s="677"/>
      <c r="LUZ1" s="677"/>
      <c r="LVA1" s="677"/>
      <c r="LVB1" s="677"/>
      <c r="LVC1" s="677"/>
      <c r="LVD1" s="677"/>
      <c r="LVE1" s="677"/>
      <c r="LVF1" s="677"/>
      <c r="LVG1" s="677"/>
      <c r="LVH1" s="677"/>
      <c r="LVI1" s="677"/>
      <c r="LVJ1" s="677"/>
      <c r="LVK1" s="677"/>
      <c r="LVL1" s="677"/>
      <c r="LVM1" s="677"/>
      <c r="LVN1" s="677"/>
      <c r="LVO1" s="677"/>
      <c r="LVP1" s="677"/>
      <c r="LVQ1" s="677"/>
      <c r="LVR1" s="677"/>
      <c r="LVS1" s="677"/>
      <c r="LVT1" s="677"/>
      <c r="LVU1" s="677"/>
      <c r="LVV1" s="677"/>
      <c r="LVW1" s="677"/>
      <c r="LVX1" s="677"/>
      <c r="LVY1" s="677"/>
      <c r="LVZ1" s="677"/>
      <c r="LWA1" s="677"/>
      <c r="LWB1" s="677"/>
      <c r="LWC1" s="677"/>
      <c r="LWD1" s="677"/>
      <c r="LWE1" s="677"/>
      <c r="LWF1" s="677"/>
      <c r="LWG1" s="677"/>
      <c r="LWH1" s="677"/>
      <c r="LWI1" s="677"/>
      <c r="LWJ1" s="677"/>
      <c r="LWK1" s="677"/>
      <c r="LWL1" s="677"/>
      <c r="LWM1" s="677"/>
      <c r="LWN1" s="677"/>
      <c r="LWO1" s="677"/>
      <c r="LWP1" s="677"/>
      <c r="LWQ1" s="677"/>
      <c r="LWR1" s="677"/>
      <c r="LWS1" s="677"/>
      <c r="LWT1" s="677"/>
      <c r="LWU1" s="677"/>
      <c r="LWV1" s="677"/>
      <c r="LWW1" s="677"/>
      <c r="LWX1" s="677"/>
      <c r="LWY1" s="677"/>
      <c r="LWZ1" s="677"/>
      <c r="LXA1" s="677"/>
      <c r="LXB1" s="677"/>
      <c r="LXC1" s="677"/>
      <c r="LXD1" s="677"/>
      <c r="LXE1" s="677"/>
      <c r="LXF1" s="677"/>
      <c r="LXG1" s="677"/>
      <c r="LXH1" s="677"/>
      <c r="LXI1" s="677"/>
      <c r="LXJ1" s="677"/>
      <c r="LXK1" s="677"/>
      <c r="LXL1" s="677"/>
      <c r="LXM1" s="677"/>
      <c r="LXN1" s="677"/>
      <c r="LXO1" s="677"/>
      <c r="LXP1" s="677"/>
      <c r="LXQ1" s="677"/>
      <c r="LXR1" s="677"/>
      <c r="LXS1" s="677"/>
      <c r="LXT1" s="677"/>
      <c r="LXU1" s="677"/>
      <c r="LXV1" s="677"/>
      <c r="LXW1" s="677"/>
      <c r="LXX1" s="677"/>
      <c r="LXY1" s="677"/>
      <c r="LXZ1" s="677"/>
      <c r="LYA1" s="677"/>
      <c r="LYB1" s="677"/>
      <c r="LYC1" s="677"/>
      <c r="LYD1" s="677"/>
      <c r="LYE1" s="677"/>
      <c r="LYF1" s="677"/>
      <c r="LYG1" s="677"/>
      <c r="LYH1" s="677"/>
      <c r="LYI1" s="677"/>
      <c r="LYJ1" s="677"/>
      <c r="LYK1" s="677"/>
      <c r="LYL1" s="677"/>
      <c r="LYM1" s="677"/>
      <c r="LYN1" s="677"/>
      <c r="LYO1" s="677"/>
      <c r="LYP1" s="677"/>
      <c r="LYQ1" s="677"/>
      <c r="LYR1" s="677"/>
      <c r="LYS1" s="677"/>
      <c r="LYT1" s="677"/>
      <c r="LYU1" s="677"/>
      <c r="LYV1" s="677"/>
      <c r="LYW1" s="677"/>
      <c r="LYX1" s="677"/>
      <c r="LYY1" s="677"/>
      <c r="LYZ1" s="677"/>
      <c r="LZA1" s="677"/>
      <c r="LZB1" s="677"/>
      <c r="LZC1" s="677"/>
      <c r="LZD1" s="677"/>
      <c r="LZE1" s="677"/>
      <c r="LZF1" s="677"/>
      <c r="LZG1" s="677"/>
      <c r="LZH1" s="677"/>
      <c r="LZI1" s="677"/>
      <c r="LZJ1" s="677"/>
      <c r="LZK1" s="677"/>
      <c r="LZL1" s="677"/>
      <c r="LZM1" s="677"/>
      <c r="LZN1" s="677"/>
      <c r="LZO1" s="677"/>
      <c r="LZP1" s="677"/>
      <c r="LZQ1" s="677"/>
      <c r="LZR1" s="677"/>
      <c r="LZS1" s="677"/>
      <c r="LZT1" s="677"/>
      <c r="LZU1" s="677"/>
      <c r="LZV1" s="677"/>
      <c r="LZW1" s="677"/>
      <c r="LZX1" s="677"/>
      <c r="LZY1" s="677"/>
      <c r="LZZ1" s="677"/>
      <c r="MAA1" s="677"/>
      <c r="MAB1" s="677"/>
      <c r="MAC1" s="677"/>
      <c r="MAD1" s="677"/>
      <c r="MAE1" s="677"/>
      <c r="MAF1" s="677"/>
      <c r="MAG1" s="677"/>
      <c r="MAH1" s="677"/>
      <c r="MAI1" s="677"/>
      <c r="MAJ1" s="677"/>
      <c r="MAK1" s="677"/>
      <c r="MAL1" s="677"/>
      <c r="MAM1" s="677"/>
      <c r="MAN1" s="677"/>
      <c r="MAO1" s="677"/>
      <c r="MAP1" s="677"/>
      <c r="MAQ1" s="677"/>
      <c r="MAR1" s="677"/>
      <c r="MAS1" s="677"/>
      <c r="MAT1" s="677"/>
      <c r="MAU1" s="677"/>
      <c r="MAV1" s="677"/>
      <c r="MAW1" s="677"/>
      <c r="MAX1" s="677"/>
      <c r="MAY1" s="677"/>
      <c r="MAZ1" s="677"/>
      <c r="MBA1" s="677"/>
      <c r="MBB1" s="677"/>
      <c r="MBC1" s="677"/>
      <c r="MBD1" s="677"/>
      <c r="MBE1" s="677"/>
      <c r="MBF1" s="677"/>
      <c r="MBG1" s="677"/>
      <c r="MBH1" s="677"/>
      <c r="MBI1" s="677"/>
      <c r="MBJ1" s="677"/>
      <c r="MBK1" s="677"/>
      <c r="MBL1" s="677"/>
      <c r="MBM1" s="677"/>
      <c r="MBN1" s="677"/>
      <c r="MBO1" s="677"/>
      <c r="MBP1" s="677"/>
      <c r="MBQ1" s="677"/>
      <c r="MBR1" s="677"/>
      <c r="MBS1" s="677"/>
      <c r="MBT1" s="677"/>
      <c r="MBU1" s="677"/>
      <c r="MBV1" s="677"/>
      <c r="MBW1" s="677"/>
      <c r="MBX1" s="677"/>
      <c r="MBY1" s="677"/>
      <c r="MBZ1" s="677"/>
      <c r="MCA1" s="677"/>
      <c r="MCB1" s="677"/>
      <c r="MCC1" s="677"/>
      <c r="MCD1" s="677"/>
      <c r="MCE1" s="677"/>
      <c r="MCF1" s="677"/>
      <c r="MCG1" s="677"/>
      <c r="MCH1" s="677"/>
      <c r="MCI1" s="677"/>
      <c r="MCJ1" s="677"/>
      <c r="MCK1" s="677"/>
      <c r="MCL1" s="677"/>
      <c r="MCM1" s="677"/>
      <c r="MCN1" s="677"/>
      <c r="MCO1" s="677"/>
      <c r="MCP1" s="677"/>
      <c r="MCQ1" s="677"/>
      <c r="MCR1" s="677"/>
      <c r="MCS1" s="677"/>
      <c r="MCT1" s="677"/>
      <c r="MCU1" s="677"/>
      <c r="MCV1" s="677"/>
      <c r="MCW1" s="677"/>
      <c r="MCX1" s="677"/>
      <c r="MCY1" s="677"/>
      <c r="MCZ1" s="677"/>
      <c r="MDA1" s="677"/>
      <c r="MDB1" s="677"/>
      <c r="MDC1" s="677"/>
      <c r="MDD1" s="677"/>
      <c r="MDE1" s="677"/>
      <c r="MDF1" s="677"/>
      <c r="MDG1" s="677"/>
      <c r="MDH1" s="677"/>
      <c r="MDI1" s="677"/>
      <c r="MDJ1" s="677"/>
      <c r="MDK1" s="677"/>
      <c r="MDL1" s="677"/>
      <c r="MDM1" s="677"/>
      <c r="MDN1" s="677"/>
      <c r="MDO1" s="677"/>
      <c r="MDP1" s="677"/>
      <c r="MDQ1" s="677"/>
      <c r="MDR1" s="677"/>
      <c r="MDS1" s="677"/>
      <c r="MDT1" s="677"/>
      <c r="MDU1" s="677"/>
      <c r="MDV1" s="677"/>
      <c r="MDW1" s="677"/>
      <c r="MDX1" s="677"/>
      <c r="MDY1" s="677"/>
      <c r="MDZ1" s="677"/>
      <c r="MEA1" s="677"/>
      <c r="MEB1" s="677"/>
      <c r="MEC1" s="677"/>
      <c r="MED1" s="677"/>
      <c r="MEE1" s="677"/>
      <c r="MEF1" s="677"/>
      <c r="MEG1" s="677"/>
      <c r="MEH1" s="677"/>
      <c r="MEI1" s="677"/>
      <c r="MEJ1" s="677"/>
      <c r="MEK1" s="677"/>
      <c r="MEL1" s="677"/>
      <c r="MEM1" s="677"/>
      <c r="MEN1" s="677"/>
      <c r="MEO1" s="677"/>
      <c r="MEP1" s="677"/>
      <c r="MEQ1" s="677"/>
      <c r="MER1" s="677"/>
      <c r="MES1" s="677"/>
      <c r="MET1" s="677"/>
      <c r="MEU1" s="677"/>
      <c r="MEV1" s="677"/>
      <c r="MEW1" s="677"/>
      <c r="MEX1" s="677"/>
      <c r="MEY1" s="677"/>
      <c r="MEZ1" s="677"/>
      <c r="MFA1" s="677"/>
      <c r="MFB1" s="677"/>
      <c r="MFC1" s="677"/>
      <c r="MFD1" s="677"/>
      <c r="MFE1" s="677"/>
      <c r="MFF1" s="677"/>
      <c r="MFG1" s="677"/>
      <c r="MFH1" s="677"/>
      <c r="MFI1" s="677"/>
      <c r="MFJ1" s="677"/>
      <c r="MFK1" s="677"/>
      <c r="MFL1" s="677"/>
      <c r="MFM1" s="677"/>
      <c r="MFN1" s="677"/>
      <c r="MFO1" s="677"/>
      <c r="MFP1" s="677"/>
      <c r="MFQ1" s="677"/>
      <c r="MFR1" s="677"/>
      <c r="MFS1" s="677"/>
      <c r="MFT1" s="677"/>
      <c r="MFU1" s="677"/>
      <c r="MFV1" s="677"/>
      <c r="MFW1" s="677"/>
      <c r="MFX1" s="677"/>
      <c r="MFY1" s="677"/>
      <c r="MFZ1" s="677"/>
      <c r="MGA1" s="677"/>
      <c r="MGB1" s="677"/>
      <c r="MGC1" s="677"/>
      <c r="MGD1" s="677"/>
      <c r="MGE1" s="677"/>
      <c r="MGF1" s="677"/>
      <c r="MGG1" s="677"/>
      <c r="MGH1" s="677"/>
      <c r="MGI1" s="677"/>
      <c r="MGJ1" s="677"/>
      <c r="MGK1" s="677"/>
      <c r="MGL1" s="677"/>
      <c r="MGM1" s="677"/>
      <c r="MGN1" s="677"/>
      <c r="MGO1" s="677"/>
      <c r="MGP1" s="677"/>
      <c r="MGQ1" s="677"/>
      <c r="MGR1" s="677"/>
      <c r="MGS1" s="677"/>
      <c r="MGT1" s="677"/>
      <c r="MGU1" s="677"/>
      <c r="MGV1" s="677"/>
      <c r="MGW1" s="677"/>
      <c r="MGX1" s="677"/>
      <c r="MGY1" s="677"/>
      <c r="MGZ1" s="677"/>
      <c r="MHA1" s="677"/>
      <c r="MHB1" s="677"/>
      <c r="MHC1" s="677"/>
      <c r="MHD1" s="677"/>
      <c r="MHE1" s="677"/>
      <c r="MHF1" s="677"/>
      <c r="MHG1" s="677"/>
      <c r="MHH1" s="677"/>
      <c r="MHI1" s="677"/>
      <c r="MHJ1" s="677"/>
      <c r="MHK1" s="677"/>
      <c r="MHL1" s="677"/>
      <c r="MHM1" s="677"/>
      <c r="MHN1" s="677"/>
      <c r="MHO1" s="677"/>
      <c r="MHP1" s="677"/>
      <c r="MHQ1" s="677"/>
      <c r="MHR1" s="677"/>
      <c r="MHS1" s="677"/>
      <c r="MHT1" s="677"/>
      <c r="MHU1" s="677"/>
      <c r="MHV1" s="677"/>
      <c r="MHW1" s="677"/>
      <c r="MHX1" s="677"/>
      <c r="MHY1" s="677"/>
      <c r="MHZ1" s="677"/>
      <c r="MIA1" s="677"/>
      <c r="MIB1" s="677"/>
      <c r="MIC1" s="677"/>
      <c r="MID1" s="677"/>
      <c r="MIE1" s="677"/>
      <c r="MIF1" s="677"/>
      <c r="MIG1" s="677"/>
      <c r="MIH1" s="677"/>
      <c r="MII1" s="677"/>
      <c r="MIJ1" s="677"/>
      <c r="MIK1" s="677"/>
      <c r="MIL1" s="677"/>
      <c r="MIM1" s="677"/>
      <c r="MIN1" s="677"/>
      <c r="MIO1" s="677"/>
      <c r="MIP1" s="677"/>
      <c r="MIQ1" s="677"/>
      <c r="MIR1" s="677"/>
      <c r="MIS1" s="677"/>
      <c r="MIT1" s="677"/>
      <c r="MIU1" s="677"/>
      <c r="MIV1" s="677"/>
      <c r="MIW1" s="677"/>
      <c r="MIX1" s="677"/>
      <c r="MIY1" s="677"/>
      <c r="MIZ1" s="677"/>
      <c r="MJA1" s="677"/>
      <c r="MJB1" s="677"/>
      <c r="MJC1" s="677"/>
      <c r="MJD1" s="677"/>
      <c r="MJE1" s="677"/>
      <c r="MJF1" s="677"/>
      <c r="MJG1" s="677"/>
      <c r="MJH1" s="677"/>
      <c r="MJI1" s="677"/>
      <c r="MJJ1" s="677"/>
      <c r="MJK1" s="677"/>
      <c r="MJL1" s="677"/>
      <c r="MJM1" s="677"/>
      <c r="MJN1" s="677"/>
      <c r="MJO1" s="677"/>
      <c r="MJP1" s="677"/>
      <c r="MJQ1" s="677"/>
      <c r="MJR1" s="677"/>
      <c r="MJS1" s="677"/>
      <c r="MJT1" s="677"/>
      <c r="MJU1" s="677"/>
      <c r="MJV1" s="677"/>
      <c r="MJW1" s="677"/>
      <c r="MJX1" s="677"/>
      <c r="MJY1" s="677"/>
      <c r="MJZ1" s="677"/>
      <c r="MKA1" s="677"/>
      <c r="MKB1" s="677"/>
      <c r="MKC1" s="677"/>
      <c r="MKD1" s="677"/>
      <c r="MKE1" s="677"/>
      <c r="MKF1" s="677"/>
      <c r="MKG1" s="677"/>
      <c r="MKH1" s="677"/>
      <c r="MKI1" s="677"/>
      <c r="MKJ1" s="677"/>
      <c r="MKK1" s="677"/>
      <c r="MKL1" s="677"/>
      <c r="MKM1" s="677"/>
      <c r="MKN1" s="677"/>
      <c r="MKO1" s="677"/>
      <c r="MKP1" s="677"/>
      <c r="MKQ1" s="677"/>
      <c r="MKR1" s="677"/>
      <c r="MKS1" s="677"/>
      <c r="MKT1" s="677"/>
      <c r="MKU1" s="677"/>
      <c r="MKV1" s="677"/>
      <c r="MKW1" s="677"/>
      <c r="MKX1" s="677"/>
      <c r="MKY1" s="677"/>
      <c r="MKZ1" s="677"/>
      <c r="MLA1" s="677"/>
      <c r="MLB1" s="677"/>
      <c r="MLC1" s="677"/>
      <c r="MLD1" s="677"/>
      <c r="MLE1" s="677"/>
      <c r="MLF1" s="677"/>
      <c r="MLG1" s="677"/>
      <c r="MLH1" s="677"/>
      <c r="MLI1" s="677"/>
      <c r="MLJ1" s="677"/>
      <c r="MLK1" s="677"/>
      <c r="MLL1" s="677"/>
      <c r="MLM1" s="677"/>
      <c r="MLN1" s="677"/>
      <c r="MLO1" s="677"/>
      <c r="MLP1" s="677"/>
      <c r="MLQ1" s="677"/>
      <c r="MLR1" s="677"/>
      <c r="MLS1" s="677"/>
      <c r="MLT1" s="677"/>
      <c r="MLU1" s="677"/>
      <c r="MLV1" s="677"/>
      <c r="MLW1" s="677"/>
      <c r="MLX1" s="677"/>
      <c r="MLY1" s="677"/>
      <c r="MLZ1" s="677"/>
      <c r="MMA1" s="677"/>
      <c r="MMB1" s="677"/>
      <c r="MMC1" s="677"/>
      <c r="MMD1" s="677"/>
      <c r="MME1" s="677"/>
      <c r="MMF1" s="677"/>
      <c r="MMG1" s="677"/>
      <c r="MMH1" s="677"/>
      <c r="MMI1" s="677"/>
      <c r="MMJ1" s="677"/>
      <c r="MMK1" s="677"/>
      <c r="MML1" s="677"/>
      <c r="MMM1" s="677"/>
      <c r="MMN1" s="677"/>
      <c r="MMO1" s="677"/>
      <c r="MMP1" s="677"/>
      <c r="MMQ1" s="677"/>
      <c r="MMR1" s="677"/>
      <c r="MMS1" s="677"/>
      <c r="MMT1" s="677"/>
      <c r="MMU1" s="677"/>
      <c r="MMV1" s="677"/>
      <c r="MMW1" s="677"/>
      <c r="MMX1" s="677"/>
      <c r="MMY1" s="677"/>
      <c r="MMZ1" s="677"/>
      <c r="MNA1" s="677"/>
      <c r="MNB1" s="677"/>
      <c r="MNC1" s="677"/>
      <c r="MND1" s="677"/>
      <c r="MNE1" s="677"/>
      <c r="MNF1" s="677"/>
      <c r="MNG1" s="677"/>
      <c r="MNH1" s="677"/>
      <c r="MNI1" s="677"/>
      <c r="MNJ1" s="677"/>
      <c r="MNK1" s="677"/>
      <c r="MNL1" s="677"/>
      <c r="MNM1" s="677"/>
      <c r="MNN1" s="677"/>
      <c r="MNO1" s="677"/>
      <c r="MNP1" s="677"/>
      <c r="MNQ1" s="677"/>
      <c r="MNR1" s="677"/>
      <c r="MNS1" s="677"/>
      <c r="MNT1" s="677"/>
      <c r="MNU1" s="677"/>
      <c r="MNV1" s="677"/>
      <c r="MNW1" s="677"/>
      <c r="MNX1" s="677"/>
      <c r="MNY1" s="677"/>
      <c r="MNZ1" s="677"/>
      <c r="MOA1" s="677"/>
      <c r="MOB1" s="677"/>
      <c r="MOC1" s="677"/>
      <c r="MOD1" s="677"/>
      <c r="MOE1" s="677"/>
      <c r="MOF1" s="677"/>
      <c r="MOG1" s="677"/>
      <c r="MOH1" s="677"/>
      <c r="MOI1" s="677"/>
      <c r="MOJ1" s="677"/>
      <c r="MOK1" s="677"/>
      <c r="MOL1" s="677"/>
      <c r="MOM1" s="677"/>
      <c r="MON1" s="677"/>
      <c r="MOO1" s="677"/>
      <c r="MOP1" s="677"/>
      <c r="MOQ1" s="677"/>
      <c r="MOR1" s="677"/>
      <c r="MOS1" s="677"/>
      <c r="MOT1" s="677"/>
      <c r="MOU1" s="677"/>
      <c r="MOV1" s="677"/>
      <c r="MOW1" s="677"/>
      <c r="MOX1" s="677"/>
      <c r="MOY1" s="677"/>
      <c r="MOZ1" s="677"/>
      <c r="MPA1" s="677"/>
      <c r="MPB1" s="677"/>
      <c r="MPC1" s="677"/>
      <c r="MPD1" s="677"/>
      <c r="MPE1" s="677"/>
      <c r="MPF1" s="677"/>
      <c r="MPG1" s="677"/>
      <c r="MPH1" s="677"/>
      <c r="MPI1" s="677"/>
      <c r="MPJ1" s="677"/>
      <c r="MPK1" s="677"/>
      <c r="MPL1" s="677"/>
      <c r="MPM1" s="677"/>
      <c r="MPN1" s="677"/>
      <c r="MPO1" s="677"/>
      <c r="MPP1" s="677"/>
      <c r="MPQ1" s="677"/>
      <c r="MPR1" s="677"/>
      <c r="MPS1" s="677"/>
      <c r="MPT1" s="677"/>
      <c r="MPU1" s="677"/>
      <c r="MPV1" s="677"/>
      <c r="MPW1" s="677"/>
      <c r="MPX1" s="677"/>
      <c r="MPY1" s="677"/>
      <c r="MPZ1" s="677"/>
      <c r="MQA1" s="677"/>
      <c r="MQB1" s="677"/>
      <c r="MQC1" s="677"/>
      <c r="MQD1" s="677"/>
      <c r="MQE1" s="677"/>
      <c r="MQF1" s="677"/>
      <c r="MQG1" s="677"/>
      <c r="MQH1" s="677"/>
      <c r="MQI1" s="677"/>
      <c r="MQJ1" s="677"/>
      <c r="MQK1" s="677"/>
      <c r="MQL1" s="677"/>
      <c r="MQM1" s="677"/>
      <c r="MQN1" s="677"/>
      <c r="MQO1" s="677"/>
      <c r="MQP1" s="677"/>
      <c r="MQQ1" s="677"/>
      <c r="MQR1" s="677"/>
      <c r="MQS1" s="677"/>
      <c r="MQT1" s="677"/>
      <c r="MQU1" s="677"/>
      <c r="MQV1" s="677"/>
      <c r="MQW1" s="677"/>
      <c r="MQX1" s="677"/>
      <c r="MQY1" s="677"/>
      <c r="MQZ1" s="677"/>
      <c r="MRA1" s="677"/>
      <c r="MRB1" s="677"/>
      <c r="MRC1" s="677"/>
      <c r="MRD1" s="677"/>
      <c r="MRE1" s="677"/>
      <c r="MRF1" s="677"/>
      <c r="MRG1" s="677"/>
      <c r="MRH1" s="677"/>
      <c r="MRI1" s="677"/>
      <c r="MRJ1" s="677"/>
      <c r="MRK1" s="677"/>
      <c r="MRL1" s="677"/>
      <c r="MRM1" s="677"/>
      <c r="MRN1" s="677"/>
      <c r="MRO1" s="677"/>
      <c r="MRP1" s="677"/>
      <c r="MRQ1" s="677"/>
      <c r="MRR1" s="677"/>
      <c r="MRS1" s="677"/>
      <c r="MRT1" s="677"/>
      <c r="MRU1" s="677"/>
      <c r="MRV1" s="677"/>
      <c r="MRW1" s="677"/>
      <c r="MRX1" s="677"/>
      <c r="MRY1" s="677"/>
      <c r="MRZ1" s="677"/>
      <c r="MSA1" s="677"/>
      <c r="MSB1" s="677"/>
      <c r="MSC1" s="677"/>
      <c r="MSD1" s="677"/>
      <c r="MSE1" s="677"/>
      <c r="MSF1" s="677"/>
      <c r="MSG1" s="677"/>
      <c r="MSH1" s="677"/>
      <c r="MSI1" s="677"/>
      <c r="MSJ1" s="677"/>
      <c r="MSK1" s="677"/>
      <c r="MSL1" s="677"/>
      <c r="MSM1" s="677"/>
      <c r="MSN1" s="677"/>
      <c r="MSO1" s="677"/>
      <c r="MSP1" s="677"/>
      <c r="MSQ1" s="677"/>
      <c r="MSR1" s="677"/>
      <c r="MSS1" s="677"/>
      <c r="MST1" s="677"/>
      <c r="MSU1" s="677"/>
      <c r="MSV1" s="677"/>
      <c r="MSW1" s="677"/>
      <c r="MSX1" s="677"/>
      <c r="MSY1" s="677"/>
      <c r="MSZ1" s="677"/>
      <c r="MTA1" s="677"/>
      <c r="MTB1" s="677"/>
      <c r="MTC1" s="677"/>
      <c r="MTD1" s="677"/>
      <c r="MTE1" s="677"/>
      <c r="MTF1" s="677"/>
      <c r="MTG1" s="677"/>
      <c r="MTH1" s="677"/>
      <c r="MTI1" s="677"/>
      <c r="MTJ1" s="677"/>
      <c r="MTK1" s="677"/>
      <c r="MTL1" s="677"/>
      <c r="MTM1" s="677"/>
      <c r="MTN1" s="677"/>
      <c r="MTO1" s="677"/>
      <c r="MTP1" s="677"/>
      <c r="MTQ1" s="677"/>
      <c r="MTR1" s="677"/>
      <c r="MTS1" s="677"/>
      <c r="MTT1" s="677"/>
      <c r="MTU1" s="677"/>
      <c r="MTV1" s="677"/>
      <c r="MTW1" s="677"/>
      <c r="MTX1" s="677"/>
      <c r="MTY1" s="677"/>
      <c r="MTZ1" s="677"/>
      <c r="MUA1" s="677"/>
      <c r="MUB1" s="677"/>
      <c r="MUC1" s="677"/>
      <c r="MUD1" s="677"/>
      <c r="MUE1" s="677"/>
      <c r="MUF1" s="677"/>
      <c r="MUG1" s="677"/>
      <c r="MUH1" s="677"/>
      <c r="MUI1" s="677"/>
      <c r="MUJ1" s="677"/>
      <c r="MUK1" s="677"/>
      <c r="MUL1" s="677"/>
      <c r="MUM1" s="677"/>
      <c r="MUN1" s="677"/>
      <c r="MUO1" s="677"/>
      <c r="MUP1" s="677"/>
      <c r="MUQ1" s="677"/>
      <c r="MUR1" s="677"/>
      <c r="MUS1" s="677"/>
      <c r="MUT1" s="677"/>
      <c r="MUU1" s="677"/>
      <c r="MUV1" s="677"/>
      <c r="MUW1" s="677"/>
      <c r="MUX1" s="677"/>
      <c r="MUY1" s="677"/>
      <c r="MUZ1" s="677"/>
      <c r="MVA1" s="677"/>
      <c r="MVB1" s="677"/>
      <c r="MVC1" s="677"/>
      <c r="MVD1" s="677"/>
      <c r="MVE1" s="677"/>
      <c r="MVF1" s="677"/>
      <c r="MVG1" s="677"/>
      <c r="MVH1" s="677"/>
      <c r="MVI1" s="677"/>
      <c r="MVJ1" s="677"/>
      <c r="MVK1" s="677"/>
      <c r="MVL1" s="677"/>
      <c r="MVM1" s="677"/>
      <c r="MVN1" s="677"/>
      <c r="MVO1" s="677"/>
      <c r="MVP1" s="677"/>
      <c r="MVQ1" s="677"/>
      <c r="MVR1" s="677"/>
      <c r="MVS1" s="677"/>
      <c r="MVT1" s="677"/>
      <c r="MVU1" s="677"/>
      <c r="MVV1" s="677"/>
      <c r="MVW1" s="677"/>
      <c r="MVX1" s="677"/>
      <c r="MVY1" s="677"/>
      <c r="MVZ1" s="677"/>
      <c r="MWA1" s="677"/>
      <c r="MWB1" s="677"/>
      <c r="MWC1" s="677"/>
      <c r="MWD1" s="677"/>
      <c r="MWE1" s="677"/>
      <c r="MWF1" s="677"/>
      <c r="MWG1" s="677"/>
      <c r="MWH1" s="677"/>
      <c r="MWI1" s="677"/>
      <c r="MWJ1" s="677"/>
      <c r="MWK1" s="677"/>
      <c r="MWL1" s="677"/>
      <c r="MWM1" s="677"/>
      <c r="MWN1" s="677"/>
      <c r="MWO1" s="677"/>
      <c r="MWP1" s="677"/>
      <c r="MWQ1" s="677"/>
      <c r="MWR1" s="677"/>
      <c r="MWS1" s="677"/>
      <c r="MWT1" s="677"/>
      <c r="MWU1" s="677"/>
      <c r="MWV1" s="677"/>
      <c r="MWW1" s="677"/>
      <c r="MWX1" s="677"/>
      <c r="MWY1" s="677"/>
      <c r="MWZ1" s="677"/>
      <c r="MXA1" s="677"/>
      <c r="MXB1" s="677"/>
      <c r="MXC1" s="677"/>
      <c r="MXD1" s="677"/>
      <c r="MXE1" s="677"/>
      <c r="MXF1" s="677"/>
      <c r="MXG1" s="677"/>
      <c r="MXH1" s="677"/>
      <c r="MXI1" s="677"/>
      <c r="MXJ1" s="677"/>
      <c r="MXK1" s="677"/>
      <c r="MXL1" s="677"/>
      <c r="MXM1" s="677"/>
      <c r="MXN1" s="677"/>
      <c r="MXO1" s="677"/>
      <c r="MXP1" s="677"/>
      <c r="MXQ1" s="677"/>
      <c r="MXR1" s="677"/>
      <c r="MXS1" s="677"/>
      <c r="MXT1" s="677"/>
      <c r="MXU1" s="677"/>
      <c r="MXV1" s="677"/>
      <c r="MXW1" s="677"/>
      <c r="MXX1" s="677"/>
      <c r="MXY1" s="677"/>
      <c r="MXZ1" s="677"/>
      <c r="MYA1" s="677"/>
      <c r="MYB1" s="677"/>
      <c r="MYC1" s="677"/>
      <c r="MYD1" s="677"/>
      <c r="MYE1" s="677"/>
      <c r="MYF1" s="677"/>
      <c r="MYG1" s="677"/>
      <c r="MYH1" s="677"/>
      <c r="MYI1" s="677"/>
      <c r="MYJ1" s="677"/>
      <c r="MYK1" s="677"/>
      <c r="MYL1" s="677"/>
      <c r="MYM1" s="677"/>
      <c r="MYN1" s="677"/>
      <c r="MYO1" s="677"/>
      <c r="MYP1" s="677"/>
      <c r="MYQ1" s="677"/>
      <c r="MYR1" s="677"/>
      <c r="MYS1" s="677"/>
      <c r="MYT1" s="677"/>
      <c r="MYU1" s="677"/>
      <c r="MYV1" s="677"/>
      <c r="MYW1" s="677"/>
      <c r="MYX1" s="677"/>
      <c r="MYY1" s="677"/>
      <c r="MYZ1" s="677"/>
      <c r="MZA1" s="677"/>
      <c r="MZB1" s="677"/>
      <c r="MZC1" s="677"/>
      <c r="MZD1" s="677"/>
      <c r="MZE1" s="677"/>
      <c r="MZF1" s="677"/>
      <c r="MZG1" s="677"/>
      <c r="MZH1" s="677"/>
      <c r="MZI1" s="677"/>
      <c r="MZJ1" s="677"/>
      <c r="MZK1" s="677"/>
      <c r="MZL1" s="677"/>
      <c r="MZM1" s="677"/>
      <c r="MZN1" s="677"/>
      <c r="MZO1" s="677"/>
      <c r="MZP1" s="677"/>
      <c r="MZQ1" s="677"/>
      <c r="MZR1" s="677"/>
      <c r="MZS1" s="677"/>
      <c r="MZT1" s="677"/>
      <c r="MZU1" s="677"/>
      <c r="MZV1" s="677"/>
      <c r="MZW1" s="677"/>
      <c r="MZX1" s="677"/>
      <c r="MZY1" s="677"/>
      <c r="MZZ1" s="677"/>
      <c r="NAA1" s="677"/>
      <c r="NAB1" s="677"/>
      <c r="NAC1" s="677"/>
      <c r="NAD1" s="677"/>
      <c r="NAE1" s="677"/>
      <c r="NAF1" s="677"/>
      <c r="NAG1" s="677"/>
      <c r="NAH1" s="677"/>
      <c r="NAI1" s="677"/>
      <c r="NAJ1" s="677"/>
      <c r="NAK1" s="677"/>
      <c r="NAL1" s="677"/>
      <c r="NAM1" s="677"/>
      <c r="NAN1" s="677"/>
      <c r="NAO1" s="677"/>
      <c r="NAP1" s="677"/>
      <c r="NAQ1" s="677"/>
      <c r="NAR1" s="677"/>
      <c r="NAS1" s="677"/>
      <c r="NAT1" s="677"/>
      <c r="NAU1" s="677"/>
      <c r="NAV1" s="677"/>
      <c r="NAW1" s="677"/>
      <c r="NAX1" s="677"/>
      <c r="NAY1" s="677"/>
      <c r="NAZ1" s="677"/>
      <c r="NBA1" s="677"/>
      <c r="NBB1" s="677"/>
      <c r="NBC1" s="677"/>
      <c r="NBD1" s="677"/>
      <c r="NBE1" s="677"/>
      <c r="NBF1" s="677"/>
      <c r="NBG1" s="677"/>
      <c r="NBH1" s="677"/>
      <c r="NBI1" s="677"/>
      <c r="NBJ1" s="677"/>
      <c r="NBK1" s="677"/>
      <c r="NBL1" s="677"/>
      <c r="NBM1" s="677"/>
      <c r="NBN1" s="677"/>
      <c r="NBO1" s="677"/>
      <c r="NBP1" s="677"/>
      <c r="NBQ1" s="677"/>
      <c r="NBR1" s="677"/>
      <c r="NBS1" s="677"/>
      <c r="NBT1" s="677"/>
      <c r="NBU1" s="677"/>
      <c r="NBV1" s="677"/>
      <c r="NBW1" s="677"/>
      <c r="NBX1" s="677"/>
      <c r="NBY1" s="677"/>
      <c r="NBZ1" s="677"/>
      <c r="NCA1" s="677"/>
      <c r="NCB1" s="677"/>
      <c r="NCC1" s="677"/>
      <c r="NCD1" s="677"/>
      <c r="NCE1" s="677"/>
      <c r="NCF1" s="677"/>
      <c r="NCG1" s="677"/>
      <c r="NCH1" s="677"/>
      <c r="NCI1" s="677"/>
      <c r="NCJ1" s="677"/>
      <c r="NCK1" s="677"/>
      <c r="NCL1" s="677"/>
      <c r="NCM1" s="677"/>
      <c r="NCN1" s="677"/>
      <c r="NCO1" s="677"/>
      <c r="NCP1" s="677"/>
      <c r="NCQ1" s="677"/>
      <c r="NCR1" s="677"/>
      <c r="NCS1" s="677"/>
      <c r="NCT1" s="677"/>
      <c r="NCU1" s="677"/>
      <c r="NCV1" s="677"/>
      <c r="NCW1" s="677"/>
      <c r="NCX1" s="677"/>
      <c r="NCY1" s="677"/>
      <c r="NCZ1" s="677"/>
      <c r="NDA1" s="677"/>
      <c r="NDB1" s="677"/>
      <c r="NDC1" s="677"/>
      <c r="NDD1" s="677"/>
      <c r="NDE1" s="677"/>
      <c r="NDF1" s="677"/>
      <c r="NDG1" s="677"/>
      <c r="NDH1" s="677"/>
      <c r="NDI1" s="677"/>
      <c r="NDJ1" s="677"/>
      <c r="NDK1" s="677"/>
      <c r="NDL1" s="677"/>
      <c r="NDM1" s="677"/>
      <c r="NDN1" s="677"/>
      <c r="NDO1" s="677"/>
      <c r="NDP1" s="677"/>
      <c r="NDQ1" s="677"/>
      <c r="NDR1" s="677"/>
      <c r="NDS1" s="677"/>
      <c r="NDT1" s="677"/>
      <c r="NDU1" s="677"/>
      <c r="NDV1" s="677"/>
      <c r="NDW1" s="677"/>
      <c r="NDX1" s="677"/>
      <c r="NDY1" s="677"/>
      <c r="NDZ1" s="677"/>
      <c r="NEA1" s="677"/>
      <c r="NEB1" s="677"/>
      <c r="NEC1" s="677"/>
      <c r="NED1" s="677"/>
      <c r="NEE1" s="677"/>
      <c r="NEF1" s="677"/>
      <c r="NEG1" s="677"/>
      <c r="NEH1" s="677"/>
      <c r="NEI1" s="677"/>
      <c r="NEJ1" s="677"/>
      <c r="NEK1" s="677"/>
      <c r="NEL1" s="677"/>
      <c r="NEM1" s="677"/>
      <c r="NEN1" s="677"/>
      <c r="NEO1" s="677"/>
      <c r="NEP1" s="677"/>
      <c r="NEQ1" s="677"/>
      <c r="NER1" s="677"/>
      <c r="NES1" s="677"/>
      <c r="NET1" s="677"/>
      <c r="NEU1" s="677"/>
      <c r="NEV1" s="677"/>
      <c r="NEW1" s="677"/>
      <c r="NEX1" s="677"/>
      <c r="NEY1" s="677"/>
      <c r="NEZ1" s="677"/>
      <c r="NFA1" s="677"/>
      <c r="NFB1" s="677"/>
      <c r="NFC1" s="677"/>
      <c r="NFD1" s="677"/>
      <c r="NFE1" s="677"/>
      <c r="NFF1" s="677"/>
      <c r="NFG1" s="677"/>
      <c r="NFH1" s="677"/>
      <c r="NFI1" s="677"/>
      <c r="NFJ1" s="677"/>
      <c r="NFK1" s="677"/>
      <c r="NFL1" s="677"/>
      <c r="NFM1" s="677"/>
      <c r="NFN1" s="677"/>
      <c r="NFO1" s="677"/>
      <c r="NFP1" s="677"/>
      <c r="NFQ1" s="677"/>
      <c r="NFR1" s="677"/>
      <c r="NFS1" s="677"/>
      <c r="NFT1" s="677"/>
      <c r="NFU1" s="677"/>
      <c r="NFV1" s="677"/>
      <c r="NFW1" s="677"/>
      <c r="NFX1" s="677"/>
      <c r="NFY1" s="677"/>
      <c r="NFZ1" s="677"/>
      <c r="NGA1" s="677"/>
      <c r="NGB1" s="677"/>
      <c r="NGC1" s="677"/>
      <c r="NGD1" s="677"/>
      <c r="NGE1" s="677"/>
      <c r="NGF1" s="677"/>
      <c r="NGG1" s="677"/>
      <c r="NGH1" s="677"/>
      <c r="NGI1" s="677"/>
      <c r="NGJ1" s="677"/>
      <c r="NGK1" s="677"/>
      <c r="NGL1" s="677"/>
      <c r="NGM1" s="677"/>
      <c r="NGN1" s="677"/>
      <c r="NGO1" s="677"/>
      <c r="NGP1" s="677"/>
      <c r="NGQ1" s="677"/>
      <c r="NGR1" s="677"/>
      <c r="NGS1" s="677"/>
      <c r="NGT1" s="677"/>
      <c r="NGU1" s="677"/>
      <c r="NGV1" s="677"/>
      <c r="NGW1" s="677"/>
      <c r="NGX1" s="677"/>
      <c r="NGY1" s="677"/>
      <c r="NGZ1" s="677"/>
      <c r="NHA1" s="677"/>
      <c r="NHB1" s="677"/>
      <c r="NHC1" s="677"/>
      <c r="NHD1" s="677"/>
      <c r="NHE1" s="677"/>
      <c r="NHF1" s="677"/>
      <c r="NHG1" s="677"/>
      <c r="NHH1" s="677"/>
      <c r="NHI1" s="677"/>
      <c r="NHJ1" s="677"/>
      <c r="NHK1" s="677"/>
      <c r="NHL1" s="677"/>
      <c r="NHM1" s="677"/>
      <c r="NHN1" s="677"/>
      <c r="NHO1" s="677"/>
      <c r="NHP1" s="677"/>
      <c r="NHQ1" s="677"/>
      <c r="NHR1" s="677"/>
      <c r="NHS1" s="677"/>
      <c r="NHT1" s="677"/>
      <c r="NHU1" s="677"/>
      <c r="NHV1" s="677"/>
      <c r="NHW1" s="677"/>
      <c r="NHX1" s="677"/>
      <c r="NHY1" s="677"/>
      <c r="NHZ1" s="677"/>
      <c r="NIA1" s="677"/>
      <c r="NIB1" s="677"/>
      <c r="NIC1" s="677"/>
      <c r="NID1" s="677"/>
      <c r="NIE1" s="677"/>
      <c r="NIF1" s="677"/>
      <c r="NIG1" s="677"/>
      <c r="NIH1" s="677"/>
      <c r="NII1" s="677"/>
      <c r="NIJ1" s="677"/>
      <c r="NIK1" s="677"/>
      <c r="NIL1" s="677"/>
      <c r="NIM1" s="677"/>
      <c r="NIN1" s="677"/>
      <c r="NIO1" s="677"/>
      <c r="NIP1" s="677"/>
      <c r="NIQ1" s="677"/>
      <c r="NIR1" s="677"/>
      <c r="NIS1" s="677"/>
      <c r="NIT1" s="677"/>
      <c r="NIU1" s="677"/>
      <c r="NIV1" s="677"/>
      <c r="NIW1" s="677"/>
      <c r="NIX1" s="677"/>
      <c r="NIY1" s="677"/>
      <c r="NIZ1" s="677"/>
      <c r="NJA1" s="677"/>
      <c r="NJB1" s="677"/>
      <c r="NJC1" s="677"/>
      <c r="NJD1" s="677"/>
      <c r="NJE1" s="677"/>
      <c r="NJF1" s="677"/>
      <c r="NJG1" s="677"/>
      <c r="NJH1" s="677"/>
      <c r="NJI1" s="677"/>
      <c r="NJJ1" s="677"/>
      <c r="NJK1" s="677"/>
      <c r="NJL1" s="677"/>
      <c r="NJM1" s="677"/>
      <c r="NJN1" s="677"/>
      <c r="NJO1" s="677"/>
      <c r="NJP1" s="677"/>
      <c r="NJQ1" s="677"/>
      <c r="NJR1" s="677"/>
      <c r="NJS1" s="677"/>
      <c r="NJT1" s="677"/>
      <c r="NJU1" s="677"/>
      <c r="NJV1" s="677"/>
      <c r="NJW1" s="677"/>
      <c r="NJX1" s="677"/>
      <c r="NJY1" s="677"/>
      <c r="NJZ1" s="677"/>
      <c r="NKA1" s="677"/>
      <c r="NKB1" s="677"/>
      <c r="NKC1" s="677"/>
      <c r="NKD1" s="677"/>
      <c r="NKE1" s="677"/>
      <c r="NKF1" s="677"/>
      <c r="NKG1" s="677"/>
      <c r="NKH1" s="677"/>
      <c r="NKI1" s="677"/>
      <c r="NKJ1" s="677"/>
      <c r="NKK1" s="677"/>
      <c r="NKL1" s="677"/>
      <c r="NKM1" s="677"/>
      <c r="NKN1" s="677"/>
      <c r="NKO1" s="677"/>
      <c r="NKP1" s="677"/>
      <c r="NKQ1" s="677"/>
      <c r="NKR1" s="677"/>
      <c r="NKS1" s="677"/>
      <c r="NKT1" s="677"/>
      <c r="NKU1" s="677"/>
      <c r="NKV1" s="677"/>
      <c r="NKW1" s="677"/>
      <c r="NKX1" s="677"/>
      <c r="NKY1" s="677"/>
      <c r="NKZ1" s="677"/>
      <c r="NLA1" s="677"/>
      <c r="NLB1" s="677"/>
      <c r="NLC1" s="677"/>
      <c r="NLD1" s="677"/>
      <c r="NLE1" s="677"/>
      <c r="NLF1" s="677"/>
      <c r="NLG1" s="677"/>
      <c r="NLH1" s="677"/>
      <c r="NLI1" s="677"/>
      <c r="NLJ1" s="677"/>
      <c r="NLK1" s="677"/>
      <c r="NLL1" s="677"/>
      <c r="NLM1" s="677"/>
      <c r="NLN1" s="677"/>
      <c r="NLO1" s="677"/>
      <c r="NLP1" s="677"/>
      <c r="NLQ1" s="677"/>
      <c r="NLR1" s="677"/>
      <c r="NLS1" s="677"/>
      <c r="NLT1" s="677"/>
      <c r="NLU1" s="677"/>
      <c r="NLV1" s="677"/>
      <c r="NLW1" s="677"/>
      <c r="NLX1" s="677"/>
      <c r="NLY1" s="677"/>
      <c r="NLZ1" s="677"/>
      <c r="NMA1" s="677"/>
      <c r="NMB1" s="677"/>
      <c r="NMC1" s="677"/>
      <c r="NMD1" s="677"/>
      <c r="NME1" s="677"/>
      <c r="NMF1" s="677"/>
      <c r="NMG1" s="677"/>
      <c r="NMH1" s="677"/>
      <c r="NMI1" s="677"/>
      <c r="NMJ1" s="677"/>
      <c r="NMK1" s="677"/>
      <c r="NML1" s="677"/>
      <c r="NMM1" s="677"/>
      <c r="NMN1" s="677"/>
      <c r="NMO1" s="677"/>
      <c r="NMP1" s="677"/>
      <c r="NMQ1" s="677"/>
      <c r="NMR1" s="677"/>
      <c r="NMS1" s="677"/>
      <c r="NMT1" s="677"/>
      <c r="NMU1" s="677"/>
      <c r="NMV1" s="677"/>
      <c r="NMW1" s="677"/>
      <c r="NMX1" s="677"/>
      <c r="NMY1" s="677"/>
      <c r="NMZ1" s="677"/>
      <c r="NNA1" s="677"/>
      <c r="NNB1" s="677"/>
      <c r="NNC1" s="677"/>
      <c r="NND1" s="677"/>
      <c r="NNE1" s="677"/>
      <c r="NNF1" s="677"/>
      <c r="NNG1" s="677"/>
      <c r="NNH1" s="677"/>
      <c r="NNI1" s="677"/>
      <c r="NNJ1" s="677"/>
      <c r="NNK1" s="677"/>
      <c r="NNL1" s="677"/>
      <c r="NNM1" s="677"/>
      <c r="NNN1" s="677"/>
      <c r="NNO1" s="677"/>
      <c r="NNP1" s="677"/>
      <c r="NNQ1" s="677"/>
      <c r="NNR1" s="677"/>
      <c r="NNS1" s="677"/>
      <c r="NNT1" s="677"/>
      <c r="NNU1" s="677"/>
      <c r="NNV1" s="677"/>
      <c r="NNW1" s="677"/>
      <c r="NNX1" s="677"/>
      <c r="NNY1" s="677"/>
      <c r="NNZ1" s="677"/>
      <c r="NOA1" s="677"/>
      <c r="NOB1" s="677"/>
      <c r="NOC1" s="677"/>
      <c r="NOD1" s="677"/>
      <c r="NOE1" s="677"/>
      <c r="NOF1" s="677"/>
      <c r="NOG1" s="677"/>
      <c r="NOH1" s="677"/>
      <c r="NOI1" s="677"/>
      <c r="NOJ1" s="677"/>
      <c r="NOK1" s="677"/>
      <c r="NOL1" s="677"/>
      <c r="NOM1" s="677"/>
      <c r="NON1" s="677"/>
      <c r="NOO1" s="677"/>
      <c r="NOP1" s="677"/>
      <c r="NOQ1" s="677"/>
      <c r="NOR1" s="677"/>
      <c r="NOS1" s="677"/>
      <c r="NOT1" s="677"/>
      <c r="NOU1" s="677"/>
      <c r="NOV1" s="677"/>
      <c r="NOW1" s="677"/>
      <c r="NOX1" s="677"/>
      <c r="NOY1" s="677"/>
      <c r="NOZ1" s="677"/>
      <c r="NPA1" s="677"/>
      <c r="NPB1" s="677"/>
      <c r="NPC1" s="677"/>
      <c r="NPD1" s="677"/>
      <c r="NPE1" s="677"/>
      <c r="NPF1" s="677"/>
      <c r="NPG1" s="677"/>
      <c r="NPH1" s="677"/>
      <c r="NPI1" s="677"/>
      <c r="NPJ1" s="677"/>
      <c r="NPK1" s="677"/>
      <c r="NPL1" s="677"/>
      <c r="NPM1" s="677"/>
      <c r="NPN1" s="677"/>
      <c r="NPO1" s="677"/>
      <c r="NPP1" s="677"/>
      <c r="NPQ1" s="677"/>
      <c r="NPR1" s="677"/>
      <c r="NPS1" s="677"/>
      <c r="NPT1" s="677"/>
      <c r="NPU1" s="677"/>
      <c r="NPV1" s="677"/>
      <c r="NPW1" s="677"/>
      <c r="NPX1" s="677"/>
      <c r="NPY1" s="677"/>
      <c r="NPZ1" s="677"/>
      <c r="NQA1" s="677"/>
      <c r="NQB1" s="677"/>
      <c r="NQC1" s="677"/>
      <c r="NQD1" s="677"/>
      <c r="NQE1" s="677"/>
      <c r="NQF1" s="677"/>
      <c r="NQG1" s="677"/>
      <c r="NQH1" s="677"/>
      <c r="NQI1" s="677"/>
      <c r="NQJ1" s="677"/>
      <c r="NQK1" s="677"/>
      <c r="NQL1" s="677"/>
      <c r="NQM1" s="677"/>
      <c r="NQN1" s="677"/>
      <c r="NQO1" s="677"/>
      <c r="NQP1" s="677"/>
      <c r="NQQ1" s="677"/>
      <c r="NQR1" s="677"/>
      <c r="NQS1" s="677"/>
      <c r="NQT1" s="677"/>
      <c r="NQU1" s="677"/>
      <c r="NQV1" s="677"/>
      <c r="NQW1" s="677"/>
      <c r="NQX1" s="677"/>
      <c r="NQY1" s="677"/>
      <c r="NQZ1" s="677"/>
      <c r="NRA1" s="677"/>
      <c r="NRB1" s="677"/>
      <c r="NRC1" s="677"/>
      <c r="NRD1" s="677"/>
      <c r="NRE1" s="677"/>
      <c r="NRF1" s="677"/>
      <c r="NRG1" s="677"/>
      <c r="NRH1" s="677"/>
      <c r="NRI1" s="677"/>
      <c r="NRJ1" s="677"/>
      <c r="NRK1" s="677"/>
      <c r="NRL1" s="677"/>
      <c r="NRM1" s="677"/>
      <c r="NRN1" s="677"/>
      <c r="NRO1" s="677"/>
      <c r="NRP1" s="677"/>
      <c r="NRQ1" s="677"/>
      <c r="NRR1" s="677"/>
      <c r="NRS1" s="677"/>
      <c r="NRT1" s="677"/>
      <c r="NRU1" s="677"/>
      <c r="NRV1" s="677"/>
      <c r="NRW1" s="677"/>
      <c r="NRX1" s="677"/>
      <c r="NRY1" s="677"/>
      <c r="NRZ1" s="677"/>
      <c r="NSA1" s="677"/>
      <c r="NSB1" s="677"/>
      <c r="NSC1" s="677"/>
      <c r="NSD1" s="677"/>
      <c r="NSE1" s="677"/>
      <c r="NSF1" s="677"/>
      <c r="NSG1" s="677"/>
      <c r="NSH1" s="677"/>
      <c r="NSI1" s="677"/>
      <c r="NSJ1" s="677"/>
      <c r="NSK1" s="677"/>
      <c r="NSL1" s="677"/>
      <c r="NSM1" s="677"/>
      <c r="NSN1" s="677"/>
      <c r="NSO1" s="677"/>
      <c r="NSP1" s="677"/>
      <c r="NSQ1" s="677"/>
      <c r="NSR1" s="677"/>
      <c r="NSS1" s="677"/>
      <c r="NST1" s="677"/>
      <c r="NSU1" s="677"/>
      <c r="NSV1" s="677"/>
      <c r="NSW1" s="677"/>
      <c r="NSX1" s="677"/>
      <c r="NSY1" s="677"/>
      <c r="NSZ1" s="677"/>
      <c r="NTA1" s="677"/>
      <c r="NTB1" s="677"/>
      <c r="NTC1" s="677"/>
      <c r="NTD1" s="677"/>
      <c r="NTE1" s="677"/>
      <c r="NTF1" s="677"/>
      <c r="NTG1" s="677"/>
      <c r="NTH1" s="677"/>
      <c r="NTI1" s="677"/>
      <c r="NTJ1" s="677"/>
      <c r="NTK1" s="677"/>
      <c r="NTL1" s="677"/>
      <c r="NTM1" s="677"/>
      <c r="NTN1" s="677"/>
      <c r="NTO1" s="677"/>
      <c r="NTP1" s="677"/>
      <c r="NTQ1" s="677"/>
      <c r="NTR1" s="677"/>
      <c r="NTS1" s="677"/>
      <c r="NTT1" s="677"/>
      <c r="NTU1" s="677"/>
      <c r="NTV1" s="677"/>
      <c r="NTW1" s="677"/>
      <c r="NTX1" s="677"/>
      <c r="NTY1" s="677"/>
      <c r="NTZ1" s="677"/>
      <c r="NUA1" s="677"/>
      <c r="NUB1" s="677"/>
      <c r="NUC1" s="677"/>
      <c r="NUD1" s="677"/>
      <c r="NUE1" s="677"/>
      <c r="NUF1" s="677"/>
      <c r="NUG1" s="677"/>
      <c r="NUH1" s="677"/>
      <c r="NUI1" s="677"/>
      <c r="NUJ1" s="677"/>
      <c r="NUK1" s="677"/>
      <c r="NUL1" s="677"/>
      <c r="NUM1" s="677"/>
      <c r="NUN1" s="677"/>
      <c r="NUO1" s="677"/>
      <c r="NUP1" s="677"/>
      <c r="NUQ1" s="677"/>
      <c r="NUR1" s="677"/>
      <c r="NUS1" s="677"/>
      <c r="NUT1" s="677"/>
      <c r="NUU1" s="677"/>
      <c r="NUV1" s="677"/>
      <c r="NUW1" s="677"/>
      <c r="NUX1" s="677"/>
      <c r="NUY1" s="677"/>
      <c r="NUZ1" s="677"/>
      <c r="NVA1" s="677"/>
      <c r="NVB1" s="677"/>
      <c r="NVC1" s="677"/>
      <c r="NVD1" s="677"/>
      <c r="NVE1" s="677"/>
      <c r="NVF1" s="677"/>
      <c r="NVG1" s="677"/>
      <c r="NVH1" s="677"/>
      <c r="NVI1" s="677"/>
      <c r="NVJ1" s="677"/>
      <c r="NVK1" s="677"/>
      <c r="NVL1" s="677"/>
      <c r="NVM1" s="677"/>
      <c r="NVN1" s="677"/>
      <c r="NVO1" s="677"/>
      <c r="NVP1" s="677"/>
      <c r="NVQ1" s="677"/>
      <c r="NVR1" s="677"/>
      <c r="NVS1" s="677"/>
      <c r="NVT1" s="677"/>
      <c r="NVU1" s="677"/>
      <c r="NVV1" s="677"/>
      <c r="NVW1" s="677"/>
      <c r="NVX1" s="677"/>
      <c r="NVY1" s="677"/>
      <c r="NVZ1" s="677"/>
      <c r="NWA1" s="677"/>
      <c r="NWB1" s="677"/>
      <c r="NWC1" s="677"/>
      <c r="NWD1" s="677"/>
      <c r="NWE1" s="677"/>
      <c r="NWF1" s="677"/>
      <c r="NWG1" s="677"/>
      <c r="NWH1" s="677"/>
      <c r="NWI1" s="677"/>
      <c r="NWJ1" s="677"/>
      <c r="NWK1" s="677"/>
      <c r="NWL1" s="677"/>
      <c r="NWM1" s="677"/>
      <c r="NWN1" s="677"/>
      <c r="NWO1" s="677"/>
      <c r="NWP1" s="677"/>
      <c r="NWQ1" s="677"/>
      <c r="NWR1" s="677"/>
      <c r="NWS1" s="677"/>
      <c r="NWT1" s="677"/>
      <c r="NWU1" s="677"/>
      <c r="NWV1" s="677"/>
      <c r="NWW1" s="677"/>
      <c r="NWX1" s="677"/>
      <c r="NWY1" s="677"/>
      <c r="NWZ1" s="677"/>
      <c r="NXA1" s="677"/>
      <c r="NXB1" s="677"/>
      <c r="NXC1" s="677"/>
      <c r="NXD1" s="677"/>
      <c r="NXE1" s="677"/>
      <c r="NXF1" s="677"/>
      <c r="NXG1" s="677"/>
      <c r="NXH1" s="677"/>
      <c r="NXI1" s="677"/>
      <c r="NXJ1" s="677"/>
      <c r="NXK1" s="677"/>
      <c r="NXL1" s="677"/>
      <c r="NXM1" s="677"/>
      <c r="NXN1" s="677"/>
      <c r="NXO1" s="677"/>
      <c r="NXP1" s="677"/>
      <c r="NXQ1" s="677"/>
      <c r="NXR1" s="677"/>
      <c r="NXS1" s="677"/>
      <c r="NXT1" s="677"/>
      <c r="NXU1" s="677"/>
      <c r="NXV1" s="677"/>
      <c r="NXW1" s="677"/>
      <c r="NXX1" s="677"/>
      <c r="NXY1" s="677"/>
      <c r="NXZ1" s="677"/>
      <c r="NYA1" s="677"/>
      <c r="NYB1" s="677"/>
      <c r="NYC1" s="677"/>
      <c r="NYD1" s="677"/>
      <c r="NYE1" s="677"/>
      <c r="NYF1" s="677"/>
      <c r="NYG1" s="677"/>
      <c r="NYH1" s="677"/>
      <c r="NYI1" s="677"/>
      <c r="NYJ1" s="677"/>
      <c r="NYK1" s="677"/>
      <c r="NYL1" s="677"/>
      <c r="NYM1" s="677"/>
      <c r="NYN1" s="677"/>
      <c r="NYO1" s="677"/>
      <c r="NYP1" s="677"/>
      <c r="NYQ1" s="677"/>
      <c r="NYR1" s="677"/>
      <c r="NYS1" s="677"/>
      <c r="NYT1" s="677"/>
      <c r="NYU1" s="677"/>
      <c r="NYV1" s="677"/>
      <c r="NYW1" s="677"/>
      <c r="NYX1" s="677"/>
      <c r="NYY1" s="677"/>
      <c r="NYZ1" s="677"/>
      <c r="NZA1" s="677"/>
      <c r="NZB1" s="677"/>
      <c r="NZC1" s="677"/>
      <c r="NZD1" s="677"/>
      <c r="NZE1" s="677"/>
      <c r="NZF1" s="677"/>
      <c r="NZG1" s="677"/>
      <c r="NZH1" s="677"/>
      <c r="NZI1" s="677"/>
      <c r="NZJ1" s="677"/>
      <c r="NZK1" s="677"/>
      <c r="NZL1" s="677"/>
      <c r="NZM1" s="677"/>
      <c r="NZN1" s="677"/>
      <c r="NZO1" s="677"/>
      <c r="NZP1" s="677"/>
      <c r="NZQ1" s="677"/>
      <c r="NZR1" s="677"/>
      <c r="NZS1" s="677"/>
      <c r="NZT1" s="677"/>
      <c r="NZU1" s="677"/>
      <c r="NZV1" s="677"/>
      <c r="NZW1" s="677"/>
      <c r="NZX1" s="677"/>
      <c r="NZY1" s="677"/>
      <c r="NZZ1" s="677"/>
      <c r="OAA1" s="677"/>
      <c r="OAB1" s="677"/>
      <c r="OAC1" s="677"/>
      <c r="OAD1" s="677"/>
      <c r="OAE1" s="677"/>
      <c r="OAF1" s="677"/>
      <c r="OAG1" s="677"/>
      <c r="OAH1" s="677"/>
      <c r="OAI1" s="677"/>
      <c r="OAJ1" s="677"/>
      <c r="OAK1" s="677"/>
      <c r="OAL1" s="677"/>
      <c r="OAM1" s="677"/>
      <c r="OAN1" s="677"/>
      <c r="OAO1" s="677"/>
      <c r="OAP1" s="677"/>
      <c r="OAQ1" s="677"/>
      <c r="OAR1" s="677"/>
      <c r="OAS1" s="677"/>
      <c r="OAT1" s="677"/>
      <c r="OAU1" s="677"/>
      <c r="OAV1" s="677"/>
      <c r="OAW1" s="677"/>
      <c r="OAX1" s="677"/>
      <c r="OAY1" s="677"/>
      <c r="OAZ1" s="677"/>
      <c r="OBA1" s="677"/>
      <c r="OBB1" s="677"/>
      <c r="OBC1" s="677"/>
      <c r="OBD1" s="677"/>
      <c r="OBE1" s="677"/>
      <c r="OBF1" s="677"/>
      <c r="OBG1" s="677"/>
      <c r="OBH1" s="677"/>
      <c r="OBI1" s="677"/>
      <c r="OBJ1" s="677"/>
      <c r="OBK1" s="677"/>
      <c r="OBL1" s="677"/>
      <c r="OBM1" s="677"/>
      <c r="OBN1" s="677"/>
      <c r="OBO1" s="677"/>
      <c r="OBP1" s="677"/>
      <c r="OBQ1" s="677"/>
      <c r="OBR1" s="677"/>
      <c r="OBS1" s="677"/>
      <c r="OBT1" s="677"/>
      <c r="OBU1" s="677"/>
      <c r="OBV1" s="677"/>
      <c r="OBW1" s="677"/>
      <c r="OBX1" s="677"/>
      <c r="OBY1" s="677"/>
      <c r="OBZ1" s="677"/>
      <c r="OCA1" s="677"/>
      <c r="OCB1" s="677"/>
      <c r="OCC1" s="677"/>
      <c r="OCD1" s="677"/>
      <c r="OCE1" s="677"/>
      <c r="OCF1" s="677"/>
      <c r="OCG1" s="677"/>
      <c r="OCH1" s="677"/>
      <c r="OCI1" s="677"/>
      <c r="OCJ1" s="677"/>
      <c r="OCK1" s="677"/>
      <c r="OCL1" s="677"/>
      <c r="OCM1" s="677"/>
      <c r="OCN1" s="677"/>
      <c r="OCO1" s="677"/>
      <c r="OCP1" s="677"/>
      <c r="OCQ1" s="677"/>
      <c r="OCR1" s="677"/>
      <c r="OCS1" s="677"/>
      <c r="OCT1" s="677"/>
      <c r="OCU1" s="677"/>
      <c r="OCV1" s="677"/>
      <c r="OCW1" s="677"/>
      <c r="OCX1" s="677"/>
      <c r="OCY1" s="677"/>
      <c r="OCZ1" s="677"/>
      <c r="ODA1" s="677"/>
      <c r="ODB1" s="677"/>
      <c r="ODC1" s="677"/>
      <c r="ODD1" s="677"/>
      <c r="ODE1" s="677"/>
      <c r="ODF1" s="677"/>
      <c r="ODG1" s="677"/>
      <c r="ODH1" s="677"/>
      <c r="ODI1" s="677"/>
      <c r="ODJ1" s="677"/>
      <c r="ODK1" s="677"/>
      <c r="ODL1" s="677"/>
      <c r="ODM1" s="677"/>
      <c r="ODN1" s="677"/>
      <c r="ODO1" s="677"/>
      <c r="ODP1" s="677"/>
      <c r="ODQ1" s="677"/>
      <c r="ODR1" s="677"/>
      <c r="ODS1" s="677"/>
      <c r="ODT1" s="677"/>
      <c r="ODU1" s="677"/>
      <c r="ODV1" s="677"/>
      <c r="ODW1" s="677"/>
      <c r="ODX1" s="677"/>
      <c r="ODY1" s="677"/>
      <c r="ODZ1" s="677"/>
      <c r="OEA1" s="677"/>
      <c r="OEB1" s="677"/>
      <c r="OEC1" s="677"/>
      <c r="OED1" s="677"/>
      <c r="OEE1" s="677"/>
      <c r="OEF1" s="677"/>
      <c r="OEG1" s="677"/>
      <c r="OEH1" s="677"/>
      <c r="OEI1" s="677"/>
      <c r="OEJ1" s="677"/>
      <c r="OEK1" s="677"/>
      <c r="OEL1" s="677"/>
      <c r="OEM1" s="677"/>
      <c r="OEN1" s="677"/>
      <c r="OEO1" s="677"/>
      <c r="OEP1" s="677"/>
      <c r="OEQ1" s="677"/>
      <c r="OER1" s="677"/>
      <c r="OES1" s="677"/>
      <c r="OET1" s="677"/>
      <c r="OEU1" s="677"/>
      <c r="OEV1" s="677"/>
      <c r="OEW1" s="677"/>
      <c r="OEX1" s="677"/>
      <c r="OEY1" s="677"/>
      <c r="OEZ1" s="677"/>
      <c r="OFA1" s="677"/>
      <c r="OFB1" s="677"/>
      <c r="OFC1" s="677"/>
      <c r="OFD1" s="677"/>
      <c r="OFE1" s="677"/>
      <c r="OFF1" s="677"/>
      <c r="OFG1" s="677"/>
      <c r="OFH1" s="677"/>
      <c r="OFI1" s="677"/>
      <c r="OFJ1" s="677"/>
      <c r="OFK1" s="677"/>
      <c r="OFL1" s="677"/>
      <c r="OFM1" s="677"/>
      <c r="OFN1" s="677"/>
      <c r="OFO1" s="677"/>
      <c r="OFP1" s="677"/>
      <c r="OFQ1" s="677"/>
      <c r="OFR1" s="677"/>
      <c r="OFS1" s="677"/>
      <c r="OFT1" s="677"/>
      <c r="OFU1" s="677"/>
      <c r="OFV1" s="677"/>
      <c r="OFW1" s="677"/>
      <c r="OFX1" s="677"/>
      <c r="OFY1" s="677"/>
      <c r="OFZ1" s="677"/>
      <c r="OGA1" s="677"/>
      <c r="OGB1" s="677"/>
      <c r="OGC1" s="677"/>
      <c r="OGD1" s="677"/>
      <c r="OGE1" s="677"/>
      <c r="OGF1" s="677"/>
      <c r="OGG1" s="677"/>
      <c r="OGH1" s="677"/>
      <c r="OGI1" s="677"/>
      <c r="OGJ1" s="677"/>
      <c r="OGK1" s="677"/>
      <c r="OGL1" s="677"/>
      <c r="OGM1" s="677"/>
      <c r="OGN1" s="677"/>
      <c r="OGO1" s="677"/>
      <c r="OGP1" s="677"/>
      <c r="OGQ1" s="677"/>
      <c r="OGR1" s="677"/>
      <c r="OGS1" s="677"/>
      <c r="OGT1" s="677"/>
      <c r="OGU1" s="677"/>
      <c r="OGV1" s="677"/>
      <c r="OGW1" s="677"/>
      <c r="OGX1" s="677"/>
      <c r="OGY1" s="677"/>
      <c r="OGZ1" s="677"/>
      <c r="OHA1" s="677"/>
      <c r="OHB1" s="677"/>
      <c r="OHC1" s="677"/>
      <c r="OHD1" s="677"/>
      <c r="OHE1" s="677"/>
      <c r="OHF1" s="677"/>
      <c r="OHG1" s="677"/>
      <c r="OHH1" s="677"/>
      <c r="OHI1" s="677"/>
      <c r="OHJ1" s="677"/>
      <c r="OHK1" s="677"/>
      <c r="OHL1" s="677"/>
      <c r="OHM1" s="677"/>
      <c r="OHN1" s="677"/>
      <c r="OHO1" s="677"/>
      <c r="OHP1" s="677"/>
      <c r="OHQ1" s="677"/>
      <c r="OHR1" s="677"/>
      <c r="OHS1" s="677"/>
      <c r="OHT1" s="677"/>
      <c r="OHU1" s="677"/>
      <c r="OHV1" s="677"/>
      <c r="OHW1" s="677"/>
      <c r="OHX1" s="677"/>
      <c r="OHY1" s="677"/>
      <c r="OHZ1" s="677"/>
      <c r="OIA1" s="677"/>
      <c r="OIB1" s="677"/>
      <c r="OIC1" s="677"/>
      <c r="OID1" s="677"/>
      <c r="OIE1" s="677"/>
      <c r="OIF1" s="677"/>
      <c r="OIG1" s="677"/>
      <c r="OIH1" s="677"/>
      <c r="OII1" s="677"/>
      <c r="OIJ1" s="677"/>
      <c r="OIK1" s="677"/>
      <c r="OIL1" s="677"/>
      <c r="OIM1" s="677"/>
      <c r="OIN1" s="677"/>
      <c r="OIO1" s="677"/>
      <c r="OIP1" s="677"/>
      <c r="OIQ1" s="677"/>
      <c r="OIR1" s="677"/>
      <c r="OIS1" s="677"/>
      <c r="OIT1" s="677"/>
      <c r="OIU1" s="677"/>
      <c r="OIV1" s="677"/>
      <c r="OIW1" s="677"/>
      <c r="OIX1" s="677"/>
      <c r="OIY1" s="677"/>
      <c r="OIZ1" s="677"/>
      <c r="OJA1" s="677"/>
      <c r="OJB1" s="677"/>
      <c r="OJC1" s="677"/>
      <c r="OJD1" s="677"/>
      <c r="OJE1" s="677"/>
      <c r="OJF1" s="677"/>
      <c r="OJG1" s="677"/>
      <c r="OJH1" s="677"/>
      <c r="OJI1" s="677"/>
      <c r="OJJ1" s="677"/>
      <c r="OJK1" s="677"/>
      <c r="OJL1" s="677"/>
      <c r="OJM1" s="677"/>
      <c r="OJN1" s="677"/>
      <c r="OJO1" s="677"/>
      <c r="OJP1" s="677"/>
      <c r="OJQ1" s="677"/>
      <c r="OJR1" s="677"/>
      <c r="OJS1" s="677"/>
      <c r="OJT1" s="677"/>
      <c r="OJU1" s="677"/>
      <c r="OJV1" s="677"/>
      <c r="OJW1" s="677"/>
      <c r="OJX1" s="677"/>
      <c r="OJY1" s="677"/>
      <c r="OJZ1" s="677"/>
      <c r="OKA1" s="677"/>
      <c r="OKB1" s="677"/>
      <c r="OKC1" s="677"/>
      <c r="OKD1" s="677"/>
      <c r="OKE1" s="677"/>
      <c r="OKF1" s="677"/>
      <c r="OKG1" s="677"/>
      <c r="OKH1" s="677"/>
      <c r="OKI1" s="677"/>
      <c r="OKJ1" s="677"/>
      <c r="OKK1" s="677"/>
      <c r="OKL1" s="677"/>
      <c r="OKM1" s="677"/>
      <c r="OKN1" s="677"/>
      <c r="OKO1" s="677"/>
      <c r="OKP1" s="677"/>
      <c r="OKQ1" s="677"/>
      <c r="OKR1" s="677"/>
      <c r="OKS1" s="677"/>
      <c r="OKT1" s="677"/>
      <c r="OKU1" s="677"/>
      <c r="OKV1" s="677"/>
      <c r="OKW1" s="677"/>
      <c r="OKX1" s="677"/>
      <c r="OKY1" s="677"/>
      <c r="OKZ1" s="677"/>
      <c r="OLA1" s="677"/>
      <c r="OLB1" s="677"/>
      <c r="OLC1" s="677"/>
      <c r="OLD1" s="677"/>
      <c r="OLE1" s="677"/>
      <c r="OLF1" s="677"/>
      <c r="OLG1" s="677"/>
      <c r="OLH1" s="677"/>
      <c r="OLI1" s="677"/>
      <c r="OLJ1" s="677"/>
      <c r="OLK1" s="677"/>
      <c r="OLL1" s="677"/>
      <c r="OLM1" s="677"/>
      <c r="OLN1" s="677"/>
      <c r="OLO1" s="677"/>
      <c r="OLP1" s="677"/>
      <c r="OLQ1" s="677"/>
      <c r="OLR1" s="677"/>
      <c r="OLS1" s="677"/>
      <c r="OLT1" s="677"/>
      <c r="OLU1" s="677"/>
      <c r="OLV1" s="677"/>
      <c r="OLW1" s="677"/>
      <c r="OLX1" s="677"/>
      <c r="OLY1" s="677"/>
      <c r="OLZ1" s="677"/>
      <c r="OMA1" s="677"/>
      <c r="OMB1" s="677"/>
      <c r="OMC1" s="677"/>
      <c r="OMD1" s="677"/>
      <c r="OME1" s="677"/>
      <c r="OMF1" s="677"/>
      <c r="OMG1" s="677"/>
      <c r="OMH1" s="677"/>
      <c r="OMI1" s="677"/>
      <c r="OMJ1" s="677"/>
      <c r="OMK1" s="677"/>
      <c r="OML1" s="677"/>
      <c r="OMM1" s="677"/>
      <c r="OMN1" s="677"/>
      <c r="OMO1" s="677"/>
      <c r="OMP1" s="677"/>
      <c r="OMQ1" s="677"/>
      <c r="OMR1" s="677"/>
      <c r="OMS1" s="677"/>
      <c r="OMT1" s="677"/>
      <c r="OMU1" s="677"/>
      <c r="OMV1" s="677"/>
      <c r="OMW1" s="677"/>
      <c r="OMX1" s="677"/>
      <c r="OMY1" s="677"/>
      <c r="OMZ1" s="677"/>
      <c r="ONA1" s="677"/>
      <c r="ONB1" s="677"/>
      <c r="ONC1" s="677"/>
      <c r="OND1" s="677"/>
      <c r="ONE1" s="677"/>
      <c r="ONF1" s="677"/>
      <c r="ONG1" s="677"/>
      <c r="ONH1" s="677"/>
      <c r="ONI1" s="677"/>
      <c r="ONJ1" s="677"/>
      <c r="ONK1" s="677"/>
      <c r="ONL1" s="677"/>
      <c r="ONM1" s="677"/>
      <c r="ONN1" s="677"/>
      <c r="ONO1" s="677"/>
      <c r="ONP1" s="677"/>
      <c r="ONQ1" s="677"/>
      <c r="ONR1" s="677"/>
      <c r="ONS1" s="677"/>
      <c r="ONT1" s="677"/>
      <c r="ONU1" s="677"/>
      <c r="ONV1" s="677"/>
      <c r="ONW1" s="677"/>
      <c r="ONX1" s="677"/>
      <c r="ONY1" s="677"/>
      <c r="ONZ1" s="677"/>
      <c r="OOA1" s="677"/>
      <c r="OOB1" s="677"/>
      <c r="OOC1" s="677"/>
      <c r="OOD1" s="677"/>
      <c r="OOE1" s="677"/>
      <c r="OOF1" s="677"/>
      <c r="OOG1" s="677"/>
      <c r="OOH1" s="677"/>
      <c r="OOI1" s="677"/>
      <c r="OOJ1" s="677"/>
      <c r="OOK1" s="677"/>
      <c r="OOL1" s="677"/>
      <c r="OOM1" s="677"/>
      <c r="OON1" s="677"/>
      <c r="OOO1" s="677"/>
      <c r="OOP1" s="677"/>
      <c r="OOQ1" s="677"/>
      <c r="OOR1" s="677"/>
      <c r="OOS1" s="677"/>
      <c r="OOT1" s="677"/>
      <c r="OOU1" s="677"/>
      <c r="OOV1" s="677"/>
      <c r="OOW1" s="677"/>
      <c r="OOX1" s="677"/>
      <c r="OOY1" s="677"/>
      <c r="OOZ1" s="677"/>
      <c r="OPA1" s="677"/>
      <c r="OPB1" s="677"/>
      <c r="OPC1" s="677"/>
      <c r="OPD1" s="677"/>
      <c r="OPE1" s="677"/>
      <c r="OPF1" s="677"/>
      <c r="OPG1" s="677"/>
      <c r="OPH1" s="677"/>
      <c r="OPI1" s="677"/>
      <c r="OPJ1" s="677"/>
      <c r="OPK1" s="677"/>
      <c r="OPL1" s="677"/>
      <c r="OPM1" s="677"/>
      <c r="OPN1" s="677"/>
      <c r="OPO1" s="677"/>
      <c r="OPP1" s="677"/>
      <c r="OPQ1" s="677"/>
      <c r="OPR1" s="677"/>
      <c r="OPS1" s="677"/>
      <c r="OPT1" s="677"/>
      <c r="OPU1" s="677"/>
      <c r="OPV1" s="677"/>
      <c r="OPW1" s="677"/>
      <c r="OPX1" s="677"/>
      <c r="OPY1" s="677"/>
      <c r="OPZ1" s="677"/>
      <c r="OQA1" s="677"/>
      <c r="OQB1" s="677"/>
      <c r="OQC1" s="677"/>
      <c r="OQD1" s="677"/>
      <c r="OQE1" s="677"/>
      <c r="OQF1" s="677"/>
      <c r="OQG1" s="677"/>
      <c r="OQH1" s="677"/>
      <c r="OQI1" s="677"/>
      <c r="OQJ1" s="677"/>
      <c r="OQK1" s="677"/>
      <c r="OQL1" s="677"/>
      <c r="OQM1" s="677"/>
      <c r="OQN1" s="677"/>
      <c r="OQO1" s="677"/>
      <c r="OQP1" s="677"/>
      <c r="OQQ1" s="677"/>
      <c r="OQR1" s="677"/>
      <c r="OQS1" s="677"/>
      <c r="OQT1" s="677"/>
      <c r="OQU1" s="677"/>
      <c r="OQV1" s="677"/>
      <c r="OQW1" s="677"/>
      <c r="OQX1" s="677"/>
      <c r="OQY1" s="677"/>
      <c r="OQZ1" s="677"/>
      <c r="ORA1" s="677"/>
      <c r="ORB1" s="677"/>
      <c r="ORC1" s="677"/>
      <c r="ORD1" s="677"/>
      <c r="ORE1" s="677"/>
      <c r="ORF1" s="677"/>
      <c r="ORG1" s="677"/>
      <c r="ORH1" s="677"/>
      <c r="ORI1" s="677"/>
      <c r="ORJ1" s="677"/>
      <c r="ORK1" s="677"/>
      <c r="ORL1" s="677"/>
      <c r="ORM1" s="677"/>
      <c r="ORN1" s="677"/>
      <c r="ORO1" s="677"/>
      <c r="ORP1" s="677"/>
      <c r="ORQ1" s="677"/>
      <c r="ORR1" s="677"/>
      <c r="ORS1" s="677"/>
      <c r="ORT1" s="677"/>
      <c r="ORU1" s="677"/>
      <c r="ORV1" s="677"/>
      <c r="ORW1" s="677"/>
      <c r="ORX1" s="677"/>
      <c r="ORY1" s="677"/>
      <c r="ORZ1" s="677"/>
      <c r="OSA1" s="677"/>
      <c r="OSB1" s="677"/>
      <c r="OSC1" s="677"/>
      <c r="OSD1" s="677"/>
      <c r="OSE1" s="677"/>
      <c r="OSF1" s="677"/>
      <c r="OSG1" s="677"/>
      <c r="OSH1" s="677"/>
      <c r="OSI1" s="677"/>
      <c r="OSJ1" s="677"/>
      <c r="OSK1" s="677"/>
      <c r="OSL1" s="677"/>
      <c r="OSM1" s="677"/>
      <c r="OSN1" s="677"/>
      <c r="OSO1" s="677"/>
      <c r="OSP1" s="677"/>
      <c r="OSQ1" s="677"/>
      <c r="OSR1" s="677"/>
      <c r="OSS1" s="677"/>
      <c r="OST1" s="677"/>
      <c r="OSU1" s="677"/>
      <c r="OSV1" s="677"/>
      <c r="OSW1" s="677"/>
      <c r="OSX1" s="677"/>
      <c r="OSY1" s="677"/>
      <c r="OSZ1" s="677"/>
      <c r="OTA1" s="677"/>
      <c r="OTB1" s="677"/>
      <c r="OTC1" s="677"/>
      <c r="OTD1" s="677"/>
      <c r="OTE1" s="677"/>
      <c r="OTF1" s="677"/>
      <c r="OTG1" s="677"/>
      <c r="OTH1" s="677"/>
      <c r="OTI1" s="677"/>
      <c r="OTJ1" s="677"/>
      <c r="OTK1" s="677"/>
      <c r="OTL1" s="677"/>
      <c r="OTM1" s="677"/>
      <c r="OTN1" s="677"/>
      <c r="OTO1" s="677"/>
      <c r="OTP1" s="677"/>
      <c r="OTQ1" s="677"/>
      <c r="OTR1" s="677"/>
      <c r="OTS1" s="677"/>
      <c r="OTT1" s="677"/>
      <c r="OTU1" s="677"/>
      <c r="OTV1" s="677"/>
      <c r="OTW1" s="677"/>
      <c r="OTX1" s="677"/>
      <c r="OTY1" s="677"/>
      <c r="OTZ1" s="677"/>
      <c r="OUA1" s="677"/>
      <c r="OUB1" s="677"/>
      <c r="OUC1" s="677"/>
      <c r="OUD1" s="677"/>
      <c r="OUE1" s="677"/>
      <c r="OUF1" s="677"/>
      <c r="OUG1" s="677"/>
      <c r="OUH1" s="677"/>
      <c r="OUI1" s="677"/>
      <c r="OUJ1" s="677"/>
      <c r="OUK1" s="677"/>
      <c r="OUL1" s="677"/>
      <c r="OUM1" s="677"/>
      <c r="OUN1" s="677"/>
      <c r="OUO1" s="677"/>
      <c r="OUP1" s="677"/>
      <c r="OUQ1" s="677"/>
      <c r="OUR1" s="677"/>
      <c r="OUS1" s="677"/>
      <c r="OUT1" s="677"/>
      <c r="OUU1" s="677"/>
      <c r="OUV1" s="677"/>
      <c r="OUW1" s="677"/>
      <c r="OUX1" s="677"/>
      <c r="OUY1" s="677"/>
      <c r="OUZ1" s="677"/>
      <c r="OVA1" s="677"/>
      <c r="OVB1" s="677"/>
      <c r="OVC1" s="677"/>
      <c r="OVD1" s="677"/>
      <c r="OVE1" s="677"/>
      <c r="OVF1" s="677"/>
      <c r="OVG1" s="677"/>
      <c r="OVH1" s="677"/>
      <c r="OVI1" s="677"/>
      <c r="OVJ1" s="677"/>
      <c r="OVK1" s="677"/>
      <c r="OVL1" s="677"/>
      <c r="OVM1" s="677"/>
      <c r="OVN1" s="677"/>
      <c r="OVO1" s="677"/>
      <c r="OVP1" s="677"/>
      <c r="OVQ1" s="677"/>
      <c r="OVR1" s="677"/>
      <c r="OVS1" s="677"/>
      <c r="OVT1" s="677"/>
      <c r="OVU1" s="677"/>
      <c r="OVV1" s="677"/>
      <c r="OVW1" s="677"/>
      <c r="OVX1" s="677"/>
      <c r="OVY1" s="677"/>
      <c r="OVZ1" s="677"/>
      <c r="OWA1" s="677"/>
      <c r="OWB1" s="677"/>
      <c r="OWC1" s="677"/>
      <c r="OWD1" s="677"/>
      <c r="OWE1" s="677"/>
      <c r="OWF1" s="677"/>
      <c r="OWG1" s="677"/>
      <c r="OWH1" s="677"/>
      <c r="OWI1" s="677"/>
      <c r="OWJ1" s="677"/>
      <c r="OWK1" s="677"/>
      <c r="OWL1" s="677"/>
      <c r="OWM1" s="677"/>
      <c r="OWN1" s="677"/>
      <c r="OWO1" s="677"/>
      <c r="OWP1" s="677"/>
      <c r="OWQ1" s="677"/>
      <c r="OWR1" s="677"/>
      <c r="OWS1" s="677"/>
      <c r="OWT1" s="677"/>
      <c r="OWU1" s="677"/>
      <c r="OWV1" s="677"/>
      <c r="OWW1" s="677"/>
      <c r="OWX1" s="677"/>
      <c r="OWY1" s="677"/>
      <c r="OWZ1" s="677"/>
      <c r="OXA1" s="677"/>
      <c r="OXB1" s="677"/>
      <c r="OXC1" s="677"/>
      <c r="OXD1" s="677"/>
      <c r="OXE1" s="677"/>
      <c r="OXF1" s="677"/>
      <c r="OXG1" s="677"/>
      <c r="OXH1" s="677"/>
      <c r="OXI1" s="677"/>
      <c r="OXJ1" s="677"/>
      <c r="OXK1" s="677"/>
      <c r="OXL1" s="677"/>
      <c r="OXM1" s="677"/>
      <c r="OXN1" s="677"/>
      <c r="OXO1" s="677"/>
      <c r="OXP1" s="677"/>
      <c r="OXQ1" s="677"/>
      <c r="OXR1" s="677"/>
      <c r="OXS1" s="677"/>
      <c r="OXT1" s="677"/>
      <c r="OXU1" s="677"/>
      <c r="OXV1" s="677"/>
      <c r="OXW1" s="677"/>
      <c r="OXX1" s="677"/>
      <c r="OXY1" s="677"/>
      <c r="OXZ1" s="677"/>
      <c r="OYA1" s="677"/>
      <c r="OYB1" s="677"/>
      <c r="OYC1" s="677"/>
      <c r="OYD1" s="677"/>
      <c r="OYE1" s="677"/>
      <c r="OYF1" s="677"/>
      <c r="OYG1" s="677"/>
      <c r="OYH1" s="677"/>
      <c r="OYI1" s="677"/>
      <c r="OYJ1" s="677"/>
      <c r="OYK1" s="677"/>
      <c r="OYL1" s="677"/>
      <c r="OYM1" s="677"/>
      <c r="OYN1" s="677"/>
      <c r="OYO1" s="677"/>
      <c r="OYP1" s="677"/>
      <c r="OYQ1" s="677"/>
      <c r="OYR1" s="677"/>
      <c r="OYS1" s="677"/>
      <c r="OYT1" s="677"/>
      <c r="OYU1" s="677"/>
      <c r="OYV1" s="677"/>
      <c r="OYW1" s="677"/>
      <c r="OYX1" s="677"/>
      <c r="OYY1" s="677"/>
      <c r="OYZ1" s="677"/>
      <c r="OZA1" s="677"/>
      <c r="OZB1" s="677"/>
      <c r="OZC1" s="677"/>
      <c r="OZD1" s="677"/>
      <c r="OZE1" s="677"/>
      <c r="OZF1" s="677"/>
      <c r="OZG1" s="677"/>
      <c r="OZH1" s="677"/>
      <c r="OZI1" s="677"/>
      <c r="OZJ1" s="677"/>
      <c r="OZK1" s="677"/>
      <c r="OZL1" s="677"/>
      <c r="OZM1" s="677"/>
      <c r="OZN1" s="677"/>
      <c r="OZO1" s="677"/>
      <c r="OZP1" s="677"/>
      <c r="OZQ1" s="677"/>
      <c r="OZR1" s="677"/>
      <c r="OZS1" s="677"/>
      <c r="OZT1" s="677"/>
      <c r="OZU1" s="677"/>
      <c r="OZV1" s="677"/>
      <c r="OZW1" s="677"/>
      <c r="OZX1" s="677"/>
      <c r="OZY1" s="677"/>
      <c r="OZZ1" s="677"/>
      <c r="PAA1" s="677"/>
      <c r="PAB1" s="677"/>
      <c r="PAC1" s="677"/>
      <c r="PAD1" s="677"/>
      <c r="PAE1" s="677"/>
      <c r="PAF1" s="677"/>
      <c r="PAG1" s="677"/>
      <c r="PAH1" s="677"/>
      <c r="PAI1" s="677"/>
      <c r="PAJ1" s="677"/>
      <c r="PAK1" s="677"/>
      <c r="PAL1" s="677"/>
      <c r="PAM1" s="677"/>
      <c r="PAN1" s="677"/>
      <c r="PAO1" s="677"/>
      <c r="PAP1" s="677"/>
      <c r="PAQ1" s="677"/>
      <c r="PAR1" s="677"/>
      <c r="PAS1" s="677"/>
      <c r="PAT1" s="677"/>
      <c r="PAU1" s="677"/>
      <c r="PAV1" s="677"/>
      <c r="PAW1" s="677"/>
      <c r="PAX1" s="677"/>
      <c r="PAY1" s="677"/>
      <c r="PAZ1" s="677"/>
      <c r="PBA1" s="677"/>
      <c r="PBB1" s="677"/>
      <c r="PBC1" s="677"/>
      <c r="PBD1" s="677"/>
      <c r="PBE1" s="677"/>
      <c r="PBF1" s="677"/>
      <c r="PBG1" s="677"/>
      <c r="PBH1" s="677"/>
      <c r="PBI1" s="677"/>
      <c r="PBJ1" s="677"/>
      <c r="PBK1" s="677"/>
      <c r="PBL1" s="677"/>
      <c r="PBM1" s="677"/>
      <c r="PBN1" s="677"/>
      <c r="PBO1" s="677"/>
      <c r="PBP1" s="677"/>
      <c r="PBQ1" s="677"/>
      <c r="PBR1" s="677"/>
      <c r="PBS1" s="677"/>
      <c r="PBT1" s="677"/>
      <c r="PBU1" s="677"/>
      <c r="PBV1" s="677"/>
      <c r="PBW1" s="677"/>
      <c r="PBX1" s="677"/>
      <c r="PBY1" s="677"/>
      <c r="PBZ1" s="677"/>
      <c r="PCA1" s="677"/>
      <c r="PCB1" s="677"/>
      <c r="PCC1" s="677"/>
      <c r="PCD1" s="677"/>
      <c r="PCE1" s="677"/>
      <c r="PCF1" s="677"/>
      <c r="PCG1" s="677"/>
      <c r="PCH1" s="677"/>
      <c r="PCI1" s="677"/>
      <c r="PCJ1" s="677"/>
      <c r="PCK1" s="677"/>
      <c r="PCL1" s="677"/>
      <c r="PCM1" s="677"/>
      <c r="PCN1" s="677"/>
      <c r="PCO1" s="677"/>
      <c r="PCP1" s="677"/>
      <c r="PCQ1" s="677"/>
      <c r="PCR1" s="677"/>
      <c r="PCS1" s="677"/>
      <c r="PCT1" s="677"/>
      <c r="PCU1" s="677"/>
      <c r="PCV1" s="677"/>
      <c r="PCW1" s="677"/>
      <c r="PCX1" s="677"/>
      <c r="PCY1" s="677"/>
      <c r="PCZ1" s="677"/>
      <c r="PDA1" s="677"/>
      <c r="PDB1" s="677"/>
      <c r="PDC1" s="677"/>
      <c r="PDD1" s="677"/>
      <c r="PDE1" s="677"/>
      <c r="PDF1" s="677"/>
      <c r="PDG1" s="677"/>
      <c r="PDH1" s="677"/>
      <c r="PDI1" s="677"/>
      <c r="PDJ1" s="677"/>
      <c r="PDK1" s="677"/>
      <c r="PDL1" s="677"/>
      <c r="PDM1" s="677"/>
      <c r="PDN1" s="677"/>
      <c r="PDO1" s="677"/>
      <c r="PDP1" s="677"/>
      <c r="PDQ1" s="677"/>
      <c r="PDR1" s="677"/>
      <c r="PDS1" s="677"/>
      <c r="PDT1" s="677"/>
      <c r="PDU1" s="677"/>
      <c r="PDV1" s="677"/>
      <c r="PDW1" s="677"/>
      <c r="PDX1" s="677"/>
      <c r="PDY1" s="677"/>
      <c r="PDZ1" s="677"/>
      <c r="PEA1" s="677"/>
      <c r="PEB1" s="677"/>
      <c r="PEC1" s="677"/>
      <c r="PED1" s="677"/>
      <c r="PEE1" s="677"/>
      <c r="PEF1" s="677"/>
      <c r="PEG1" s="677"/>
      <c r="PEH1" s="677"/>
      <c r="PEI1" s="677"/>
      <c r="PEJ1" s="677"/>
      <c r="PEK1" s="677"/>
      <c r="PEL1" s="677"/>
      <c r="PEM1" s="677"/>
      <c r="PEN1" s="677"/>
      <c r="PEO1" s="677"/>
      <c r="PEP1" s="677"/>
      <c r="PEQ1" s="677"/>
      <c r="PER1" s="677"/>
      <c r="PES1" s="677"/>
      <c r="PET1" s="677"/>
      <c r="PEU1" s="677"/>
      <c r="PEV1" s="677"/>
      <c r="PEW1" s="677"/>
      <c r="PEX1" s="677"/>
      <c r="PEY1" s="677"/>
      <c r="PEZ1" s="677"/>
      <c r="PFA1" s="677"/>
      <c r="PFB1" s="677"/>
      <c r="PFC1" s="677"/>
      <c r="PFD1" s="677"/>
      <c r="PFE1" s="677"/>
      <c r="PFF1" s="677"/>
      <c r="PFG1" s="677"/>
      <c r="PFH1" s="677"/>
      <c r="PFI1" s="677"/>
      <c r="PFJ1" s="677"/>
      <c r="PFK1" s="677"/>
      <c r="PFL1" s="677"/>
      <c r="PFM1" s="677"/>
      <c r="PFN1" s="677"/>
      <c r="PFO1" s="677"/>
      <c r="PFP1" s="677"/>
      <c r="PFQ1" s="677"/>
      <c r="PFR1" s="677"/>
      <c r="PFS1" s="677"/>
      <c r="PFT1" s="677"/>
      <c r="PFU1" s="677"/>
      <c r="PFV1" s="677"/>
      <c r="PFW1" s="677"/>
      <c r="PFX1" s="677"/>
      <c r="PFY1" s="677"/>
      <c r="PFZ1" s="677"/>
      <c r="PGA1" s="677"/>
      <c r="PGB1" s="677"/>
      <c r="PGC1" s="677"/>
      <c r="PGD1" s="677"/>
      <c r="PGE1" s="677"/>
      <c r="PGF1" s="677"/>
      <c r="PGG1" s="677"/>
      <c r="PGH1" s="677"/>
      <c r="PGI1" s="677"/>
      <c r="PGJ1" s="677"/>
      <c r="PGK1" s="677"/>
      <c r="PGL1" s="677"/>
      <c r="PGM1" s="677"/>
      <c r="PGN1" s="677"/>
      <c r="PGO1" s="677"/>
      <c r="PGP1" s="677"/>
      <c r="PGQ1" s="677"/>
      <c r="PGR1" s="677"/>
      <c r="PGS1" s="677"/>
      <c r="PGT1" s="677"/>
      <c r="PGU1" s="677"/>
      <c r="PGV1" s="677"/>
      <c r="PGW1" s="677"/>
      <c r="PGX1" s="677"/>
      <c r="PGY1" s="677"/>
      <c r="PGZ1" s="677"/>
      <c r="PHA1" s="677"/>
      <c r="PHB1" s="677"/>
      <c r="PHC1" s="677"/>
      <c r="PHD1" s="677"/>
      <c r="PHE1" s="677"/>
      <c r="PHF1" s="677"/>
      <c r="PHG1" s="677"/>
      <c r="PHH1" s="677"/>
      <c r="PHI1" s="677"/>
      <c r="PHJ1" s="677"/>
      <c r="PHK1" s="677"/>
      <c r="PHL1" s="677"/>
      <c r="PHM1" s="677"/>
      <c r="PHN1" s="677"/>
      <c r="PHO1" s="677"/>
      <c r="PHP1" s="677"/>
      <c r="PHQ1" s="677"/>
      <c r="PHR1" s="677"/>
      <c r="PHS1" s="677"/>
      <c r="PHT1" s="677"/>
      <c r="PHU1" s="677"/>
      <c r="PHV1" s="677"/>
      <c r="PHW1" s="677"/>
      <c r="PHX1" s="677"/>
      <c r="PHY1" s="677"/>
      <c r="PHZ1" s="677"/>
      <c r="PIA1" s="677"/>
      <c r="PIB1" s="677"/>
      <c r="PIC1" s="677"/>
      <c r="PID1" s="677"/>
      <c r="PIE1" s="677"/>
      <c r="PIF1" s="677"/>
      <c r="PIG1" s="677"/>
      <c r="PIH1" s="677"/>
      <c r="PII1" s="677"/>
      <c r="PIJ1" s="677"/>
      <c r="PIK1" s="677"/>
      <c r="PIL1" s="677"/>
      <c r="PIM1" s="677"/>
      <c r="PIN1" s="677"/>
      <c r="PIO1" s="677"/>
      <c r="PIP1" s="677"/>
      <c r="PIQ1" s="677"/>
      <c r="PIR1" s="677"/>
      <c r="PIS1" s="677"/>
      <c r="PIT1" s="677"/>
      <c r="PIU1" s="677"/>
      <c r="PIV1" s="677"/>
      <c r="PIW1" s="677"/>
      <c r="PIX1" s="677"/>
      <c r="PIY1" s="677"/>
      <c r="PIZ1" s="677"/>
      <c r="PJA1" s="677"/>
      <c r="PJB1" s="677"/>
      <c r="PJC1" s="677"/>
      <c r="PJD1" s="677"/>
      <c r="PJE1" s="677"/>
      <c r="PJF1" s="677"/>
      <c r="PJG1" s="677"/>
      <c r="PJH1" s="677"/>
      <c r="PJI1" s="677"/>
      <c r="PJJ1" s="677"/>
      <c r="PJK1" s="677"/>
      <c r="PJL1" s="677"/>
      <c r="PJM1" s="677"/>
      <c r="PJN1" s="677"/>
      <c r="PJO1" s="677"/>
      <c r="PJP1" s="677"/>
      <c r="PJQ1" s="677"/>
      <c r="PJR1" s="677"/>
      <c r="PJS1" s="677"/>
      <c r="PJT1" s="677"/>
      <c r="PJU1" s="677"/>
      <c r="PJV1" s="677"/>
      <c r="PJW1" s="677"/>
      <c r="PJX1" s="677"/>
      <c r="PJY1" s="677"/>
      <c r="PJZ1" s="677"/>
      <c r="PKA1" s="677"/>
      <c r="PKB1" s="677"/>
      <c r="PKC1" s="677"/>
      <c r="PKD1" s="677"/>
      <c r="PKE1" s="677"/>
      <c r="PKF1" s="677"/>
      <c r="PKG1" s="677"/>
      <c r="PKH1" s="677"/>
      <c r="PKI1" s="677"/>
      <c r="PKJ1" s="677"/>
      <c r="PKK1" s="677"/>
      <c r="PKL1" s="677"/>
      <c r="PKM1" s="677"/>
      <c r="PKN1" s="677"/>
      <c r="PKO1" s="677"/>
      <c r="PKP1" s="677"/>
      <c r="PKQ1" s="677"/>
      <c r="PKR1" s="677"/>
      <c r="PKS1" s="677"/>
      <c r="PKT1" s="677"/>
      <c r="PKU1" s="677"/>
      <c r="PKV1" s="677"/>
      <c r="PKW1" s="677"/>
      <c r="PKX1" s="677"/>
      <c r="PKY1" s="677"/>
      <c r="PKZ1" s="677"/>
      <c r="PLA1" s="677"/>
      <c r="PLB1" s="677"/>
      <c r="PLC1" s="677"/>
      <c r="PLD1" s="677"/>
      <c r="PLE1" s="677"/>
      <c r="PLF1" s="677"/>
      <c r="PLG1" s="677"/>
      <c r="PLH1" s="677"/>
      <c r="PLI1" s="677"/>
      <c r="PLJ1" s="677"/>
      <c r="PLK1" s="677"/>
      <c r="PLL1" s="677"/>
      <c r="PLM1" s="677"/>
      <c r="PLN1" s="677"/>
      <c r="PLO1" s="677"/>
      <c r="PLP1" s="677"/>
      <c r="PLQ1" s="677"/>
      <c r="PLR1" s="677"/>
      <c r="PLS1" s="677"/>
      <c r="PLT1" s="677"/>
      <c r="PLU1" s="677"/>
      <c r="PLV1" s="677"/>
      <c r="PLW1" s="677"/>
      <c r="PLX1" s="677"/>
      <c r="PLY1" s="677"/>
      <c r="PLZ1" s="677"/>
      <c r="PMA1" s="677"/>
      <c r="PMB1" s="677"/>
      <c r="PMC1" s="677"/>
      <c r="PMD1" s="677"/>
      <c r="PME1" s="677"/>
      <c r="PMF1" s="677"/>
      <c r="PMG1" s="677"/>
      <c r="PMH1" s="677"/>
      <c r="PMI1" s="677"/>
      <c r="PMJ1" s="677"/>
      <c r="PMK1" s="677"/>
      <c r="PML1" s="677"/>
      <c r="PMM1" s="677"/>
      <c r="PMN1" s="677"/>
      <c r="PMO1" s="677"/>
      <c r="PMP1" s="677"/>
      <c r="PMQ1" s="677"/>
      <c r="PMR1" s="677"/>
      <c r="PMS1" s="677"/>
      <c r="PMT1" s="677"/>
      <c r="PMU1" s="677"/>
      <c r="PMV1" s="677"/>
      <c r="PMW1" s="677"/>
      <c r="PMX1" s="677"/>
      <c r="PMY1" s="677"/>
      <c r="PMZ1" s="677"/>
      <c r="PNA1" s="677"/>
      <c r="PNB1" s="677"/>
      <c r="PNC1" s="677"/>
      <c r="PND1" s="677"/>
      <c r="PNE1" s="677"/>
      <c r="PNF1" s="677"/>
      <c r="PNG1" s="677"/>
      <c r="PNH1" s="677"/>
      <c r="PNI1" s="677"/>
      <c r="PNJ1" s="677"/>
      <c r="PNK1" s="677"/>
      <c r="PNL1" s="677"/>
      <c r="PNM1" s="677"/>
      <c r="PNN1" s="677"/>
      <c r="PNO1" s="677"/>
      <c r="PNP1" s="677"/>
      <c r="PNQ1" s="677"/>
      <c r="PNR1" s="677"/>
      <c r="PNS1" s="677"/>
      <c r="PNT1" s="677"/>
      <c r="PNU1" s="677"/>
      <c r="PNV1" s="677"/>
      <c r="PNW1" s="677"/>
      <c r="PNX1" s="677"/>
      <c r="PNY1" s="677"/>
      <c r="PNZ1" s="677"/>
      <c r="POA1" s="677"/>
      <c r="POB1" s="677"/>
      <c r="POC1" s="677"/>
      <c r="POD1" s="677"/>
      <c r="POE1" s="677"/>
      <c r="POF1" s="677"/>
      <c r="POG1" s="677"/>
      <c r="POH1" s="677"/>
      <c r="POI1" s="677"/>
      <c r="POJ1" s="677"/>
      <c r="POK1" s="677"/>
      <c r="POL1" s="677"/>
      <c r="POM1" s="677"/>
      <c r="PON1" s="677"/>
      <c r="POO1" s="677"/>
      <c r="POP1" s="677"/>
      <c r="POQ1" s="677"/>
      <c r="POR1" s="677"/>
      <c r="POS1" s="677"/>
      <c r="POT1" s="677"/>
      <c r="POU1" s="677"/>
      <c r="POV1" s="677"/>
      <c r="POW1" s="677"/>
      <c r="POX1" s="677"/>
      <c r="POY1" s="677"/>
      <c r="POZ1" s="677"/>
      <c r="PPA1" s="677"/>
      <c r="PPB1" s="677"/>
      <c r="PPC1" s="677"/>
      <c r="PPD1" s="677"/>
      <c r="PPE1" s="677"/>
      <c r="PPF1" s="677"/>
      <c r="PPG1" s="677"/>
      <c r="PPH1" s="677"/>
      <c r="PPI1" s="677"/>
      <c r="PPJ1" s="677"/>
      <c r="PPK1" s="677"/>
      <c r="PPL1" s="677"/>
      <c r="PPM1" s="677"/>
      <c r="PPN1" s="677"/>
      <c r="PPO1" s="677"/>
      <c r="PPP1" s="677"/>
      <c r="PPQ1" s="677"/>
      <c r="PPR1" s="677"/>
      <c r="PPS1" s="677"/>
      <c r="PPT1" s="677"/>
      <c r="PPU1" s="677"/>
      <c r="PPV1" s="677"/>
      <c r="PPW1" s="677"/>
      <c r="PPX1" s="677"/>
      <c r="PPY1" s="677"/>
      <c r="PPZ1" s="677"/>
      <c r="PQA1" s="677"/>
      <c r="PQB1" s="677"/>
      <c r="PQC1" s="677"/>
      <c r="PQD1" s="677"/>
      <c r="PQE1" s="677"/>
      <c r="PQF1" s="677"/>
      <c r="PQG1" s="677"/>
      <c r="PQH1" s="677"/>
      <c r="PQI1" s="677"/>
      <c r="PQJ1" s="677"/>
      <c r="PQK1" s="677"/>
      <c r="PQL1" s="677"/>
      <c r="PQM1" s="677"/>
      <c r="PQN1" s="677"/>
      <c r="PQO1" s="677"/>
      <c r="PQP1" s="677"/>
      <c r="PQQ1" s="677"/>
      <c r="PQR1" s="677"/>
      <c r="PQS1" s="677"/>
      <c r="PQT1" s="677"/>
      <c r="PQU1" s="677"/>
      <c r="PQV1" s="677"/>
      <c r="PQW1" s="677"/>
      <c r="PQX1" s="677"/>
      <c r="PQY1" s="677"/>
      <c r="PQZ1" s="677"/>
      <c r="PRA1" s="677"/>
      <c r="PRB1" s="677"/>
      <c r="PRC1" s="677"/>
      <c r="PRD1" s="677"/>
      <c r="PRE1" s="677"/>
      <c r="PRF1" s="677"/>
      <c r="PRG1" s="677"/>
      <c r="PRH1" s="677"/>
      <c r="PRI1" s="677"/>
      <c r="PRJ1" s="677"/>
      <c r="PRK1" s="677"/>
      <c r="PRL1" s="677"/>
      <c r="PRM1" s="677"/>
      <c r="PRN1" s="677"/>
      <c r="PRO1" s="677"/>
      <c r="PRP1" s="677"/>
      <c r="PRQ1" s="677"/>
      <c r="PRR1" s="677"/>
      <c r="PRS1" s="677"/>
      <c r="PRT1" s="677"/>
      <c r="PRU1" s="677"/>
      <c r="PRV1" s="677"/>
      <c r="PRW1" s="677"/>
      <c r="PRX1" s="677"/>
      <c r="PRY1" s="677"/>
      <c r="PRZ1" s="677"/>
      <c r="PSA1" s="677"/>
      <c r="PSB1" s="677"/>
      <c r="PSC1" s="677"/>
      <c r="PSD1" s="677"/>
      <c r="PSE1" s="677"/>
      <c r="PSF1" s="677"/>
      <c r="PSG1" s="677"/>
      <c r="PSH1" s="677"/>
      <c r="PSI1" s="677"/>
      <c r="PSJ1" s="677"/>
      <c r="PSK1" s="677"/>
      <c r="PSL1" s="677"/>
      <c r="PSM1" s="677"/>
      <c r="PSN1" s="677"/>
      <c r="PSO1" s="677"/>
      <c r="PSP1" s="677"/>
      <c r="PSQ1" s="677"/>
      <c r="PSR1" s="677"/>
      <c r="PSS1" s="677"/>
      <c r="PST1" s="677"/>
      <c r="PSU1" s="677"/>
      <c r="PSV1" s="677"/>
      <c r="PSW1" s="677"/>
      <c r="PSX1" s="677"/>
      <c r="PSY1" s="677"/>
      <c r="PSZ1" s="677"/>
      <c r="PTA1" s="677"/>
      <c r="PTB1" s="677"/>
      <c r="PTC1" s="677"/>
      <c r="PTD1" s="677"/>
      <c r="PTE1" s="677"/>
      <c r="PTF1" s="677"/>
      <c r="PTG1" s="677"/>
      <c r="PTH1" s="677"/>
      <c r="PTI1" s="677"/>
      <c r="PTJ1" s="677"/>
      <c r="PTK1" s="677"/>
      <c r="PTL1" s="677"/>
      <c r="PTM1" s="677"/>
      <c r="PTN1" s="677"/>
      <c r="PTO1" s="677"/>
      <c r="PTP1" s="677"/>
      <c r="PTQ1" s="677"/>
      <c r="PTR1" s="677"/>
      <c r="PTS1" s="677"/>
      <c r="PTT1" s="677"/>
      <c r="PTU1" s="677"/>
      <c r="PTV1" s="677"/>
      <c r="PTW1" s="677"/>
      <c r="PTX1" s="677"/>
      <c r="PTY1" s="677"/>
      <c r="PTZ1" s="677"/>
      <c r="PUA1" s="677"/>
      <c r="PUB1" s="677"/>
      <c r="PUC1" s="677"/>
      <c r="PUD1" s="677"/>
      <c r="PUE1" s="677"/>
      <c r="PUF1" s="677"/>
      <c r="PUG1" s="677"/>
      <c r="PUH1" s="677"/>
      <c r="PUI1" s="677"/>
      <c r="PUJ1" s="677"/>
      <c r="PUK1" s="677"/>
      <c r="PUL1" s="677"/>
      <c r="PUM1" s="677"/>
      <c r="PUN1" s="677"/>
      <c r="PUO1" s="677"/>
      <c r="PUP1" s="677"/>
      <c r="PUQ1" s="677"/>
      <c r="PUR1" s="677"/>
      <c r="PUS1" s="677"/>
      <c r="PUT1" s="677"/>
      <c r="PUU1" s="677"/>
      <c r="PUV1" s="677"/>
      <c r="PUW1" s="677"/>
      <c r="PUX1" s="677"/>
      <c r="PUY1" s="677"/>
      <c r="PUZ1" s="677"/>
      <c r="PVA1" s="677"/>
      <c r="PVB1" s="677"/>
      <c r="PVC1" s="677"/>
      <c r="PVD1" s="677"/>
      <c r="PVE1" s="677"/>
      <c r="PVF1" s="677"/>
      <c r="PVG1" s="677"/>
      <c r="PVH1" s="677"/>
      <c r="PVI1" s="677"/>
      <c r="PVJ1" s="677"/>
      <c r="PVK1" s="677"/>
      <c r="PVL1" s="677"/>
      <c r="PVM1" s="677"/>
      <c r="PVN1" s="677"/>
      <c r="PVO1" s="677"/>
      <c r="PVP1" s="677"/>
      <c r="PVQ1" s="677"/>
      <c r="PVR1" s="677"/>
      <c r="PVS1" s="677"/>
      <c r="PVT1" s="677"/>
      <c r="PVU1" s="677"/>
      <c r="PVV1" s="677"/>
      <c r="PVW1" s="677"/>
      <c r="PVX1" s="677"/>
      <c r="PVY1" s="677"/>
      <c r="PVZ1" s="677"/>
      <c r="PWA1" s="677"/>
      <c r="PWB1" s="677"/>
      <c r="PWC1" s="677"/>
      <c r="PWD1" s="677"/>
      <c r="PWE1" s="677"/>
      <c r="PWF1" s="677"/>
      <c r="PWG1" s="677"/>
      <c r="PWH1" s="677"/>
      <c r="PWI1" s="677"/>
      <c r="PWJ1" s="677"/>
      <c r="PWK1" s="677"/>
      <c r="PWL1" s="677"/>
      <c r="PWM1" s="677"/>
      <c r="PWN1" s="677"/>
      <c r="PWO1" s="677"/>
      <c r="PWP1" s="677"/>
      <c r="PWQ1" s="677"/>
      <c r="PWR1" s="677"/>
      <c r="PWS1" s="677"/>
      <c r="PWT1" s="677"/>
      <c r="PWU1" s="677"/>
      <c r="PWV1" s="677"/>
      <c r="PWW1" s="677"/>
      <c r="PWX1" s="677"/>
      <c r="PWY1" s="677"/>
      <c r="PWZ1" s="677"/>
      <c r="PXA1" s="677"/>
      <c r="PXB1" s="677"/>
      <c r="PXC1" s="677"/>
      <c r="PXD1" s="677"/>
      <c r="PXE1" s="677"/>
      <c r="PXF1" s="677"/>
      <c r="PXG1" s="677"/>
      <c r="PXH1" s="677"/>
      <c r="PXI1" s="677"/>
      <c r="PXJ1" s="677"/>
      <c r="PXK1" s="677"/>
      <c r="PXL1" s="677"/>
      <c r="PXM1" s="677"/>
      <c r="PXN1" s="677"/>
      <c r="PXO1" s="677"/>
      <c r="PXP1" s="677"/>
      <c r="PXQ1" s="677"/>
      <c r="PXR1" s="677"/>
      <c r="PXS1" s="677"/>
      <c r="PXT1" s="677"/>
      <c r="PXU1" s="677"/>
      <c r="PXV1" s="677"/>
      <c r="PXW1" s="677"/>
      <c r="PXX1" s="677"/>
      <c r="PXY1" s="677"/>
      <c r="PXZ1" s="677"/>
      <c r="PYA1" s="677"/>
      <c r="PYB1" s="677"/>
      <c r="PYC1" s="677"/>
      <c r="PYD1" s="677"/>
      <c r="PYE1" s="677"/>
      <c r="PYF1" s="677"/>
      <c r="PYG1" s="677"/>
      <c r="PYH1" s="677"/>
      <c r="PYI1" s="677"/>
      <c r="PYJ1" s="677"/>
      <c r="PYK1" s="677"/>
      <c r="PYL1" s="677"/>
      <c r="PYM1" s="677"/>
      <c r="PYN1" s="677"/>
      <c r="PYO1" s="677"/>
      <c r="PYP1" s="677"/>
      <c r="PYQ1" s="677"/>
      <c r="PYR1" s="677"/>
      <c r="PYS1" s="677"/>
      <c r="PYT1" s="677"/>
      <c r="PYU1" s="677"/>
      <c r="PYV1" s="677"/>
      <c r="PYW1" s="677"/>
      <c r="PYX1" s="677"/>
      <c r="PYY1" s="677"/>
      <c r="PYZ1" s="677"/>
      <c r="PZA1" s="677"/>
      <c r="PZB1" s="677"/>
      <c r="PZC1" s="677"/>
      <c r="PZD1" s="677"/>
      <c r="PZE1" s="677"/>
      <c r="PZF1" s="677"/>
      <c r="PZG1" s="677"/>
      <c r="PZH1" s="677"/>
      <c r="PZI1" s="677"/>
      <c r="PZJ1" s="677"/>
      <c r="PZK1" s="677"/>
      <c r="PZL1" s="677"/>
      <c r="PZM1" s="677"/>
      <c r="PZN1" s="677"/>
      <c r="PZO1" s="677"/>
      <c r="PZP1" s="677"/>
      <c r="PZQ1" s="677"/>
      <c r="PZR1" s="677"/>
      <c r="PZS1" s="677"/>
      <c r="PZT1" s="677"/>
      <c r="PZU1" s="677"/>
      <c r="PZV1" s="677"/>
      <c r="PZW1" s="677"/>
      <c r="PZX1" s="677"/>
      <c r="PZY1" s="677"/>
      <c r="PZZ1" s="677"/>
      <c r="QAA1" s="677"/>
      <c r="QAB1" s="677"/>
      <c r="QAC1" s="677"/>
      <c r="QAD1" s="677"/>
      <c r="QAE1" s="677"/>
      <c r="QAF1" s="677"/>
      <c r="QAG1" s="677"/>
      <c r="QAH1" s="677"/>
      <c r="QAI1" s="677"/>
      <c r="QAJ1" s="677"/>
      <c r="QAK1" s="677"/>
      <c r="QAL1" s="677"/>
      <c r="QAM1" s="677"/>
      <c r="QAN1" s="677"/>
      <c r="QAO1" s="677"/>
      <c r="QAP1" s="677"/>
      <c r="QAQ1" s="677"/>
      <c r="QAR1" s="677"/>
      <c r="QAS1" s="677"/>
      <c r="QAT1" s="677"/>
      <c r="QAU1" s="677"/>
      <c r="QAV1" s="677"/>
      <c r="QAW1" s="677"/>
      <c r="QAX1" s="677"/>
      <c r="QAY1" s="677"/>
      <c r="QAZ1" s="677"/>
      <c r="QBA1" s="677"/>
      <c r="QBB1" s="677"/>
      <c r="QBC1" s="677"/>
      <c r="QBD1" s="677"/>
      <c r="QBE1" s="677"/>
      <c r="QBF1" s="677"/>
      <c r="QBG1" s="677"/>
      <c r="QBH1" s="677"/>
      <c r="QBI1" s="677"/>
      <c r="QBJ1" s="677"/>
      <c r="QBK1" s="677"/>
      <c r="QBL1" s="677"/>
      <c r="QBM1" s="677"/>
      <c r="QBN1" s="677"/>
      <c r="QBO1" s="677"/>
      <c r="QBP1" s="677"/>
      <c r="QBQ1" s="677"/>
      <c r="QBR1" s="677"/>
      <c r="QBS1" s="677"/>
      <c r="QBT1" s="677"/>
      <c r="QBU1" s="677"/>
      <c r="QBV1" s="677"/>
      <c r="QBW1" s="677"/>
      <c r="QBX1" s="677"/>
      <c r="QBY1" s="677"/>
      <c r="QBZ1" s="677"/>
      <c r="QCA1" s="677"/>
      <c r="QCB1" s="677"/>
      <c r="QCC1" s="677"/>
      <c r="QCD1" s="677"/>
      <c r="QCE1" s="677"/>
      <c r="QCF1" s="677"/>
      <c r="QCG1" s="677"/>
      <c r="QCH1" s="677"/>
      <c r="QCI1" s="677"/>
      <c r="QCJ1" s="677"/>
      <c r="QCK1" s="677"/>
      <c r="QCL1" s="677"/>
      <c r="QCM1" s="677"/>
      <c r="QCN1" s="677"/>
      <c r="QCO1" s="677"/>
      <c r="QCP1" s="677"/>
      <c r="QCQ1" s="677"/>
      <c r="QCR1" s="677"/>
      <c r="QCS1" s="677"/>
      <c r="QCT1" s="677"/>
      <c r="QCU1" s="677"/>
      <c r="QCV1" s="677"/>
      <c r="QCW1" s="677"/>
      <c r="QCX1" s="677"/>
      <c r="QCY1" s="677"/>
      <c r="QCZ1" s="677"/>
      <c r="QDA1" s="677"/>
      <c r="QDB1" s="677"/>
      <c r="QDC1" s="677"/>
      <c r="QDD1" s="677"/>
      <c r="QDE1" s="677"/>
      <c r="QDF1" s="677"/>
      <c r="QDG1" s="677"/>
      <c r="QDH1" s="677"/>
      <c r="QDI1" s="677"/>
      <c r="QDJ1" s="677"/>
      <c r="QDK1" s="677"/>
      <c r="QDL1" s="677"/>
      <c r="QDM1" s="677"/>
      <c r="QDN1" s="677"/>
      <c r="QDO1" s="677"/>
      <c r="QDP1" s="677"/>
      <c r="QDQ1" s="677"/>
      <c r="QDR1" s="677"/>
      <c r="QDS1" s="677"/>
      <c r="QDT1" s="677"/>
      <c r="QDU1" s="677"/>
      <c r="QDV1" s="677"/>
      <c r="QDW1" s="677"/>
      <c r="QDX1" s="677"/>
      <c r="QDY1" s="677"/>
      <c r="QDZ1" s="677"/>
      <c r="QEA1" s="677"/>
      <c r="QEB1" s="677"/>
      <c r="QEC1" s="677"/>
      <c r="QED1" s="677"/>
      <c r="QEE1" s="677"/>
      <c r="QEF1" s="677"/>
      <c r="QEG1" s="677"/>
      <c r="QEH1" s="677"/>
      <c r="QEI1" s="677"/>
      <c r="QEJ1" s="677"/>
      <c r="QEK1" s="677"/>
      <c r="QEL1" s="677"/>
      <c r="QEM1" s="677"/>
      <c r="QEN1" s="677"/>
      <c r="QEO1" s="677"/>
      <c r="QEP1" s="677"/>
      <c r="QEQ1" s="677"/>
      <c r="QER1" s="677"/>
      <c r="QES1" s="677"/>
      <c r="QET1" s="677"/>
      <c r="QEU1" s="677"/>
      <c r="QEV1" s="677"/>
      <c r="QEW1" s="677"/>
      <c r="QEX1" s="677"/>
      <c r="QEY1" s="677"/>
      <c r="QEZ1" s="677"/>
      <c r="QFA1" s="677"/>
      <c r="QFB1" s="677"/>
      <c r="QFC1" s="677"/>
      <c r="QFD1" s="677"/>
      <c r="QFE1" s="677"/>
      <c r="QFF1" s="677"/>
      <c r="QFG1" s="677"/>
      <c r="QFH1" s="677"/>
      <c r="QFI1" s="677"/>
      <c r="QFJ1" s="677"/>
      <c r="QFK1" s="677"/>
      <c r="QFL1" s="677"/>
      <c r="QFM1" s="677"/>
      <c r="QFN1" s="677"/>
      <c r="QFO1" s="677"/>
      <c r="QFP1" s="677"/>
      <c r="QFQ1" s="677"/>
      <c r="QFR1" s="677"/>
      <c r="QFS1" s="677"/>
      <c r="QFT1" s="677"/>
      <c r="QFU1" s="677"/>
      <c r="QFV1" s="677"/>
      <c r="QFW1" s="677"/>
      <c r="QFX1" s="677"/>
      <c r="QFY1" s="677"/>
      <c r="QFZ1" s="677"/>
      <c r="QGA1" s="677"/>
      <c r="QGB1" s="677"/>
      <c r="QGC1" s="677"/>
      <c r="QGD1" s="677"/>
      <c r="QGE1" s="677"/>
      <c r="QGF1" s="677"/>
      <c r="QGG1" s="677"/>
      <c r="QGH1" s="677"/>
      <c r="QGI1" s="677"/>
      <c r="QGJ1" s="677"/>
      <c r="QGK1" s="677"/>
      <c r="QGL1" s="677"/>
      <c r="QGM1" s="677"/>
      <c r="QGN1" s="677"/>
      <c r="QGO1" s="677"/>
      <c r="QGP1" s="677"/>
      <c r="QGQ1" s="677"/>
      <c r="QGR1" s="677"/>
      <c r="QGS1" s="677"/>
      <c r="QGT1" s="677"/>
      <c r="QGU1" s="677"/>
      <c r="QGV1" s="677"/>
      <c r="QGW1" s="677"/>
      <c r="QGX1" s="677"/>
      <c r="QGY1" s="677"/>
      <c r="QGZ1" s="677"/>
      <c r="QHA1" s="677"/>
      <c r="QHB1" s="677"/>
      <c r="QHC1" s="677"/>
      <c r="QHD1" s="677"/>
      <c r="QHE1" s="677"/>
      <c r="QHF1" s="677"/>
      <c r="QHG1" s="677"/>
      <c r="QHH1" s="677"/>
      <c r="QHI1" s="677"/>
      <c r="QHJ1" s="677"/>
      <c r="QHK1" s="677"/>
      <c r="QHL1" s="677"/>
      <c r="QHM1" s="677"/>
      <c r="QHN1" s="677"/>
      <c r="QHO1" s="677"/>
      <c r="QHP1" s="677"/>
      <c r="QHQ1" s="677"/>
      <c r="QHR1" s="677"/>
      <c r="QHS1" s="677"/>
      <c r="QHT1" s="677"/>
      <c r="QHU1" s="677"/>
      <c r="QHV1" s="677"/>
      <c r="QHW1" s="677"/>
      <c r="QHX1" s="677"/>
      <c r="QHY1" s="677"/>
      <c r="QHZ1" s="677"/>
      <c r="QIA1" s="677"/>
      <c r="QIB1" s="677"/>
      <c r="QIC1" s="677"/>
      <c r="QID1" s="677"/>
      <c r="QIE1" s="677"/>
      <c r="QIF1" s="677"/>
      <c r="QIG1" s="677"/>
      <c r="QIH1" s="677"/>
      <c r="QII1" s="677"/>
      <c r="QIJ1" s="677"/>
      <c r="QIK1" s="677"/>
      <c r="QIL1" s="677"/>
      <c r="QIM1" s="677"/>
      <c r="QIN1" s="677"/>
      <c r="QIO1" s="677"/>
      <c r="QIP1" s="677"/>
      <c r="QIQ1" s="677"/>
      <c r="QIR1" s="677"/>
      <c r="QIS1" s="677"/>
      <c r="QIT1" s="677"/>
      <c r="QIU1" s="677"/>
      <c r="QIV1" s="677"/>
      <c r="QIW1" s="677"/>
      <c r="QIX1" s="677"/>
      <c r="QIY1" s="677"/>
      <c r="QIZ1" s="677"/>
      <c r="QJA1" s="677"/>
      <c r="QJB1" s="677"/>
      <c r="QJC1" s="677"/>
      <c r="QJD1" s="677"/>
      <c r="QJE1" s="677"/>
      <c r="QJF1" s="677"/>
      <c r="QJG1" s="677"/>
      <c r="QJH1" s="677"/>
      <c r="QJI1" s="677"/>
      <c r="QJJ1" s="677"/>
      <c r="QJK1" s="677"/>
      <c r="QJL1" s="677"/>
      <c r="QJM1" s="677"/>
      <c r="QJN1" s="677"/>
      <c r="QJO1" s="677"/>
      <c r="QJP1" s="677"/>
      <c r="QJQ1" s="677"/>
      <c r="QJR1" s="677"/>
      <c r="QJS1" s="677"/>
      <c r="QJT1" s="677"/>
      <c r="QJU1" s="677"/>
      <c r="QJV1" s="677"/>
      <c r="QJW1" s="677"/>
      <c r="QJX1" s="677"/>
      <c r="QJY1" s="677"/>
      <c r="QJZ1" s="677"/>
      <c r="QKA1" s="677"/>
      <c r="QKB1" s="677"/>
      <c r="QKC1" s="677"/>
      <c r="QKD1" s="677"/>
      <c r="QKE1" s="677"/>
      <c r="QKF1" s="677"/>
      <c r="QKG1" s="677"/>
      <c r="QKH1" s="677"/>
      <c r="QKI1" s="677"/>
      <c r="QKJ1" s="677"/>
      <c r="QKK1" s="677"/>
      <c r="QKL1" s="677"/>
      <c r="QKM1" s="677"/>
      <c r="QKN1" s="677"/>
      <c r="QKO1" s="677"/>
      <c r="QKP1" s="677"/>
      <c r="QKQ1" s="677"/>
      <c r="QKR1" s="677"/>
      <c r="QKS1" s="677"/>
      <c r="QKT1" s="677"/>
      <c r="QKU1" s="677"/>
      <c r="QKV1" s="677"/>
      <c r="QKW1" s="677"/>
      <c r="QKX1" s="677"/>
      <c r="QKY1" s="677"/>
      <c r="QKZ1" s="677"/>
      <c r="QLA1" s="677"/>
      <c r="QLB1" s="677"/>
      <c r="QLC1" s="677"/>
      <c r="QLD1" s="677"/>
      <c r="QLE1" s="677"/>
      <c r="QLF1" s="677"/>
      <c r="QLG1" s="677"/>
      <c r="QLH1" s="677"/>
      <c r="QLI1" s="677"/>
      <c r="QLJ1" s="677"/>
      <c r="QLK1" s="677"/>
      <c r="QLL1" s="677"/>
      <c r="QLM1" s="677"/>
      <c r="QLN1" s="677"/>
      <c r="QLO1" s="677"/>
      <c r="QLP1" s="677"/>
      <c r="QLQ1" s="677"/>
      <c r="QLR1" s="677"/>
      <c r="QLS1" s="677"/>
      <c r="QLT1" s="677"/>
      <c r="QLU1" s="677"/>
      <c r="QLV1" s="677"/>
      <c r="QLW1" s="677"/>
      <c r="QLX1" s="677"/>
      <c r="QLY1" s="677"/>
      <c r="QLZ1" s="677"/>
      <c r="QMA1" s="677"/>
      <c r="QMB1" s="677"/>
      <c r="QMC1" s="677"/>
      <c r="QMD1" s="677"/>
      <c r="QME1" s="677"/>
      <c r="QMF1" s="677"/>
      <c r="QMG1" s="677"/>
      <c r="QMH1" s="677"/>
      <c r="QMI1" s="677"/>
      <c r="QMJ1" s="677"/>
      <c r="QMK1" s="677"/>
      <c r="QML1" s="677"/>
      <c r="QMM1" s="677"/>
      <c r="QMN1" s="677"/>
      <c r="QMO1" s="677"/>
      <c r="QMP1" s="677"/>
      <c r="QMQ1" s="677"/>
      <c r="QMR1" s="677"/>
      <c r="QMS1" s="677"/>
      <c r="QMT1" s="677"/>
      <c r="QMU1" s="677"/>
      <c r="QMV1" s="677"/>
      <c r="QMW1" s="677"/>
      <c r="QMX1" s="677"/>
      <c r="QMY1" s="677"/>
      <c r="QMZ1" s="677"/>
      <c r="QNA1" s="677"/>
      <c r="QNB1" s="677"/>
      <c r="QNC1" s="677"/>
      <c r="QND1" s="677"/>
      <c r="QNE1" s="677"/>
      <c r="QNF1" s="677"/>
      <c r="QNG1" s="677"/>
      <c r="QNH1" s="677"/>
      <c r="QNI1" s="677"/>
      <c r="QNJ1" s="677"/>
      <c r="QNK1" s="677"/>
      <c r="QNL1" s="677"/>
      <c r="QNM1" s="677"/>
      <c r="QNN1" s="677"/>
      <c r="QNO1" s="677"/>
      <c r="QNP1" s="677"/>
      <c r="QNQ1" s="677"/>
      <c r="QNR1" s="677"/>
      <c r="QNS1" s="677"/>
      <c r="QNT1" s="677"/>
      <c r="QNU1" s="677"/>
      <c r="QNV1" s="677"/>
      <c r="QNW1" s="677"/>
      <c r="QNX1" s="677"/>
      <c r="QNY1" s="677"/>
      <c r="QNZ1" s="677"/>
      <c r="QOA1" s="677"/>
      <c r="QOB1" s="677"/>
      <c r="QOC1" s="677"/>
      <c r="QOD1" s="677"/>
      <c r="QOE1" s="677"/>
      <c r="QOF1" s="677"/>
      <c r="QOG1" s="677"/>
      <c r="QOH1" s="677"/>
      <c r="QOI1" s="677"/>
      <c r="QOJ1" s="677"/>
      <c r="QOK1" s="677"/>
      <c r="QOL1" s="677"/>
      <c r="QOM1" s="677"/>
      <c r="QON1" s="677"/>
      <c r="QOO1" s="677"/>
      <c r="QOP1" s="677"/>
      <c r="QOQ1" s="677"/>
      <c r="QOR1" s="677"/>
      <c r="QOS1" s="677"/>
      <c r="QOT1" s="677"/>
      <c r="QOU1" s="677"/>
      <c r="QOV1" s="677"/>
      <c r="QOW1" s="677"/>
      <c r="QOX1" s="677"/>
      <c r="QOY1" s="677"/>
      <c r="QOZ1" s="677"/>
      <c r="QPA1" s="677"/>
      <c r="QPB1" s="677"/>
      <c r="QPC1" s="677"/>
      <c r="QPD1" s="677"/>
      <c r="QPE1" s="677"/>
      <c r="QPF1" s="677"/>
      <c r="QPG1" s="677"/>
      <c r="QPH1" s="677"/>
      <c r="QPI1" s="677"/>
      <c r="QPJ1" s="677"/>
      <c r="QPK1" s="677"/>
      <c r="QPL1" s="677"/>
      <c r="QPM1" s="677"/>
      <c r="QPN1" s="677"/>
      <c r="QPO1" s="677"/>
      <c r="QPP1" s="677"/>
      <c r="QPQ1" s="677"/>
      <c r="QPR1" s="677"/>
      <c r="QPS1" s="677"/>
      <c r="QPT1" s="677"/>
      <c r="QPU1" s="677"/>
      <c r="QPV1" s="677"/>
      <c r="QPW1" s="677"/>
      <c r="QPX1" s="677"/>
      <c r="QPY1" s="677"/>
      <c r="QPZ1" s="677"/>
      <c r="QQA1" s="677"/>
      <c r="QQB1" s="677"/>
      <c r="QQC1" s="677"/>
      <c r="QQD1" s="677"/>
      <c r="QQE1" s="677"/>
      <c r="QQF1" s="677"/>
      <c r="QQG1" s="677"/>
      <c r="QQH1" s="677"/>
      <c r="QQI1" s="677"/>
      <c r="QQJ1" s="677"/>
      <c r="QQK1" s="677"/>
      <c r="QQL1" s="677"/>
      <c r="QQM1" s="677"/>
      <c r="QQN1" s="677"/>
      <c r="QQO1" s="677"/>
      <c r="QQP1" s="677"/>
      <c r="QQQ1" s="677"/>
      <c r="QQR1" s="677"/>
      <c r="QQS1" s="677"/>
      <c r="QQT1" s="677"/>
      <c r="QQU1" s="677"/>
      <c r="QQV1" s="677"/>
      <c r="QQW1" s="677"/>
      <c r="QQX1" s="677"/>
      <c r="QQY1" s="677"/>
      <c r="QQZ1" s="677"/>
      <c r="QRA1" s="677"/>
      <c r="QRB1" s="677"/>
      <c r="QRC1" s="677"/>
      <c r="QRD1" s="677"/>
      <c r="QRE1" s="677"/>
      <c r="QRF1" s="677"/>
      <c r="QRG1" s="677"/>
      <c r="QRH1" s="677"/>
      <c r="QRI1" s="677"/>
      <c r="QRJ1" s="677"/>
      <c r="QRK1" s="677"/>
      <c r="QRL1" s="677"/>
      <c r="QRM1" s="677"/>
      <c r="QRN1" s="677"/>
      <c r="QRO1" s="677"/>
      <c r="QRP1" s="677"/>
      <c r="QRQ1" s="677"/>
      <c r="QRR1" s="677"/>
      <c r="QRS1" s="677"/>
      <c r="QRT1" s="677"/>
      <c r="QRU1" s="677"/>
      <c r="QRV1" s="677"/>
      <c r="QRW1" s="677"/>
      <c r="QRX1" s="677"/>
      <c r="QRY1" s="677"/>
      <c r="QRZ1" s="677"/>
      <c r="QSA1" s="677"/>
      <c r="QSB1" s="677"/>
      <c r="QSC1" s="677"/>
      <c r="QSD1" s="677"/>
      <c r="QSE1" s="677"/>
      <c r="QSF1" s="677"/>
      <c r="QSG1" s="677"/>
      <c r="QSH1" s="677"/>
      <c r="QSI1" s="677"/>
      <c r="QSJ1" s="677"/>
      <c r="QSK1" s="677"/>
      <c r="QSL1" s="677"/>
      <c r="QSM1" s="677"/>
      <c r="QSN1" s="677"/>
      <c r="QSO1" s="677"/>
      <c r="QSP1" s="677"/>
      <c r="QSQ1" s="677"/>
      <c r="QSR1" s="677"/>
      <c r="QSS1" s="677"/>
      <c r="QST1" s="677"/>
      <c r="QSU1" s="677"/>
      <c r="QSV1" s="677"/>
      <c r="QSW1" s="677"/>
      <c r="QSX1" s="677"/>
      <c r="QSY1" s="677"/>
      <c r="QSZ1" s="677"/>
      <c r="QTA1" s="677"/>
      <c r="QTB1" s="677"/>
      <c r="QTC1" s="677"/>
      <c r="QTD1" s="677"/>
      <c r="QTE1" s="677"/>
      <c r="QTF1" s="677"/>
      <c r="QTG1" s="677"/>
      <c r="QTH1" s="677"/>
      <c r="QTI1" s="677"/>
      <c r="QTJ1" s="677"/>
      <c r="QTK1" s="677"/>
      <c r="QTL1" s="677"/>
      <c r="QTM1" s="677"/>
      <c r="QTN1" s="677"/>
      <c r="QTO1" s="677"/>
      <c r="QTP1" s="677"/>
      <c r="QTQ1" s="677"/>
      <c r="QTR1" s="677"/>
      <c r="QTS1" s="677"/>
      <c r="QTT1" s="677"/>
      <c r="QTU1" s="677"/>
      <c r="QTV1" s="677"/>
      <c r="QTW1" s="677"/>
      <c r="QTX1" s="677"/>
      <c r="QTY1" s="677"/>
      <c r="QTZ1" s="677"/>
      <c r="QUA1" s="677"/>
      <c r="QUB1" s="677"/>
      <c r="QUC1" s="677"/>
      <c r="QUD1" s="677"/>
      <c r="QUE1" s="677"/>
      <c r="QUF1" s="677"/>
      <c r="QUG1" s="677"/>
      <c r="QUH1" s="677"/>
      <c r="QUI1" s="677"/>
      <c r="QUJ1" s="677"/>
      <c r="QUK1" s="677"/>
      <c r="QUL1" s="677"/>
      <c r="QUM1" s="677"/>
      <c r="QUN1" s="677"/>
      <c r="QUO1" s="677"/>
      <c r="QUP1" s="677"/>
      <c r="QUQ1" s="677"/>
      <c r="QUR1" s="677"/>
      <c r="QUS1" s="677"/>
      <c r="QUT1" s="677"/>
      <c r="QUU1" s="677"/>
      <c r="QUV1" s="677"/>
      <c r="QUW1" s="677"/>
      <c r="QUX1" s="677"/>
      <c r="QUY1" s="677"/>
      <c r="QUZ1" s="677"/>
      <c r="QVA1" s="677"/>
      <c r="QVB1" s="677"/>
      <c r="QVC1" s="677"/>
      <c r="QVD1" s="677"/>
      <c r="QVE1" s="677"/>
      <c r="QVF1" s="677"/>
      <c r="QVG1" s="677"/>
      <c r="QVH1" s="677"/>
      <c r="QVI1" s="677"/>
      <c r="QVJ1" s="677"/>
      <c r="QVK1" s="677"/>
      <c r="QVL1" s="677"/>
      <c r="QVM1" s="677"/>
      <c r="QVN1" s="677"/>
      <c r="QVO1" s="677"/>
      <c r="QVP1" s="677"/>
      <c r="QVQ1" s="677"/>
      <c r="QVR1" s="677"/>
      <c r="QVS1" s="677"/>
      <c r="QVT1" s="677"/>
      <c r="QVU1" s="677"/>
      <c r="QVV1" s="677"/>
      <c r="QVW1" s="677"/>
      <c r="QVX1" s="677"/>
      <c r="QVY1" s="677"/>
      <c r="QVZ1" s="677"/>
      <c r="QWA1" s="677"/>
      <c r="QWB1" s="677"/>
      <c r="QWC1" s="677"/>
      <c r="QWD1" s="677"/>
      <c r="QWE1" s="677"/>
      <c r="QWF1" s="677"/>
      <c r="QWG1" s="677"/>
      <c r="QWH1" s="677"/>
      <c r="QWI1" s="677"/>
      <c r="QWJ1" s="677"/>
      <c r="QWK1" s="677"/>
      <c r="QWL1" s="677"/>
      <c r="QWM1" s="677"/>
      <c r="QWN1" s="677"/>
      <c r="QWO1" s="677"/>
      <c r="QWP1" s="677"/>
      <c r="QWQ1" s="677"/>
      <c r="QWR1" s="677"/>
      <c r="QWS1" s="677"/>
      <c r="QWT1" s="677"/>
      <c r="QWU1" s="677"/>
      <c r="QWV1" s="677"/>
      <c r="QWW1" s="677"/>
      <c r="QWX1" s="677"/>
      <c r="QWY1" s="677"/>
      <c r="QWZ1" s="677"/>
      <c r="QXA1" s="677"/>
      <c r="QXB1" s="677"/>
      <c r="QXC1" s="677"/>
      <c r="QXD1" s="677"/>
      <c r="QXE1" s="677"/>
      <c r="QXF1" s="677"/>
      <c r="QXG1" s="677"/>
      <c r="QXH1" s="677"/>
      <c r="QXI1" s="677"/>
      <c r="QXJ1" s="677"/>
      <c r="QXK1" s="677"/>
      <c r="QXL1" s="677"/>
      <c r="QXM1" s="677"/>
      <c r="QXN1" s="677"/>
      <c r="QXO1" s="677"/>
      <c r="QXP1" s="677"/>
      <c r="QXQ1" s="677"/>
      <c r="QXR1" s="677"/>
      <c r="QXS1" s="677"/>
      <c r="QXT1" s="677"/>
      <c r="QXU1" s="677"/>
      <c r="QXV1" s="677"/>
      <c r="QXW1" s="677"/>
      <c r="QXX1" s="677"/>
      <c r="QXY1" s="677"/>
      <c r="QXZ1" s="677"/>
      <c r="QYA1" s="677"/>
      <c r="QYB1" s="677"/>
      <c r="QYC1" s="677"/>
      <c r="QYD1" s="677"/>
      <c r="QYE1" s="677"/>
      <c r="QYF1" s="677"/>
      <c r="QYG1" s="677"/>
      <c r="QYH1" s="677"/>
      <c r="QYI1" s="677"/>
      <c r="QYJ1" s="677"/>
      <c r="QYK1" s="677"/>
      <c r="QYL1" s="677"/>
      <c r="QYM1" s="677"/>
      <c r="QYN1" s="677"/>
      <c r="QYO1" s="677"/>
      <c r="QYP1" s="677"/>
      <c r="QYQ1" s="677"/>
      <c r="QYR1" s="677"/>
      <c r="QYS1" s="677"/>
      <c r="QYT1" s="677"/>
      <c r="QYU1" s="677"/>
      <c r="QYV1" s="677"/>
      <c r="QYW1" s="677"/>
      <c r="QYX1" s="677"/>
      <c r="QYY1" s="677"/>
      <c r="QYZ1" s="677"/>
      <c r="QZA1" s="677"/>
      <c r="QZB1" s="677"/>
      <c r="QZC1" s="677"/>
      <c r="QZD1" s="677"/>
      <c r="QZE1" s="677"/>
      <c r="QZF1" s="677"/>
      <c r="QZG1" s="677"/>
      <c r="QZH1" s="677"/>
      <c r="QZI1" s="677"/>
      <c r="QZJ1" s="677"/>
      <c r="QZK1" s="677"/>
      <c r="QZL1" s="677"/>
      <c r="QZM1" s="677"/>
      <c r="QZN1" s="677"/>
      <c r="QZO1" s="677"/>
      <c r="QZP1" s="677"/>
      <c r="QZQ1" s="677"/>
      <c r="QZR1" s="677"/>
      <c r="QZS1" s="677"/>
      <c r="QZT1" s="677"/>
      <c r="QZU1" s="677"/>
      <c r="QZV1" s="677"/>
      <c r="QZW1" s="677"/>
      <c r="QZX1" s="677"/>
      <c r="QZY1" s="677"/>
      <c r="QZZ1" s="677"/>
      <c r="RAA1" s="677"/>
      <c r="RAB1" s="677"/>
      <c r="RAC1" s="677"/>
      <c r="RAD1" s="677"/>
      <c r="RAE1" s="677"/>
      <c r="RAF1" s="677"/>
      <c r="RAG1" s="677"/>
      <c r="RAH1" s="677"/>
      <c r="RAI1" s="677"/>
      <c r="RAJ1" s="677"/>
      <c r="RAK1" s="677"/>
      <c r="RAL1" s="677"/>
      <c r="RAM1" s="677"/>
      <c r="RAN1" s="677"/>
      <c r="RAO1" s="677"/>
      <c r="RAP1" s="677"/>
      <c r="RAQ1" s="677"/>
      <c r="RAR1" s="677"/>
      <c r="RAS1" s="677"/>
      <c r="RAT1" s="677"/>
      <c r="RAU1" s="677"/>
      <c r="RAV1" s="677"/>
      <c r="RAW1" s="677"/>
      <c r="RAX1" s="677"/>
      <c r="RAY1" s="677"/>
      <c r="RAZ1" s="677"/>
      <c r="RBA1" s="677"/>
      <c r="RBB1" s="677"/>
      <c r="RBC1" s="677"/>
      <c r="RBD1" s="677"/>
      <c r="RBE1" s="677"/>
      <c r="RBF1" s="677"/>
      <c r="RBG1" s="677"/>
      <c r="RBH1" s="677"/>
      <c r="RBI1" s="677"/>
      <c r="RBJ1" s="677"/>
      <c r="RBK1" s="677"/>
      <c r="RBL1" s="677"/>
      <c r="RBM1" s="677"/>
      <c r="RBN1" s="677"/>
      <c r="RBO1" s="677"/>
      <c r="RBP1" s="677"/>
      <c r="RBQ1" s="677"/>
      <c r="RBR1" s="677"/>
      <c r="RBS1" s="677"/>
      <c r="RBT1" s="677"/>
      <c r="RBU1" s="677"/>
      <c r="RBV1" s="677"/>
      <c r="RBW1" s="677"/>
      <c r="RBX1" s="677"/>
      <c r="RBY1" s="677"/>
      <c r="RBZ1" s="677"/>
      <c r="RCA1" s="677"/>
      <c r="RCB1" s="677"/>
      <c r="RCC1" s="677"/>
      <c r="RCD1" s="677"/>
      <c r="RCE1" s="677"/>
      <c r="RCF1" s="677"/>
      <c r="RCG1" s="677"/>
      <c r="RCH1" s="677"/>
      <c r="RCI1" s="677"/>
      <c r="RCJ1" s="677"/>
      <c r="RCK1" s="677"/>
      <c r="RCL1" s="677"/>
      <c r="RCM1" s="677"/>
      <c r="RCN1" s="677"/>
      <c r="RCO1" s="677"/>
      <c r="RCP1" s="677"/>
      <c r="RCQ1" s="677"/>
      <c r="RCR1" s="677"/>
      <c r="RCS1" s="677"/>
      <c r="RCT1" s="677"/>
      <c r="RCU1" s="677"/>
      <c r="RCV1" s="677"/>
      <c r="RCW1" s="677"/>
      <c r="RCX1" s="677"/>
      <c r="RCY1" s="677"/>
      <c r="RCZ1" s="677"/>
      <c r="RDA1" s="677"/>
      <c r="RDB1" s="677"/>
      <c r="RDC1" s="677"/>
      <c r="RDD1" s="677"/>
      <c r="RDE1" s="677"/>
      <c r="RDF1" s="677"/>
      <c r="RDG1" s="677"/>
      <c r="RDH1" s="677"/>
      <c r="RDI1" s="677"/>
      <c r="RDJ1" s="677"/>
      <c r="RDK1" s="677"/>
      <c r="RDL1" s="677"/>
      <c r="RDM1" s="677"/>
      <c r="RDN1" s="677"/>
      <c r="RDO1" s="677"/>
      <c r="RDP1" s="677"/>
      <c r="RDQ1" s="677"/>
      <c r="RDR1" s="677"/>
      <c r="RDS1" s="677"/>
      <c r="RDT1" s="677"/>
      <c r="RDU1" s="677"/>
      <c r="RDV1" s="677"/>
      <c r="RDW1" s="677"/>
      <c r="RDX1" s="677"/>
      <c r="RDY1" s="677"/>
      <c r="RDZ1" s="677"/>
      <c r="REA1" s="677"/>
      <c r="REB1" s="677"/>
      <c r="REC1" s="677"/>
      <c r="RED1" s="677"/>
      <c r="REE1" s="677"/>
      <c r="REF1" s="677"/>
      <c r="REG1" s="677"/>
      <c r="REH1" s="677"/>
      <c r="REI1" s="677"/>
      <c r="REJ1" s="677"/>
      <c r="REK1" s="677"/>
      <c r="REL1" s="677"/>
      <c r="REM1" s="677"/>
      <c r="REN1" s="677"/>
      <c r="REO1" s="677"/>
      <c r="REP1" s="677"/>
      <c r="REQ1" s="677"/>
      <c r="RER1" s="677"/>
      <c r="RES1" s="677"/>
      <c r="RET1" s="677"/>
      <c r="REU1" s="677"/>
      <c r="REV1" s="677"/>
      <c r="REW1" s="677"/>
      <c r="REX1" s="677"/>
      <c r="REY1" s="677"/>
      <c r="REZ1" s="677"/>
      <c r="RFA1" s="677"/>
      <c r="RFB1" s="677"/>
      <c r="RFC1" s="677"/>
      <c r="RFD1" s="677"/>
      <c r="RFE1" s="677"/>
      <c r="RFF1" s="677"/>
      <c r="RFG1" s="677"/>
      <c r="RFH1" s="677"/>
      <c r="RFI1" s="677"/>
      <c r="RFJ1" s="677"/>
      <c r="RFK1" s="677"/>
      <c r="RFL1" s="677"/>
      <c r="RFM1" s="677"/>
      <c r="RFN1" s="677"/>
      <c r="RFO1" s="677"/>
      <c r="RFP1" s="677"/>
      <c r="RFQ1" s="677"/>
      <c r="RFR1" s="677"/>
      <c r="RFS1" s="677"/>
      <c r="RFT1" s="677"/>
      <c r="RFU1" s="677"/>
      <c r="RFV1" s="677"/>
      <c r="RFW1" s="677"/>
      <c r="RFX1" s="677"/>
      <c r="RFY1" s="677"/>
      <c r="RFZ1" s="677"/>
      <c r="RGA1" s="677"/>
      <c r="RGB1" s="677"/>
      <c r="RGC1" s="677"/>
      <c r="RGD1" s="677"/>
      <c r="RGE1" s="677"/>
      <c r="RGF1" s="677"/>
      <c r="RGG1" s="677"/>
      <c r="RGH1" s="677"/>
      <c r="RGI1" s="677"/>
      <c r="RGJ1" s="677"/>
      <c r="RGK1" s="677"/>
      <c r="RGL1" s="677"/>
      <c r="RGM1" s="677"/>
      <c r="RGN1" s="677"/>
      <c r="RGO1" s="677"/>
      <c r="RGP1" s="677"/>
      <c r="RGQ1" s="677"/>
      <c r="RGR1" s="677"/>
      <c r="RGS1" s="677"/>
      <c r="RGT1" s="677"/>
      <c r="RGU1" s="677"/>
      <c r="RGV1" s="677"/>
      <c r="RGW1" s="677"/>
      <c r="RGX1" s="677"/>
      <c r="RGY1" s="677"/>
      <c r="RGZ1" s="677"/>
      <c r="RHA1" s="677"/>
      <c r="RHB1" s="677"/>
      <c r="RHC1" s="677"/>
      <c r="RHD1" s="677"/>
      <c r="RHE1" s="677"/>
      <c r="RHF1" s="677"/>
      <c r="RHG1" s="677"/>
      <c r="RHH1" s="677"/>
      <c r="RHI1" s="677"/>
      <c r="RHJ1" s="677"/>
      <c r="RHK1" s="677"/>
      <c r="RHL1" s="677"/>
      <c r="RHM1" s="677"/>
      <c r="RHN1" s="677"/>
      <c r="RHO1" s="677"/>
      <c r="RHP1" s="677"/>
      <c r="RHQ1" s="677"/>
      <c r="RHR1" s="677"/>
      <c r="RHS1" s="677"/>
      <c r="RHT1" s="677"/>
      <c r="RHU1" s="677"/>
      <c r="RHV1" s="677"/>
      <c r="RHW1" s="677"/>
      <c r="RHX1" s="677"/>
      <c r="RHY1" s="677"/>
      <c r="RHZ1" s="677"/>
      <c r="RIA1" s="677"/>
      <c r="RIB1" s="677"/>
      <c r="RIC1" s="677"/>
      <c r="RID1" s="677"/>
      <c r="RIE1" s="677"/>
      <c r="RIF1" s="677"/>
      <c r="RIG1" s="677"/>
      <c r="RIH1" s="677"/>
      <c r="RII1" s="677"/>
      <c r="RIJ1" s="677"/>
      <c r="RIK1" s="677"/>
      <c r="RIL1" s="677"/>
      <c r="RIM1" s="677"/>
      <c r="RIN1" s="677"/>
      <c r="RIO1" s="677"/>
      <c r="RIP1" s="677"/>
      <c r="RIQ1" s="677"/>
      <c r="RIR1" s="677"/>
      <c r="RIS1" s="677"/>
      <c r="RIT1" s="677"/>
      <c r="RIU1" s="677"/>
      <c r="RIV1" s="677"/>
      <c r="RIW1" s="677"/>
      <c r="RIX1" s="677"/>
      <c r="RIY1" s="677"/>
      <c r="RIZ1" s="677"/>
      <c r="RJA1" s="677"/>
      <c r="RJB1" s="677"/>
      <c r="RJC1" s="677"/>
      <c r="RJD1" s="677"/>
      <c r="RJE1" s="677"/>
      <c r="RJF1" s="677"/>
      <c r="RJG1" s="677"/>
      <c r="RJH1" s="677"/>
      <c r="RJI1" s="677"/>
      <c r="RJJ1" s="677"/>
      <c r="RJK1" s="677"/>
      <c r="RJL1" s="677"/>
      <c r="RJM1" s="677"/>
      <c r="RJN1" s="677"/>
      <c r="RJO1" s="677"/>
      <c r="RJP1" s="677"/>
      <c r="RJQ1" s="677"/>
      <c r="RJR1" s="677"/>
      <c r="RJS1" s="677"/>
      <c r="RJT1" s="677"/>
      <c r="RJU1" s="677"/>
      <c r="RJV1" s="677"/>
      <c r="RJW1" s="677"/>
      <c r="RJX1" s="677"/>
      <c r="RJY1" s="677"/>
      <c r="RJZ1" s="677"/>
      <c r="RKA1" s="677"/>
      <c r="RKB1" s="677"/>
      <c r="RKC1" s="677"/>
      <c r="RKD1" s="677"/>
      <c r="RKE1" s="677"/>
      <c r="RKF1" s="677"/>
      <c r="RKG1" s="677"/>
      <c r="RKH1" s="677"/>
      <c r="RKI1" s="677"/>
      <c r="RKJ1" s="677"/>
      <c r="RKK1" s="677"/>
      <c r="RKL1" s="677"/>
      <c r="RKM1" s="677"/>
      <c r="RKN1" s="677"/>
      <c r="RKO1" s="677"/>
      <c r="RKP1" s="677"/>
      <c r="RKQ1" s="677"/>
      <c r="RKR1" s="677"/>
      <c r="RKS1" s="677"/>
      <c r="RKT1" s="677"/>
      <c r="RKU1" s="677"/>
      <c r="RKV1" s="677"/>
      <c r="RKW1" s="677"/>
      <c r="RKX1" s="677"/>
      <c r="RKY1" s="677"/>
      <c r="RKZ1" s="677"/>
      <c r="RLA1" s="677"/>
      <c r="RLB1" s="677"/>
      <c r="RLC1" s="677"/>
      <c r="RLD1" s="677"/>
      <c r="RLE1" s="677"/>
      <c r="RLF1" s="677"/>
      <c r="RLG1" s="677"/>
      <c r="RLH1" s="677"/>
      <c r="RLI1" s="677"/>
      <c r="RLJ1" s="677"/>
      <c r="RLK1" s="677"/>
      <c r="RLL1" s="677"/>
      <c r="RLM1" s="677"/>
      <c r="RLN1" s="677"/>
      <c r="RLO1" s="677"/>
      <c r="RLP1" s="677"/>
      <c r="RLQ1" s="677"/>
      <c r="RLR1" s="677"/>
      <c r="RLS1" s="677"/>
      <c r="RLT1" s="677"/>
      <c r="RLU1" s="677"/>
      <c r="RLV1" s="677"/>
      <c r="RLW1" s="677"/>
      <c r="RLX1" s="677"/>
      <c r="RLY1" s="677"/>
      <c r="RLZ1" s="677"/>
      <c r="RMA1" s="677"/>
      <c r="RMB1" s="677"/>
      <c r="RMC1" s="677"/>
      <c r="RMD1" s="677"/>
      <c r="RME1" s="677"/>
      <c r="RMF1" s="677"/>
      <c r="RMG1" s="677"/>
      <c r="RMH1" s="677"/>
      <c r="RMI1" s="677"/>
      <c r="RMJ1" s="677"/>
      <c r="RMK1" s="677"/>
      <c r="RML1" s="677"/>
      <c r="RMM1" s="677"/>
      <c r="RMN1" s="677"/>
      <c r="RMO1" s="677"/>
      <c r="RMP1" s="677"/>
      <c r="RMQ1" s="677"/>
      <c r="RMR1" s="677"/>
      <c r="RMS1" s="677"/>
      <c r="RMT1" s="677"/>
      <c r="RMU1" s="677"/>
      <c r="RMV1" s="677"/>
      <c r="RMW1" s="677"/>
      <c r="RMX1" s="677"/>
      <c r="RMY1" s="677"/>
      <c r="RMZ1" s="677"/>
      <c r="RNA1" s="677"/>
      <c r="RNB1" s="677"/>
      <c r="RNC1" s="677"/>
      <c r="RND1" s="677"/>
      <c r="RNE1" s="677"/>
      <c r="RNF1" s="677"/>
      <c r="RNG1" s="677"/>
      <c r="RNH1" s="677"/>
      <c r="RNI1" s="677"/>
      <c r="RNJ1" s="677"/>
      <c r="RNK1" s="677"/>
      <c r="RNL1" s="677"/>
      <c r="RNM1" s="677"/>
      <c r="RNN1" s="677"/>
      <c r="RNO1" s="677"/>
      <c r="RNP1" s="677"/>
      <c r="RNQ1" s="677"/>
      <c r="RNR1" s="677"/>
      <c r="RNS1" s="677"/>
      <c r="RNT1" s="677"/>
      <c r="RNU1" s="677"/>
      <c r="RNV1" s="677"/>
      <c r="RNW1" s="677"/>
      <c r="RNX1" s="677"/>
      <c r="RNY1" s="677"/>
      <c r="RNZ1" s="677"/>
      <c r="ROA1" s="677"/>
      <c r="ROB1" s="677"/>
      <c r="ROC1" s="677"/>
      <c r="ROD1" s="677"/>
      <c r="ROE1" s="677"/>
      <c r="ROF1" s="677"/>
      <c r="ROG1" s="677"/>
      <c r="ROH1" s="677"/>
      <c r="ROI1" s="677"/>
      <c r="ROJ1" s="677"/>
      <c r="ROK1" s="677"/>
      <c r="ROL1" s="677"/>
      <c r="ROM1" s="677"/>
      <c r="RON1" s="677"/>
      <c r="ROO1" s="677"/>
      <c r="ROP1" s="677"/>
      <c r="ROQ1" s="677"/>
      <c r="ROR1" s="677"/>
      <c r="ROS1" s="677"/>
      <c r="ROT1" s="677"/>
      <c r="ROU1" s="677"/>
      <c r="ROV1" s="677"/>
      <c r="ROW1" s="677"/>
      <c r="ROX1" s="677"/>
      <c r="ROY1" s="677"/>
      <c r="ROZ1" s="677"/>
      <c r="RPA1" s="677"/>
      <c r="RPB1" s="677"/>
      <c r="RPC1" s="677"/>
      <c r="RPD1" s="677"/>
      <c r="RPE1" s="677"/>
      <c r="RPF1" s="677"/>
      <c r="RPG1" s="677"/>
      <c r="RPH1" s="677"/>
      <c r="RPI1" s="677"/>
      <c r="RPJ1" s="677"/>
      <c r="RPK1" s="677"/>
      <c r="RPL1" s="677"/>
      <c r="RPM1" s="677"/>
      <c r="RPN1" s="677"/>
      <c r="RPO1" s="677"/>
      <c r="RPP1" s="677"/>
      <c r="RPQ1" s="677"/>
      <c r="RPR1" s="677"/>
      <c r="RPS1" s="677"/>
      <c r="RPT1" s="677"/>
      <c r="RPU1" s="677"/>
      <c r="RPV1" s="677"/>
      <c r="RPW1" s="677"/>
      <c r="RPX1" s="677"/>
      <c r="RPY1" s="677"/>
      <c r="RPZ1" s="677"/>
      <c r="RQA1" s="677"/>
      <c r="RQB1" s="677"/>
      <c r="RQC1" s="677"/>
      <c r="RQD1" s="677"/>
      <c r="RQE1" s="677"/>
      <c r="RQF1" s="677"/>
      <c r="RQG1" s="677"/>
      <c r="RQH1" s="677"/>
      <c r="RQI1" s="677"/>
      <c r="RQJ1" s="677"/>
      <c r="RQK1" s="677"/>
      <c r="RQL1" s="677"/>
      <c r="RQM1" s="677"/>
      <c r="RQN1" s="677"/>
      <c r="RQO1" s="677"/>
      <c r="RQP1" s="677"/>
      <c r="RQQ1" s="677"/>
      <c r="RQR1" s="677"/>
      <c r="RQS1" s="677"/>
      <c r="RQT1" s="677"/>
      <c r="RQU1" s="677"/>
      <c r="RQV1" s="677"/>
      <c r="RQW1" s="677"/>
      <c r="RQX1" s="677"/>
      <c r="RQY1" s="677"/>
      <c r="RQZ1" s="677"/>
      <c r="RRA1" s="677"/>
      <c r="RRB1" s="677"/>
      <c r="RRC1" s="677"/>
      <c r="RRD1" s="677"/>
      <c r="RRE1" s="677"/>
      <c r="RRF1" s="677"/>
      <c r="RRG1" s="677"/>
      <c r="RRH1" s="677"/>
      <c r="RRI1" s="677"/>
      <c r="RRJ1" s="677"/>
      <c r="RRK1" s="677"/>
      <c r="RRL1" s="677"/>
      <c r="RRM1" s="677"/>
      <c r="RRN1" s="677"/>
      <c r="RRO1" s="677"/>
      <c r="RRP1" s="677"/>
      <c r="RRQ1" s="677"/>
      <c r="RRR1" s="677"/>
      <c r="RRS1" s="677"/>
      <c r="RRT1" s="677"/>
      <c r="RRU1" s="677"/>
      <c r="RRV1" s="677"/>
      <c r="RRW1" s="677"/>
      <c r="RRX1" s="677"/>
      <c r="RRY1" s="677"/>
      <c r="RRZ1" s="677"/>
      <c r="RSA1" s="677"/>
      <c r="RSB1" s="677"/>
      <c r="RSC1" s="677"/>
      <c r="RSD1" s="677"/>
      <c r="RSE1" s="677"/>
      <c r="RSF1" s="677"/>
      <c r="RSG1" s="677"/>
      <c r="RSH1" s="677"/>
      <c r="RSI1" s="677"/>
      <c r="RSJ1" s="677"/>
      <c r="RSK1" s="677"/>
      <c r="RSL1" s="677"/>
      <c r="RSM1" s="677"/>
      <c r="RSN1" s="677"/>
      <c r="RSO1" s="677"/>
      <c r="RSP1" s="677"/>
      <c r="RSQ1" s="677"/>
      <c r="RSR1" s="677"/>
      <c r="RSS1" s="677"/>
      <c r="RST1" s="677"/>
      <c r="RSU1" s="677"/>
      <c r="RSV1" s="677"/>
      <c r="RSW1" s="677"/>
      <c r="RSX1" s="677"/>
      <c r="RSY1" s="677"/>
      <c r="RSZ1" s="677"/>
      <c r="RTA1" s="677"/>
      <c r="RTB1" s="677"/>
      <c r="RTC1" s="677"/>
      <c r="RTD1" s="677"/>
      <c r="RTE1" s="677"/>
      <c r="RTF1" s="677"/>
      <c r="RTG1" s="677"/>
      <c r="RTH1" s="677"/>
      <c r="RTI1" s="677"/>
      <c r="RTJ1" s="677"/>
      <c r="RTK1" s="677"/>
      <c r="RTL1" s="677"/>
      <c r="RTM1" s="677"/>
      <c r="RTN1" s="677"/>
      <c r="RTO1" s="677"/>
      <c r="RTP1" s="677"/>
      <c r="RTQ1" s="677"/>
      <c r="RTR1" s="677"/>
      <c r="RTS1" s="677"/>
      <c r="RTT1" s="677"/>
      <c r="RTU1" s="677"/>
      <c r="RTV1" s="677"/>
      <c r="RTW1" s="677"/>
      <c r="RTX1" s="677"/>
      <c r="RTY1" s="677"/>
      <c r="RTZ1" s="677"/>
      <c r="RUA1" s="677"/>
      <c r="RUB1" s="677"/>
      <c r="RUC1" s="677"/>
      <c r="RUD1" s="677"/>
      <c r="RUE1" s="677"/>
      <c r="RUF1" s="677"/>
      <c r="RUG1" s="677"/>
      <c r="RUH1" s="677"/>
      <c r="RUI1" s="677"/>
      <c r="RUJ1" s="677"/>
      <c r="RUK1" s="677"/>
      <c r="RUL1" s="677"/>
      <c r="RUM1" s="677"/>
      <c r="RUN1" s="677"/>
      <c r="RUO1" s="677"/>
      <c r="RUP1" s="677"/>
      <c r="RUQ1" s="677"/>
      <c r="RUR1" s="677"/>
      <c r="RUS1" s="677"/>
      <c r="RUT1" s="677"/>
      <c r="RUU1" s="677"/>
      <c r="RUV1" s="677"/>
      <c r="RUW1" s="677"/>
      <c r="RUX1" s="677"/>
      <c r="RUY1" s="677"/>
      <c r="RUZ1" s="677"/>
      <c r="RVA1" s="677"/>
      <c r="RVB1" s="677"/>
      <c r="RVC1" s="677"/>
      <c r="RVD1" s="677"/>
      <c r="RVE1" s="677"/>
      <c r="RVF1" s="677"/>
      <c r="RVG1" s="677"/>
      <c r="RVH1" s="677"/>
      <c r="RVI1" s="677"/>
      <c r="RVJ1" s="677"/>
      <c r="RVK1" s="677"/>
      <c r="RVL1" s="677"/>
      <c r="RVM1" s="677"/>
      <c r="RVN1" s="677"/>
      <c r="RVO1" s="677"/>
      <c r="RVP1" s="677"/>
      <c r="RVQ1" s="677"/>
      <c r="RVR1" s="677"/>
      <c r="RVS1" s="677"/>
      <c r="RVT1" s="677"/>
      <c r="RVU1" s="677"/>
      <c r="RVV1" s="677"/>
      <c r="RVW1" s="677"/>
      <c r="RVX1" s="677"/>
      <c r="RVY1" s="677"/>
      <c r="RVZ1" s="677"/>
      <c r="RWA1" s="677"/>
      <c r="RWB1" s="677"/>
      <c r="RWC1" s="677"/>
      <c r="RWD1" s="677"/>
      <c r="RWE1" s="677"/>
      <c r="RWF1" s="677"/>
      <c r="RWG1" s="677"/>
      <c r="RWH1" s="677"/>
      <c r="RWI1" s="677"/>
      <c r="RWJ1" s="677"/>
      <c r="RWK1" s="677"/>
      <c r="RWL1" s="677"/>
      <c r="RWM1" s="677"/>
      <c r="RWN1" s="677"/>
      <c r="RWO1" s="677"/>
      <c r="RWP1" s="677"/>
      <c r="RWQ1" s="677"/>
      <c r="RWR1" s="677"/>
      <c r="RWS1" s="677"/>
      <c r="RWT1" s="677"/>
      <c r="RWU1" s="677"/>
      <c r="RWV1" s="677"/>
      <c r="RWW1" s="677"/>
      <c r="RWX1" s="677"/>
      <c r="RWY1" s="677"/>
      <c r="RWZ1" s="677"/>
      <c r="RXA1" s="677"/>
      <c r="RXB1" s="677"/>
      <c r="RXC1" s="677"/>
      <c r="RXD1" s="677"/>
      <c r="RXE1" s="677"/>
      <c r="RXF1" s="677"/>
      <c r="RXG1" s="677"/>
      <c r="RXH1" s="677"/>
      <c r="RXI1" s="677"/>
      <c r="RXJ1" s="677"/>
      <c r="RXK1" s="677"/>
      <c r="RXL1" s="677"/>
      <c r="RXM1" s="677"/>
      <c r="RXN1" s="677"/>
      <c r="RXO1" s="677"/>
      <c r="RXP1" s="677"/>
      <c r="RXQ1" s="677"/>
      <c r="RXR1" s="677"/>
      <c r="RXS1" s="677"/>
      <c r="RXT1" s="677"/>
      <c r="RXU1" s="677"/>
      <c r="RXV1" s="677"/>
      <c r="RXW1" s="677"/>
      <c r="RXX1" s="677"/>
      <c r="RXY1" s="677"/>
      <c r="RXZ1" s="677"/>
      <c r="RYA1" s="677"/>
      <c r="RYB1" s="677"/>
      <c r="RYC1" s="677"/>
      <c r="RYD1" s="677"/>
      <c r="RYE1" s="677"/>
      <c r="RYF1" s="677"/>
      <c r="RYG1" s="677"/>
      <c r="RYH1" s="677"/>
      <c r="RYI1" s="677"/>
      <c r="RYJ1" s="677"/>
      <c r="RYK1" s="677"/>
      <c r="RYL1" s="677"/>
      <c r="RYM1" s="677"/>
      <c r="RYN1" s="677"/>
      <c r="RYO1" s="677"/>
      <c r="RYP1" s="677"/>
      <c r="RYQ1" s="677"/>
      <c r="RYR1" s="677"/>
      <c r="RYS1" s="677"/>
      <c r="RYT1" s="677"/>
      <c r="RYU1" s="677"/>
      <c r="RYV1" s="677"/>
      <c r="RYW1" s="677"/>
      <c r="RYX1" s="677"/>
      <c r="RYY1" s="677"/>
      <c r="RYZ1" s="677"/>
      <c r="RZA1" s="677"/>
      <c r="RZB1" s="677"/>
      <c r="RZC1" s="677"/>
      <c r="RZD1" s="677"/>
      <c r="RZE1" s="677"/>
      <c r="RZF1" s="677"/>
      <c r="RZG1" s="677"/>
      <c r="RZH1" s="677"/>
      <c r="RZI1" s="677"/>
      <c r="RZJ1" s="677"/>
      <c r="RZK1" s="677"/>
      <c r="RZL1" s="677"/>
      <c r="RZM1" s="677"/>
      <c r="RZN1" s="677"/>
      <c r="RZO1" s="677"/>
      <c r="RZP1" s="677"/>
      <c r="RZQ1" s="677"/>
      <c r="RZR1" s="677"/>
      <c r="RZS1" s="677"/>
      <c r="RZT1" s="677"/>
      <c r="RZU1" s="677"/>
      <c r="RZV1" s="677"/>
      <c r="RZW1" s="677"/>
      <c r="RZX1" s="677"/>
      <c r="RZY1" s="677"/>
      <c r="RZZ1" s="677"/>
      <c r="SAA1" s="677"/>
      <c r="SAB1" s="677"/>
      <c r="SAC1" s="677"/>
      <c r="SAD1" s="677"/>
      <c r="SAE1" s="677"/>
      <c r="SAF1" s="677"/>
      <c r="SAG1" s="677"/>
      <c r="SAH1" s="677"/>
      <c r="SAI1" s="677"/>
      <c r="SAJ1" s="677"/>
      <c r="SAK1" s="677"/>
      <c r="SAL1" s="677"/>
      <c r="SAM1" s="677"/>
      <c r="SAN1" s="677"/>
      <c r="SAO1" s="677"/>
      <c r="SAP1" s="677"/>
      <c r="SAQ1" s="677"/>
      <c r="SAR1" s="677"/>
      <c r="SAS1" s="677"/>
      <c r="SAT1" s="677"/>
      <c r="SAU1" s="677"/>
      <c r="SAV1" s="677"/>
      <c r="SAW1" s="677"/>
      <c r="SAX1" s="677"/>
      <c r="SAY1" s="677"/>
      <c r="SAZ1" s="677"/>
      <c r="SBA1" s="677"/>
      <c r="SBB1" s="677"/>
      <c r="SBC1" s="677"/>
      <c r="SBD1" s="677"/>
      <c r="SBE1" s="677"/>
      <c r="SBF1" s="677"/>
      <c r="SBG1" s="677"/>
      <c r="SBH1" s="677"/>
      <c r="SBI1" s="677"/>
      <c r="SBJ1" s="677"/>
      <c r="SBK1" s="677"/>
      <c r="SBL1" s="677"/>
      <c r="SBM1" s="677"/>
      <c r="SBN1" s="677"/>
      <c r="SBO1" s="677"/>
      <c r="SBP1" s="677"/>
      <c r="SBQ1" s="677"/>
      <c r="SBR1" s="677"/>
      <c r="SBS1" s="677"/>
      <c r="SBT1" s="677"/>
      <c r="SBU1" s="677"/>
      <c r="SBV1" s="677"/>
      <c r="SBW1" s="677"/>
      <c r="SBX1" s="677"/>
      <c r="SBY1" s="677"/>
      <c r="SBZ1" s="677"/>
      <c r="SCA1" s="677"/>
      <c r="SCB1" s="677"/>
      <c r="SCC1" s="677"/>
      <c r="SCD1" s="677"/>
      <c r="SCE1" s="677"/>
      <c r="SCF1" s="677"/>
      <c r="SCG1" s="677"/>
      <c r="SCH1" s="677"/>
      <c r="SCI1" s="677"/>
      <c r="SCJ1" s="677"/>
      <c r="SCK1" s="677"/>
      <c r="SCL1" s="677"/>
      <c r="SCM1" s="677"/>
      <c r="SCN1" s="677"/>
      <c r="SCO1" s="677"/>
      <c r="SCP1" s="677"/>
      <c r="SCQ1" s="677"/>
      <c r="SCR1" s="677"/>
      <c r="SCS1" s="677"/>
      <c r="SCT1" s="677"/>
      <c r="SCU1" s="677"/>
      <c r="SCV1" s="677"/>
      <c r="SCW1" s="677"/>
      <c r="SCX1" s="677"/>
      <c r="SCY1" s="677"/>
      <c r="SCZ1" s="677"/>
      <c r="SDA1" s="677"/>
      <c r="SDB1" s="677"/>
      <c r="SDC1" s="677"/>
      <c r="SDD1" s="677"/>
      <c r="SDE1" s="677"/>
      <c r="SDF1" s="677"/>
      <c r="SDG1" s="677"/>
      <c r="SDH1" s="677"/>
      <c r="SDI1" s="677"/>
      <c r="SDJ1" s="677"/>
      <c r="SDK1" s="677"/>
      <c r="SDL1" s="677"/>
      <c r="SDM1" s="677"/>
      <c r="SDN1" s="677"/>
      <c r="SDO1" s="677"/>
      <c r="SDP1" s="677"/>
      <c r="SDQ1" s="677"/>
      <c r="SDR1" s="677"/>
      <c r="SDS1" s="677"/>
      <c r="SDT1" s="677"/>
      <c r="SDU1" s="677"/>
      <c r="SDV1" s="677"/>
      <c r="SDW1" s="677"/>
      <c r="SDX1" s="677"/>
      <c r="SDY1" s="677"/>
      <c r="SDZ1" s="677"/>
      <c r="SEA1" s="677"/>
      <c r="SEB1" s="677"/>
      <c r="SEC1" s="677"/>
      <c r="SED1" s="677"/>
      <c r="SEE1" s="677"/>
      <c r="SEF1" s="677"/>
      <c r="SEG1" s="677"/>
      <c r="SEH1" s="677"/>
      <c r="SEI1" s="677"/>
      <c r="SEJ1" s="677"/>
      <c r="SEK1" s="677"/>
      <c r="SEL1" s="677"/>
      <c r="SEM1" s="677"/>
      <c r="SEN1" s="677"/>
      <c r="SEO1" s="677"/>
      <c r="SEP1" s="677"/>
      <c r="SEQ1" s="677"/>
      <c r="SER1" s="677"/>
      <c r="SES1" s="677"/>
      <c r="SET1" s="677"/>
      <c r="SEU1" s="677"/>
      <c r="SEV1" s="677"/>
      <c r="SEW1" s="677"/>
      <c r="SEX1" s="677"/>
      <c r="SEY1" s="677"/>
      <c r="SEZ1" s="677"/>
      <c r="SFA1" s="677"/>
      <c r="SFB1" s="677"/>
      <c r="SFC1" s="677"/>
      <c r="SFD1" s="677"/>
      <c r="SFE1" s="677"/>
      <c r="SFF1" s="677"/>
      <c r="SFG1" s="677"/>
      <c r="SFH1" s="677"/>
      <c r="SFI1" s="677"/>
      <c r="SFJ1" s="677"/>
      <c r="SFK1" s="677"/>
      <c r="SFL1" s="677"/>
      <c r="SFM1" s="677"/>
      <c r="SFN1" s="677"/>
      <c r="SFO1" s="677"/>
      <c r="SFP1" s="677"/>
      <c r="SFQ1" s="677"/>
      <c r="SFR1" s="677"/>
      <c r="SFS1" s="677"/>
      <c r="SFT1" s="677"/>
      <c r="SFU1" s="677"/>
      <c r="SFV1" s="677"/>
      <c r="SFW1" s="677"/>
      <c r="SFX1" s="677"/>
      <c r="SFY1" s="677"/>
      <c r="SFZ1" s="677"/>
      <c r="SGA1" s="677"/>
      <c r="SGB1" s="677"/>
      <c r="SGC1" s="677"/>
      <c r="SGD1" s="677"/>
      <c r="SGE1" s="677"/>
      <c r="SGF1" s="677"/>
      <c r="SGG1" s="677"/>
      <c r="SGH1" s="677"/>
      <c r="SGI1" s="677"/>
      <c r="SGJ1" s="677"/>
      <c r="SGK1" s="677"/>
      <c r="SGL1" s="677"/>
      <c r="SGM1" s="677"/>
      <c r="SGN1" s="677"/>
      <c r="SGO1" s="677"/>
      <c r="SGP1" s="677"/>
      <c r="SGQ1" s="677"/>
      <c r="SGR1" s="677"/>
      <c r="SGS1" s="677"/>
      <c r="SGT1" s="677"/>
      <c r="SGU1" s="677"/>
      <c r="SGV1" s="677"/>
      <c r="SGW1" s="677"/>
      <c r="SGX1" s="677"/>
      <c r="SGY1" s="677"/>
      <c r="SGZ1" s="677"/>
      <c r="SHA1" s="677"/>
      <c r="SHB1" s="677"/>
      <c r="SHC1" s="677"/>
      <c r="SHD1" s="677"/>
      <c r="SHE1" s="677"/>
      <c r="SHF1" s="677"/>
      <c r="SHG1" s="677"/>
      <c r="SHH1" s="677"/>
      <c r="SHI1" s="677"/>
      <c r="SHJ1" s="677"/>
      <c r="SHK1" s="677"/>
      <c r="SHL1" s="677"/>
      <c r="SHM1" s="677"/>
      <c r="SHN1" s="677"/>
      <c r="SHO1" s="677"/>
      <c r="SHP1" s="677"/>
      <c r="SHQ1" s="677"/>
      <c r="SHR1" s="677"/>
      <c r="SHS1" s="677"/>
      <c r="SHT1" s="677"/>
      <c r="SHU1" s="677"/>
      <c r="SHV1" s="677"/>
      <c r="SHW1" s="677"/>
      <c r="SHX1" s="677"/>
      <c r="SHY1" s="677"/>
      <c r="SHZ1" s="677"/>
      <c r="SIA1" s="677"/>
      <c r="SIB1" s="677"/>
      <c r="SIC1" s="677"/>
      <c r="SID1" s="677"/>
      <c r="SIE1" s="677"/>
      <c r="SIF1" s="677"/>
      <c r="SIG1" s="677"/>
      <c r="SIH1" s="677"/>
      <c r="SII1" s="677"/>
      <c r="SIJ1" s="677"/>
      <c r="SIK1" s="677"/>
      <c r="SIL1" s="677"/>
      <c r="SIM1" s="677"/>
      <c r="SIN1" s="677"/>
      <c r="SIO1" s="677"/>
      <c r="SIP1" s="677"/>
      <c r="SIQ1" s="677"/>
      <c r="SIR1" s="677"/>
      <c r="SIS1" s="677"/>
      <c r="SIT1" s="677"/>
      <c r="SIU1" s="677"/>
      <c r="SIV1" s="677"/>
      <c r="SIW1" s="677"/>
      <c r="SIX1" s="677"/>
      <c r="SIY1" s="677"/>
      <c r="SIZ1" s="677"/>
      <c r="SJA1" s="677"/>
      <c r="SJB1" s="677"/>
      <c r="SJC1" s="677"/>
      <c r="SJD1" s="677"/>
      <c r="SJE1" s="677"/>
      <c r="SJF1" s="677"/>
      <c r="SJG1" s="677"/>
      <c r="SJH1" s="677"/>
      <c r="SJI1" s="677"/>
      <c r="SJJ1" s="677"/>
      <c r="SJK1" s="677"/>
      <c r="SJL1" s="677"/>
      <c r="SJM1" s="677"/>
      <c r="SJN1" s="677"/>
      <c r="SJO1" s="677"/>
      <c r="SJP1" s="677"/>
      <c r="SJQ1" s="677"/>
      <c r="SJR1" s="677"/>
      <c r="SJS1" s="677"/>
      <c r="SJT1" s="677"/>
      <c r="SJU1" s="677"/>
      <c r="SJV1" s="677"/>
      <c r="SJW1" s="677"/>
      <c r="SJX1" s="677"/>
      <c r="SJY1" s="677"/>
      <c r="SJZ1" s="677"/>
      <c r="SKA1" s="677"/>
      <c r="SKB1" s="677"/>
      <c r="SKC1" s="677"/>
      <c r="SKD1" s="677"/>
      <c r="SKE1" s="677"/>
      <c r="SKF1" s="677"/>
      <c r="SKG1" s="677"/>
      <c r="SKH1" s="677"/>
      <c r="SKI1" s="677"/>
      <c r="SKJ1" s="677"/>
      <c r="SKK1" s="677"/>
      <c r="SKL1" s="677"/>
      <c r="SKM1" s="677"/>
      <c r="SKN1" s="677"/>
      <c r="SKO1" s="677"/>
      <c r="SKP1" s="677"/>
      <c r="SKQ1" s="677"/>
      <c r="SKR1" s="677"/>
      <c r="SKS1" s="677"/>
      <c r="SKT1" s="677"/>
      <c r="SKU1" s="677"/>
      <c r="SKV1" s="677"/>
      <c r="SKW1" s="677"/>
      <c r="SKX1" s="677"/>
      <c r="SKY1" s="677"/>
      <c r="SKZ1" s="677"/>
      <c r="SLA1" s="677"/>
      <c r="SLB1" s="677"/>
      <c r="SLC1" s="677"/>
      <c r="SLD1" s="677"/>
      <c r="SLE1" s="677"/>
      <c r="SLF1" s="677"/>
      <c r="SLG1" s="677"/>
      <c r="SLH1" s="677"/>
      <c r="SLI1" s="677"/>
      <c r="SLJ1" s="677"/>
      <c r="SLK1" s="677"/>
      <c r="SLL1" s="677"/>
      <c r="SLM1" s="677"/>
      <c r="SLN1" s="677"/>
      <c r="SLO1" s="677"/>
      <c r="SLP1" s="677"/>
      <c r="SLQ1" s="677"/>
      <c r="SLR1" s="677"/>
      <c r="SLS1" s="677"/>
      <c r="SLT1" s="677"/>
      <c r="SLU1" s="677"/>
      <c r="SLV1" s="677"/>
      <c r="SLW1" s="677"/>
      <c r="SLX1" s="677"/>
      <c r="SLY1" s="677"/>
      <c r="SLZ1" s="677"/>
      <c r="SMA1" s="677"/>
      <c r="SMB1" s="677"/>
      <c r="SMC1" s="677"/>
      <c r="SMD1" s="677"/>
      <c r="SME1" s="677"/>
      <c r="SMF1" s="677"/>
      <c r="SMG1" s="677"/>
      <c r="SMH1" s="677"/>
      <c r="SMI1" s="677"/>
      <c r="SMJ1" s="677"/>
      <c r="SMK1" s="677"/>
      <c r="SML1" s="677"/>
      <c r="SMM1" s="677"/>
      <c r="SMN1" s="677"/>
      <c r="SMO1" s="677"/>
      <c r="SMP1" s="677"/>
      <c r="SMQ1" s="677"/>
      <c r="SMR1" s="677"/>
      <c r="SMS1" s="677"/>
      <c r="SMT1" s="677"/>
      <c r="SMU1" s="677"/>
      <c r="SMV1" s="677"/>
      <c r="SMW1" s="677"/>
      <c r="SMX1" s="677"/>
      <c r="SMY1" s="677"/>
      <c r="SMZ1" s="677"/>
      <c r="SNA1" s="677"/>
      <c r="SNB1" s="677"/>
      <c r="SNC1" s="677"/>
      <c r="SND1" s="677"/>
      <c r="SNE1" s="677"/>
      <c r="SNF1" s="677"/>
      <c r="SNG1" s="677"/>
      <c r="SNH1" s="677"/>
      <c r="SNI1" s="677"/>
      <c r="SNJ1" s="677"/>
      <c r="SNK1" s="677"/>
      <c r="SNL1" s="677"/>
      <c r="SNM1" s="677"/>
      <c r="SNN1" s="677"/>
      <c r="SNO1" s="677"/>
      <c r="SNP1" s="677"/>
      <c r="SNQ1" s="677"/>
      <c r="SNR1" s="677"/>
      <c r="SNS1" s="677"/>
      <c r="SNT1" s="677"/>
      <c r="SNU1" s="677"/>
      <c r="SNV1" s="677"/>
      <c r="SNW1" s="677"/>
      <c r="SNX1" s="677"/>
      <c r="SNY1" s="677"/>
      <c r="SNZ1" s="677"/>
      <c r="SOA1" s="677"/>
      <c r="SOB1" s="677"/>
      <c r="SOC1" s="677"/>
      <c r="SOD1" s="677"/>
      <c r="SOE1" s="677"/>
      <c r="SOF1" s="677"/>
      <c r="SOG1" s="677"/>
      <c r="SOH1" s="677"/>
      <c r="SOI1" s="677"/>
      <c r="SOJ1" s="677"/>
      <c r="SOK1" s="677"/>
      <c r="SOL1" s="677"/>
      <c r="SOM1" s="677"/>
      <c r="SON1" s="677"/>
      <c r="SOO1" s="677"/>
      <c r="SOP1" s="677"/>
      <c r="SOQ1" s="677"/>
      <c r="SOR1" s="677"/>
      <c r="SOS1" s="677"/>
      <c r="SOT1" s="677"/>
      <c r="SOU1" s="677"/>
      <c r="SOV1" s="677"/>
      <c r="SOW1" s="677"/>
      <c r="SOX1" s="677"/>
      <c r="SOY1" s="677"/>
      <c r="SOZ1" s="677"/>
      <c r="SPA1" s="677"/>
      <c r="SPB1" s="677"/>
      <c r="SPC1" s="677"/>
      <c r="SPD1" s="677"/>
      <c r="SPE1" s="677"/>
      <c r="SPF1" s="677"/>
      <c r="SPG1" s="677"/>
      <c r="SPH1" s="677"/>
      <c r="SPI1" s="677"/>
      <c r="SPJ1" s="677"/>
      <c r="SPK1" s="677"/>
      <c r="SPL1" s="677"/>
      <c r="SPM1" s="677"/>
      <c r="SPN1" s="677"/>
      <c r="SPO1" s="677"/>
      <c r="SPP1" s="677"/>
      <c r="SPQ1" s="677"/>
      <c r="SPR1" s="677"/>
      <c r="SPS1" s="677"/>
      <c r="SPT1" s="677"/>
      <c r="SPU1" s="677"/>
      <c r="SPV1" s="677"/>
      <c r="SPW1" s="677"/>
      <c r="SPX1" s="677"/>
      <c r="SPY1" s="677"/>
      <c r="SPZ1" s="677"/>
      <c r="SQA1" s="677"/>
      <c r="SQB1" s="677"/>
      <c r="SQC1" s="677"/>
      <c r="SQD1" s="677"/>
      <c r="SQE1" s="677"/>
      <c r="SQF1" s="677"/>
      <c r="SQG1" s="677"/>
      <c r="SQH1" s="677"/>
      <c r="SQI1" s="677"/>
      <c r="SQJ1" s="677"/>
      <c r="SQK1" s="677"/>
      <c r="SQL1" s="677"/>
      <c r="SQM1" s="677"/>
      <c r="SQN1" s="677"/>
      <c r="SQO1" s="677"/>
      <c r="SQP1" s="677"/>
      <c r="SQQ1" s="677"/>
      <c r="SQR1" s="677"/>
      <c r="SQS1" s="677"/>
      <c r="SQT1" s="677"/>
      <c r="SQU1" s="677"/>
      <c r="SQV1" s="677"/>
      <c r="SQW1" s="677"/>
      <c r="SQX1" s="677"/>
      <c r="SQY1" s="677"/>
      <c r="SQZ1" s="677"/>
      <c r="SRA1" s="677"/>
      <c r="SRB1" s="677"/>
      <c r="SRC1" s="677"/>
      <c r="SRD1" s="677"/>
      <c r="SRE1" s="677"/>
      <c r="SRF1" s="677"/>
      <c r="SRG1" s="677"/>
      <c r="SRH1" s="677"/>
      <c r="SRI1" s="677"/>
      <c r="SRJ1" s="677"/>
      <c r="SRK1" s="677"/>
      <c r="SRL1" s="677"/>
      <c r="SRM1" s="677"/>
      <c r="SRN1" s="677"/>
      <c r="SRO1" s="677"/>
      <c r="SRP1" s="677"/>
      <c r="SRQ1" s="677"/>
      <c r="SRR1" s="677"/>
      <c r="SRS1" s="677"/>
      <c r="SRT1" s="677"/>
      <c r="SRU1" s="677"/>
      <c r="SRV1" s="677"/>
      <c r="SRW1" s="677"/>
      <c r="SRX1" s="677"/>
      <c r="SRY1" s="677"/>
      <c r="SRZ1" s="677"/>
      <c r="SSA1" s="677"/>
      <c r="SSB1" s="677"/>
      <c r="SSC1" s="677"/>
      <c r="SSD1" s="677"/>
      <c r="SSE1" s="677"/>
      <c r="SSF1" s="677"/>
      <c r="SSG1" s="677"/>
      <c r="SSH1" s="677"/>
      <c r="SSI1" s="677"/>
      <c r="SSJ1" s="677"/>
      <c r="SSK1" s="677"/>
      <c r="SSL1" s="677"/>
      <c r="SSM1" s="677"/>
      <c r="SSN1" s="677"/>
      <c r="SSO1" s="677"/>
      <c r="SSP1" s="677"/>
      <c r="SSQ1" s="677"/>
      <c r="SSR1" s="677"/>
      <c r="SSS1" s="677"/>
      <c r="SST1" s="677"/>
      <c r="SSU1" s="677"/>
      <c r="SSV1" s="677"/>
      <c r="SSW1" s="677"/>
      <c r="SSX1" s="677"/>
      <c r="SSY1" s="677"/>
      <c r="SSZ1" s="677"/>
      <c r="STA1" s="677"/>
      <c r="STB1" s="677"/>
      <c r="STC1" s="677"/>
      <c r="STD1" s="677"/>
      <c r="STE1" s="677"/>
      <c r="STF1" s="677"/>
      <c r="STG1" s="677"/>
      <c r="STH1" s="677"/>
      <c r="STI1" s="677"/>
      <c r="STJ1" s="677"/>
      <c r="STK1" s="677"/>
      <c r="STL1" s="677"/>
      <c r="STM1" s="677"/>
      <c r="STN1" s="677"/>
      <c r="STO1" s="677"/>
      <c r="STP1" s="677"/>
      <c r="STQ1" s="677"/>
      <c r="STR1" s="677"/>
      <c r="STS1" s="677"/>
      <c r="STT1" s="677"/>
      <c r="STU1" s="677"/>
      <c r="STV1" s="677"/>
      <c r="STW1" s="677"/>
      <c r="STX1" s="677"/>
      <c r="STY1" s="677"/>
      <c r="STZ1" s="677"/>
      <c r="SUA1" s="677"/>
      <c r="SUB1" s="677"/>
      <c r="SUC1" s="677"/>
      <c r="SUD1" s="677"/>
      <c r="SUE1" s="677"/>
      <c r="SUF1" s="677"/>
      <c r="SUG1" s="677"/>
      <c r="SUH1" s="677"/>
      <c r="SUI1" s="677"/>
      <c r="SUJ1" s="677"/>
      <c r="SUK1" s="677"/>
      <c r="SUL1" s="677"/>
      <c r="SUM1" s="677"/>
      <c r="SUN1" s="677"/>
      <c r="SUO1" s="677"/>
      <c r="SUP1" s="677"/>
      <c r="SUQ1" s="677"/>
      <c r="SUR1" s="677"/>
      <c r="SUS1" s="677"/>
      <c r="SUT1" s="677"/>
      <c r="SUU1" s="677"/>
      <c r="SUV1" s="677"/>
      <c r="SUW1" s="677"/>
      <c r="SUX1" s="677"/>
      <c r="SUY1" s="677"/>
      <c r="SUZ1" s="677"/>
      <c r="SVA1" s="677"/>
      <c r="SVB1" s="677"/>
      <c r="SVC1" s="677"/>
      <c r="SVD1" s="677"/>
      <c r="SVE1" s="677"/>
      <c r="SVF1" s="677"/>
      <c r="SVG1" s="677"/>
      <c r="SVH1" s="677"/>
      <c r="SVI1" s="677"/>
      <c r="SVJ1" s="677"/>
      <c r="SVK1" s="677"/>
      <c r="SVL1" s="677"/>
      <c r="SVM1" s="677"/>
      <c r="SVN1" s="677"/>
      <c r="SVO1" s="677"/>
      <c r="SVP1" s="677"/>
      <c r="SVQ1" s="677"/>
      <c r="SVR1" s="677"/>
      <c r="SVS1" s="677"/>
      <c r="SVT1" s="677"/>
      <c r="SVU1" s="677"/>
      <c r="SVV1" s="677"/>
      <c r="SVW1" s="677"/>
      <c r="SVX1" s="677"/>
      <c r="SVY1" s="677"/>
      <c r="SVZ1" s="677"/>
      <c r="SWA1" s="677"/>
      <c r="SWB1" s="677"/>
      <c r="SWC1" s="677"/>
      <c r="SWD1" s="677"/>
      <c r="SWE1" s="677"/>
      <c r="SWF1" s="677"/>
      <c r="SWG1" s="677"/>
      <c r="SWH1" s="677"/>
      <c r="SWI1" s="677"/>
      <c r="SWJ1" s="677"/>
      <c r="SWK1" s="677"/>
      <c r="SWL1" s="677"/>
      <c r="SWM1" s="677"/>
      <c r="SWN1" s="677"/>
      <c r="SWO1" s="677"/>
      <c r="SWP1" s="677"/>
      <c r="SWQ1" s="677"/>
      <c r="SWR1" s="677"/>
      <c r="SWS1" s="677"/>
      <c r="SWT1" s="677"/>
      <c r="SWU1" s="677"/>
      <c r="SWV1" s="677"/>
      <c r="SWW1" s="677"/>
      <c r="SWX1" s="677"/>
      <c r="SWY1" s="677"/>
      <c r="SWZ1" s="677"/>
      <c r="SXA1" s="677"/>
      <c r="SXB1" s="677"/>
      <c r="SXC1" s="677"/>
      <c r="SXD1" s="677"/>
      <c r="SXE1" s="677"/>
      <c r="SXF1" s="677"/>
      <c r="SXG1" s="677"/>
      <c r="SXH1" s="677"/>
      <c r="SXI1" s="677"/>
      <c r="SXJ1" s="677"/>
      <c r="SXK1" s="677"/>
      <c r="SXL1" s="677"/>
      <c r="SXM1" s="677"/>
      <c r="SXN1" s="677"/>
      <c r="SXO1" s="677"/>
      <c r="SXP1" s="677"/>
      <c r="SXQ1" s="677"/>
      <c r="SXR1" s="677"/>
      <c r="SXS1" s="677"/>
      <c r="SXT1" s="677"/>
      <c r="SXU1" s="677"/>
      <c r="SXV1" s="677"/>
      <c r="SXW1" s="677"/>
      <c r="SXX1" s="677"/>
      <c r="SXY1" s="677"/>
      <c r="SXZ1" s="677"/>
      <c r="SYA1" s="677"/>
      <c r="SYB1" s="677"/>
      <c r="SYC1" s="677"/>
      <c r="SYD1" s="677"/>
      <c r="SYE1" s="677"/>
      <c r="SYF1" s="677"/>
      <c r="SYG1" s="677"/>
      <c r="SYH1" s="677"/>
      <c r="SYI1" s="677"/>
      <c r="SYJ1" s="677"/>
      <c r="SYK1" s="677"/>
      <c r="SYL1" s="677"/>
      <c r="SYM1" s="677"/>
      <c r="SYN1" s="677"/>
      <c r="SYO1" s="677"/>
      <c r="SYP1" s="677"/>
      <c r="SYQ1" s="677"/>
      <c r="SYR1" s="677"/>
      <c r="SYS1" s="677"/>
      <c r="SYT1" s="677"/>
      <c r="SYU1" s="677"/>
      <c r="SYV1" s="677"/>
      <c r="SYW1" s="677"/>
      <c r="SYX1" s="677"/>
      <c r="SYY1" s="677"/>
      <c r="SYZ1" s="677"/>
      <c r="SZA1" s="677"/>
      <c r="SZB1" s="677"/>
      <c r="SZC1" s="677"/>
      <c r="SZD1" s="677"/>
      <c r="SZE1" s="677"/>
      <c r="SZF1" s="677"/>
      <c r="SZG1" s="677"/>
      <c r="SZH1" s="677"/>
      <c r="SZI1" s="677"/>
      <c r="SZJ1" s="677"/>
      <c r="SZK1" s="677"/>
      <c r="SZL1" s="677"/>
      <c r="SZM1" s="677"/>
      <c r="SZN1" s="677"/>
      <c r="SZO1" s="677"/>
      <c r="SZP1" s="677"/>
      <c r="SZQ1" s="677"/>
      <c r="SZR1" s="677"/>
      <c r="SZS1" s="677"/>
      <c r="SZT1" s="677"/>
      <c r="SZU1" s="677"/>
      <c r="SZV1" s="677"/>
      <c r="SZW1" s="677"/>
      <c r="SZX1" s="677"/>
      <c r="SZY1" s="677"/>
      <c r="SZZ1" s="677"/>
      <c r="TAA1" s="677"/>
      <c r="TAB1" s="677"/>
      <c r="TAC1" s="677"/>
      <c r="TAD1" s="677"/>
      <c r="TAE1" s="677"/>
      <c r="TAF1" s="677"/>
      <c r="TAG1" s="677"/>
      <c r="TAH1" s="677"/>
      <c r="TAI1" s="677"/>
      <c r="TAJ1" s="677"/>
      <c r="TAK1" s="677"/>
      <c r="TAL1" s="677"/>
      <c r="TAM1" s="677"/>
      <c r="TAN1" s="677"/>
      <c r="TAO1" s="677"/>
      <c r="TAP1" s="677"/>
      <c r="TAQ1" s="677"/>
      <c r="TAR1" s="677"/>
      <c r="TAS1" s="677"/>
      <c r="TAT1" s="677"/>
      <c r="TAU1" s="677"/>
      <c r="TAV1" s="677"/>
      <c r="TAW1" s="677"/>
      <c r="TAX1" s="677"/>
      <c r="TAY1" s="677"/>
      <c r="TAZ1" s="677"/>
      <c r="TBA1" s="677"/>
      <c r="TBB1" s="677"/>
      <c r="TBC1" s="677"/>
      <c r="TBD1" s="677"/>
      <c r="TBE1" s="677"/>
      <c r="TBF1" s="677"/>
      <c r="TBG1" s="677"/>
      <c r="TBH1" s="677"/>
      <c r="TBI1" s="677"/>
      <c r="TBJ1" s="677"/>
      <c r="TBK1" s="677"/>
      <c r="TBL1" s="677"/>
      <c r="TBM1" s="677"/>
      <c r="TBN1" s="677"/>
      <c r="TBO1" s="677"/>
      <c r="TBP1" s="677"/>
      <c r="TBQ1" s="677"/>
      <c r="TBR1" s="677"/>
      <c r="TBS1" s="677"/>
      <c r="TBT1" s="677"/>
      <c r="TBU1" s="677"/>
      <c r="TBV1" s="677"/>
      <c r="TBW1" s="677"/>
      <c r="TBX1" s="677"/>
      <c r="TBY1" s="677"/>
      <c r="TBZ1" s="677"/>
      <c r="TCA1" s="677"/>
      <c r="TCB1" s="677"/>
      <c r="TCC1" s="677"/>
      <c r="TCD1" s="677"/>
      <c r="TCE1" s="677"/>
      <c r="TCF1" s="677"/>
      <c r="TCG1" s="677"/>
      <c r="TCH1" s="677"/>
      <c r="TCI1" s="677"/>
      <c r="TCJ1" s="677"/>
      <c r="TCK1" s="677"/>
      <c r="TCL1" s="677"/>
      <c r="TCM1" s="677"/>
      <c r="TCN1" s="677"/>
      <c r="TCO1" s="677"/>
      <c r="TCP1" s="677"/>
      <c r="TCQ1" s="677"/>
      <c r="TCR1" s="677"/>
      <c r="TCS1" s="677"/>
      <c r="TCT1" s="677"/>
      <c r="TCU1" s="677"/>
      <c r="TCV1" s="677"/>
      <c r="TCW1" s="677"/>
      <c r="TCX1" s="677"/>
      <c r="TCY1" s="677"/>
      <c r="TCZ1" s="677"/>
      <c r="TDA1" s="677"/>
      <c r="TDB1" s="677"/>
      <c r="TDC1" s="677"/>
      <c r="TDD1" s="677"/>
      <c r="TDE1" s="677"/>
      <c r="TDF1" s="677"/>
      <c r="TDG1" s="677"/>
      <c r="TDH1" s="677"/>
      <c r="TDI1" s="677"/>
      <c r="TDJ1" s="677"/>
      <c r="TDK1" s="677"/>
      <c r="TDL1" s="677"/>
      <c r="TDM1" s="677"/>
      <c r="TDN1" s="677"/>
      <c r="TDO1" s="677"/>
      <c r="TDP1" s="677"/>
      <c r="TDQ1" s="677"/>
      <c r="TDR1" s="677"/>
      <c r="TDS1" s="677"/>
      <c r="TDT1" s="677"/>
      <c r="TDU1" s="677"/>
      <c r="TDV1" s="677"/>
      <c r="TDW1" s="677"/>
      <c r="TDX1" s="677"/>
      <c r="TDY1" s="677"/>
      <c r="TDZ1" s="677"/>
      <c r="TEA1" s="677"/>
      <c r="TEB1" s="677"/>
      <c r="TEC1" s="677"/>
      <c r="TED1" s="677"/>
      <c r="TEE1" s="677"/>
      <c r="TEF1" s="677"/>
      <c r="TEG1" s="677"/>
      <c r="TEH1" s="677"/>
      <c r="TEI1" s="677"/>
      <c r="TEJ1" s="677"/>
      <c r="TEK1" s="677"/>
      <c r="TEL1" s="677"/>
      <c r="TEM1" s="677"/>
      <c r="TEN1" s="677"/>
      <c r="TEO1" s="677"/>
      <c r="TEP1" s="677"/>
      <c r="TEQ1" s="677"/>
      <c r="TER1" s="677"/>
      <c r="TES1" s="677"/>
      <c r="TET1" s="677"/>
      <c r="TEU1" s="677"/>
      <c r="TEV1" s="677"/>
      <c r="TEW1" s="677"/>
      <c r="TEX1" s="677"/>
      <c r="TEY1" s="677"/>
      <c r="TEZ1" s="677"/>
      <c r="TFA1" s="677"/>
      <c r="TFB1" s="677"/>
      <c r="TFC1" s="677"/>
      <c r="TFD1" s="677"/>
      <c r="TFE1" s="677"/>
      <c r="TFF1" s="677"/>
      <c r="TFG1" s="677"/>
      <c r="TFH1" s="677"/>
      <c r="TFI1" s="677"/>
      <c r="TFJ1" s="677"/>
      <c r="TFK1" s="677"/>
      <c r="TFL1" s="677"/>
      <c r="TFM1" s="677"/>
      <c r="TFN1" s="677"/>
      <c r="TFO1" s="677"/>
      <c r="TFP1" s="677"/>
      <c r="TFQ1" s="677"/>
      <c r="TFR1" s="677"/>
      <c r="TFS1" s="677"/>
      <c r="TFT1" s="677"/>
      <c r="TFU1" s="677"/>
      <c r="TFV1" s="677"/>
      <c r="TFW1" s="677"/>
      <c r="TFX1" s="677"/>
      <c r="TFY1" s="677"/>
      <c r="TFZ1" s="677"/>
      <c r="TGA1" s="677"/>
      <c r="TGB1" s="677"/>
      <c r="TGC1" s="677"/>
      <c r="TGD1" s="677"/>
      <c r="TGE1" s="677"/>
      <c r="TGF1" s="677"/>
      <c r="TGG1" s="677"/>
      <c r="TGH1" s="677"/>
      <c r="TGI1" s="677"/>
      <c r="TGJ1" s="677"/>
      <c r="TGK1" s="677"/>
      <c r="TGL1" s="677"/>
      <c r="TGM1" s="677"/>
      <c r="TGN1" s="677"/>
      <c r="TGO1" s="677"/>
      <c r="TGP1" s="677"/>
      <c r="TGQ1" s="677"/>
      <c r="TGR1" s="677"/>
      <c r="TGS1" s="677"/>
      <c r="TGT1" s="677"/>
      <c r="TGU1" s="677"/>
      <c r="TGV1" s="677"/>
      <c r="TGW1" s="677"/>
      <c r="TGX1" s="677"/>
      <c r="TGY1" s="677"/>
      <c r="TGZ1" s="677"/>
      <c r="THA1" s="677"/>
      <c r="THB1" s="677"/>
      <c r="THC1" s="677"/>
      <c r="THD1" s="677"/>
      <c r="THE1" s="677"/>
      <c r="THF1" s="677"/>
      <c r="THG1" s="677"/>
      <c r="THH1" s="677"/>
      <c r="THI1" s="677"/>
      <c r="THJ1" s="677"/>
      <c r="THK1" s="677"/>
      <c r="THL1" s="677"/>
      <c r="THM1" s="677"/>
      <c r="THN1" s="677"/>
      <c r="THO1" s="677"/>
      <c r="THP1" s="677"/>
      <c r="THQ1" s="677"/>
      <c r="THR1" s="677"/>
      <c r="THS1" s="677"/>
      <c r="THT1" s="677"/>
      <c r="THU1" s="677"/>
      <c r="THV1" s="677"/>
      <c r="THW1" s="677"/>
      <c r="THX1" s="677"/>
      <c r="THY1" s="677"/>
      <c r="THZ1" s="677"/>
      <c r="TIA1" s="677"/>
      <c r="TIB1" s="677"/>
      <c r="TIC1" s="677"/>
      <c r="TID1" s="677"/>
      <c r="TIE1" s="677"/>
      <c r="TIF1" s="677"/>
      <c r="TIG1" s="677"/>
      <c r="TIH1" s="677"/>
      <c r="TII1" s="677"/>
      <c r="TIJ1" s="677"/>
      <c r="TIK1" s="677"/>
      <c r="TIL1" s="677"/>
      <c r="TIM1" s="677"/>
      <c r="TIN1" s="677"/>
      <c r="TIO1" s="677"/>
      <c r="TIP1" s="677"/>
      <c r="TIQ1" s="677"/>
      <c r="TIR1" s="677"/>
      <c r="TIS1" s="677"/>
      <c r="TIT1" s="677"/>
      <c r="TIU1" s="677"/>
      <c r="TIV1" s="677"/>
      <c r="TIW1" s="677"/>
      <c r="TIX1" s="677"/>
      <c r="TIY1" s="677"/>
      <c r="TIZ1" s="677"/>
      <c r="TJA1" s="677"/>
      <c r="TJB1" s="677"/>
      <c r="TJC1" s="677"/>
      <c r="TJD1" s="677"/>
      <c r="TJE1" s="677"/>
      <c r="TJF1" s="677"/>
      <c r="TJG1" s="677"/>
      <c r="TJH1" s="677"/>
      <c r="TJI1" s="677"/>
      <c r="TJJ1" s="677"/>
      <c r="TJK1" s="677"/>
      <c r="TJL1" s="677"/>
      <c r="TJM1" s="677"/>
      <c r="TJN1" s="677"/>
      <c r="TJO1" s="677"/>
      <c r="TJP1" s="677"/>
      <c r="TJQ1" s="677"/>
      <c r="TJR1" s="677"/>
      <c r="TJS1" s="677"/>
      <c r="TJT1" s="677"/>
      <c r="TJU1" s="677"/>
      <c r="TJV1" s="677"/>
      <c r="TJW1" s="677"/>
      <c r="TJX1" s="677"/>
      <c r="TJY1" s="677"/>
      <c r="TJZ1" s="677"/>
      <c r="TKA1" s="677"/>
      <c r="TKB1" s="677"/>
      <c r="TKC1" s="677"/>
      <c r="TKD1" s="677"/>
      <c r="TKE1" s="677"/>
      <c r="TKF1" s="677"/>
      <c r="TKG1" s="677"/>
      <c r="TKH1" s="677"/>
      <c r="TKI1" s="677"/>
      <c r="TKJ1" s="677"/>
      <c r="TKK1" s="677"/>
      <c r="TKL1" s="677"/>
      <c r="TKM1" s="677"/>
      <c r="TKN1" s="677"/>
      <c r="TKO1" s="677"/>
      <c r="TKP1" s="677"/>
      <c r="TKQ1" s="677"/>
      <c r="TKR1" s="677"/>
      <c r="TKS1" s="677"/>
      <c r="TKT1" s="677"/>
      <c r="TKU1" s="677"/>
      <c r="TKV1" s="677"/>
      <c r="TKW1" s="677"/>
      <c r="TKX1" s="677"/>
      <c r="TKY1" s="677"/>
      <c r="TKZ1" s="677"/>
      <c r="TLA1" s="677"/>
      <c r="TLB1" s="677"/>
      <c r="TLC1" s="677"/>
      <c r="TLD1" s="677"/>
      <c r="TLE1" s="677"/>
      <c r="TLF1" s="677"/>
      <c r="TLG1" s="677"/>
      <c r="TLH1" s="677"/>
      <c r="TLI1" s="677"/>
      <c r="TLJ1" s="677"/>
      <c r="TLK1" s="677"/>
      <c r="TLL1" s="677"/>
      <c r="TLM1" s="677"/>
      <c r="TLN1" s="677"/>
      <c r="TLO1" s="677"/>
      <c r="TLP1" s="677"/>
      <c r="TLQ1" s="677"/>
      <c r="TLR1" s="677"/>
      <c r="TLS1" s="677"/>
      <c r="TLT1" s="677"/>
      <c r="TLU1" s="677"/>
      <c r="TLV1" s="677"/>
      <c r="TLW1" s="677"/>
      <c r="TLX1" s="677"/>
      <c r="TLY1" s="677"/>
      <c r="TLZ1" s="677"/>
      <c r="TMA1" s="677"/>
      <c r="TMB1" s="677"/>
      <c r="TMC1" s="677"/>
      <c r="TMD1" s="677"/>
      <c r="TME1" s="677"/>
      <c r="TMF1" s="677"/>
      <c r="TMG1" s="677"/>
      <c r="TMH1" s="677"/>
      <c r="TMI1" s="677"/>
      <c r="TMJ1" s="677"/>
      <c r="TMK1" s="677"/>
      <c r="TML1" s="677"/>
      <c r="TMM1" s="677"/>
      <c r="TMN1" s="677"/>
      <c r="TMO1" s="677"/>
      <c r="TMP1" s="677"/>
      <c r="TMQ1" s="677"/>
      <c r="TMR1" s="677"/>
      <c r="TMS1" s="677"/>
      <c r="TMT1" s="677"/>
      <c r="TMU1" s="677"/>
      <c r="TMV1" s="677"/>
      <c r="TMW1" s="677"/>
      <c r="TMX1" s="677"/>
      <c r="TMY1" s="677"/>
      <c r="TMZ1" s="677"/>
      <c r="TNA1" s="677"/>
      <c r="TNB1" s="677"/>
      <c r="TNC1" s="677"/>
      <c r="TND1" s="677"/>
      <c r="TNE1" s="677"/>
      <c r="TNF1" s="677"/>
      <c r="TNG1" s="677"/>
      <c r="TNH1" s="677"/>
      <c r="TNI1" s="677"/>
      <c r="TNJ1" s="677"/>
      <c r="TNK1" s="677"/>
      <c r="TNL1" s="677"/>
      <c r="TNM1" s="677"/>
      <c r="TNN1" s="677"/>
      <c r="TNO1" s="677"/>
      <c r="TNP1" s="677"/>
      <c r="TNQ1" s="677"/>
      <c r="TNR1" s="677"/>
      <c r="TNS1" s="677"/>
      <c r="TNT1" s="677"/>
      <c r="TNU1" s="677"/>
      <c r="TNV1" s="677"/>
      <c r="TNW1" s="677"/>
      <c r="TNX1" s="677"/>
      <c r="TNY1" s="677"/>
      <c r="TNZ1" s="677"/>
      <c r="TOA1" s="677"/>
      <c r="TOB1" s="677"/>
      <c r="TOC1" s="677"/>
      <c r="TOD1" s="677"/>
      <c r="TOE1" s="677"/>
      <c r="TOF1" s="677"/>
      <c r="TOG1" s="677"/>
      <c r="TOH1" s="677"/>
      <c r="TOI1" s="677"/>
      <c r="TOJ1" s="677"/>
      <c r="TOK1" s="677"/>
      <c r="TOL1" s="677"/>
      <c r="TOM1" s="677"/>
      <c r="TON1" s="677"/>
      <c r="TOO1" s="677"/>
      <c r="TOP1" s="677"/>
      <c r="TOQ1" s="677"/>
      <c r="TOR1" s="677"/>
      <c r="TOS1" s="677"/>
      <c r="TOT1" s="677"/>
      <c r="TOU1" s="677"/>
      <c r="TOV1" s="677"/>
      <c r="TOW1" s="677"/>
      <c r="TOX1" s="677"/>
      <c r="TOY1" s="677"/>
      <c r="TOZ1" s="677"/>
      <c r="TPA1" s="677"/>
      <c r="TPB1" s="677"/>
      <c r="TPC1" s="677"/>
      <c r="TPD1" s="677"/>
      <c r="TPE1" s="677"/>
      <c r="TPF1" s="677"/>
      <c r="TPG1" s="677"/>
      <c r="TPH1" s="677"/>
      <c r="TPI1" s="677"/>
      <c r="TPJ1" s="677"/>
      <c r="TPK1" s="677"/>
      <c r="TPL1" s="677"/>
      <c r="TPM1" s="677"/>
      <c r="TPN1" s="677"/>
      <c r="TPO1" s="677"/>
      <c r="TPP1" s="677"/>
      <c r="TPQ1" s="677"/>
      <c r="TPR1" s="677"/>
      <c r="TPS1" s="677"/>
      <c r="TPT1" s="677"/>
      <c r="TPU1" s="677"/>
      <c r="TPV1" s="677"/>
      <c r="TPW1" s="677"/>
      <c r="TPX1" s="677"/>
      <c r="TPY1" s="677"/>
      <c r="TPZ1" s="677"/>
      <c r="TQA1" s="677"/>
      <c r="TQB1" s="677"/>
      <c r="TQC1" s="677"/>
      <c r="TQD1" s="677"/>
      <c r="TQE1" s="677"/>
      <c r="TQF1" s="677"/>
      <c r="TQG1" s="677"/>
      <c r="TQH1" s="677"/>
      <c r="TQI1" s="677"/>
      <c r="TQJ1" s="677"/>
      <c r="TQK1" s="677"/>
      <c r="TQL1" s="677"/>
      <c r="TQM1" s="677"/>
      <c r="TQN1" s="677"/>
      <c r="TQO1" s="677"/>
      <c r="TQP1" s="677"/>
      <c r="TQQ1" s="677"/>
      <c r="TQR1" s="677"/>
      <c r="TQS1" s="677"/>
      <c r="TQT1" s="677"/>
      <c r="TQU1" s="677"/>
      <c r="TQV1" s="677"/>
      <c r="TQW1" s="677"/>
      <c r="TQX1" s="677"/>
      <c r="TQY1" s="677"/>
      <c r="TQZ1" s="677"/>
      <c r="TRA1" s="677"/>
      <c r="TRB1" s="677"/>
      <c r="TRC1" s="677"/>
      <c r="TRD1" s="677"/>
      <c r="TRE1" s="677"/>
      <c r="TRF1" s="677"/>
      <c r="TRG1" s="677"/>
      <c r="TRH1" s="677"/>
      <c r="TRI1" s="677"/>
      <c r="TRJ1" s="677"/>
      <c r="TRK1" s="677"/>
      <c r="TRL1" s="677"/>
      <c r="TRM1" s="677"/>
      <c r="TRN1" s="677"/>
      <c r="TRO1" s="677"/>
      <c r="TRP1" s="677"/>
      <c r="TRQ1" s="677"/>
      <c r="TRR1" s="677"/>
      <c r="TRS1" s="677"/>
      <c r="TRT1" s="677"/>
      <c r="TRU1" s="677"/>
      <c r="TRV1" s="677"/>
      <c r="TRW1" s="677"/>
      <c r="TRX1" s="677"/>
      <c r="TRY1" s="677"/>
      <c r="TRZ1" s="677"/>
      <c r="TSA1" s="677"/>
      <c r="TSB1" s="677"/>
      <c r="TSC1" s="677"/>
      <c r="TSD1" s="677"/>
      <c r="TSE1" s="677"/>
      <c r="TSF1" s="677"/>
      <c r="TSG1" s="677"/>
      <c r="TSH1" s="677"/>
      <c r="TSI1" s="677"/>
      <c r="TSJ1" s="677"/>
      <c r="TSK1" s="677"/>
      <c r="TSL1" s="677"/>
      <c r="TSM1" s="677"/>
      <c r="TSN1" s="677"/>
      <c r="TSO1" s="677"/>
      <c r="TSP1" s="677"/>
      <c r="TSQ1" s="677"/>
      <c r="TSR1" s="677"/>
      <c r="TSS1" s="677"/>
      <c r="TST1" s="677"/>
      <c r="TSU1" s="677"/>
      <c r="TSV1" s="677"/>
      <c r="TSW1" s="677"/>
      <c r="TSX1" s="677"/>
      <c r="TSY1" s="677"/>
      <c r="TSZ1" s="677"/>
      <c r="TTA1" s="677"/>
      <c r="TTB1" s="677"/>
      <c r="TTC1" s="677"/>
      <c r="TTD1" s="677"/>
      <c r="TTE1" s="677"/>
      <c r="TTF1" s="677"/>
      <c r="TTG1" s="677"/>
      <c r="TTH1" s="677"/>
      <c r="TTI1" s="677"/>
      <c r="TTJ1" s="677"/>
      <c r="TTK1" s="677"/>
      <c r="TTL1" s="677"/>
      <c r="TTM1" s="677"/>
      <c r="TTN1" s="677"/>
      <c r="TTO1" s="677"/>
      <c r="TTP1" s="677"/>
      <c r="TTQ1" s="677"/>
      <c r="TTR1" s="677"/>
      <c r="TTS1" s="677"/>
      <c r="TTT1" s="677"/>
      <c r="TTU1" s="677"/>
      <c r="TTV1" s="677"/>
      <c r="TTW1" s="677"/>
      <c r="TTX1" s="677"/>
      <c r="TTY1" s="677"/>
      <c r="TTZ1" s="677"/>
      <c r="TUA1" s="677"/>
      <c r="TUB1" s="677"/>
      <c r="TUC1" s="677"/>
      <c r="TUD1" s="677"/>
      <c r="TUE1" s="677"/>
      <c r="TUF1" s="677"/>
      <c r="TUG1" s="677"/>
      <c r="TUH1" s="677"/>
      <c r="TUI1" s="677"/>
      <c r="TUJ1" s="677"/>
      <c r="TUK1" s="677"/>
      <c r="TUL1" s="677"/>
      <c r="TUM1" s="677"/>
      <c r="TUN1" s="677"/>
      <c r="TUO1" s="677"/>
      <c r="TUP1" s="677"/>
      <c r="TUQ1" s="677"/>
      <c r="TUR1" s="677"/>
      <c r="TUS1" s="677"/>
      <c r="TUT1" s="677"/>
      <c r="TUU1" s="677"/>
      <c r="TUV1" s="677"/>
      <c r="TUW1" s="677"/>
      <c r="TUX1" s="677"/>
      <c r="TUY1" s="677"/>
      <c r="TUZ1" s="677"/>
      <c r="TVA1" s="677"/>
      <c r="TVB1" s="677"/>
      <c r="TVC1" s="677"/>
      <c r="TVD1" s="677"/>
      <c r="TVE1" s="677"/>
      <c r="TVF1" s="677"/>
      <c r="TVG1" s="677"/>
      <c r="TVH1" s="677"/>
      <c r="TVI1" s="677"/>
      <c r="TVJ1" s="677"/>
      <c r="TVK1" s="677"/>
      <c r="TVL1" s="677"/>
      <c r="TVM1" s="677"/>
      <c r="TVN1" s="677"/>
      <c r="TVO1" s="677"/>
      <c r="TVP1" s="677"/>
      <c r="TVQ1" s="677"/>
      <c r="TVR1" s="677"/>
      <c r="TVS1" s="677"/>
      <c r="TVT1" s="677"/>
      <c r="TVU1" s="677"/>
      <c r="TVV1" s="677"/>
      <c r="TVW1" s="677"/>
      <c r="TVX1" s="677"/>
      <c r="TVY1" s="677"/>
      <c r="TVZ1" s="677"/>
      <c r="TWA1" s="677"/>
      <c r="TWB1" s="677"/>
      <c r="TWC1" s="677"/>
      <c r="TWD1" s="677"/>
      <c r="TWE1" s="677"/>
      <c r="TWF1" s="677"/>
      <c r="TWG1" s="677"/>
      <c r="TWH1" s="677"/>
      <c r="TWI1" s="677"/>
      <c r="TWJ1" s="677"/>
      <c r="TWK1" s="677"/>
      <c r="TWL1" s="677"/>
      <c r="TWM1" s="677"/>
      <c r="TWN1" s="677"/>
      <c r="TWO1" s="677"/>
      <c r="TWP1" s="677"/>
      <c r="TWQ1" s="677"/>
      <c r="TWR1" s="677"/>
      <c r="TWS1" s="677"/>
      <c r="TWT1" s="677"/>
      <c r="TWU1" s="677"/>
      <c r="TWV1" s="677"/>
      <c r="TWW1" s="677"/>
      <c r="TWX1" s="677"/>
      <c r="TWY1" s="677"/>
      <c r="TWZ1" s="677"/>
      <c r="TXA1" s="677"/>
      <c r="TXB1" s="677"/>
      <c r="TXC1" s="677"/>
      <c r="TXD1" s="677"/>
      <c r="TXE1" s="677"/>
      <c r="TXF1" s="677"/>
      <c r="TXG1" s="677"/>
      <c r="TXH1" s="677"/>
      <c r="TXI1" s="677"/>
      <c r="TXJ1" s="677"/>
      <c r="TXK1" s="677"/>
      <c r="TXL1" s="677"/>
      <c r="TXM1" s="677"/>
      <c r="TXN1" s="677"/>
      <c r="TXO1" s="677"/>
      <c r="TXP1" s="677"/>
      <c r="TXQ1" s="677"/>
      <c r="TXR1" s="677"/>
      <c r="TXS1" s="677"/>
      <c r="TXT1" s="677"/>
      <c r="TXU1" s="677"/>
      <c r="TXV1" s="677"/>
      <c r="TXW1" s="677"/>
      <c r="TXX1" s="677"/>
      <c r="TXY1" s="677"/>
      <c r="TXZ1" s="677"/>
      <c r="TYA1" s="677"/>
      <c r="TYB1" s="677"/>
      <c r="TYC1" s="677"/>
      <c r="TYD1" s="677"/>
      <c r="TYE1" s="677"/>
      <c r="TYF1" s="677"/>
      <c r="TYG1" s="677"/>
      <c r="TYH1" s="677"/>
      <c r="TYI1" s="677"/>
      <c r="TYJ1" s="677"/>
      <c r="TYK1" s="677"/>
      <c r="TYL1" s="677"/>
      <c r="TYM1" s="677"/>
      <c r="TYN1" s="677"/>
      <c r="TYO1" s="677"/>
      <c r="TYP1" s="677"/>
      <c r="TYQ1" s="677"/>
      <c r="TYR1" s="677"/>
      <c r="TYS1" s="677"/>
      <c r="TYT1" s="677"/>
      <c r="TYU1" s="677"/>
      <c r="TYV1" s="677"/>
      <c r="TYW1" s="677"/>
      <c r="TYX1" s="677"/>
      <c r="TYY1" s="677"/>
      <c r="TYZ1" s="677"/>
      <c r="TZA1" s="677"/>
      <c r="TZB1" s="677"/>
      <c r="TZC1" s="677"/>
      <c r="TZD1" s="677"/>
      <c r="TZE1" s="677"/>
      <c r="TZF1" s="677"/>
      <c r="TZG1" s="677"/>
      <c r="TZH1" s="677"/>
      <c r="TZI1" s="677"/>
      <c r="TZJ1" s="677"/>
      <c r="TZK1" s="677"/>
      <c r="TZL1" s="677"/>
      <c r="TZM1" s="677"/>
      <c r="TZN1" s="677"/>
      <c r="TZO1" s="677"/>
      <c r="TZP1" s="677"/>
      <c r="TZQ1" s="677"/>
      <c r="TZR1" s="677"/>
      <c r="TZS1" s="677"/>
      <c r="TZT1" s="677"/>
      <c r="TZU1" s="677"/>
      <c r="TZV1" s="677"/>
      <c r="TZW1" s="677"/>
      <c r="TZX1" s="677"/>
      <c r="TZY1" s="677"/>
      <c r="TZZ1" s="677"/>
      <c r="UAA1" s="677"/>
      <c r="UAB1" s="677"/>
      <c r="UAC1" s="677"/>
      <c r="UAD1" s="677"/>
      <c r="UAE1" s="677"/>
      <c r="UAF1" s="677"/>
      <c r="UAG1" s="677"/>
      <c r="UAH1" s="677"/>
      <c r="UAI1" s="677"/>
      <c r="UAJ1" s="677"/>
      <c r="UAK1" s="677"/>
      <c r="UAL1" s="677"/>
      <c r="UAM1" s="677"/>
      <c r="UAN1" s="677"/>
      <c r="UAO1" s="677"/>
      <c r="UAP1" s="677"/>
      <c r="UAQ1" s="677"/>
      <c r="UAR1" s="677"/>
      <c r="UAS1" s="677"/>
      <c r="UAT1" s="677"/>
      <c r="UAU1" s="677"/>
      <c r="UAV1" s="677"/>
      <c r="UAW1" s="677"/>
      <c r="UAX1" s="677"/>
      <c r="UAY1" s="677"/>
      <c r="UAZ1" s="677"/>
      <c r="UBA1" s="677"/>
      <c r="UBB1" s="677"/>
      <c r="UBC1" s="677"/>
      <c r="UBD1" s="677"/>
      <c r="UBE1" s="677"/>
      <c r="UBF1" s="677"/>
      <c r="UBG1" s="677"/>
      <c r="UBH1" s="677"/>
      <c r="UBI1" s="677"/>
      <c r="UBJ1" s="677"/>
      <c r="UBK1" s="677"/>
      <c r="UBL1" s="677"/>
      <c r="UBM1" s="677"/>
      <c r="UBN1" s="677"/>
      <c r="UBO1" s="677"/>
      <c r="UBP1" s="677"/>
      <c r="UBQ1" s="677"/>
      <c r="UBR1" s="677"/>
      <c r="UBS1" s="677"/>
      <c r="UBT1" s="677"/>
      <c r="UBU1" s="677"/>
      <c r="UBV1" s="677"/>
      <c r="UBW1" s="677"/>
      <c r="UBX1" s="677"/>
      <c r="UBY1" s="677"/>
      <c r="UBZ1" s="677"/>
      <c r="UCA1" s="677"/>
      <c r="UCB1" s="677"/>
      <c r="UCC1" s="677"/>
      <c r="UCD1" s="677"/>
      <c r="UCE1" s="677"/>
      <c r="UCF1" s="677"/>
      <c r="UCG1" s="677"/>
      <c r="UCH1" s="677"/>
      <c r="UCI1" s="677"/>
      <c r="UCJ1" s="677"/>
      <c r="UCK1" s="677"/>
      <c r="UCL1" s="677"/>
      <c r="UCM1" s="677"/>
      <c r="UCN1" s="677"/>
      <c r="UCO1" s="677"/>
      <c r="UCP1" s="677"/>
      <c r="UCQ1" s="677"/>
      <c r="UCR1" s="677"/>
      <c r="UCS1" s="677"/>
      <c r="UCT1" s="677"/>
      <c r="UCU1" s="677"/>
      <c r="UCV1" s="677"/>
      <c r="UCW1" s="677"/>
      <c r="UCX1" s="677"/>
      <c r="UCY1" s="677"/>
      <c r="UCZ1" s="677"/>
      <c r="UDA1" s="677"/>
      <c r="UDB1" s="677"/>
      <c r="UDC1" s="677"/>
      <c r="UDD1" s="677"/>
      <c r="UDE1" s="677"/>
      <c r="UDF1" s="677"/>
      <c r="UDG1" s="677"/>
      <c r="UDH1" s="677"/>
      <c r="UDI1" s="677"/>
      <c r="UDJ1" s="677"/>
      <c r="UDK1" s="677"/>
      <c r="UDL1" s="677"/>
      <c r="UDM1" s="677"/>
      <c r="UDN1" s="677"/>
      <c r="UDO1" s="677"/>
      <c r="UDP1" s="677"/>
      <c r="UDQ1" s="677"/>
      <c r="UDR1" s="677"/>
      <c r="UDS1" s="677"/>
      <c r="UDT1" s="677"/>
      <c r="UDU1" s="677"/>
      <c r="UDV1" s="677"/>
      <c r="UDW1" s="677"/>
      <c r="UDX1" s="677"/>
      <c r="UDY1" s="677"/>
      <c r="UDZ1" s="677"/>
      <c r="UEA1" s="677"/>
      <c r="UEB1" s="677"/>
      <c r="UEC1" s="677"/>
      <c r="UED1" s="677"/>
      <c r="UEE1" s="677"/>
      <c r="UEF1" s="677"/>
      <c r="UEG1" s="677"/>
      <c r="UEH1" s="677"/>
      <c r="UEI1" s="677"/>
      <c r="UEJ1" s="677"/>
      <c r="UEK1" s="677"/>
      <c r="UEL1" s="677"/>
      <c r="UEM1" s="677"/>
      <c r="UEN1" s="677"/>
      <c r="UEO1" s="677"/>
      <c r="UEP1" s="677"/>
      <c r="UEQ1" s="677"/>
      <c r="UER1" s="677"/>
      <c r="UES1" s="677"/>
      <c r="UET1" s="677"/>
      <c r="UEU1" s="677"/>
      <c r="UEV1" s="677"/>
      <c r="UEW1" s="677"/>
      <c r="UEX1" s="677"/>
      <c r="UEY1" s="677"/>
      <c r="UEZ1" s="677"/>
      <c r="UFA1" s="677"/>
      <c r="UFB1" s="677"/>
      <c r="UFC1" s="677"/>
      <c r="UFD1" s="677"/>
      <c r="UFE1" s="677"/>
      <c r="UFF1" s="677"/>
      <c r="UFG1" s="677"/>
      <c r="UFH1" s="677"/>
      <c r="UFI1" s="677"/>
      <c r="UFJ1" s="677"/>
      <c r="UFK1" s="677"/>
      <c r="UFL1" s="677"/>
      <c r="UFM1" s="677"/>
      <c r="UFN1" s="677"/>
      <c r="UFO1" s="677"/>
      <c r="UFP1" s="677"/>
      <c r="UFQ1" s="677"/>
      <c r="UFR1" s="677"/>
      <c r="UFS1" s="677"/>
      <c r="UFT1" s="677"/>
      <c r="UFU1" s="677"/>
      <c r="UFV1" s="677"/>
      <c r="UFW1" s="677"/>
      <c r="UFX1" s="677"/>
      <c r="UFY1" s="677"/>
      <c r="UFZ1" s="677"/>
      <c r="UGA1" s="677"/>
      <c r="UGB1" s="677"/>
      <c r="UGC1" s="677"/>
      <c r="UGD1" s="677"/>
      <c r="UGE1" s="677"/>
      <c r="UGF1" s="677"/>
      <c r="UGG1" s="677"/>
      <c r="UGH1" s="677"/>
      <c r="UGI1" s="677"/>
      <c r="UGJ1" s="677"/>
      <c r="UGK1" s="677"/>
      <c r="UGL1" s="677"/>
      <c r="UGM1" s="677"/>
      <c r="UGN1" s="677"/>
      <c r="UGO1" s="677"/>
      <c r="UGP1" s="677"/>
      <c r="UGQ1" s="677"/>
      <c r="UGR1" s="677"/>
      <c r="UGS1" s="677"/>
      <c r="UGT1" s="677"/>
      <c r="UGU1" s="677"/>
      <c r="UGV1" s="677"/>
      <c r="UGW1" s="677"/>
      <c r="UGX1" s="677"/>
      <c r="UGY1" s="677"/>
      <c r="UGZ1" s="677"/>
      <c r="UHA1" s="677"/>
      <c r="UHB1" s="677"/>
      <c r="UHC1" s="677"/>
      <c r="UHD1" s="677"/>
      <c r="UHE1" s="677"/>
      <c r="UHF1" s="677"/>
      <c r="UHG1" s="677"/>
      <c r="UHH1" s="677"/>
      <c r="UHI1" s="677"/>
      <c r="UHJ1" s="677"/>
      <c r="UHK1" s="677"/>
      <c r="UHL1" s="677"/>
      <c r="UHM1" s="677"/>
      <c r="UHN1" s="677"/>
      <c r="UHO1" s="677"/>
      <c r="UHP1" s="677"/>
      <c r="UHQ1" s="677"/>
      <c r="UHR1" s="677"/>
      <c r="UHS1" s="677"/>
      <c r="UHT1" s="677"/>
      <c r="UHU1" s="677"/>
      <c r="UHV1" s="677"/>
      <c r="UHW1" s="677"/>
      <c r="UHX1" s="677"/>
      <c r="UHY1" s="677"/>
      <c r="UHZ1" s="677"/>
      <c r="UIA1" s="677"/>
      <c r="UIB1" s="677"/>
      <c r="UIC1" s="677"/>
      <c r="UID1" s="677"/>
      <c r="UIE1" s="677"/>
      <c r="UIF1" s="677"/>
      <c r="UIG1" s="677"/>
      <c r="UIH1" s="677"/>
      <c r="UII1" s="677"/>
      <c r="UIJ1" s="677"/>
      <c r="UIK1" s="677"/>
      <c r="UIL1" s="677"/>
      <c r="UIM1" s="677"/>
      <c r="UIN1" s="677"/>
      <c r="UIO1" s="677"/>
      <c r="UIP1" s="677"/>
      <c r="UIQ1" s="677"/>
      <c r="UIR1" s="677"/>
      <c r="UIS1" s="677"/>
      <c r="UIT1" s="677"/>
      <c r="UIU1" s="677"/>
      <c r="UIV1" s="677"/>
      <c r="UIW1" s="677"/>
      <c r="UIX1" s="677"/>
      <c r="UIY1" s="677"/>
      <c r="UIZ1" s="677"/>
      <c r="UJA1" s="677"/>
      <c r="UJB1" s="677"/>
      <c r="UJC1" s="677"/>
      <c r="UJD1" s="677"/>
      <c r="UJE1" s="677"/>
      <c r="UJF1" s="677"/>
      <c r="UJG1" s="677"/>
      <c r="UJH1" s="677"/>
      <c r="UJI1" s="677"/>
      <c r="UJJ1" s="677"/>
      <c r="UJK1" s="677"/>
      <c r="UJL1" s="677"/>
      <c r="UJM1" s="677"/>
      <c r="UJN1" s="677"/>
      <c r="UJO1" s="677"/>
      <c r="UJP1" s="677"/>
      <c r="UJQ1" s="677"/>
      <c r="UJR1" s="677"/>
      <c r="UJS1" s="677"/>
      <c r="UJT1" s="677"/>
      <c r="UJU1" s="677"/>
      <c r="UJV1" s="677"/>
      <c r="UJW1" s="677"/>
      <c r="UJX1" s="677"/>
      <c r="UJY1" s="677"/>
      <c r="UJZ1" s="677"/>
      <c r="UKA1" s="677"/>
      <c r="UKB1" s="677"/>
      <c r="UKC1" s="677"/>
      <c r="UKD1" s="677"/>
      <c r="UKE1" s="677"/>
      <c r="UKF1" s="677"/>
      <c r="UKG1" s="677"/>
      <c r="UKH1" s="677"/>
      <c r="UKI1" s="677"/>
      <c r="UKJ1" s="677"/>
      <c r="UKK1" s="677"/>
      <c r="UKL1" s="677"/>
      <c r="UKM1" s="677"/>
      <c r="UKN1" s="677"/>
      <c r="UKO1" s="677"/>
      <c r="UKP1" s="677"/>
      <c r="UKQ1" s="677"/>
      <c r="UKR1" s="677"/>
      <c r="UKS1" s="677"/>
      <c r="UKT1" s="677"/>
      <c r="UKU1" s="677"/>
      <c r="UKV1" s="677"/>
      <c r="UKW1" s="677"/>
      <c r="UKX1" s="677"/>
      <c r="UKY1" s="677"/>
      <c r="UKZ1" s="677"/>
      <c r="ULA1" s="677"/>
      <c r="ULB1" s="677"/>
      <c r="ULC1" s="677"/>
      <c r="ULD1" s="677"/>
      <c r="ULE1" s="677"/>
      <c r="ULF1" s="677"/>
      <c r="ULG1" s="677"/>
      <c r="ULH1" s="677"/>
      <c r="ULI1" s="677"/>
      <c r="ULJ1" s="677"/>
      <c r="ULK1" s="677"/>
      <c r="ULL1" s="677"/>
      <c r="ULM1" s="677"/>
      <c r="ULN1" s="677"/>
      <c r="ULO1" s="677"/>
      <c r="ULP1" s="677"/>
      <c r="ULQ1" s="677"/>
      <c r="ULR1" s="677"/>
      <c r="ULS1" s="677"/>
      <c r="ULT1" s="677"/>
      <c r="ULU1" s="677"/>
      <c r="ULV1" s="677"/>
      <c r="ULW1" s="677"/>
      <c r="ULX1" s="677"/>
      <c r="ULY1" s="677"/>
      <c r="ULZ1" s="677"/>
      <c r="UMA1" s="677"/>
      <c r="UMB1" s="677"/>
      <c r="UMC1" s="677"/>
      <c r="UMD1" s="677"/>
      <c r="UME1" s="677"/>
      <c r="UMF1" s="677"/>
      <c r="UMG1" s="677"/>
      <c r="UMH1" s="677"/>
      <c r="UMI1" s="677"/>
      <c r="UMJ1" s="677"/>
      <c r="UMK1" s="677"/>
      <c r="UML1" s="677"/>
      <c r="UMM1" s="677"/>
      <c r="UMN1" s="677"/>
      <c r="UMO1" s="677"/>
      <c r="UMP1" s="677"/>
      <c r="UMQ1" s="677"/>
      <c r="UMR1" s="677"/>
      <c r="UMS1" s="677"/>
      <c r="UMT1" s="677"/>
      <c r="UMU1" s="677"/>
      <c r="UMV1" s="677"/>
      <c r="UMW1" s="677"/>
      <c r="UMX1" s="677"/>
      <c r="UMY1" s="677"/>
      <c r="UMZ1" s="677"/>
      <c r="UNA1" s="677"/>
      <c r="UNB1" s="677"/>
      <c r="UNC1" s="677"/>
      <c r="UND1" s="677"/>
      <c r="UNE1" s="677"/>
      <c r="UNF1" s="677"/>
      <c r="UNG1" s="677"/>
      <c r="UNH1" s="677"/>
      <c r="UNI1" s="677"/>
      <c r="UNJ1" s="677"/>
      <c r="UNK1" s="677"/>
      <c r="UNL1" s="677"/>
      <c r="UNM1" s="677"/>
      <c r="UNN1" s="677"/>
      <c r="UNO1" s="677"/>
      <c r="UNP1" s="677"/>
      <c r="UNQ1" s="677"/>
      <c r="UNR1" s="677"/>
      <c r="UNS1" s="677"/>
      <c r="UNT1" s="677"/>
      <c r="UNU1" s="677"/>
      <c r="UNV1" s="677"/>
      <c r="UNW1" s="677"/>
      <c r="UNX1" s="677"/>
      <c r="UNY1" s="677"/>
      <c r="UNZ1" s="677"/>
      <c r="UOA1" s="677"/>
      <c r="UOB1" s="677"/>
      <c r="UOC1" s="677"/>
      <c r="UOD1" s="677"/>
      <c r="UOE1" s="677"/>
      <c r="UOF1" s="677"/>
      <c r="UOG1" s="677"/>
      <c r="UOH1" s="677"/>
      <c r="UOI1" s="677"/>
      <c r="UOJ1" s="677"/>
      <c r="UOK1" s="677"/>
      <c r="UOL1" s="677"/>
      <c r="UOM1" s="677"/>
      <c r="UON1" s="677"/>
      <c r="UOO1" s="677"/>
      <c r="UOP1" s="677"/>
      <c r="UOQ1" s="677"/>
      <c r="UOR1" s="677"/>
      <c r="UOS1" s="677"/>
      <c r="UOT1" s="677"/>
      <c r="UOU1" s="677"/>
      <c r="UOV1" s="677"/>
      <c r="UOW1" s="677"/>
      <c r="UOX1" s="677"/>
      <c r="UOY1" s="677"/>
      <c r="UOZ1" s="677"/>
      <c r="UPA1" s="677"/>
      <c r="UPB1" s="677"/>
      <c r="UPC1" s="677"/>
      <c r="UPD1" s="677"/>
      <c r="UPE1" s="677"/>
      <c r="UPF1" s="677"/>
      <c r="UPG1" s="677"/>
      <c r="UPH1" s="677"/>
      <c r="UPI1" s="677"/>
      <c r="UPJ1" s="677"/>
      <c r="UPK1" s="677"/>
      <c r="UPL1" s="677"/>
      <c r="UPM1" s="677"/>
      <c r="UPN1" s="677"/>
      <c r="UPO1" s="677"/>
      <c r="UPP1" s="677"/>
      <c r="UPQ1" s="677"/>
      <c r="UPR1" s="677"/>
      <c r="UPS1" s="677"/>
      <c r="UPT1" s="677"/>
      <c r="UPU1" s="677"/>
      <c r="UPV1" s="677"/>
      <c r="UPW1" s="677"/>
      <c r="UPX1" s="677"/>
      <c r="UPY1" s="677"/>
      <c r="UPZ1" s="677"/>
      <c r="UQA1" s="677"/>
      <c r="UQB1" s="677"/>
      <c r="UQC1" s="677"/>
      <c r="UQD1" s="677"/>
      <c r="UQE1" s="677"/>
      <c r="UQF1" s="677"/>
      <c r="UQG1" s="677"/>
      <c r="UQH1" s="677"/>
      <c r="UQI1" s="677"/>
      <c r="UQJ1" s="677"/>
      <c r="UQK1" s="677"/>
      <c r="UQL1" s="677"/>
      <c r="UQM1" s="677"/>
      <c r="UQN1" s="677"/>
      <c r="UQO1" s="677"/>
      <c r="UQP1" s="677"/>
      <c r="UQQ1" s="677"/>
      <c r="UQR1" s="677"/>
      <c r="UQS1" s="677"/>
      <c r="UQT1" s="677"/>
      <c r="UQU1" s="677"/>
      <c r="UQV1" s="677"/>
      <c r="UQW1" s="677"/>
      <c r="UQX1" s="677"/>
      <c r="UQY1" s="677"/>
      <c r="UQZ1" s="677"/>
      <c r="URA1" s="677"/>
      <c r="URB1" s="677"/>
      <c r="URC1" s="677"/>
      <c r="URD1" s="677"/>
      <c r="URE1" s="677"/>
      <c r="URF1" s="677"/>
      <c r="URG1" s="677"/>
      <c r="URH1" s="677"/>
      <c r="URI1" s="677"/>
      <c r="URJ1" s="677"/>
      <c r="URK1" s="677"/>
      <c r="URL1" s="677"/>
      <c r="URM1" s="677"/>
      <c r="URN1" s="677"/>
      <c r="URO1" s="677"/>
      <c r="URP1" s="677"/>
      <c r="URQ1" s="677"/>
      <c r="URR1" s="677"/>
      <c r="URS1" s="677"/>
      <c r="URT1" s="677"/>
      <c r="URU1" s="677"/>
      <c r="URV1" s="677"/>
      <c r="URW1" s="677"/>
      <c r="URX1" s="677"/>
      <c r="URY1" s="677"/>
      <c r="URZ1" s="677"/>
      <c r="USA1" s="677"/>
      <c r="USB1" s="677"/>
      <c r="USC1" s="677"/>
      <c r="USD1" s="677"/>
      <c r="USE1" s="677"/>
      <c r="USF1" s="677"/>
      <c r="USG1" s="677"/>
      <c r="USH1" s="677"/>
      <c r="USI1" s="677"/>
      <c r="USJ1" s="677"/>
      <c r="USK1" s="677"/>
      <c r="USL1" s="677"/>
      <c r="USM1" s="677"/>
      <c r="USN1" s="677"/>
      <c r="USO1" s="677"/>
      <c r="USP1" s="677"/>
      <c r="USQ1" s="677"/>
      <c r="USR1" s="677"/>
      <c r="USS1" s="677"/>
      <c r="UST1" s="677"/>
      <c r="USU1" s="677"/>
      <c r="USV1" s="677"/>
      <c r="USW1" s="677"/>
      <c r="USX1" s="677"/>
      <c r="USY1" s="677"/>
      <c r="USZ1" s="677"/>
      <c r="UTA1" s="677"/>
      <c r="UTB1" s="677"/>
      <c r="UTC1" s="677"/>
      <c r="UTD1" s="677"/>
      <c r="UTE1" s="677"/>
      <c r="UTF1" s="677"/>
      <c r="UTG1" s="677"/>
      <c r="UTH1" s="677"/>
      <c r="UTI1" s="677"/>
      <c r="UTJ1" s="677"/>
      <c r="UTK1" s="677"/>
      <c r="UTL1" s="677"/>
      <c r="UTM1" s="677"/>
      <c r="UTN1" s="677"/>
      <c r="UTO1" s="677"/>
      <c r="UTP1" s="677"/>
      <c r="UTQ1" s="677"/>
      <c r="UTR1" s="677"/>
      <c r="UTS1" s="677"/>
      <c r="UTT1" s="677"/>
      <c r="UTU1" s="677"/>
      <c r="UTV1" s="677"/>
      <c r="UTW1" s="677"/>
      <c r="UTX1" s="677"/>
      <c r="UTY1" s="677"/>
      <c r="UTZ1" s="677"/>
      <c r="UUA1" s="677"/>
      <c r="UUB1" s="677"/>
      <c r="UUC1" s="677"/>
      <c r="UUD1" s="677"/>
      <c r="UUE1" s="677"/>
      <c r="UUF1" s="677"/>
      <c r="UUG1" s="677"/>
      <c r="UUH1" s="677"/>
      <c r="UUI1" s="677"/>
      <c r="UUJ1" s="677"/>
      <c r="UUK1" s="677"/>
      <c r="UUL1" s="677"/>
      <c r="UUM1" s="677"/>
      <c r="UUN1" s="677"/>
      <c r="UUO1" s="677"/>
      <c r="UUP1" s="677"/>
      <c r="UUQ1" s="677"/>
      <c r="UUR1" s="677"/>
      <c r="UUS1" s="677"/>
      <c r="UUT1" s="677"/>
      <c r="UUU1" s="677"/>
      <c r="UUV1" s="677"/>
      <c r="UUW1" s="677"/>
      <c r="UUX1" s="677"/>
      <c r="UUY1" s="677"/>
      <c r="UUZ1" s="677"/>
      <c r="UVA1" s="677"/>
      <c r="UVB1" s="677"/>
      <c r="UVC1" s="677"/>
      <c r="UVD1" s="677"/>
      <c r="UVE1" s="677"/>
      <c r="UVF1" s="677"/>
      <c r="UVG1" s="677"/>
      <c r="UVH1" s="677"/>
      <c r="UVI1" s="677"/>
      <c r="UVJ1" s="677"/>
      <c r="UVK1" s="677"/>
      <c r="UVL1" s="677"/>
      <c r="UVM1" s="677"/>
      <c r="UVN1" s="677"/>
      <c r="UVO1" s="677"/>
      <c r="UVP1" s="677"/>
      <c r="UVQ1" s="677"/>
      <c r="UVR1" s="677"/>
      <c r="UVS1" s="677"/>
      <c r="UVT1" s="677"/>
      <c r="UVU1" s="677"/>
      <c r="UVV1" s="677"/>
      <c r="UVW1" s="677"/>
      <c r="UVX1" s="677"/>
      <c r="UVY1" s="677"/>
      <c r="UVZ1" s="677"/>
      <c r="UWA1" s="677"/>
      <c r="UWB1" s="677"/>
      <c r="UWC1" s="677"/>
      <c r="UWD1" s="677"/>
      <c r="UWE1" s="677"/>
      <c r="UWF1" s="677"/>
      <c r="UWG1" s="677"/>
      <c r="UWH1" s="677"/>
      <c r="UWI1" s="677"/>
      <c r="UWJ1" s="677"/>
      <c r="UWK1" s="677"/>
      <c r="UWL1" s="677"/>
      <c r="UWM1" s="677"/>
      <c r="UWN1" s="677"/>
      <c r="UWO1" s="677"/>
      <c r="UWP1" s="677"/>
      <c r="UWQ1" s="677"/>
      <c r="UWR1" s="677"/>
      <c r="UWS1" s="677"/>
      <c r="UWT1" s="677"/>
      <c r="UWU1" s="677"/>
      <c r="UWV1" s="677"/>
      <c r="UWW1" s="677"/>
      <c r="UWX1" s="677"/>
      <c r="UWY1" s="677"/>
      <c r="UWZ1" s="677"/>
      <c r="UXA1" s="677"/>
      <c r="UXB1" s="677"/>
      <c r="UXC1" s="677"/>
      <c r="UXD1" s="677"/>
      <c r="UXE1" s="677"/>
      <c r="UXF1" s="677"/>
      <c r="UXG1" s="677"/>
      <c r="UXH1" s="677"/>
      <c r="UXI1" s="677"/>
      <c r="UXJ1" s="677"/>
      <c r="UXK1" s="677"/>
      <c r="UXL1" s="677"/>
      <c r="UXM1" s="677"/>
      <c r="UXN1" s="677"/>
      <c r="UXO1" s="677"/>
      <c r="UXP1" s="677"/>
      <c r="UXQ1" s="677"/>
      <c r="UXR1" s="677"/>
      <c r="UXS1" s="677"/>
      <c r="UXT1" s="677"/>
      <c r="UXU1" s="677"/>
      <c r="UXV1" s="677"/>
      <c r="UXW1" s="677"/>
      <c r="UXX1" s="677"/>
      <c r="UXY1" s="677"/>
      <c r="UXZ1" s="677"/>
      <c r="UYA1" s="677"/>
      <c r="UYB1" s="677"/>
      <c r="UYC1" s="677"/>
      <c r="UYD1" s="677"/>
      <c r="UYE1" s="677"/>
      <c r="UYF1" s="677"/>
      <c r="UYG1" s="677"/>
      <c r="UYH1" s="677"/>
      <c r="UYI1" s="677"/>
      <c r="UYJ1" s="677"/>
      <c r="UYK1" s="677"/>
      <c r="UYL1" s="677"/>
      <c r="UYM1" s="677"/>
      <c r="UYN1" s="677"/>
      <c r="UYO1" s="677"/>
      <c r="UYP1" s="677"/>
      <c r="UYQ1" s="677"/>
      <c r="UYR1" s="677"/>
      <c r="UYS1" s="677"/>
      <c r="UYT1" s="677"/>
      <c r="UYU1" s="677"/>
      <c r="UYV1" s="677"/>
      <c r="UYW1" s="677"/>
      <c r="UYX1" s="677"/>
      <c r="UYY1" s="677"/>
      <c r="UYZ1" s="677"/>
      <c r="UZA1" s="677"/>
      <c r="UZB1" s="677"/>
      <c r="UZC1" s="677"/>
      <c r="UZD1" s="677"/>
      <c r="UZE1" s="677"/>
      <c r="UZF1" s="677"/>
      <c r="UZG1" s="677"/>
      <c r="UZH1" s="677"/>
      <c r="UZI1" s="677"/>
      <c r="UZJ1" s="677"/>
      <c r="UZK1" s="677"/>
      <c r="UZL1" s="677"/>
      <c r="UZM1" s="677"/>
      <c r="UZN1" s="677"/>
      <c r="UZO1" s="677"/>
      <c r="UZP1" s="677"/>
      <c r="UZQ1" s="677"/>
      <c r="UZR1" s="677"/>
      <c r="UZS1" s="677"/>
      <c r="UZT1" s="677"/>
      <c r="UZU1" s="677"/>
      <c r="UZV1" s="677"/>
      <c r="UZW1" s="677"/>
      <c r="UZX1" s="677"/>
      <c r="UZY1" s="677"/>
      <c r="UZZ1" s="677"/>
      <c r="VAA1" s="677"/>
      <c r="VAB1" s="677"/>
      <c r="VAC1" s="677"/>
      <c r="VAD1" s="677"/>
      <c r="VAE1" s="677"/>
      <c r="VAF1" s="677"/>
      <c r="VAG1" s="677"/>
      <c r="VAH1" s="677"/>
      <c r="VAI1" s="677"/>
      <c r="VAJ1" s="677"/>
      <c r="VAK1" s="677"/>
      <c r="VAL1" s="677"/>
      <c r="VAM1" s="677"/>
      <c r="VAN1" s="677"/>
      <c r="VAO1" s="677"/>
      <c r="VAP1" s="677"/>
      <c r="VAQ1" s="677"/>
      <c r="VAR1" s="677"/>
      <c r="VAS1" s="677"/>
      <c r="VAT1" s="677"/>
      <c r="VAU1" s="677"/>
      <c r="VAV1" s="677"/>
      <c r="VAW1" s="677"/>
      <c r="VAX1" s="677"/>
      <c r="VAY1" s="677"/>
      <c r="VAZ1" s="677"/>
      <c r="VBA1" s="677"/>
      <c r="VBB1" s="677"/>
      <c r="VBC1" s="677"/>
      <c r="VBD1" s="677"/>
      <c r="VBE1" s="677"/>
      <c r="VBF1" s="677"/>
      <c r="VBG1" s="677"/>
      <c r="VBH1" s="677"/>
      <c r="VBI1" s="677"/>
      <c r="VBJ1" s="677"/>
      <c r="VBK1" s="677"/>
      <c r="VBL1" s="677"/>
      <c r="VBM1" s="677"/>
      <c r="VBN1" s="677"/>
      <c r="VBO1" s="677"/>
      <c r="VBP1" s="677"/>
      <c r="VBQ1" s="677"/>
      <c r="VBR1" s="677"/>
      <c r="VBS1" s="677"/>
      <c r="VBT1" s="677"/>
      <c r="VBU1" s="677"/>
      <c r="VBV1" s="677"/>
      <c r="VBW1" s="677"/>
      <c r="VBX1" s="677"/>
      <c r="VBY1" s="677"/>
      <c r="VBZ1" s="677"/>
      <c r="VCA1" s="677"/>
      <c r="VCB1" s="677"/>
      <c r="VCC1" s="677"/>
      <c r="VCD1" s="677"/>
      <c r="VCE1" s="677"/>
      <c r="VCF1" s="677"/>
      <c r="VCG1" s="677"/>
      <c r="VCH1" s="677"/>
      <c r="VCI1" s="677"/>
      <c r="VCJ1" s="677"/>
      <c r="VCK1" s="677"/>
      <c r="VCL1" s="677"/>
      <c r="VCM1" s="677"/>
      <c r="VCN1" s="677"/>
      <c r="VCO1" s="677"/>
      <c r="VCP1" s="677"/>
      <c r="VCQ1" s="677"/>
      <c r="VCR1" s="677"/>
      <c r="VCS1" s="677"/>
      <c r="VCT1" s="677"/>
      <c r="VCU1" s="677"/>
      <c r="VCV1" s="677"/>
      <c r="VCW1" s="677"/>
      <c r="VCX1" s="677"/>
      <c r="VCY1" s="677"/>
      <c r="VCZ1" s="677"/>
      <c r="VDA1" s="677"/>
      <c r="VDB1" s="677"/>
      <c r="VDC1" s="677"/>
      <c r="VDD1" s="677"/>
      <c r="VDE1" s="677"/>
      <c r="VDF1" s="677"/>
      <c r="VDG1" s="677"/>
      <c r="VDH1" s="677"/>
      <c r="VDI1" s="677"/>
      <c r="VDJ1" s="677"/>
      <c r="VDK1" s="677"/>
      <c r="VDL1" s="677"/>
      <c r="VDM1" s="677"/>
      <c r="VDN1" s="677"/>
      <c r="VDO1" s="677"/>
      <c r="VDP1" s="677"/>
      <c r="VDQ1" s="677"/>
      <c r="VDR1" s="677"/>
      <c r="VDS1" s="677"/>
      <c r="VDT1" s="677"/>
      <c r="VDU1" s="677"/>
      <c r="VDV1" s="677"/>
      <c r="VDW1" s="677"/>
      <c r="VDX1" s="677"/>
      <c r="VDY1" s="677"/>
      <c r="VDZ1" s="677"/>
      <c r="VEA1" s="677"/>
      <c r="VEB1" s="677"/>
      <c r="VEC1" s="677"/>
      <c r="VED1" s="677"/>
      <c r="VEE1" s="677"/>
      <c r="VEF1" s="677"/>
      <c r="VEG1" s="677"/>
      <c r="VEH1" s="677"/>
      <c r="VEI1" s="677"/>
      <c r="VEJ1" s="677"/>
      <c r="VEK1" s="677"/>
      <c r="VEL1" s="677"/>
      <c r="VEM1" s="677"/>
      <c r="VEN1" s="677"/>
      <c r="VEO1" s="677"/>
      <c r="VEP1" s="677"/>
      <c r="VEQ1" s="677"/>
      <c r="VER1" s="677"/>
      <c r="VES1" s="677"/>
      <c r="VET1" s="677"/>
      <c r="VEU1" s="677"/>
      <c r="VEV1" s="677"/>
      <c r="VEW1" s="677"/>
      <c r="VEX1" s="677"/>
      <c r="VEY1" s="677"/>
      <c r="VEZ1" s="677"/>
      <c r="VFA1" s="677"/>
      <c r="VFB1" s="677"/>
      <c r="VFC1" s="677"/>
      <c r="VFD1" s="677"/>
      <c r="VFE1" s="677"/>
      <c r="VFF1" s="677"/>
      <c r="VFG1" s="677"/>
      <c r="VFH1" s="677"/>
      <c r="VFI1" s="677"/>
      <c r="VFJ1" s="677"/>
      <c r="VFK1" s="677"/>
      <c r="VFL1" s="677"/>
      <c r="VFM1" s="677"/>
      <c r="VFN1" s="677"/>
      <c r="VFO1" s="677"/>
      <c r="VFP1" s="677"/>
      <c r="VFQ1" s="677"/>
      <c r="VFR1" s="677"/>
      <c r="VFS1" s="677"/>
      <c r="VFT1" s="677"/>
      <c r="VFU1" s="677"/>
      <c r="VFV1" s="677"/>
      <c r="VFW1" s="677"/>
      <c r="VFX1" s="677"/>
      <c r="VFY1" s="677"/>
      <c r="VFZ1" s="677"/>
      <c r="VGA1" s="677"/>
      <c r="VGB1" s="677"/>
      <c r="VGC1" s="677"/>
      <c r="VGD1" s="677"/>
      <c r="VGE1" s="677"/>
      <c r="VGF1" s="677"/>
      <c r="VGG1" s="677"/>
      <c r="VGH1" s="677"/>
      <c r="VGI1" s="677"/>
      <c r="VGJ1" s="677"/>
      <c r="VGK1" s="677"/>
      <c r="VGL1" s="677"/>
      <c r="VGM1" s="677"/>
      <c r="VGN1" s="677"/>
      <c r="VGO1" s="677"/>
      <c r="VGP1" s="677"/>
      <c r="VGQ1" s="677"/>
      <c r="VGR1" s="677"/>
      <c r="VGS1" s="677"/>
      <c r="VGT1" s="677"/>
      <c r="VGU1" s="677"/>
      <c r="VGV1" s="677"/>
      <c r="VGW1" s="677"/>
      <c r="VGX1" s="677"/>
      <c r="VGY1" s="677"/>
      <c r="VGZ1" s="677"/>
      <c r="VHA1" s="677"/>
      <c r="VHB1" s="677"/>
      <c r="VHC1" s="677"/>
      <c r="VHD1" s="677"/>
      <c r="VHE1" s="677"/>
      <c r="VHF1" s="677"/>
      <c r="VHG1" s="677"/>
      <c r="VHH1" s="677"/>
      <c r="VHI1" s="677"/>
      <c r="VHJ1" s="677"/>
      <c r="VHK1" s="677"/>
      <c r="VHL1" s="677"/>
      <c r="VHM1" s="677"/>
      <c r="VHN1" s="677"/>
      <c r="VHO1" s="677"/>
      <c r="VHP1" s="677"/>
      <c r="VHQ1" s="677"/>
      <c r="VHR1" s="677"/>
      <c r="VHS1" s="677"/>
      <c r="VHT1" s="677"/>
      <c r="VHU1" s="677"/>
      <c r="VHV1" s="677"/>
      <c r="VHW1" s="677"/>
      <c r="VHX1" s="677"/>
      <c r="VHY1" s="677"/>
      <c r="VHZ1" s="677"/>
      <c r="VIA1" s="677"/>
      <c r="VIB1" s="677"/>
      <c r="VIC1" s="677"/>
      <c r="VID1" s="677"/>
      <c r="VIE1" s="677"/>
      <c r="VIF1" s="677"/>
      <c r="VIG1" s="677"/>
      <c r="VIH1" s="677"/>
      <c r="VII1" s="677"/>
      <c r="VIJ1" s="677"/>
      <c r="VIK1" s="677"/>
      <c r="VIL1" s="677"/>
      <c r="VIM1" s="677"/>
      <c r="VIN1" s="677"/>
      <c r="VIO1" s="677"/>
      <c r="VIP1" s="677"/>
      <c r="VIQ1" s="677"/>
      <c r="VIR1" s="677"/>
      <c r="VIS1" s="677"/>
      <c r="VIT1" s="677"/>
      <c r="VIU1" s="677"/>
      <c r="VIV1" s="677"/>
      <c r="VIW1" s="677"/>
      <c r="VIX1" s="677"/>
      <c r="VIY1" s="677"/>
      <c r="VIZ1" s="677"/>
      <c r="VJA1" s="677"/>
      <c r="VJB1" s="677"/>
      <c r="VJC1" s="677"/>
      <c r="VJD1" s="677"/>
      <c r="VJE1" s="677"/>
      <c r="VJF1" s="677"/>
      <c r="VJG1" s="677"/>
      <c r="VJH1" s="677"/>
      <c r="VJI1" s="677"/>
      <c r="VJJ1" s="677"/>
      <c r="VJK1" s="677"/>
      <c r="VJL1" s="677"/>
      <c r="VJM1" s="677"/>
      <c r="VJN1" s="677"/>
      <c r="VJO1" s="677"/>
      <c r="VJP1" s="677"/>
      <c r="VJQ1" s="677"/>
      <c r="VJR1" s="677"/>
      <c r="VJS1" s="677"/>
      <c r="VJT1" s="677"/>
      <c r="VJU1" s="677"/>
      <c r="VJV1" s="677"/>
      <c r="VJW1" s="677"/>
      <c r="VJX1" s="677"/>
      <c r="VJY1" s="677"/>
      <c r="VJZ1" s="677"/>
      <c r="VKA1" s="677"/>
      <c r="VKB1" s="677"/>
      <c r="VKC1" s="677"/>
      <c r="VKD1" s="677"/>
      <c r="VKE1" s="677"/>
      <c r="VKF1" s="677"/>
      <c r="VKG1" s="677"/>
      <c r="VKH1" s="677"/>
      <c r="VKI1" s="677"/>
      <c r="VKJ1" s="677"/>
      <c r="VKK1" s="677"/>
      <c r="VKL1" s="677"/>
      <c r="VKM1" s="677"/>
      <c r="VKN1" s="677"/>
      <c r="VKO1" s="677"/>
      <c r="VKP1" s="677"/>
      <c r="VKQ1" s="677"/>
      <c r="VKR1" s="677"/>
      <c r="VKS1" s="677"/>
      <c r="VKT1" s="677"/>
      <c r="VKU1" s="677"/>
      <c r="VKV1" s="677"/>
      <c r="VKW1" s="677"/>
      <c r="VKX1" s="677"/>
      <c r="VKY1" s="677"/>
      <c r="VKZ1" s="677"/>
      <c r="VLA1" s="677"/>
      <c r="VLB1" s="677"/>
      <c r="VLC1" s="677"/>
      <c r="VLD1" s="677"/>
      <c r="VLE1" s="677"/>
      <c r="VLF1" s="677"/>
      <c r="VLG1" s="677"/>
      <c r="VLH1" s="677"/>
      <c r="VLI1" s="677"/>
      <c r="VLJ1" s="677"/>
      <c r="VLK1" s="677"/>
      <c r="VLL1" s="677"/>
      <c r="VLM1" s="677"/>
      <c r="VLN1" s="677"/>
      <c r="VLO1" s="677"/>
      <c r="VLP1" s="677"/>
      <c r="VLQ1" s="677"/>
      <c r="VLR1" s="677"/>
      <c r="VLS1" s="677"/>
      <c r="VLT1" s="677"/>
      <c r="VLU1" s="677"/>
      <c r="VLV1" s="677"/>
      <c r="VLW1" s="677"/>
      <c r="VLX1" s="677"/>
      <c r="VLY1" s="677"/>
      <c r="VLZ1" s="677"/>
      <c r="VMA1" s="677"/>
      <c r="VMB1" s="677"/>
      <c r="VMC1" s="677"/>
      <c r="VMD1" s="677"/>
      <c r="VME1" s="677"/>
      <c r="VMF1" s="677"/>
      <c r="VMG1" s="677"/>
      <c r="VMH1" s="677"/>
      <c r="VMI1" s="677"/>
      <c r="VMJ1" s="677"/>
      <c r="VMK1" s="677"/>
      <c r="VML1" s="677"/>
      <c r="VMM1" s="677"/>
      <c r="VMN1" s="677"/>
      <c r="VMO1" s="677"/>
      <c r="VMP1" s="677"/>
      <c r="VMQ1" s="677"/>
      <c r="VMR1" s="677"/>
      <c r="VMS1" s="677"/>
      <c r="VMT1" s="677"/>
      <c r="VMU1" s="677"/>
      <c r="VMV1" s="677"/>
      <c r="VMW1" s="677"/>
      <c r="VMX1" s="677"/>
      <c r="VMY1" s="677"/>
      <c r="VMZ1" s="677"/>
      <c r="VNA1" s="677"/>
      <c r="VNB1" s="677"/>
      <c r="VNC1" s="677"/>
      <c r="VND1" s="677"/>
      <c r="VNE1" s="677"/>
      <c r="VNF1" s="677"/>
      <c r="VNG1" s="677"/>
      <c r="VNH1" s="677"/>
      <c r="VNI1" s="677"/>
      <c r="VNJ1" s="677"/>
      <c r="VNK1" s="677"/>
      <c r="VNL1" s="677"/>
      <c r="VNM1" s="677"/>
      <c r="VNN1" s="677"/>
      <c r="VNO1" s="677"/>
      <c r="VNP1" s="677"/>
      <c r="VNQ1" s="677"/>
      <c r="VNR1" s="677"/>
      <c r="VNS1" s="677"/>
      <c r="VNT1" s="677"/>
      <c r="VNU1" s="677"/>
      <c r="VNV1" s="677"/>
      <c r="VNW1" s="677"/>
      <c r="VNX1" s="677"/>
      <c r="VNY1" s="677"/>
      <c r="VNZ1" s="677"/>
      <c r="VOA1" s="677"/>
      <c r="VOB1" s="677"/>
      <c r="VOC1" s="677"/>
      <c r="VOD1" s="677"/>
      <c r="VOE1" s="677"/>
      <c r="VOF1" s="677"/>
      <c r="VOG1" s="677"/>
      <c r="VOH1" s="677"/>
      <c r="VOI1" s="677"/>
      <c r="VOJ1" s="677"/>
      <c r="VOK1" s="677"/>
      <c r="VOL1" s="677"/>
      <c r="VOM1" s="677"/>
      <c r="VON1" s="677"/>
      <c r="VOO1" s="677"/>
      <c r="VOP1" s="677"/>
      <c r="VOQ1" s="677"/>
      <c r="VOR1" s="677"/>
      <c r="VOS1" s="677"/>
      <c r="VOT1" s="677"/>
      <c r="VOU1" s="677"/>
      <c r="VOV1" s="677"/>
      <c r="VOW1" s="677"/>
      <c r="VOX1" s="677"/>
      <c r="VOY1" s="677"/>
      <c r="VOZ1" s="677"/>
      <c r="VPA1" s="677"/>
      <c r="VPB1" s="677"/>
      <c r="VPC1" s="677"/>
      <c r="VPD1" s="677"/>
      <c r="VPE1" s="677"/>
      <c r="VPF1" s="677"/>
      <c r="VPG1" s="677"/>
      <c r="VPH1" s="677"/>
      <c r="VPI1" s="677"/>
      <c r="VPJ1" s="677"/>
      <c r="VPK1" s="677"/>
      <c r="VPL1" s="677"/>
      <c r="VPM1" s="677"/>
      <c r="VPN1" s="677"/>
      <c r="VPO1" s="677"/>
      <c r="VPP1" s="677"/>
      <c r="VPQ1" s="677"/>
      <c r="VPR1" s="677"/>
      <c r="VPS1" s="677"/>
      <c r="VPT1" s="677"/>
      <c r="VPU1" s="677"/>
      <c r="VPV1" s="677"/>
      <c r="VPW1" s="677"/>
      <c r="VPX1" s="677"/>
      <c r="VPY1" s="677"/>
      <c r="VPZ1" s="677"/>
      <c r="VQA1" s="677"/>
      <c r="VQB1" s="677"/>
      <c r="VQC1" s="677"/>
      <c r="VQD1" s="677"/>
      <c r="VQE1" s="677"/>
      <c r="VQF1" s="677"/>
      <c r="VQG1" s="677"/>
      <c r="VQH1" s="677"/>
      <c r="VQI1" s="677"/>
      <c r="VQJ1" s="677"/>
      <c r="VQK1" s="677"/>
      <c r="VQL1" s="677"/>
      <c r="VQM1" s="677"/>
      <c r="VQN1" s="677"/>
      <c r="VQO1" s="677"/>
      <c r="VQP1" s="677"/>
      <c r="VQQ1" s="677"/>
      <c r="VQR1" s="677"/>
      <c r="VQS1" s="677"/>
      <c r="VQT1" s="677"/>
      <c r="VQU1" s="677"/>
      <c r="VQV1" s="677"/>
      <c r="VQW1" s="677"/>
      <c r="VQX1" s="677"/>
      <c r="VQY1" s="677"/>
      <c r="VQZ1" s="677"/>
      <c r="VRA1" s="677"/>
      <c r="VRB1" s="677"/>
      <c r="VRC1" s="677"/>
      <c r="VRD1" s="677"/>
      <c r="VRE1" s="677"/>
      <c r="VRF1" s="677"/>
      <c r="VRG1" s="677"/>
      <c r="VRH1" s="677"/>
      <c r="VRI1" s="677"/>
      <c r="VRJ1" s="677"/>
      <c r="VRK1" s="677"/>
      <c r="VRL1" s="677"/>
      <c r="VRM1" s="677"/>
      <c r="VRN1" s="677"/>
      <c r="VRO1" s="677"/>
      <c r="VRP1" s="677"/>
      <c r="VRQ1" s="677"/>
      <c r="VRR1" s="677"/>
      <c r="VRS1" s="677"/>
      <c r="VRT1" s="677"/>
      <c r="VRU1" s="677"/>
      <c r="VRV1" s="677"/>
      <c r="VRW1" s="677"/>
      <c r="VRX1" s="677"/>
      <c r="VRY1" s="677"/>
      <c r="VRZ1" s="677"/>
      <c r="VSA1" s="677"/>
      <c r="VSB1" s="677"/>
      <c r="VSC1" s="677"/>
      <c r="VSD1" s="677"/>
      <c r="VSE1" s="677"/>
      <c r="VSF1" s="677"/>
      <c r="VSG1" s="677"/>
      <c r="VSH1" s="677"/>
      <c r="VSI1" s="677"/>
      <c r="VSJ1" s="677"/>
      <c r="VSK1" s="677"/>
      <c r="VSL1" s="677"/>
      <c r="VSM1" s="677"/>
      <c r="VSN1" s="677"/>
      <c r="VSO1" s="677"/>
      <c r="VSP1" s="677"/>
      <c r="VSQ1" s="677"/>
      <c r="VSR1" s="677"/>
      <c r="VSS1" s="677"/>
      <c r="VST1" s="677"/>
      <c r="VSU1" s="677"/>
      <c r="VSV1" s="677"/>
      <c r="VSW1" s="677"/>
      <c r="VSX1" s="677"/>
      <c r="VSY1" s="677"/>
      <c r="VSZ1" s="677"/>
      <c r="VTA1" s="677"/>
      <c r="VTB1" s="677"/>
      <c r="VTC1" s="677"/>
      <c r="VTD1" s="677"/>
      <c r="VTE1" s="677"/>
      <c r="VTF1" s="677"/>
      <c r="VTG1" s="677"/>
      <c r="VTH1" s="677"/>
      <c r="VTI1" s="677"/>
      <c r="VTJ1" s="677"/>
      <c r="VTK1" s="677"/>
      <c r="VTL1" s="677"/>
      <c r="VTM1" s="677"/>
      <c r="VTN1" s="677"/>
      <c r="VTO1" s="677"/>
      <c r="VTP1" s="677"/>
      <c r="VTQ1" s="677"/>
      <c r="VTR1" s="677"/>
      <c r="VTS1" s="677"/>
      <c r="VTT1" s="677"/>
      <c r="VTU1" s="677"/>
      <c r="VTV1" s="677"/>
      <c r="VTW1" s="677"/>
      <c r="VTX1" s="677"/>
      <c r="VTY1" s="677"/>
      <c r="VTZ1" s="677"/>
      <c r="VUA1" s="677"/>
      <c r="VUB1" s="677"/>
      <c r="VUC1" s="677"/>
      <c r="VUD1" s="677"/>
      <c r="VUE1" s="677"/>
      <c r="VUF1" s="677"/>
      <c r="VUG1" s="677"/>
      <c r="VUH1" s="677"/>
      <c r="VUI1" s="677"/>
      <c r="VUJ1" s="677"/>
      <c r="VUK1" s="677"/>
      <c r="VUL1" s="677"/>
      <c r="VUM1" s="677"/>
      <c r="VUN1" s="677"/>
      <c r="VUO1" s="677"/>
      <c r="VUP1" s="677"/>
      <c r="VUQ1" s="677"/>
      <c r="VUR1" s="677"/>
      <c r="VUS1" s="677"/>
      <c r="VUT1" s="677"/>
      <c r="VUU1" s="677"/>
      <c r="VUV1" s="677"/>
      <c r="VUW1" s="677"/>
      <c r="VUX1" s="677"/>
      <c r="VUY1" s="677"/>
      <c r="VUZ1" s="677"/>
      <c r="VVA1" s="677"/>
      <c r="VVB1" s="677"/>
      <c r="VVC1" s="677"/>
      <c r="VVD1" s="677"/>
      <c r="VVE1" s="677"/>
      <c r="VVF1" s="677"/>
      <c r="VVG1" s="677"/>
      <c r="VVH1" s="677"/>
      <c r="VVI1" s="677"/>
      <c r="VVJ1" s="677"/>
      <c r="VVK1" s="677"/>
      <c r="VVL1" s="677"/>
      <c r="VVM1" s="677"/>
      <c r="VVN1" s="677"/>
      <c r="VVO1" s="677"/>
      <c r="VVP1" s="677"/>
      <c r="VVQ1" s="677"/>
      <c r="VVR1" s="677"/>
      <c r="VVS1" s="677"/>
      <c r="VVT1" s="677"/>
      <c r="VVU1" s="677"/>
      <c r="VVV1" s="677"/>
      <c r="VVW1" s="677"/>
      <c r="VVX1" s="677"/>
      <c r="VVY1" s="677"/>
      <c r="VVZ1" s="677"/>
      <c r="VWA1" s="677"/>
      <c r="VWB1" s="677"/>
      <c r="VWC1" s="677"/>
      <c r="VWD1" s="677"/>
      <c r="VWE1" s="677"/>
      <c r="VWF1" s="677"/>
      <c r="VWG1" s="677"/>
      <c r="VWH1" s="677"/>
      <c r="VWI1" s="677"/>
      <c r="VWJ1" s="677"/>
      <c r="VWK1" s="677"/>
      <c r="VWL1" s="677"/>
      <c r="VWM1" s="677"/>
      <c r="VWN1" s="677"/>
      <c r="VWO1" s="677"/>
      <c r="VWP1" s="677"/>
      <c r="VWQ1" s="677"/>
      <c r="VWR1" s="677"/>
      <c r="VWS1" s="677"/>
      <c r="VWT1" s="677"/>
      <c r="VWU1" s="677"/>
      <c r="VWV1" s="677"/>
      <c r="VWW1" s="677"/>
      <c r="VWX1" s="677"/>
      <c r="VWY1" s="677"/>
      <c r="VWZ1" s="677"/>
      <c r="VXA1" s="677"/>
      <c r="VXB1" s="677"/>
      <c r="VXC1" s="677"/>
      <c r="VXD1" s="677"/>
      <c r="VXE1" s="677"/>
      <c r="VXF1" s="677"/>
      <c r="VXG1" s="677"/>
      <c r="VXH1" s="677"/>
      <c r="VXI1" s="677"/>
      <c r="VXJ1" s="677"/>
      <c r="VXK1" s="677"/>
      <c r="VXL1" s="677"/>
      <c r="VXM1" s="677"/>
      <c r="VXN1" s="677"/>
      <c r="VXO1" s="677"/>
      <c r="VXP1" s="677"/>
      <c r="VXQ1" s="677"/>
      <c r="VXR1" s="677"/>
      <c r="VXS1" s="677"/>
      <c r="VXT1" s="677"/>
      <c r="VXU1" s="677"/>
      <c r="VXV1" s="677"/>
      <c r="VXW1" s="677"/>
      <c r="VXX1" s="677"/>
      <c r="VXY1" s="677"/>
      <c r="VXZ1" s="677"/>
      <c r="VYA1" s="677"/>
      <c r="VYB1" s="677"/>
      <c r="VYC1" s="677"/>
      <c r="VYD1" s="677"/>
      <c r="VYE1" s="677"/>
      <c r="VYF1" s="677"/>
      <c r="VYG1" s="677"/>
      <c r="VYH1" s="677"/>
      <c r="VYI1" s="677"/>
      <c r="VYJ1" s="677"/>
      <c r="VYK1" s="677"/>
      <c r="VYL1" s="677"/>
      <c r="VYM1" s="677"/>
      <c r="VYN1" s="677"/>
      <c r="VYO1" s="677"/>
      <c r="VYP1" s="677"/>
      <c r="VYQ1" s="677"/>
      <c r="VYR1" s="677"/>
      <c r="VYS1" s="677"/>
      <c r="VYT1" s="677"/>
      <c r="VYU1" s="677"/>
      <c r="VYV1" s="677"/>
      <c r="VYW1" s="677"/>
      <c r="VYX1" s="677"/>
      <c r="VYY1" s="677"/>
      <c r="VYZ1" s="677"/>
      <c r="VZA1" s="677"/>
      <c r="VZB1" s="677"/>
      <c r="VZC1" s="677"/>
      <c r="VZD1" s="677"/>
      <c r="VZE1" s="677"/>
      <c r="VZF1" s="677"/>
      <c r="VZG1" s="677"/>
      <c r="VZH1" s="677"/>
      <c r="VZI1" s="677"/>
      <c r="VZJ1" s="677"/>
      <c r="VZK1" s="677"/>
      <c r="VZL1" s="677"/>
      <c r="VZM1" s="677"/>
      <c r="VZN1" s="677"/>
      <c r="VZO1" s="677"/>
      <c r="VZP1" s="677"/>
      <c r="VZQ1" s="677"/>
      <c r="VZR1" s="677"/>
      <c r="VZS1" s="677"/>
      <c r="VZT1" s="677"/>
      <c r="VZU1" s="677"/>
      <c r="VZV1" s="677"/>
      <c r="VZW1" s="677"/>
      <c r="VZX1" s="677"/>
      <c r="VZY1" s="677"/>
      <c r="VZZ1" s="677"/>
      <c r="WAA1" s="677"/>
      <c r="WAB1" s="677"/>
      <c r="WAC1" s="677"/>
      <c r="WAD1" s="677"/>
      <c r="WAE1" s="677"/>
      <c r="WAF1" s="677"/>
      <c r="WAG1" s="677"/>
      <c r="WAH1" s="677"/>
      <c r="WAI1" s="677"/>
      <c r="WAJ1" s="677"/>
      <c r="WAK1" s="677"/>
      <c r="WAL1" s="677"/>
      <c r="WAM1" s="677"/>
      <c r="WAN1" s="677"/>
      <c r="WAO1" s="677"/>
      <c r="WAP1" s="677"/>
      <c r="WAQ1" s="677"/>
      <c r="WAR1" s="677"/>
      <c r="WAS1" s="677"/>
      <c r="WAT1" s="677"/>
      <c r="WAU1" s="677"/>
      <c r="WAV1" s="677"/>
      <c r="WAW1" s="677"/>
      <c r="WAX1" s="677"/>
      <c r="WAY1" s="677"/>
      <c r="WAZ1" s="677"/>
      <c r="WBA1" s="677"/>
      <c r="WBB1" s="677"/>
      <c r="WBC1" s="677"/>
      <c r="WBD1" s="677"/>
      <c r="WBE1" s="677"/>
      <c r="WBF1" s="677"/>
      <c r="WBG1" s="677"/>
      <c r="WBH1" s="677"/>
      <c r="WBI1" s="677"/>
      <c r="WBJ1" s="677"/>
      <c r="WBK1" s="677"/>
      <c r="WBL1" s="677"/>
      <c r="WBM1" s="677"/>
      <c r="WBN1" s="677"/>
      <c r="WBO1" s="677"/>
      <c r="WBP1" s="677"/>
      <c r="WBQ1" s="677"/>
      <c r="WBR1" s="677"/>
      <c r="WBS1" s="677"/>
      <c r="WBT1" s="677"/>
      <c r="WBU1" s="677"/>
      <c r="WBV1" s="677"/>
      <c r="WBW1" s="677"/>
      <c r="WBX1" s="677"/>
      <c r="WBY1" s="677"/>
      <c r="WBZ1" s="677"/>
      <c r="WCA1" s="677"/>
      <c r="WCB1" s="677"/>
      <c r="WCC1" s="677"/>
      <c r="WCD1" s="677"/>
      <c r="WCE1" s="677"/>
      <c r="WCF1" s="677"/>
      <c r="WCG1" s="677"/>
      <c r="WCH1" s="677"/>
      <c r="WCI1" s="677"/>
      <c r="WCJ1" s="677"/>
      <c r="WCK1" s="677"/>
      <c r="WCL1" s="677"/>
      <c r="WCM1" s="677"/>
      <c r="WCN1" s="677"/>
      <c r="WCO1" s="677"/>
      <c r="WCP1" s="677"/>
      <c r="WCQ1" s="677"/>
      <c r="WCR1" s="677"/>
      <c r="WCS1" s="677"/>
      <c r="WCT1" s="677"/>
      <c r="WCU1" s="677"/>
      <c r="WCV1" s="677"/>
      <c r="WCW1" s="677"/>
      <c r="WCX1" s="677"/>
      <c r="WCY1" s="677"/>
      <c r="WCZ1" s="677"/>
      <c r="WDA1" s="677"/>
      <c r="WDB1" s="677"/>
      <c r="WDC1" s="677"/>
      <c r="WDD1" s="677"/>
      <c r="WDE1" s="677"/>
      <c r="WDF1" s="677"/>
      <c r="WDG1" s="677"/>
      <c r="WDH1" s="677"/>
      <c r="WDI1" s="677"/>
      <c r="WDJ1" s="677"/>
      <c r="WDK1" s="677"/>
      <c r="WDL1" s="677"/>
      <c r="WDM1" s="677"/>
      <c r="WDN1" s="677"/>
      <c r="WDO1" s="677"/>
      <c r="WDP1" s="677"/>
      <c r="WDQ1" s="677"/>
      <c r="WDR1" s="677"/>
      <c r="WDS1" s="677"/>
      <c r="WDT1" s="677"/>
      <c r="WDU1" s="677"/>
      <c r="WDV1" s="677"/>
      <c r="WDW1" s="677"/>
      <c r="WDX1" s="677"/>
      <c r="WDY1" s="677"/>
      <c r="WDZ1" s="677"/>
      <c r="WEA1" s="677"/>
      <c r="WEB1" s="677"/>
      <c r="WEC1" s="677"/>
      <c r="WED1" s="677"/>
      <c r="WEE1" s="677"/>
      <c r="WEF1" s="677"/>
      <c r="WEG1" s="677"/>
      <c r="WEH1" s="677"/>
      <c r="WEI1" s="677"/>
      <c r="WEJ1" s="677"/>
      <c r="WEK1" s="677"/>
      <c r="WEL1" s="677"/>
      <c r="WEM1" s="677"/>
      <c r="WEN1" s="677"/>
      <c r="WEO1" s="677"/>
      <c r="WEP1" s="677"/>
      <c r="WEQ1" s="677"/>
      <c r="WER1" s="677"/>
      <c r="WES1" s="677"/>
      <c r="WET1" s="677"/>
      <c r="WEU1" s="677"/>
      <c r="WEV1" s="677"/>
      <c r="WEW1" s="677"/>
      <c r="WEX1" s="677"/>
      <c r="WEY1" s="677"/>
      <c r="WEZ1" s="677"/>
      <c r="WFA1" s="677"/>
      <c r="WFB1" s="677"/>
      <c r="WFC1" s="677"/>
      <c r="WFD1" s="677"/>
      <c r="WFE1" s="677"/>
      <c r="WFF1" s="677"/>
      <c r="WFG1" s="677"/>
      <c r="WFH1" s="677"/>
      <c r="WFI1" s="677"/>
      <c r="WFJ1" s="677"/>
      <c r="WFK1" s="677"/>
      <c r="WFL1" s="677"/>
      <c r="WFM1" s="677"/>
      <c r="WFN1" s="677"/>
      <c r="WFO1" s="677"/>
      <c r="WFP1" s="677"/>
      <c r="WFQ1" s="677"/>
      <c r="WFR1" s="677"/>
      <c r="WFS1" s="677"/>
      <c r="WFT1" s="677"/>
      <c r="WFU1" s="677"/>
      <c r="WFV1" s="677"/>
      <c r="WFW1" s="677"/>
      <c r="WFX1" s="677"/>
      <c r="WFY1" s="677"/>
      <c r="WFZ1" s="677"/>
      <c r="WGA1" s="677"/>
      <c r="WGB1" s="677"/>
      <c r="WGC1" s="677"/>
      <c r="WGD1" s="677"/>
      <c r="WGE1" s="677"/>
      <c r="WGF1" s="677"/>
      <c r="WGG1" s="677"/>
      <c r="WGH1" s="677"/>
      <c r="WGI1" s="677"/>
      <c r="WGJ1" s="677"/>
      <c r="WGK1" s="677"/>
      <c r="WGL1" s="677"/>
      <c r="WGM1" s="677"/>
      <c r="WGN1" s="677"/>
      <c r="WGO1" s="677"/>
      <c r="WGP1" s="677"/>
      <c r="WGQ1" s="677"/>
      <c r="WGR1" s="677"/>
      <c r="WGS1" s="677"/>
      <c r="WGT1" s="677"/>
      <c r="WGU1" s="677"/>
      <c r="WGV1" s="677"/>
      <c r="WGW1" s="677"/>
      <c r="WGX1" s="677"/>
      <c r="WGY1" s="677"/>
      <c r="WGZ1" s="677"/>
      <c r="WHA1" s="677"/>
      <c r="WHB1" s="677"/>
      <c r="WHC1" s="677"/>
      <c r="WHD1" s="677"/>
      <c r="WHE1" s="677"/>
      <c r="WHF1" s="677"/>
      <c r="WHG1" s="677"/>
      <c r="WHH1" s="677"/>
      <c r="WHI1" s="677"/>
      <c r="WHJ1" s="677"/>
      <c r="WHK1" s="677"/>
      <c r="WHL1" s="677"/>
      <c r="WHM1" s="677"/>
      <c r="WHN1" s="677"/>
      <c r="WHO1" s="677"/>
      <c r="WHP1" s="677"/>
      <c r="WHQ1" s="677"/>
      <c r="WHR1" s="677"/>
      <c r="WHS1" s="677"/>
      <c r="WHT1" s="677"/>
      <c r="WHU1" s="677"/>
      <c r="WHV1" s="677"/>
      <c r="WHW1" s="677"/>
      <c r="WHX1" s="677"/>
      <c r="WHY1" s="677"/>
      <c r="WHZ1" s="677"/>
      <c r="WIA1" s="677"/>
      <c r="WIB1" s="677"/>
      <c r="WIC1" s="677"/>
      <c r="WID1" s="677"/>
      <c r="WIE1" s="677"/>
      <c r="WIF1" s="677"/>
      <c r="WIG1" s="677"/>
      <c r="WIH1" s="677"/>
      <c r="WII1" s="677"/>
      <c r="WIJ1" s="677"/>
      <c r="WIK1" s="677"/>
      <c r="WIL1" s="677"/>
      <c r="WIM1" s="677"/>
      <c r="WIN1" s="677"/>
      <c r="WIO1" s="677"/>
      <c r="WIP1" s="677"/>
      <c r="WIQ1" s="677"/>
      <c r="WIR1" s="677"/>
      <c r="WIS1" s="677"/>
      <c r="WIT1" s="677"/>
      <c r="WIU1" s="677"/>
      <c r="WIV1" s="677"/>
      <c r="WIW1" s="677"/>
      <c r="WIX1" s="677"/>
      <c r="WIY1" s="677"/>
      <c r="WIZ1" s="677"/>
      <c r="WJA1" s="677"/>
      <c r="WJB1" s="677"/>
      <c r="WJC1" s="677"/>
      <c r="WJD1" s="677"/>
      <c r="WJE1" s="677"/>
      <c r="WJF1" s="677"/>
      <c r="WJG1" s="677"/>
      <c r="WJH1" s="677"/>
      <c r="WJI1" s="677"/>
      <c r="WJJ1" s="677"/>
      <c r="WJK1" s="677"/>
      <c r="WJL1" s="677"/>
      <c r="WJM1" s="677"/>
      <c r="WJN1" s="677"/>
      <c r="WJO1" s="677"/>
      <c r="WJP1" s="677"/>
      <c r="WJQ1" s="677"/>
      <c r="WJR1" s="677"/>
      <c r="WJS1" s="677"/>
      <c r="WJT1" s="677"/>
      <c r="WJU1" s="677"/>
      <c r="WJV1" s="677"/>
      <c r="WJW1" s="677"/>
      <c r="WJX1" s="677"/>
      <c r="WJY1" s="677"/>
      <c r="WJZ1" s="677"/>
      <c r="WKA1" s="677"/>
      <c r="WKB1" s="677"/>
      <c r="WKC1" s="677"/>
      <c r="WKD1" s="677"/>
      <c r="WKE1" s="677"/>
      <c r="WKF1" s="677"/>
      <c r="WKG1" s="677"/>
      <c r="WKH1" s="677"/>
      <c r="WKI1" s="677"/>
      <c r="WKJ1" s="677"/>
      <c r="WKK1" s="677"/>
      <c r="WKL1" s="677"/>
      <c r="WKM1" s="677"/>
      <c r="WKN1" s="677"/>
      <c r="WKO1" s="677"/>
      <c r="WKP1" s="677"/>
      <c r="WKQ1" s="677"/>
      <c r="WKR1" s="677"/>
      <c r="WKS1" s="677"/>
      <c r="WKT1" s="677"/>
      <c r="WKU1" s="677"/>
      <c r="WKV1" s="677"/>
      <c r="WKW1" s="677"/>
      <c r="WKX1" s="677"/>
      <c r="WKY1" s="677"/>
      <c r="WKZ1" s="677"/>
      <c r="WLA1" s="677"/>
      <c r="WLB1" s="677"/>
      <c r="WLC1" s="677"/>
      <c r="WLD1" s="677"/>
      <c r="WLE1" s="677"/>
      <c r="WLF1" s="677"/>
      <c r="WLG1" s="677"/>
      <c r="WLH1" s="677"/>
      <c r="WLI1" s="677"/>
      <c r="WLJ1" s="677"/>
      <c r="WLK1" s="677"/>
      <c r="WLL1" s="677"/>
      <c r="WLM1" s="677"/>
      <c r="WLN1" s="677"/>
      <c r="WLO1" s="677"/>
      <c r="WLP1" s="677"/>
      <c r="WLQ1" s="677"/>
      <c r="WLR1" s="677"/>
      <c r="WLS1" s="677"/>
      <c r="WLT1" s="677"/>
      <c r="WLU1" s="677"/>
      <c r="WLV1" s="677"/>
      <c r="WLW1" s="677"/>
      <c r="WLX1" s="677"/>
      <c r="WLY1" s="677"/>
      <c r="WLZ1" s="677"/>
      <c r="WMA1" s="677"/>
      <c r="WMB1" s="677"/>
      <c r="WMC1" s="677"/>
      <c r="WMD1" s="677"/>
      <c r="WME1" s="677"/>
      <c r="WMF1" s="677"/>
      <c r="WMG1" s="677"/>
      <c r="WMH1" s="677"/>
      <c r="WMI1" s="677"/>
      <c r="WMJ1" s="677"/>
      <c r="WMK1" s="677"/>
      <c r="WML1" s="677"/>
      <c r="WMM1" s="677"/>
      <c r="WMN1" s="677"/>
      <c r="WMO1" s="677"/>
      <c r="WMP1" s="677"/>
      <c r="WMQ1" s="677"/>
      <c r="WMR1" s="677"/>
      <c r="WMS1" s="677"/>
      <c r="WMT1" s="677"/>
      <c r="WMU1" s="677"/>
      <c r="WMV1" s="677"/>
      <c r="WMW1" s="677"/>
      <c r="WMX1" s="677"/>
      <c r="WMY1" s="677"/>
      <c r="WMZ1" s="677"/>
      <c r="WNA1" s="677"/>
      <c r="WNB1" s="677"/>
      <c r="WNC1" s="677"/>
      <c r="WND1" s="677"/>
      <c r="WNE1" s="677"/>
      <c r="WNF1" s="677"/>
      <c r="WNG1" s="677"/>
      <c r="WNH1" s="677"/>
      <c r="WNI1" s="677"/>
      <c r="WNJ1" s="677"/>
      <c r="WNK1" s="677"/>
      <c r="WNL1" s="677"/>
      <c r="WNM1" s="677"/>
      <c r="WNN1" s="677"/>
      <c r="WNO1" s="677"/>
      <c r="WNP1" s="677"/>
      <c r="WNQ1" s="677"/>
      <c r="WNR1" s="677"/>
      <c r="WNS1" s="677"/>
      <c r="WNT1" s="677"/>
      <c r="WNU1" s="677"/>
      <c r="WNV1" s="677"/>
      <c r="WNW1" s="677"/>
      <c r="WNX1" s="677"/>
      <c r="WNY1" s="677"/>
      <c r="WNZ1" s="677"/>
      <c r="WOA1" s="677"/>
      <c r="WOB1" s="677"/>
      <c r="WOC1" s="677"/>
      <c r="WOD1" s="677"/>
      <c r="WOE1" s="677"/>
      <c r="WOF1" s="677"/>
      <c r="WOG1" s="677"/>
      <c r="WOH1" s="677"/>
      <c r="WOI1" s="677"/>
      <c r="WOJ1" s="677"/>
      <c r="WOK1" s="677"/>
      <c r="WOL1" s="677"/>
      <c r="WOM1" s="677"/>
      <c r="WON1" s="677"/>
      <c r="WOO1" s="677"/>
      <c r="WOP1" s="677"/>
      <c r="WOQ1" s="677"/>
      <c r="WOR1" s="677"/>
      <c r="WOS1" s="677"/>
      <c r="WOT1" s="677"/>
      <c r="WOU1" s="677"/>
      <c r="WOV1" s="677"/>
      <c r="WOW1" s="677"/>
      <c r="WOX1" s="677"/>
      <c r="WOY1" s="677"/>
      <c r="WOZ1" s="677"/>
      <c r="WPA1" s="677"/>
      <c r="WPB1" s="677"/>
      <c r="WPC1" s="677"/>
      <c r="WPD1" s="677"/>
      <c r="WPE1" s="677"/>
      <c r="WPF1" s="677"/>
      <c r="WPG1" s="677"/>
      <c r="WPH1" s="677"/>
      <c r="WPI1" s="677"/>
      <c r="WPJ1" s="677"/>
      <c r="WPK1" s="677"/>
      <c r="WPL1" s="677"/>
      <c r="WPM1" s="677"/>
      <c r="WPN1" s="677"/>
      <c r="WPO1" s="677"/>
      <c r="WPP1" s="677"/>
      <c r="WPQ1" s="677"/>
      <c r="WPR1" s="677"/>
      <c r="WPS1" s="677"/>
      <c r="WPT1" s="677"/>
      <c r="WPU1" s="677"/>
      <c r="WPV1" s="677"/>
      <c r="WPW1" s="677"/>
      <c r="WPX1" s="677"/>
      <c r="WPY1" s="677"/>
      <c r="WPZ1" s="677"/>
      <c r="WQA1" s="677"/>
      <c r="WQB1" s="677"/>
      <c r="WQC1" s="677"/>
      <c r="WQD1" s="677"/>
      <c r="WQE1" s="677"/>
      <c r="WQF1" s="677"/>
      <c r="WQG1" s="677"/>
      <c r="WQH1" s="677"/>
      <c r="WQI1" s="677"/>
      <c r="WQJ1" s="677"/>
      <c r="WQK1" s="677"/>
      <c r="WQL1" s="677"/>
      <c r="WQM1" s="677"/>
      <c r="WQN1" s="677"/>
      <c r="WQO1" s="677"/>
      <c r="WQP1" s="677"/>
      <c r="WQQ1" s="677"/>
      <c r="WQR1" s="677"/>
      <c r="WQS1" s="677"/>
      <c r="WQT1" s="677"/>
      <c r="WQU1" s="677"/>
      <c r="WQV1" s="677"/>
      <c r="WQW1" s="677"/>
      <c r="WQX1" s="677"/>
      <c r="WQY1" s="677"/>
      <c r="WQZ1" s="677"/>
      <c r="WRA1" s="677"/>
      <c r="WRB1" s="677"/>
      <c r="WRC1" s="677"/>
      <c r="WRD1" s="677"/>
      <c r="WRE1" s="677"/>
      <c r="WRF1" s="677"/>
      <c r="WRG1" s="677"/>
      <c r="WRH1" s="677"/>
      <c r="WRI1" s="677"/>
      <c r="WRJ1" s="677"/>
      <c r="WRK1" s="677"/>
      <c r="WRL1" s="677"/>
      <c r="WRM1" s="677"/>
      <c r="WRN1" s="677"/>
      <c r="WRO1" s="677"/>
      <c r="WRP1" s="677"/>
      <c r="WRQ1" s="677"/>
      <c r="WRR1" s="677"/>
      <c r="WRS1" s="677"/>
      <c r="WRT1" s="677"/>
      <c r="WRU1" s="677"/>
      <c r="WRV1" s="677"/>
      <c r="WRW1" s="677"/>
      <c r="WRX1" s="677"/>
      <c r="WRY1" s="677"/>
      <c r="WRZ1" s="677"/>
      <c r="WSA1" s="677"/>
      <c r="WSB1" s="677"/>
      <c r="WSC1" s="677"/>
      <c r="WSD1" s="677"/>
      <c r="WSE1" s="677"/>
      <c r="WSF1" s="677"/>
      <c r="WSG1" s="677"/>
      <c r="WSH1" s="677"/>
      <c r="WSI1" s="677"/>
      <c r="WSJ1" s="677"/>
      <c r="WSK1" s="677"/>
      <c r="WSL1" s="677"/>
      <c r="WSM1" s="677"/>
      <c r="WSN1" s="677"/>
      <c r="WSO1" s="677"/>
      <c r="WSP1" s="677"/>
      <c r="WSQ1" s="677"/>
      <c r="WSR1" s="677"/>
      <c r="WSS1" s="677"/>
      <c r="WST1" s="677"/>
      <c r="WSU1" s="677"/>
      <c r="WSV1" s="677"/>
      <c r="WSW1" s="677"/>
      <c r="WSX1" s="677"/>
      <c r="WSY1" s="677"/>
      <c r="WSZ1" s="677"/>
      <c r="WTA1" s="677"/>
      <c r="WTB1" s="677"/>
      <c r="WTC1" s="677"/>
      <c r="WTD1" s="677"/>
      <c r="WTE1" s="677"/>
      <c r="WTF1" s="677"/>
      <c r="WTG1" s="677"/>
      <c r="WTH1" s="677"/>
      <c r="WTI1" s="677"/>
      <c r="WTJ1" s="677"/>
      <c r="WTK1" s="677"/>
      <c r="WTL1" s="677"/>
      <c r="WTM1" s="677"/>
      <c r="WTN1" s="677"/>
      <c r="WTO1" s="677"/>
      <c r="WTP1" s="677"/>
      <c r="WTQ1" s="677"/>
      <c r="WTR1" s="677"/>
      <c r="WTS1" s="677"/>
      <c r="WTT1" s="677"/>
      <c r="WTU1" s="677"/>
      <c r="WTV1" s="677"/>
      <c r="WTW1" s="677"/>
      <c r="WTX1" s="677"/>
      <c r="WTY1" s="677"/>
      <c r="WTZ1" s="677"/>
      <c r="WUA1" s="677"/>
      <c r="WUB1" s="677"/>
      <c r="WUC1" s="677"/>
      <c r="WUD1" s="677"/>
      <c r="WUE1" s="677"/>
      <c r="WUF1" s="677"/>
      <c r="WUG1" s="677"/>
      <c r="WUH1" s="677"/>
      <c r="WUI1" s="677"/>
      <c r="WUJ1" s="677"/>
      <c r="WUK1" s="677"/>
      <c r="WUL1" s="677"/>
      <c r="WUM1" s="677"/>
      <c r="WUN1" s="677"/>
      <c r="WUO1" s="677"/>
      <c r="WUP1" s="677"/>
      <c r="WUQ1" s="677"/>
      <c r="WUR1" s="677"/>
      <c r="WUS1" s="677"/>
      <c r="WUT1" s="677"/>
      <c r="WUU1" s="677"/>
      <c r="WUV1" s="677"/>
      <c r="WUW1" s="677"/>
      <c r="WUX1" s="677"/>
      <c r="WUY1" s="677"/>
      <c r="WUZ1" s="677"/>
      <c r="WVA1" s="677"/>
      <c r="WVB1" s="677"/>
      <c r="WVC1" s="677"/>
      <c r="WVD1" s="677"/>
      <c r="WVE1" s="677"/>
      <c r="WVF1" s="677"/>
      <c r="WVG1" s="677"/>
      <c r="WVH1" s="677"/>
      <c r="WVI1" s="677"/>
      <c r="WVJ1" s="677"/>
      <c r="WVK1" s="677"/>
      <c r="WVL1" s="677"/>
      <c r="WVM1" s="677"/>
      <c r="WVN1" s="677"/>
      <c r="WVO1" s="677"/>
      <c r="WVP1" s="677"/>
      <c r="WVQ1" s="677"/>
      <c r="WVR1" s="677"/>
      <c r="WVS1" s="677"/>
      <c r="WVT1" s="677"/>
      <c r="WVU1" s="677"/>
      <c r="WVV1" s="677"/>
      <c r="WVW1" s="677"/>
      <c r="WVX1" s="677"/>
      <c r="WVY1" s="677"/>
      <c r="WVZ1" s="677"/>
      <c r="WWA1" s="677"/>
      <c r="WWB1" s="677"/>
      <c r="WWC1" s="677"/>
      <c r="WWD1" s="677"/>
      <c r="WWE1" s="677"/>
      <c r="WWF1" s="677"/>
      <c r="WWG1" s="677"/>
      <c r="WWH1" s="677"/>
      <c r="WWI1" s="677"/>
      <c r="WWJ1" s="677"/>
      <c r="WWK1" s="677"/>
      <c r="WWL1" s="677"/>
      <c r="WWM1" s="677"/>
      <c r="WWN1" s="677"/>
      <c r="WWO1" s="677"/>
      <c r="WWP1" s="677"/>
      <c r="WWQ1" s="677"/>
      <c r="WWR1" s="677"/>
      <c r="WWS1" s="677"/>
      <c r="WWT1" s="677"/>
      <c r="WWU1" s="677"/>
      <c r="WWV1" s="677"/>
      <c r="WWW1" s="677"/>
      <c r="WWX1" s="677"/>
      <c r="WWY1" s="677"/>
      <c r="WWZ1" s="677"/>
      <c r="WXA1" s="677"/>
      <c r="WXB1" s="677"/>
      <c r="WXC1" s="677"/>
      <c r="WXD1" s="677"/>
      <c r="WXE1" s="677"/>
      <c r="WXF1" s="677"/>
      <c r="WXG1" s="677"/>
      <c r="WXH1" s="677"/>
      <c r="WXI1" s="677"/>
      <c r="WXJ1" s="677"/>
      <c r="WXK1" s="677"/>
      <c r="WXL1" s="677"/>
      <c r="WXM1" s="677"/>
      <c r="WXN1" s="677"/>
      <c r="WXO1" s="677"/>
      <c r="WXP1" s="677"/>
      <c r="WXQ1" s="677"/>
      <c r="WXR1" s="677"/>
      <c r="WXS1" s="677"/>
      <c r="WXT1" s="677"/>
      <c r="WXU1" s="677"/>
      <c r="WXV1" s="677"/>
      <c r="WXW1" s="677"/>
      <c r="WXX1" s="677"/>
      <c r="WXY1" s="677"/>
      <c r="WXZ1" s="677"/>
      <c r="WYA1" s="677"/>
      <c r="WYB1" s="677"/>
      <c r="WYC1" s="677"/>
      <c r="WYD1" s="677"/>
      <c r="WYE1" s="677"/>
      <c r="WYF1" s="677"/>
      <c r="WYG1" s="677"/>
      <c r="WYH1" s="677"/>
      <c r="WYI1" s="677"/>
      <c r="WYJ1" s="677"/>
      <c r="WYK1" s="677"/>
      <c r="WYL1" s="677"/>
      <c r="WYM1" s="677"/>
      <c r="WYN1" s="677"/>
      <c r="WYO1" s="677"/>
      <c r="WYP1" s="677"/>
      <c r="WYQ1" s="677"/>
      <c r="WYR1" s="677"/>
      <c r="WYS1" s="677"/>
      <c r="WYT1" s="677"/>
      <c r="WYU1" s="677"/>
      <c r="WYV1" s="677"/>
      <c r="WYW1" s="677"/>
      <c r="WYX1" s="677"/>
      <c r="WYY1" s="677"/>
      <c r="WYZ1" s="677"/>
      <c r="WZA1" s="677"/>
      <c r="WZB1" s="677"/>
      <c r="WZC1" s="677"/>
      <c r="WZD1" s="677"/>
      <c r="WZE1" s="677"/>
      <c r="WZF1" s="677"/>
      <c r="WZG1" s="677"/>
      <c r="WZH1" s="677"/>
      <c r="WZI1" s="677"/>
      <c r="WZJ1" s="677"/>
      <c r="WZK1" s="677"/>
      <c r="WZL1" s="677"/>
      <c r="WZM1" s="677"/>
      <c r="WZN1" s="677"/>
      <c r="WZO1" s="677"/>
      <c r="WZP1" s="677"/>
      <c r="WZQ1" s="677"/>
      <c r="WZR1" s="677"/>
      <c r="WZS1" s="677"/>
      <c r="WZT1" s="677"/>
      <c r="WZU1" s="677"/>
      <c r="WZV1" s="677"/>
      <c r="WZW1" s="677"/>
      <c r="WZX1" s="677"/>
      <c r="WZY1" s="677"/>
      <c r="WZZ1" s="677"/>
      <c r="XAA1" s="677"/>
      <c r="XAB1" s="677"/>
      <c r="XAC1" s="677"/>
      <c r="XAD1" s="677"/>
      <c r="XAE1" s="677"/>
      <c r="XAF1" s="677"/>
      <c r="XAG1" s="677"/>
      <c r="XAH1" s="677"/>
      <c r="XAI1" s="677"/>
      <c r="XAJ1" s="677"/>
      <c r="XAK1" s="677"/>
      <c r="XAL1" s="677"/>
      <c r="XAM1" s="677"/>
      <c r="XAN1" s="677"/>
      <c r="XAO1" s="677"/>
      <c r="XAP1" s="677"/>
      <c r="XAQ1" s="677"/>
      <c r="XAR1" s="677"/>
      <c r="XAS1" s="677"/>
      <c r="XAT1" s="677"/>
      <c r="XAU1" s="677"/>
      <c r="XAV1" s="677"/>
      <c r="XAW1" s="677"/>
      <c r="XAX1" s="677"/>
      <c r="XAY1" s="677"/>
      <c r="XAZ1" s="677"/>
      <c r="XBA1" s="677"/>
      <c r="XBB1" s="677"/>
      <c r="XBC1" s="677"/>
      <c r="XBD1" s="677"/>
      <c r="XBE1" s="677"/>
      <c r="XBF1" s="677"/>
      <c r="XBG1" s="677"/>
      <c r="XBH1" s="677"/>
      <c r="XBI1" s="677"/>
      <c r="XBJ1" s="677"/>
      <c r="XBK1" s="677"/>
      <c r="XBL1" s="677"/>
      <c r="XBM1" s="677"/>
      <c r="XBN1" s="677"/>
      <c r="XBO1" s="677"/>
      <c r="XBP1" s="677"/>
      <c r="XBQ1" s="677"/>
      <c r="XBR1" s="677"/>
      <c r="XBS1" s="677"/>
      <c r="XBT1" s="677"/>
      <c r="XBU1" s="677"/>
      <c r="XBV1" s="677"/>
      <c r="XBW1" s="677"/>
      <c r="XBX1" s="677"/>
      <c r="XBY1" s="677"/>
      <c r="XBZ1" s="677"/>
      <c r="XCA1" s="677"/>
      <c r="XCB1" s="677"/>
      <c r="XCC1" s="677"/>
      <c r="XCD1" s="677"/>
      <c r="XCE1" s="677"/>
      <c r="XCF1" s="677"/>
      <c r="XCG1" s="677"/>
      <c r="XCH1" s="677"/>
      <c r="XCI1" s="677"/>
      <c r="XCJ1" s="677"/>
      <c r="XCK1" s="677"/>
      <c r="XCL1" s="677"/>
      <c r="XCM1" s="677"/>
      <c r="XCN1" s="677"/>
      <c r="XCO1" s="677"/>
      <c r="XCP1" s="677"/>
      <c r="XCQ1" s="677"/>
      <c r="XCR1" s="677"/>
      <c r="XCS1" s="677"/>
      <c r="XCT1" s="677"/>
      <c r="XCU1" s="677"/>
      <c r="XCV1" s="677"/>
      <c r="XCW1" s="677"/>
      <c r="XCX1" s="677"/>
      <c r="XCY1" s="677"/>
      <c r="XCZ1" s="677"/>
      <c r="XDA1" s="677"/>
      <c r="XDB1" s="677"/>
      <c r="XDC1" s="677"/>
      <c r="XDD1" s="677"/>
      <c r="XDE1" s="677"/>
      <c r="XDF1" s="677"/>
      <c r="XDG1" s="677"/>
      <c r="XDH1" s="677"/>
      <c r="XDI1" s="677"/>
      <c r="XDJ1" s="677"/>
      <c r="XDK1" s="677"/>
      <c r="XDL1" s="677"/>
      <c r="XDM1" s="677"/>
      <c r="XDN1" s="677"/>
      <c r="XDO1" s="677"/>
      <c r="XDP1" s="677"/>
      <c r="XDQ1" s="677"/>
      <c r="XDR1" s="677"/>
      <c r="XDS1" s="677"/>
      <c r="XDT1" s="677"/>
      <c r="XDU1" s="677"/>
      <c r="XDV1" s="677"/>
      <c r="XDW1" s="677"/>
      <c r="XDX1" s="677"/>
      <c r="XDY1" s="677"/>
      <c r="XDZ1" s="677"/>
      <c r="XEA1" s="677"/>
      <c r="XEB1" s="677"/>
      <c r="XEC1" s="677"/>
      <c r="XED1" s="677"/>
      <c r="XEE1" s="677"/>
      <c r="XEF1" s="677"/>
      <c r="XEG1" s="677"/>
      <c r="XEH1" s="677"/>
      <c r="XEI1" s="677"/>
      <c r="XEJ1" s="677"/>
      <c r="XEK1" s="677"/>
      <c r="XEL1" s="677"/>
      <c r="XEM1" s="677"/>
      <c r="XEN1" s="677"/>
      <c r="XEO1" s="677"/>
      <c r="XEP1" s="677"/>
      <c r="XEQ1" s="677"/>
      <c r="XER1" s="677"/>
      <c r="XES1" s="677"/>
      <c r="XET1" s="677"/>
      <c r="XEU1" s="677"/>
      <c r="XEV1" s="677"/>
      <c r="XEW1" s="677"/>
      <c r="XEX1" s="677"/>
      <c r="XEY1" s="677"/>
      <c r="XEZ1" s="677"/>
      <c r="XFA1" s="677"/>
      <c r="XFB1" s="677"/>
      <c r="XFC1" s="677"/>
      <c r="XFD1" s="677"/>
    </row>
    <row r="2" spans="1:16384" x14ac:dyDescent="0.2">
      <c r="A2" s="676" t="s">
        <v>934</v>
      </c>
      <c r="B2" s="676"/>
      <c r="C2" s="676"/>
      <c r="D2" s="676"/>
      <c r="E2" s="676"/>
      <c r="F2" s="676"/>
      <c r="G2" s="676"/>
      <c r="H2" s="676"/>
      <c r="I2" s="676"/>
      <c r="J2" s="676"/>
      <c r="K2" s="676"/>
    </row>
    <row r="3" spans="1:16384" x14ac:dyDescent="0.2">
      <c r="A3" s="677"/>
      <c r="B3" s="677"/>
      <c r="C3" s="677"/>
      <c r="D3" s="677"/>
      <c r="E3" s="677"/>
      <c r="F3" s="677"/>
      <c r="G3" s="677"/>
      <c r="H3" s="677"/>
      <c r="I3" s="677"/>
      <c r="J3" s="677"/>
      <c r="K3" s="677"/>
    </row>
    <row r="4" spans="1:16384" x14ac:dyDescent="0.2">
      <c r="A4" s="500"/>
      <c r="B4" s="500"/>
      <c r="C4" s="500"/>
      <c r="D4" s="500"/>
      <c r="E4" s="500"/>
      <c r="F4" s="500"/>
      <c r="G4" s="500"/>
      <c r="H4" s="500"/>
      <c r="I4" s="500"/>
      <c r="K4" s="500"/>
    </row>
    <row r="5" spans="1:16384" x14ac:dyDescent="0.2">
      <c r="A5" s="500"/>
      <c r="B5" s="500"/>
      <c r="C5" s="500"/>
      <c r="D5" s="500"/>
      <c r="E5" s="500"/>
      <c r="F5" s="500"/>
      <c r="G5" s="500"/>
      <c r="H5" s="500"/>
      <c r="I5" s="500"/>
      <c r="K5" s="500"/>
    </row>
    <row r="8" spans="1:16384" x14ac:dyDescent="0.2">
      <c r="A8" s="1" t="s">
        <v>55</v>
      </c>
      <c r="B8" s="1"/>
    </row>
    <row r="9" spans="1:16384" x14ac:dyDescent="0.2">
      <c r="A9" s="113" t="s">
        <v>56</v>
      </c>
      <c r="B9" s="105" t="s">
        <v>57</v>
      </c>
      <c r="C9" s="16">
        <f>'Rate Calculation'!E47</f>
        <v>145334099.59196863</v>
      </c>
      <c r="D9" s="53" t="s">
        <v>58</v>
      </c>
      <c r="E9" s="3">
        <f>ABS('Rate Calculation'!E49)</f>
        <v>14934033.232722955</v>
      </c>
      <c r="F9" s="24" t="s">
        <v>59</v>
      </c>
      <c r="G9" s="40" t="s">
        <v>60</v>
      </c>
      <c r="H9" s="58">
        <f>'Rate Calculation'!E53* 1000</f>
        <v>3735916.6666666665</v>
      </c>
      <c r="I9" s="40" t="s">
        <v>113</v>
      </c>
      <c r="J9" s="59">
        <f>'Rate Calculation'!E55</f>
        <v>34.9</v>
      </c>
      <c r="K9" s="197" t="s">
        <v>61</v>
      </c>
    </row>
    <row r="10" spans="1:16384" x14ac:dyDescent="0.2">
      <c r="A10" s="113" t="s">
        <v>62</v>
      </c>
      <c r="B10" s="113"/>
      <c r="C10" s="60">
        <f>'Rate Calculation'!E56</f>
        <v>2.9083000000000001</v>
      </c>
      <c r="D10" s="197" t="s">
        <v>63</v>
      </c>
    </row>
    <row r="11" spans="1:16384" x14ac:dyDescent="0.2">
      <c r="A11" s="113" t="s">
        <v>64</v>
      </c>
      <c r="B11" s="113"/>
      <c r="C11" s="60">
        <f>'Rate Calculation'!E57</f>
        <v>0.67120000000000002</v>
      </c>
      <c r="D11" s="197" t="s">
        <v>65</v>
      </c>
    </row>
    <row r="12" spans="1:16384" x14ac:dyDescent="0.2">
      <c r="A12" s="113" t="s">
        <v>66</v>
      </c>
      <c r="B12" s="113"/>
      <c r="C12" s="60">
        <f>'Rate Calculation'!E58</f>
        <v>0.1119</v>
      </c>
      <c r="D12" s="197" t="s">
        <v>67</v>
      </c>
    </row>
    <row r="13" spans="1:16384" x14ac:dyDescent="0.2">
      <c r="A13" s="113" t="s">
        <v>68</v>
      </c>
      <c r="B13" s="113"/>
      <c r="C13" s="60">
        <f>'Rate Calculation'!E59</f>
        <v>9.5899999999999999E-2</v>
      </c>
      <c r="D13" s="197" t="s">
        <v>67</v>
      </c>
    </row>
    <row r="15" spans="1:16384" x14ac:dyDescent="0.2">
      <c r="A15" s="1" t="s">
        <v>69</v>
      </c>
      <c r="B15" s="1"/>
    </row>
    <row r="16" spans="1:16384" x14ac:dyDescent="0.2">
      <c r="A16" s="113" t="s">
        <v>70</v>
      </c>
      <c r="B16" s="113"/>
      <c r="C16" s="60">
        <f>C10</f>
        <v>2.9083000000000001</v>
      </c>
      <c r="D16" s="197" t="s">
        <v>63</v>
      </c>
    </row>
    <row r="17" spans="1:10" x14ac:dyDescent="0.2">
      <c r="A17" s="113" t="s">
        <v>71</v>
      </c>
      <c r="B17" s="113"/>
      <c r="C17" s="60">
        <f>C11</f>
        <v>0.67120000000000002</v>
      </c>
      <c r="D17" s="197" t="s">
        <v>65</v>
      </c>
    </row>
    <row r="18" spans="1:10" x14ac:dyDescent="0.2">
      <c r="A18" s="113" t="s">
        <v>72</v>
      </c>
      <c r="B18" s="113"/>
      <c r="C18" s="60">
        <f>C12</f>
        <v>0.1119</v>
      </c>
      <c r="D18" s="197" t="s">
        <v>67</v>
      </c>
    </row>
    <row r="19" spans="1:10" x14ac:dyDescent="0.2">
      <c r="A19" s="113" t="s">
        <v>68</v>
      </c>
      <c r="B19" s="113"/>
      <c r="C19" s="60">
        <f>C13</f>
        <v>9.5899999999999999E-2</v>
      </c>
      <c r="D19" s="197" t="s">
        <v>67</v>
      </c>
    </row>
    <row r="20" spans="1:10" ht="25.5" x14ac:dyDescent="0.2">
      <c r="A20" s="114" t="s">
        <v>73</v>
      </c>
      <c r="B20" s="114"/>
      <c r="C20" s="61">
        <f>'Rate Calculation'!E60</f>
        <v>7.13</v>
      </c>
      <c r="D20" s="197" t="s">
        <v>74</v>
      </c>
    </row>
    <row r="21" spans="1:10" x14ac:dyDescent="0.2">
      <c r="A21" s="113" t="s">
        <v>75</v>
      </c>
      <c r="C21" s="61">
        <f>'Rate Calculation'!E61</f>
        <v>3.98</v>
      </c>
      <c r="D21" s="197" t="s">
        <v>74</v>
      </c>
    </row>
    <row r="22" spans="1:10" x14ac:dyDescent="0.2">
      <c r="A22" s="113"/>
    </row>
    <row r="23" spans="1:10" x14ac:dyDescent="0.2">
      <c r="A23" s="62" t="s">
        <v>76</v>
      </c>
      <c r="B23" s="62"/>
    </row>
    <row r="24" spans="1:10" x14ac:dyDescent="0.2">
      <c r="A24" s="113" t="s">
        <v>77</v>
      </c>
      <c r="B24" s="113"/>
      <c r="C24" s="3">
        <f>'Rate Calculation'!E47</f>
        <v>145334099.59196863</v>
      </c>
      <c r="D24" s="63" t="s">
        <v>58</v>
      </c>
      <c r="E24" s="3">
        <f>ABS('Rate Calculation'!E49)</f>
        <v>14934033.232722955</v>
      </c>
      <c r="F24" s="24" t="s">
        <v>346</v>
      </c>
      <c r="H24" s="16">
        <f>'Calc of NT Rev Req'!I16</f>
        <v>3979453.1464666412</v>
      </c>
      <c r="I24" s="40" t="s">
        <v>113</v>
      </c>
      <c r="J24" s="64">
        <f>'Calc of NT Rev Req'!I18</f>
        <v>134379519.5057123</v>
      </c>
    </row>
    <row r="25" spans="1:10" x14ac:dyDescent="0.2">
      <c r="A25" s="113" t="s">
        <v>331</v>
      </c>
      <c r="B25" s="113"/>
      <c r="C25" s="16">
        <f>J24/12</f>
        <v>11198293.292142691</v>
      </c>
    </row>
    <row r="28" spans="1:10" x14ac:dyDescent="0.2">
      <c r="A28" s="40"/>
      <c r="B28" s="40"/>
    </row>
  </sheetData>
  <mergeCells count="1492">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s>
  <phoneticPr fontId="18"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12/31/2016</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88"/>
  <sheetViews>
    <sheetView topLeftCell="A31" zoomScale="80" zoomScaleNormal="80" zoomScaleSheetLayoutView="100" workbookViewId="0">
      <selection activeCell="A19" sqref="A19"/>
    </sheetView>
  </sheetViews>
  <sheetFormatPr defaultRowHeight="12.75" x14ac:dyDescent="0.2"/>
  <cols>
    <col min="1" max="1" width="37.28515625" style="153" customWidth="1"/>
    <col min="2" max="2" width="11.140625" style="153" customWidth="1"/>
    <col min="3" max="3" width="15" style="385" customWidth="1"/>
    <col min="4" max="4" width="15.7109375" style="385" customWidth="1"/>
    <col min="5" max="6" width="15" style="385" customWidth="1"/>
    <col min="7" max="7" width="13" style="385" customWidth="1"/>
    <col min="8" max="8" width="13" style="153" customWidth="1"/>
    <col min="9" max="9" width="12.85546875" style="153" customWidth="1"/>
    <col min="10" max="10" width="11.7109375" style="153" customWidth="1"/>
    <col min="11" max="11" width="13" style="153" customWidth="1"/>
    <col min="12" max="12" width="11.7109375" style="153" customWidth="1"/>
    <col min="13" max="16384" width="9.140625" style="153"/>
  </cols>
  <sheetData>
    <row r="1" spans="1:13" x14ac:dyDescent="0.2">
      <c r="A1" s="685" t="s">
        <v>685</v>
      </c>
      <c r="B1" s="685"/>
      <c r="C1" s="685"/>
      <c r="D1" s="685"/>
      <c r="E1" s="685"/>
      <c r="F1" s="685"/>
      <c r="G1" s="685"/>
      <c r="H1" s="685"/>
      <c r="I1" s="685"/>
      <c r="J1" s="685"/>
      <c r="K1" s="685"/>
      <c r="L1" s="685"/>
    </row>
    <row r="2" spans="1:13" x14ac:dyDescent="0.2">
      <c r="A2" s="685" t="s">
        <v>985</v>
      </c>
      <c r="B2" s="685"/>
      <c r="C2" s="685"/>
      <c r="D2" s="685"/>
      <c r="E2" s="685"/>
      <c r="F2" s="685"/>
      <c r="G2" s="685"/>
      <c r="H2" s="685"/>
      <c r="I2" s="685"/>
      <c r="J2" s="685"/>
      <c r="K2" s="685"/>
      <c r="L2" s="685"/>
    </row>
    <row r="5" spans="1:13" ht="42.75" customHeight="1" x14ac:dyDescent="0.2">
      <c r="A5" s="304" t="s">
        <v>658</v>
      </c>
      <c r="B5" s="171" t="s">
        <v>659</v>
      </c>
      <c r="C5" s="370" t="s">
        <v>356</v>
      </c>
      <c r="D5" s="370" t="s">
        <v>1071</v>
      </c>
      <c r="E5" s="370" t="s">
        <v>879</v>
      </c>
      <c r="F5" s="370" t="s">
        <v>880</v>
      </c>
      <c r="G5" s="370" t="s">
        <v>881</v>
      </c>
      <c r="H5" s="370" t="s">
        <v>357</v>
      </c>
      <c r="I5" s="370" t="s">
        <v>1047</v>
      </c>
      <c r="J5" s="370" t="s">
        <v>358</v>
      </c>
      <c r="K5" s="370" t="s">
        <v>909</v>
      </c>
      <c r="L5" s="370" t="s">
        <v>101</v>
      </c>
    </row>
    <row r="6" spans="1:13" x14ac:dyDescent="0.2">
      <c r="A6" s="304"/>
      <c r="B6" s="304"/>
      <c r="C6" s="371"/>
      <c r="D6" s="371"/>
      <c r="E6" s="371"/>
      <c r="F6" s="153"/>
      <c r="G6" s="153"/>
    </row>
    <row r="7" spans="1:13" x14ac:dyDescent="0.2">
      <c r="A7" s="157" t="s">
        <v>1046</v>
      </c>
      <c r="B7" s="157" t="s">
        <v>660</v>
      </c>
      <c r="C7" s="651">
        <v>0</v>
      </c>
      <c r="D7" s="651">
        <v>0</v>
      </c>
      <c r="E7" s="652">
        <v>0</v>
      </c>
      <c r="F7" s="652">
        <v>0</v>
      </c>
      <c r="G7" s="653">
        <v>0</v>
      </c>
      <c r="H7" s="653">
        <v>21.96</v>
      </c>
      <c r="I7" s="653">
        <v>0</v>
      </c>
      <c r="J7" s="653">
        <v>0</v>
      </c>
      <c r="K7" s="653">
        <v>0</v>
      </c>
      <c r="L7" s="653">
        <v>0</v>
      </c>
      <c r="M7" s="87"/>
    </row>
    <row r="8" spans="1:13" x14ac:dyDescent="0.2">
      <c r="A8" s="157" t="s">
        <v>988</v>
      </c>
      <c r="B8" s="157" t="s">
        <v>660</v>
      </c>
      <c r="C8" s="651">
        <v>20725.5</v>
      </c>
      <c r="D8" s="651">
        <v>0</v>
      </c>
      <c r="E8" s="652">
        <v>0</v>
      </c>
      <c r="F8" s="652">
        <v>3.7387119058962526E-3</v>
      </c>
      <c r="G8" s="653">
        <v>0</v>
      </c>
      <c r="H8" s="653">
        <v>311868.18</v>
      </c>
      <c r="I8" s="653">
        <v>0</v>
      </c>
      <c r="J8" s="653">
        <v>0</v>
      </c>
      <c r="K8" s="653">
        <v>0</v>
      </c>
      <c r="L8" s="653">
        <v>0</v>
      </c>
      <c r="M8" s="87"/>
    </row>
    <row r="9" spans="1:13" x14ac:dyDescent="0.2">
      <c r="A9" s="157" t="s">
        <v>989</v>
      </c>
      <c r="B9" s="157" t="s">
        <v>660</v>
      </c>
      <c r="C9" s="651">
        <v>338.25</v>
      </c>
      <c r="D9" s="651">
        <v>0</v>
      </c>
      <c r="E9" s="652">
        <v>0</v>
      </c>
      <c r="F9" s="652">
        <v>0</v>
      </c>
      <c r="G9" s="653">
        <v>0</v>
      </c>
      <c r="H9" s="653">
        <v>7360.64</v>
      </c>
      <c r="I9" s="653">
        <v>0</v>
      </c>
      <c r="J9" s="653">
        <v>0</v>
      </c>
      <c r="K9" s="653">
        <v>0</v>
      </c>
      <c r="L9" s="653">
        <v>0</v>
      </c>
      <c r="M9" s="87"/>
    </row>
    <row r="10" spans="1:13" x14ac:dyDescent="0.2">
      <c r="A10" s="157" t="s">
        <v>0</v>
      </c>
      <c r="B10" s="157" t="s">
        <v>660</v>
      </c>
      <c r="C10" s="651">
        <v>0</v>
      </c>
      <c r="D10" s="651">
        <v>0</v>
      </c>
      <c r="E10" s="652">
        <v>0</v>
      </c>
      <c r="F10" s="652">
        <v>0</v>
      </c>
      <c r="G10" s="653">
        <v>0</v>
      </c>
      <c r="H10" s="653">
        <v>904</v>
      </c>
      <c r="I10" s="653">
        <v>0</v>
      </c>
      <c r="J10" s="653">
        <v>0</v>
      </c>
      <c r="K10" s="653">
        <v>0</v>
      </c>
      <c r="L10" s="653">
        <v>0</v>
      </c>
      <c r="M10" s="87"/>
    </row>
    <row r="11" spans="1:13" x14ac:dyDescent="0.2">
      <c r="A11" s="157" t="s">
        <v>661</v>
      </c>
      <c r="B11" s="157" t="s">
        <v>660</v>
      </c>
      <c r="C11" s="651">
        <v>0</v>
      </c>
      <c r="D11" s="651">
        <v>0</v>
      </c>
      <c r="E11" s="652">
        <v>0</v>
      </c>
      <c r="F11" s="652">
        <v>0</v>
      </c>
      <c r="G11" s="653">
        <v>0</v>
      </c>
      <c r="H11" s="653">
        <v>123</v>
      </c>
      <c r="I11" s="653">
        <v>0</v>
      </c>
      <c r="J11" s="653">
        <v>0</v>
      </c>
      <c r="K11" s="653">
        <v>0</v>
      </c>
      <c r="L11" s="653">
        <v>0</v>
      </c>
      <c r="M11" s="87"/>
    </row>
    <row r="12" spans="1:13" x14ac:dyDescent="0.2">
      <c r="A12" s="157" t="s">
        <v>1</v>
      </c>
      <c r="B12" s="157" t="s">
        <v>660</v>
      </c>
      <c r="C12" s="651">
        <v>0</v>
      </c>
      <c r="D12" s="651">
        <v>0</v>
      </c>
      <c r="E12" s="652">
        <v>0</v>
      </c>
      <c r="F12" s="652">
        <v>0</v>
      </c>
      <c r="G12" s="653">
        <v>0</v>
      </c>
      <c r="H12" s="653">
        <v>95</v>
      </c>
      <c r="I12" s="653">
        <v>0</v>
      </c>
      <c r="J12" s="653">
        <v>0</v>
      </c>
      <c r="K12" s="653">
        <v>0</v>
      </c>
      <c r="L12" s="653">
        <v>0</v>
      </c>
      <c r="M12" s="87"/>
    </row>
    <row r="13" spans="1:13" x14ac:dyDescent="0.2">
      <c r="A13" s="157" t="s">
        <v>662</v>
      </c>
      <c r="B13" s="157" t="s">
        <v>660</v>
      </c>
      <c r="C13" s="651">
        <v>0</v>
      </c>
      <c r="D13" s="651">
        <v>0</v>
      </c>
      <c r="E13" s="652">
        <v>0</v>
      </c>
      <c r="F13" s="652">
        <v>0</v>
      </c>
      <c r="G13" s="653">
        <v>0</v>
      </c>
      <c r="H13" s="653">
        <v>428</v>
      </c>
      <c r="I13" s="653">
        <v>0</v>
      </c>
      <c r="J13" s="653">
        <v>0</v>
      </c>
      <c r="K13" s="653">
        <v>0</v>
      </c>
      <c r="L13" s="653">
        <v>0</v>
      </c>
      <c r="M13" s="87"/>
    </row>
    <row r="14" spans="1:13" x14ac:dyDescent="0.2">
      <c r="A14" s="157" t="s">
        <v>739</v>
      </c>
      <c r="B14" s="157" t="s">
        <v>660</v>
      </c>
      <c r="C14" s="651">
        <v>404</v>
      </c>
      <c r="D14" s="651">
        <v>23.63</v>
      </c>
      <c r="E14" s="652">
        <v>0</v>
      </c>
      <c r="F14" s="652">
        <v>0</v>
      </c>
      <c r="G14" s="653">
        <v>1030</v>
      </c>
      <c r="H14" s="653">
        <v>5895.36</v>
      </c>
      <c r="I14" s="653">
        <v>247.59</v>
      </c>
      <c r="J14" s="653">
        <v>0</v>
      </c>
      <c r="K14" s="653">
        <v>0</v>
      </c>
      <c r="L14" s="653">
        <v>0</v>
      </c>
      <c r="M14" s="87"/>
    </row>
    <row r="15" spans="1:13" x14ac:dyDescent="0.2">
      <c r="A15" s="157" t="s">
        <v>663</v>
      </c>
      <c r="B15" s="157" t="s">
        <v>660</v>
      </c>
      <c r="C15" s="651">
        <v>0</v>
      </c>
      <c r="D15" s="651">
        <v>0</v>
      </c>
      <c r="E15" s="652">
        <v>0</v>
      </c>
      <c r="F15" s="652">
        <v>0</v>
      </c>
      <c r="G15" s="653">
        <v>0</v>
      </c>
      <c r="H15" s="653">
        <v>2803.5</v>
      </c>
      <c r="I15" s="653">
        <v>0</v>
      </c>
      <c r="J15" s="653">
        <v>0</v>
      </c>
      <c r="K15" s="653">
        <v>0</v>
      </c>
      <c r="L15" s="653">
        <v>0</v>
      </c>
      <c r="M15" s="87"/>
    </row>
    <row r="16" spans="1:13" x14ac:dyDescent="0.2">
      <c r="A16" s="157" t="s">
        <v>664</v>
      </c>
      <c r="B16" s="157" t="s">
        <v>660</v>
      </c>
      <c r="C16" s="651">
        <v>73.36</v>
      </c>
      <c r="D16" s="651">
        <v>0</v>
      </c>
      <c r="E16" s="652">
        <v>0</v>
      </c>
      <c r="F16" s="652">
        <v>0</v>
      </c>
      <c r="G16" s="653">
        <v>0</v>
      </c>
      <c r="H16" s="653">
        <v>1094.7</v>
      </c>
      <c r="I16" s="653">
        <v>0</v>
      </c>
      <c r="J16" s="653">
        <v>0</v>
      </c>
      <c r="K16" s="653">
        <v>0</v>
      </c>
      <c r="L16" s="653">
        <v>0</v>
      </c>
      <c r="M16" s="87"/>
    </row>
    <row r="17" spans="1:13" x14ac:dyDescent="0.2">
      <c r="A17" s="157" t="s">
        <v>351</v>
      </c>
      <c r="B17" s="157" t="s">
        <v>660</v>
      </c>
      <c r="C17" s="651">
        <v>3843.75</v>
      </c>
      <c r="D17" s="651">
        <v>0</v>
      </c>
      <c r="E17" s="652">
        <v>0</v>
      </c>
      <c r="F17" s="652">
        <v>0</v>
      </c>
      <c r="G17" s="653">
        <v>2900</v>
      </c>
      <c r="H17" s="653">
        <v>50135.68</v>
      </c>
      <c r="I17" s="653">
        <v>0</v>
      </c>
      <c r="J17" s="653">
        <v>0</v>
      </c>
      <c r="K17" s="653">
        <v>0</v>
      </c>
      <c r="L17" s="653">
        <v>0</v>
      </c>
      <c r="M17" s="87"/>
    </row>
    <row r="18" spans="1:13" x14ac:dyDescent="0.2">
      <c r="A18" s="157" t="s">
        <v>665</v>
      </c>
      <c r="B18" s="157" t="s">
        <v>660</v>
      </c>
      <c r="C18" s="651">
        <v>387.76</v>
      </c>
      <c r="D18" s="651">
        <v>0</v>
      </c>
      <c r="E18" s="652">
        <v>0</v>
      </c>
      <c r="F18" s="652">
        <v>0</v>
      </c>
      <c r="G18" s="653">
        <v>120</v>
      </c>
      <c r="H18" s="653">
        <v>309.72000000000003</v>
      </c>
      <c r="I18" s="653">
        <v>0</v>
      </c>
      <c r="J18" s="653">
        <v>0</v>
      </c>
      <c r="K18" s="653">
        <v>0</v>
      </c>
      <c r="L18" s="653">
        <v>0</v>
      </c>
      <c r="M18" s="87"/>
    </row>
    <row r="19" spans="1:13" x14ac:dyDescent="0.2">
      <c r="A19" s="157" t="s">
        <v>1114</v>
      </c>
      <c r="B19" s="157" t="s">
        <v>660</v>
      </c>
      <c r="C19" s="651">
        <v>91.6</v>
      </c>
      <c r="D19" s="651">
        <v>0</v>
      </c>
      <c r="E19" s="652">
        <v>0</v>
      </c>
      <c r="F19" s="652">
        <v>0</v>
      </c>
      <c r="G19" s="653">
        <v>0</v>
      </c>
      <c r="H19" s="653">
        <v>793.6</v>
      </c>
      <c r="I19" s="653">
        <v>0</v>
      </c>
      <c r="J19" s="653">
        <v>0</v>
      </c>
      <c r="K19" s="653">
        <v>0</v>
      </c>
      <c r="L19" s="653">
        <v>0</v>
      </c>
      <c r="M19" s="87"/>
    </row>
    <row r="20" spans="1:13" x14ac:dyDescent="0.2">
      <c r="A20" s="157" t="s">
        <v>666</v>
      </c>
      <c r="B20" s="157" t="s">
        <v>660</v>
      </c>
      <c r="C20" s="651">
        <v>18.32</v>
      </c>
      <c r="D20" s="651">
        <v>0</v>
      </c>
      <c r="E20" s="652">
        <v>0</v>
      </c>
      <c r="F20" s="652">
        <v>0</v>
      </c>
      <c r="G20" s="653">
        <v>0</v>
      </c>
      <c r="H20" s="653">
        <v>5118.72</v>
      </c>
      <c r="I20" s="653">
        <v>0</v>
      </c>
      <c r="J20" s="653">
        <v>0</v>
      </c>
      <c r="K20" s="653">
        <v>0</v>
      </c>
      <c r="L20" s="653">
        <v>0</v>
      </c>
      <c r="M20" s="87"/>
    </row>
    <row r="21" spans="1:13" x14ac:dyDescent="0.2">
      <c r="A21" s="157"/>
      <c r="B21" s="157"/>
      <c r="C21" s="654"/>
      <c r="D21" s="654"/>
      <c r="E21" s="654"/>
      <c r="F21" s="654"/>
      <c r="G21" s="654"/>
      <c r="H21" s="654"/>
      <c r="I21" s="654"/>
      <c r="J21" s="654"/>
      <c r="K21" s="654"/>
      <c r="L21" s="654"/>
      <c r="M21" s="87"/>
    </row>
    <row r="22" spans="1:13" x14ac:dyDescent="0.2">
      <c r="A22" s="157" t="s">
        <v>667</v>
      </c>
      <c r="B22" s="157" t="s">
        <v>668</v>
      </c>
      <c r="C22" s="651">
        <v>0</v>
      </c>
      <c r="D22" s="651">
        <v>0</v>
      </c>
      <c r="E22" s="652">
        <v>0</v>
      </c>
      <c r="F22" s="652">
        <v>0</v>
      </c>
      <c r="G22" s="653">
        <v>0</v>
      </c>
      <c r="H22" s="653">
        <v>17.5</v>
      </c>
      <c r="I22" s="653">
        <v>0</v>
      </c>
      <c r="J22" s="653">
        <v>0</v>
      </c>
      <c r="K22" s="653">
        <v>0</v>
      </c>
      <c r="L22" s="653">
        <v>0</v>
      </c>
      <c r="M22" s="87"/>
    </row>
    <row r="23" spans="1:13" x14ac:dyDescent="0.2">
      <c r="A23" s="157" t="s">
        <v>669</v>
      </c>
      <c r="B23" s="157" t="s">
        <v>668</v>
      </c>
      <c r="C23" s="651">
        <v>10.48</v>
      </c>
      <c r="D23" s="651">
        <v>0</v>
      </c>
      <c r="E23" s="652">
        <v>0</v>
      </c>
      <c r="F23" s="652">
        <v>0</v>
      </c>
      <c r="G23" s="653">
        <v>0</v>
      </c>
      <c r="H23" s="653">
        <v>10.68</v>
      </c>
      <c r="I23" s="653">
        <v>0</v>
      </c>
      <c r="J23" s="653">
        <v>0</v>
      </c>
      <c r="K23" s="653">
        <v>0</v>
      </c>
      <c r="L23" s="653">
        <v>0</v>
      </c>
      <c r="M23" s="87"/>
    </row>
    <row r="24" spans="1:13" x14ac:dyDescent="0.2">
      <c r="A24" s="157" t="s">
        <v>670</v>
      </c>
      <c r="B24" s="157" t="s">
        <v>668</v>
      </c>
      <c r="C24" s="651">
        <v>0</v>
      </c>
      <c r="D24" s="651">
        <v>0</v>
      </c>
      <c r="E24" s="652">
        <v>0</v>
      </c>
      <c r="F24" s="652">
        <v>0</v>
      </c>
      <c r="G24" s="653">
        <v>0</v>
      </c>
      <c r="H24" s="653">
        <v>8.1999999999999993</v>
      </c>
      <c r="I24" s="653">
        <v>0</v>
      </c>
      <c r="J24" s="653">
        <v>0</v>
      </c>
      <c r="K24" s="653">
        <v>0</v>
      </c>
      <c r="L24" s="653">
        <v>0</v>
      </c>
      <c r="M24" s="87"/>
    </row>
    <row r="25" spans="1:13" x14ac:dyDescent="0.2">
      <c r="A25" s="157" t="s">
        <v>671</v>
      </c>
      <c r="B25" s="157" t="s">
        <v>668</v>
      </c>
      <c r="C25" s="651">
        <v>0</v>
      </c>
      <c r="D25" s="651">
        <v>0</v>
      </c>
      <c r="E25" s="652">
        <v>0</v>
      </c>
      <c r="F25" s="652">
        <v>0</v>
      </c>
      <c r="G25" s="653">
        <v>0</v>
      </c>
      <c r="H25" s="653">
        <v>53.4</v>
      </c>
      <c r="I25" s="653">
        <v>0</v>
      </c>
      <c r="J25" s="653">
        <v>0</v>
      </c>
      <c r="K25" s="653">
        <v>0</v>
      </c>
      <c r="L25" s="653">
        <v>0</v>
      </c>
      <c r="M25" s="87"/>
    </row>
    <row r="26" spans="1:13" x14ac:dyDescent="0.2">
      <c r="A26" s="157" t="s">
        <v>643</v>
      </c>
      <c r="B26" s="157" t="s">
        <v>668</v>
      </c>
      <c r="C26" s="651">
        <v>0</v>
      </c>
      <c r="D26" s="651">
        <v>0</v>
      </c>
      <c r="E26" s="652">
        <v>0</v>
      </c>
      <c r="F26" s="652">
        <v>0</v>
      </c>
      <c r="G26" s="653">
        <v>0</v>
      </c>
      <c r="H26" s="653">
        <v>85.44</v>
      </c>
      <c r="I26" s="653">
        <v>0</v>
      </c>
      <c r="J26" s="653">
        <v>0</v>
      </c>
      <c r="K26" s="653">
        <v>0</v>
      </c>
      <c r="L26" s="653">
        <v>0</v>
      </c>
      <c r="M26" s="87"/>
    </row>
    <row r="27" spans="1:13" x14ac:dyDescent="0.2">
      <c r="A27" s="157" t="s">
        <v>882</v>
      </c>
      <c r="B27" s="157" t="s">
        <v>668</v>
      </c>
      <c r="C27" s="651">
        <v>0</v>
      </c>
      <c r="D27" s="651">
        <v>0</v>
      </c>
      <c r="E27" s="652">
        <v>0</v>
      </c>
      <c r="F27" s="652">
        <v>0</v>
      </c>
      <c r="G27" s="653">
        <v>0</v>
      </c>
      <c r="H27" s="653">
        <v>80.099999999999994</v>
      </c>
      <c r="I27" s="653">
        <v>0</v>
      </c>
      <c r="J27" s="653">
        <v>0</v>
      </c>
      <c r="K27" s="653">
        <v>0</v>
      </c>
      <c r="L27" s="653">
        <v>0</v>
      </c>
      <c r="M27" s="87"/>
    </row>
    <row r="28" spans="1:13" x14ac:dyDescent="0.2">
      <c r="A28" s="157" t="s">
        <v>1215</v>
      </c>
      <c r="B28" s="157" t="s">
        <v>668</v>
      </c>
      <c r="C28" s="651">
        <v>104.8</v>
      </c>
      <c r="D28" s="651">
        <v>0</v>
      </c>
      <c r="E28" s="652">
        <v>0</v>
      </c>
      <c r="F28" s="652">
        <v>0</v>
      </c>
      <c r="G28" s="653">
        <v>1084</v>
      </c>
      <c r="H28" s="653">
        <v>192.24</v>
      </c>
      <c r="I28" s="653">
        <v>0</v>
      </c>
      <c r="J28" s="653">
        <v>0</v>
      </c>
      <c r="K28" s="653">
        <v>0</v>
      </c>
      <c r="L28" s="653">
        <v>0</v>
      </c>
      <c r="M28" s="87"/>
    </row>
    <row r="29" spans="1:13" x14ac:dyDescent="0.2">
      <c r="A29" s="157" t="s">
        <v>2</v>
      </c>
      <c r="B29" s="157" t="s">
        <v>668</v>
      </c>
      <c r="C29" s="651">
        <v>0</v>
      </c>
      <c r="D29" s="651">
        <v>0</v>
      </c>
      <c r="E29" s="652">
        <v>0</v>
      </c>
      <c r="F29" s="652">
        <v>0</v>
      </c>
      <c r="G29" s="653">
        <v>230</v>
      </c>
      <c r="H29" s="653">
        <v>443.22</v>
      </c>
      <c r="I29" s="653">
        <v>0</v>
      </c>
      <c r="J29" s="653">
        <v>0</v>
      </c>
      <c r="K29" s="653">
        <v>0</v>
      </c>
      <c r="L29" s="653">
        <v>0</v>
      </c>
      <c r="M29" s="87"/>
    </row>
    <row r="30" spans="1:13" x14ac:dyDescent="0.2">
      <c r="A30" s="157" t="s">
        <v>675</v>
      </c>
      <c r="B30" s="157" t="s">
        <v>668</v>
      </c>
      <c r="C30" s="651">
        <v>0</v>
      </c>
      <c r="D30" s="651">
        <v>0</v>
      </c>
      <c r="E30" s="652">
        <v>0</v>
      </c>
      <c r="F30" s="652">
        <v>0</v>
      </c>
      <c r="G30" s="653">
        <v>0</v>
      </c>
      <c r="H30" s="653">
        <v>186.9</v>
      </c>
      <c r="I30" s="653">
        <v>0</v>
      </c>
      <c r="J30" s="653">
        <v>0</v>
      </c>
      <c r="K30" s="653">
        <v>0</v>
      </c>
      <c r="L30" s="653">
        <v>0</v>
      </c>
      <c r="M30" s="87"/>
    </row>
    <row r="31" spans="1:13" x14ac:dyDescent="0.2">
      <c r="A31" s="157" t="s">
        <v>952</v>
      </c>
      <c r="B31" s="157" t="s">
        <v>668</v>
      </c>
      <c r="C31" s="651">
        <v>0</v>
      </c>
      <c r="D31" s="651">
        <v>0</v>
      </c>
      <c r="E31" s="652">
        <v>0</v>
      </c>
      <c r="F31" s="652">
        <v>0</v>
      </c>
      <c r="G31" s="653">
        <v>0</v>
      </c>
      <c r="H31" s="653">
        <v>21.36</v>
      </c>
      <c r="I31" s="653">
        <v>0</v>
      </c>
      <c r="J31" s="653">
        <v>0</v>
      </c>
      <c r="K31" s="653">
        <v>0</v>
      </c>
      <c r="L31" s="653">
        <v>0</v>
      </c>
      <c r="M31" s="87"/>
    </row>
    <row r="32" spans="1:13" x14ac:dyDescent="0.2">
      <c r="A32" s="157" t="s">
        <v>352</v>
      </c>
      <c r="B32" s="157" t="s">
        <v>668</v>
      </c>
      <c r="C32" s="651">
        <v>0</v>
      </c>
      <c r="D32" s="651">
        <v>0</v>
      </c>
      <c r="E32" s="652">
        <v>0</v>
      </c>
      <c r="F32" s="652">
        <v>0</v>
      </c>
      <c r="G32" s="653">
        <v>0</v>
      </c>
      <c r="H32" s="653">
        <v>0</v>
      </c>
      <c r="I32" s="653">
        <v>0</v>
      </c>
      <c r="J32" s="653">
        <v>1521.68</v>
      </c>
      <c r="K32" s="653">
        <v>0</v>
      </c>
      <c r="L32" s="653">
        <v>0</v>
      </c>
      <c r="M32" s="87"/>
    </row>
    <row r="33" spans="1:17" x14ac:dyDescent="0.2">
      <c r="A33" s="157" t="s">
        <v>1216</v>
      </c>
      <c r="B33" s="157" t="s">
        <v>668</v>
      </c>
      <c r="C33" s="651">
        <v>0</v>
      </c>
      <c r="D33" s="651">
        <v>0</v>
      </c>
      <c r="E33" s="652">
        <v>0</v>
      </c>
      <c r="F33" s="652">
        <v>0</v>
      </c>
      <c r="G33" s="653">
        <v>0</v>
      </c>
      <c r="H33" s="653">
        <v>16.02</v>
      </c>
      <c r="I33" s="653">
        <v>0</v>
      </c>
      <c r="J33" s="653">
        <v>0</v>
      </c>
      <c r="K33" s="653">
        <v>0</v>
      </c>
      <c r="L33" s="653">
        <v>0</v>
      </c>
      <c r="M33" s="87"/>
    </row>
    <row r="34" spans="1:17" x14ac:dyDescent="0.2">
      <c r="A34" s="157" t="s">
        <v>1048</v>
      </c>
      <c r="B34" s="157" t="s">
        <v>668</v>
      </c>
      <c r="C34" s="651">
        <v>0</v>
      </c>
      <c r="D34" s="651">
        <v>0</v>
      </c>
      <c r="E34" s="652">
        <v>0</v>
      </c>
      <c r="F34" s="652">
        <v>0</v>
      </c>
      <c r="G34" s="653">
        <v>0</v>
      </c>
      <c r="H34" s="653">
        <v>0</v>
      </c>
      <c r="I34" s="653">
        <v>0</v>
      </c>
      <c r="J34" s="653">
        <v>93.8</v>
      </c>
      <c r="K34" s="653">
        <v>0</v>
      </c>
      <c r="L34" s="653">
        <v>0</v>
      </c>
      <c r="M34" s="87"/>
    </row>
    <row r="35" spans="1:17" x14ac:dyDescent="0.2">
      <c r="A35" s="157"/>
      <c r="B35" s="157"/>
      <c r="C35" s="654"/>
      <c r="D35" s="654"/>
      <c r="E35" s="654"/>
      <c r="F35" s="654"/>
      <c r="G35" s="654"/>
      <c r="H35" s="654"/>
      <c r="I35" s="654"/>
      <c r="J35" s="654"/>
      <c r="K35" s="654"/>
      <c r="L35" s="654"/>
      <c r="M35" s="87"/>
    </row>
    <row r="36" spans="1:17" x14ac:dyDescent="0.2">
      <c r="A36" s="157" t="s">
        <v>677</v>
      </c>
      <c r="B36" s="157" t="s">
        <v>676</v>
      </c>
      <c r="C36" s="651">
        <v>50098.96</v>
      </c>
      <c r="D36" s="651">
        <v>1404.48</v>
      </c>
      <c r="E36" s="652">
        <v>0</v>
      </c>
      <c r="F36" s="652">
        <v>436.64</v>
      </c>
      <c r="G36" s="653">
        <v>95232.36</v>
      </c>
      <c r="H36" s="653">
        <v>402460.87</v>
      </c>
      <c r="I36" s="653">
        <v>5352.52</v>
      </c>
      <c r="J36" s="653">
        <v>0</v>
      </c>
      <c r="K36" s="653">
        <v>0</v>
      </c>
      <c r="L36" s="653">
        <v>0</v>
      </c>
      <c r="Q36" s="87"/>
    </row>
    <row r="37" spans="1:17" x14ac:dyDescent="0.2">
      <c r="A37" s="157" t="s">
        <v>678</v>
      </c>
      <c r="B37" s="157" t="s">
        <v>676</v>
      </c>
      <c r="C37" s="651">
        <v>232.3</v>
      </c>
      <c r="D37" s="651">
        <v>0</v>
      </c>
      <c r="E37" s="652">
        <v>0</v>
      </c>
      <c r="F37" s="652">
        <v>0</v>
      </c>
      <c r="G37" s="653">
        <v>420</v>
      </c>
      <c r="H37" s="653">
        <v>3294.78</v>
      </c>
      <c r="I37" s="653">
        <v>35.369999999999997</v>
      </c>
      <c r="J37" s="653">
        <v>0</v>
      </c>
      <c r="K37" s="653">
        <v>0</v>
      </c>
      <c r="L37" s="653">
        <v>0</v>
      </c>
      <c r="M37" s="87"/>
    </row>
    <row r="38" spans="1:17" x14ac:dyDescent="0.2">
      <c r="A38" s="157" t="s">
        <v>679</v>
      </c>
      <c r="B38" s="157" t="s">
        <v>676</v>
      </c>
      <c r="C38" s="651">
        <v>628.79999999999995</v>
      </c>
      <c r="D38" s="651">
        <v>73.92</v>
      </c>
      <c r="E38" s="652">
        <v>0</v>
      </c>
      <c r="F38" s="652">
        <v>0</v>
      </c>
      <c r="G38" s="653">
        <v>2315</v>
      </c>
      <c r="H38" s="653">
        <v>10156.68</v>
      </c>
      <c r="I38" s="653">
        <v>554.13</v>
      </c>
      <c r="J38" s="653">
        <v>0</v>
      </c>
      <c r="K38" s="653">
        <v>0</v>
      </c>
      <c r="L38" s="653">
        <v>0</v>
      </c>
      <c r="M38" s="87"/>
      <c r="N38" s="372"/>
    </row>
    <row r="39" spans="1:17" x14ac:dyDescent="0.2">
      <c r="A39" s="157" t="s">
        <v>737</v>
      </c>
      <c r="B39" s="157" t="s">
        <v>676</v>
      </c>
      <c r="C39" s="651">
        <v>171.7</v>
      </c>
      <c r="D39" s="651">
        <v>0</v>
      </c>
      <c r="E39" s="652">
        <v>0</v>
      </c>
      <c r="F39" s="652">
        <v>0</v>
      </c>
      <c r="G39" s="653">
        <v>250</v>
      </c>
      <c r="H39" s="653">
        <v>2344.2600000000002</v>
      </c>
      <c r="I39" s="653">
        <v>12.53</v>
      </c>
      <c r="J39" s="653">
        <v>0</v>
      </c>
      <c r="K39" s="653">
        <v>0</v>
      </c>
      <c r="L39" s="653">
        <v>0</v>
      </c>
      <c r="M39" s="87"/>
    </row>
    <row r="40" spans="1:17" x14ac:dyDescent="0.2">
      <c r="A40" s="157" t="s">
        <v>1217</v>
      </c>
      <c r="B40" s="157" t="s">
        <v>676</v>
      </c>
      <c r="C40" s="651">
        <v>18.32</v>
      </c>
      <c r="D40" s="651">
        <v>0</v>
      </c>
      <c r="E40" s="652">
        <v>0</v>
      </c>
      <c r="F40" s="652">
        <v>0</v>
      </c>
      <c r="G40" s="653">
        <v>0</v>
      </c>
      <c r="H40" s="653">
        <v>2936.25</v>
      </c>
      <c r="I40" s="653">
        <v>59.52</v>
      </c>
      <c r="J40" s="653">
        <v>0</v>
      </c>
      <c r="K40" s="653">
        <v>0</v>
      </c>
      <c r="L40" s="653">
        <v>0</v>
      </c>
      <c r="M40" s="87"/>
    </row>
    <row r="41" spans="1:17" x14ac:dyDescent="0.2">
      <c r="A41" s="157" t="s">
        <v>1049</v>
      </c>
      <c r="B41" s="157" t="s">
        <v>676</v>
      </c>
      <c r="C41" s="651">
        <v>3050.2</v>
      </c>
      <c r="D41" s="651">
        <v>0</v>
      </c>
      <c r="E41" s="652">
        <v>0</v>
      </c>
      <c r="F41" s="652">
        <v>0</v>
      </c>
      <c r="G41" s="653">
        <v>300</v>
      </c>
      <c r="H41" s="653">
        <v>12026.8</v>
      </c>
      <c r="I41" s="653">
        <v>12.45</v>
      </c>
      <c r="J41" s="653">
        <v>0</v>
      </c>
      <c r="K41" s="653">
        <v>0</v>
      </c>
      <c r="L41" s="653">
        <v>0</v>
      </c>
      <c r="M41" s="87"/>
    </row>
    <row r="42" spans="1:17" x14ac:dyDescent="0.2">
      <c r="A42" s="157"/>
      <c r="B42" s="157"/>
      <c r="C42" s="654"/>
      <c r="D42" s="654"/>
      <c r="E42" s="654"/>
      <c r="F42" s="654"/>
      <c r="G42" s="654"/>
      <c r="H42" s="654"/>
      <c r="I42" s="654"/>
      <c r="J42" s="654"/>
      <c r="K42" s="654"/>
      <c r="L42" s="654"/>
      <c r="M42" s="87"/>
    </row>
    <row r="43" spans="1:17" x14ac:dyDescent="0.2">
      <c r="A43" s="157" t="s">
        <v>353</v>
      </c>
      <c r="B43" s="157" t="s">
        <v>680</v>
      </c>
      <c r="C43" s="651">
        <v>3018.24</v>
      </c>
      <c r="D43" s="651">
        <v>0</v>
      </c>
      <c r="E43" s="652">
        <v>0</v>
      </c>
      <c r="F43" s="652">
        <v>0</v>
      </c>
      <c r="G43" s="653">
        <v>496.79</v>
      </c>
      <c r="H43" s="653">
        <v>8293.02</v>
      </c>
      <c r="I43" s="653">
        <v>0</v>
      </c>
      <c r="J43" s="653">
        <v>2868.56</v>
      </c>
      <c r="K43" s="653">
        <v>0</v>
      </c>
      <c r="L43" s="653">
        <v>0</v>
      </c>
      <c r="M43" s="87"/>
    </row>
    <row r="44" spans="1:17" x14ac:dyDescent="0.2">
      <c r="A44" s="157" t="s">
        <v>1218</v>
      </c>
      <c r="B44" s="157" t="s">
        <v>680</v>
      </c>
      <c r="C44" s="651">
        <v>0</v>
      </c>
      <c r="D44" s="651">
        <v>0</v>
      </c>
      <c r="E44" s="652">
        <v>0</v>
      </c>
      <c r="F44" s="652">
        <v>0</v>
      </c>
      <c r="G44" s="653">
        <v>3920</v>
      </c>
      <c r="H44" s="653">
        <v>331.08</v>
      </c>
      <c r="I44" s="653">
        <v>0</v>
      </c>
      <c r="J44" s="653">
        <v>0</v>
      </c>
      <c r="K44" s="653">
        <v>0</v>
      </c>
      <c r="L44" s="653">
        <v>0</v>
      </c>
      <c r="M44" s="87"/>
    </row>
    <row r="45" spans="1:17" x14ac:dyDescent="0.2">
      <c r="A45" s="157" t="s">
        <v>1050</v>
      </c>
      <c r="B45" s="157" t="s">
        <v>680</v>
      </c>
      <c r="C45" s="651">
        <v>1760.64</v>
      </c>
      <c r="D45" s="651">
        <v>0</v>
      </c>
      <c r="E45" s="652">
        <v>0</v>
      </c>
      <c r="F45" s="652">
        <v>0</v>
      </c>
      <c r="G45" s="653">
        <v>0</v>
      </c>
      <c r="H45" s="653">
        <v>2322.9</v>
      </c>
      <c r="I45" s="653">
        <v>0</v>
      </c>
      <c r="J45" s="653">
        <v>13719.04</v>
      </c>
      <c r="K45" s="653">
        <v>0</v>
      </c>
      <c r="L45" s="653">
        <v>0</v>
      </c>
      <c r="M45" s="87"/>
    </row>
    <row r="46" spans="1:17" x14ac:dyDescent="0.2">
      <c r="A46" s="157" t="s">
        <v>354</v>
      </c>
      <c r="B46" s="157" t="s">
        <v>680</v>
      </c>
      <c r="C46" s="651">
        <v>0</v>
      </c>
      <c r="D46" s="651">
        <v>0</v>
      </c>
      <c r="E46" s="652">
        <v>125775.56</v>
      </c>
      <c r="F46" s="652">
        <v>0</v>
      </c>
      <c r="G46" s="653">
        <v>0</v>
      </c>
      <c r="H46" s="653">
        <v>0</v>
      </c>
      <c r="I46" s="653">
        <v>0</v>
      </c>
      <c r="J46" s="653">
        <v>20968.22</v>
      </c>
      <c r="K46" s="653">
        <v>0</v>
      </c>
      <c r="L46" s="653">
        <v>0</v>
      </c>
      <c r="M46" s="87"/>
    </row>
    <row r="47" spans="1:17" x14ac:dyDescent="0.2">
      <c r="A47" s="157" t="s">
        <v>953</v>
      </c>
      <c r="B47" s="157" t="s">
        <v>680</v>
      </c>
      <c r="C47" s="651">
        <v>930</v>
      </c>
      <c r="D47" s="651">
        <v>0</v>
      </c>
      <c r="E47" s="652">
        <v>0</v>
      </c>
      <c r="F47" s="652">
        <v>0</v>
      </c>
      <c r="G47" s="653">
        <v>1130</v>
      </c>
      <c r="H47" s="653">
        <v>1660.26</v>
      </c>
      <c r="I47" s="653">
        <v>0</v>
      </c>
      <c r="J47" s="653">
        <v>0</v>
      </c>
      <c r="K47" s="653">
        <v>0</v>
      </c>
      <c r="L47" s="653">
        <v>0</v>
      </c>
      <c r="M47" s="87"/>
    </row>
    <row r="48" spans="1:17" x14ac:dyDescent="0.2">
      <c r="A48" s="157" t="s">
        <v>1220</v>
      </c>
      <c r="B48" s="157" t="s">
        <v>680</v>
      </c>
      <c r="C48" s="651">
        <v>618.32000000000005</v>
      </c>
      <c r="D48" s="651">
        <v>0</v>
      </c>
      <c r="E48" s="652">
        <v>0</v>
      </c>
      <c r="F48" s="652">
        <v>1117.5</v>
      </c>
      <c r="G48" s="653">
        <v>10642.5</v>
      </c>
      <c r="H48" s="653">
        <v>186.9</v>
      </c>
      <c r="I48" s="653">
        <v>0</v>
      </c>
      <c r="J48" s="653">
        <v>0</v>
      </c>
      <c r="K48" s="653">
        <v>0</v>
      </c>
      <c r="L48" s="653">
        <v>0</v>
      </c>
      <c r="M48" s="87"/>
    </row>
    <row r="49" spans="1:16" x14ac:dyDescent="0.2">
      <c r="A49" s="157" t="s">
        <v>1010</v>
      </c>
      <c r="B49" s="157" t="s">
        <v>680</v>
      </c>
      <c r="C49" s="651">
        <v>0</v>
      </c>
      <c r="D49" s="651">
        <v>0</v>
      </c>
      <c r="E49" s="652">
        <v>0</v>
      </c>
      <c r="F49" s="652">
        <v>0</v>
      </c>
      <c r="G49" s="653">
        <v>1376</v>
      </c>
      <c r="H49" s="653">
        <v>181.56</v>
      </c>
      <c r="I49" s="653">
        <v>0</v>
      </c>
      <c r="J49" s="653">
        <v>0</v>
      </c>
      <c r="K49" s="653">
        <v>0</v>
      </c>
      <c r="L49" s="653">
        <v>0</v>
      </c>
      <c r="M49" s="87"/>
    </row>
    <row r="50" spans="1:16" x14ac:dyDescent="0.2">
      <c r="A50" s="157" t="s">
        <v>910</v>
      </c>
      <c r="B50" s="157" t="s">
        <v>680</v>
      </c>
      <c r="C50" s="651">
        <v>0</v>
      </c>
      <c r="D50" s="651">
        <v>0</v>
      </c>
      <c r="E50" s="652">
        <v>0</v>
      </c>
      <c r="F50" s="652">
        <v>0</v>
      </c>
      <c r="G50" s="653">
        <v>0</v>
      </c>
      <c r="H50" s="653">
        <v>144.18</v>
      </c>
      <c r="I50" s="653">
        <v>0</v>
      </c>
      <c r="J50" s="653">
        <v>18.399999999999999</v>
      </c>
      <c r="K50" s="653">
        <v>0</v>
      </c>
      <c r="L50" s="653">
        <v>0</v>
      </c>
      <c r="M50" s="87"/>
    </row>
    <row r="51" spans="1:16" x14ac:dyDescent="0.2">
      <c r="A51" s="157" t="s">
        <v>1008</v>
      </c>
      <c r="B51" s="157" t="s">
        <v>680</v>
      </c>
      <c r="C51" s="651">
        <v>5732.56</v>
      </c>
      <c r="D51" s="651">
        <v>0</v>
      </c>
      <c r="E51" s="652">
        <v>0</v>
      </c>
      <c r="F51" s="652">
        <v>1155.22</v>
      </c>
      <c r="G51" s="653">
        <v>11842.78</v>
      </c>
      <c r="H51" s="653">
        <v>22625.58</v>
      </c>
      <c r="I51" s="653">
        <v>0</v>
      </c>
      <c r="J51" s="653">
        <v>86038.399999999994</v>
      </c>
      <c r="K51" s="653">
        <v>0</v>
      </c>
      <c r="L51" s="653">
        <v>0</v>
      </c>
      <c r="M51" s="87"/>
    </row>
    <row r="52" spans="1:16" x14ac:dyDescent="0.2">
      <c r="A52" s="157" t="s">
        <v>1219</v>
      </c>
      <c r="B52" s="157" t="s">
        <v>680</v>
      </c>
      <c r="C52" s="651">
        <v>0</v>
      </c>
      <c r="D52" s="651">
        <v>0</v>
      </c>
      <c r="E52" s="652">
        <v>0</v>
      </c>
      <c r="F52" s="652">
        <v>0</v>
      </c>
      <c r="G52" s="653">
        <v>0</v>
      </c>
      <c r="H52" s="653">
        <v>373.8</v>
      </c>
      <c r="I52" s="653">
        <v>0</v>
      </c>
      <c r="J52" s="653">
        <v>0</v>
      </c>
      <c r="K52" s="653">
        <v>0</v>
      </c>
      <c r="L52" s="653">
        <v>0</v>
      </c>
      <c r="M52" s="87"/>
    </row>
    <row r="53" spans="1:16" x14ac:dyDescent="0.2">
      <c r="A53" s="157" t="s">
        <v>954</v>
      </c>
      <c r="B53" s="157" t="s">
        <v>680</v>
      </c>
      <c r="C53" s="651">
        <v>0</v>
      </c>
      <c r="D53" s="651">
        <v>0</v>
      </c>
      <c r="E53" s="652">
        <v>0</v>
      </c>
      <c r="F53" s="652">
        <v>0</v>
      </c>
      <c r="G53" s="653">
        <v>0</v>
      </c>
      <c r="H53" s="653">
        <v>534.66</v>
      </c>
      <c r="I53" s="653">
        <v>0</v>
      </c>
      <c r="J53" s="653">
        <v>0</v>
      </c>
      <c r="K53" s="653">
        <v>0</v>
      </c>
      <c r="L53" s="653">
        <v>0</v>
      </c>
      <c r="M53" s="87"/>
    </row>
    <row r="54" spans="1:16" x14ac:dyDescent="0.2">
      <c r="A54" s="157" t="s">
        <v>1011</v>
      </c>
      <c r="B54" s="157" t="s">
        <v>680</v>
      </c>
      <c r="C54" s="651">
        <v>0</v>
      </c>
      <c r="D54" s="651">
        <v>0</v>
      </c>
      <c r="E54" s="652">
        <v>0</v>
      </c>
      <c r="F54" s="652">
        <v>0</v>
      </c>
      <c r="G54" s="653">
        <v>0</v>
      </c>
      <c r="H54" s="653">
        <v>37.520000000000003</v>
      </c>
      <c r="I54" s="653">
        <v>0</v>
      </c>
      <c r="J54" s="653">
        <v>0</v>
      </c>
      <c r="K54" s="653">
        <v>0</v>
      </c>
      <c r="L54" s="653">
        <v>0</v>
      </c>
      <c r="M54" s="87"/>
    </row>
    <row r="55" spans="1:16" x14ac:dyDescent="0.2">
      <c r="A55" s="157" t="s">
        <v>1009</v>
      </c>
      <c r="B55" s="157" t="s">
        <v>680</v>
      </c>
      <c r="C55" s="651">
        <v>7000.64</v>
      </c>
      <c r="D55" s="651">
        <v>0</v>
      </c>
      <c r="E55" s="652">
        <v>0</v>
      </c>
      <c r="F55" s="652">
        <v>1262.94</v>
      </c>
      <c r="G55" s="653">
        <v>56299.06</v>
      </c>
      <c r="H55" s="653">
        <v>30181.68</v>
      </c>
      <c r="I55" s="653">
        <v>0</v>
      </c>
      <c r="J55" s="653">
        <v>17338.32</v>
      </c>
      <c r="K55" s="653">
        <v>0</v>
      </c>
      <c r="L55" s="653">
        <v>0</v>
      </c>
      <c r="M55" s="87"/>
    </row>
    <row r="56" spans="1:16" x14ac:dyDescent="0.2">
      <c r="A56" s="157"/>
      <c r="B56" s="157"/>
      <c r="C56" s="654"/>
      <c r="D56" s="654"/>
      <c r="E56" s="654"/>
      <c r="F56" s="654"/>
      <c r="G56" s="654"/>
      <c r="H56" s="654"/>
      <c r="I56" s="654"/>
      <c r="J56" s="654"/>
      <c r="K56" s="654"/>
      <c r="L56" s="654"/>
      <c r="M56" s="87"/>
    </row>
    <row r="57" spans="1:16" x14ac:dyDescent="0.2">
      <c r="A57" s="157" t="s">
        <v>672</v>
      </c>
      <c r="B57" s="157" t="s">
        <v>1115</v>
      </c>
      <c r="C57" s="651">
        <v>10.5</v>
      </c>
      <c r="D57" s="651">
        <v>0</v>
      </c>
      <c r="E57" s="652">
        <v>0</v>
      </c>
      <c r="F57" s="652">
        <v>0</v>
      </c>
      <c r="G57" s="653">
        <v>0</v>
      </c>
      <c r="H57" s="653">
        <v>37.5</v>
      </c>
      <c r="I57" s="653">
        <v>0</v>
      </c>
      <c r="J57" s="653">
        <v>0</v>
      </c>
      <c r="K57" s="653">
        <v>0</v>
      </c>
      <c r="L57" s="653">
        <v>0</v>
      </c>
      <c r="M57" s="87"/>
    </row>
    <row r="58" spans="1:16" x14ac:dyDescent="0.2">
      <c r="A58" s="157" t="s">
        <v>673</v>
      </c>
      <c r="B58" s="157" t="s">
        <v>1115</v>
      </c>
      <c r="C58" s="651">
        <v>157.19999999999999</v>
      </c>
      <c r="D58" s="651">
        <v>0</v>
      </c>
      <c r="E58" s="652">
        <v>0</v>
      </c>
      <c r="F58" s="652">
        <v>0</v>
      </c>
      <c r="G58" s="653">
        <v>0</v>
      </c>
      <c r="H58" s="653">
        <v>0</v>
      </c>
      <c r="I58" s="653">
        <v>0</v>
      </c>
      <c r="J58" s="653">
        <v>0</v>
      </c>
      <c r="K58" s="653">
        <v>0</v>
      </c>
      <c r="L58" s="653">
        <v>0</v>
      </c>
      <c r="M58" s="87"/>
    </row>
    <row r="59" spans="1:16" s="157" customFormat="1" x14ac:dyDescent="0.2">
      <c r="A59" s="204" t="s">
        <v>674</v>
      </c>
      <c r="B59" s="157" t="s">
        <v>1115</v>
      </c>
      <c r="C59" s="651">
        <v>104.25</v>
      </c>
      <c r="D59" s="651">
        <v>0</v>
      </c>
      <c r="E59" s="652">
        <v>0</v>
      </c>
      <c r="F59" s="652">
        <v>0</v>
      </c>
      <c r="G59" s="653">
        <v>0</v>
      </c>
      <c r="H59" s="653">
        <v>0</v>
      </c>
      <c r="I59" s="653">
        <v>0</v>
      </c>
      <c r="J59" s="653">
        <v>0</v>
      </c>
      <c r="K59" s="653">
        <v>0</v>
      </c>
      <c r="L59" s="653">
        <v>0</v>
      </c>
      <c r="M59" s="87"/>
      <c r="N59" s="153"/>
      <c r="O59" s="153"/>
      <c r="P59" s="153"/>
    </row>
    <row r="60" spans="1:16" x14ac:dyDescent="0.2">
      <c r="A60" s="157" t="s">
        <v>536</v>
      </c>
      <c r="B60" s="157" t="s">
        <v>1115</v>
      </c>
      <c r="C60" s="651">
        <v>0</v>
      </c>
      <c r="D60" s="651">
        <v>0</v>
      </c>
      <c r="E60" s="652">
        <v>0</v>
      </c>
      <c r="F60" s="652">
        <v>0</v>
      </c>
      <c r="G60" s="653">
        <v>0</v>
      </c>
      <c r="H60" s="653">
        <v>21.36</v>
      </c>
      <c r="I60" s="653">
        <v>0</v>
      </c>
      <c r="J60" s="653">
        <v>0</v>
      </c>
      <c r="K60" s="653">
        <v>0</v>
      </c>
      <c r="L60" s="653">
        <v>0</v>
      </c>
      <c r="M60" s="87"/>
    </row>
    <row r="61" spans="1:16" x14ac:dyDescent="0.2">
      <c r="A61" s="157" t="s">
        <v>1116</v>
      </c>
      <c r="B61" s="157" t="s">
        <v>1115</v>
      </c>
      <c r="C61" s="651">
        <v>115.28</v>
      </c>
      <c r="D61" s="651">
        <v>0</v>
      </c>
      <c r="E61" s="652">
        <v>0</v>
      </c>
      <c r="F61" s="652">
        <v>0</v>
      </c>
      <c r="G61" s="653">
        <v>0</v>
      </c>
      <c r="H61" s="653">
        <v>0</v>
      </c>
      <c r="I61" s="653">
        <v>0</v>
      </c>
      <c r="J61" s="653">
        <v>0</v>
      </c>
      <c r="K61" s="653">
        <v>0</v>
      </c>
      <c r="L61" s="653">
        <v>0</v>
      </c>
      <c r="M61" s="87"/>
    </row>
    <row r="62" spans="1:16" x14ac:dyDescent="0.2">
      <c r="A62" s="157"/>
      <c r="B62" s="157"/>
      <c r="C62" s="651"/>
      <c r="D62" s="651"/>
      <c r="E62" s="652"/>
      <c r="F62" s="652"/>
      <c r="G62" s="653"/>
      <c r="H62" s="653"/>
      <c r="I62" s="653"/>
      <c r="J62" s="653"/>
      <c r="K62" s="653"/>
      <c r="L62" s="653"/>
      <c r="M62" s="87"/>
    </row>
    <row r="63" spans="1:16" x14ac:dyDescent="0.2">
      <c r="A63" s="157" t="s">
        <v>911</v>
      </c>
      <c r="B63" s="157" t="s">
        <v>1221</v>
      </c>
      <c r="C63" s="651">
        <v>0</v>
      </c>
      <c r="D63" s="651">
        <v>0</v>
      </c>
      <c r="E63" s="652">
        <v>0</v>
      </c>
      <c r="F63" s="652">
        <v>0</v>
      </c>
      <c r="G63" s="653">
        <v>0</v>
      </c>
      <c r="H63" s="653">
        <v>117.48</v>
      </c>
      <c r="I63" s="653">
        <v>0</v>
      </c>
      <c r="J63" s="653">
        <v>0</v>
      </c>
      <c r="K63" s="653">
        <v>0</v>
      </c>
      <c r="L63" s="653">
        <v>0</v>
      </c>
      <c r="M63" s="87"/>
    </row>
    <row r="64" spans="1:16" x14ac:dyDescent="0.2">
      <c r="A64" s="157"/>
      <c r="B64" s="157"/>
      <c r="C64" s="651"/>
      <c r="D64" s="651"/>
      <c r="E64" s="652"/>
      <c r="F64" s="652"/>
      <c r="G64" s="653"/>
      <c r="H64" s="653"/>
      <c r="I64" s="653"/>
      <c r="J64" s="653"/>
      <c r="K64" s="653"/>
      <c r="L64" s="653"/>
      <c r="M64" s="87"/>
    </row>
    <row r="65" spans="1:13" x14ac:dyDescent="0.2">
      <c r="A65" s="157" t="s">
        <v>684</v>
      </c>
      <c r="B65" s="157" t="s">
        <v>682</v>
      </c>
      <c r="C65" s="651">
        <v>0</v>
      </c>
      <c r="D65" s="651">
        <v>0</v>
      </c>
      <c r="E65" s="652">
        <v>0</v>
      </c>
      <c r="F65" s="652">
        <v>0</v>
      </c>
      <c r="G65" s="653">
        <v>0</v>
      </c>
      <c r="H65" s="653">
        <v>0</v>
      </c>
      <c r="I65" s="653">
        <v>0</v>
      </c>
      <c r="J65" s="653">
        <v>0</v>
      </c>
      <c r="K65" s="653">
        <v>17820</v>
      </c>
      <c r="L65" s="653">
        <v>0</v>
      </c>
      <c r="M65" s="87"/>
    </row>
    <row r="66" spans="1:13" x14ac:dyDescent="0.2">
      <c r="A66" s="157" t="s">
        <v>681</v>
      </c>
      <c r="B66" s="157" t="s">
        <v>682</v>
      </c>
      <c r="C66" s="651">
        <v>0</v>
      </c>
      <c r="D66" s="651">
        <v>0</v>
      </c>
      <c r="E66" s="652">
        <v>0</v>
      </c>
      <c r="F66" s="652">
        <v>0</v>
      </c>
      <c r="G66" s="653">
        <v>0</v>
      </c>
      <c r="H66" s="653">
        <v>0</v>
      </c>
      <c r="I66" s="653">
        <v>0</v>
      </c>
      <c r="J66" s="653">
        <v>0</v>
      </c>
      <c r="K66" s="653">
        <v>14619.31</v>
      </c>
      <c r="L66" s="653">
        <v>0</v>
      </c>
      <c r="M66" s="87"/>
    </row>
    <row r="67" spans="1:13" x14ac:dyDescent="0.2">
      <c r="A67" s="157" t="s">
        <v>912</v>
      </c>
      <c r="B67" s="157" t="s">
        <v>682</v>
      </c>
      <c r="C67" s="651">
        <v>0</v>
      </c>
      <c r="D67" s="651">
        <v>0</v>
      </c>
      <c r="E67" s="652">
        <v>0</v>
      </c>
      <c r="F67" s="652">
        <v>0</v>
      </c>
      <c r="G67" s="653">
        <v>0</v>
      </c>
      <c r="H67" s="653">
        <v>0</v>
      </c>
      <c r="I67" s="653">
        <v>0</v>
      </c>
      <c r="J67" s="653">
        <v>0</v>
      </c>
      <c r="K67" s="653">
        <v>2929.3</v>
      </c>
      <c r="L67" s="653">
        <v>0</v>
      </c>
      <c r="M67" s="87"/>
    </row>
    <row r="68" spans="1:13" x14ac:dyDescent="0.2">
      <c r="A68" s="157" t="s">
        <v>355</v>
      </c>
      <c r="B68" s="157" t="s">
        <v>682</v>
      </c>
      <c r="C68" s="651">
        <v>0</v>
      </c>
      <c r="D68" s="651">
        <v>0</v>
      </c>
      <c r="E68" s="652">
        <v>0</v>
      </c>
      <c r="F68" s="652">
        <v>0</v>
      </c>
      <c r="G68" s="653">
        <v>0</v>
      </c>
      <c r="H68" s="653">
        <v>0</v>
      </c>
      <c r="I68" s="653">
        <v>0</v>
      </c>
      <c r="J68" s="653">
        <v>0</v>
      </c>
      <c r="K68" s="653">
        <v>10004.040000000001</v>
      </c>
      <c r="L68" s="653">
        <v>0</v>
      </c>
      <c r="M68" s="87"/>
    </row>
    <row r="69" spans="1:13" s="178" customFormat="1" x14ac:dyDescent="0.2">
      <c r="A69" s="157" t="s">
        <v>738</v>
      </c>
      <c r="B69" s="157" t="s">
        <v>682</v>
      </c>
      <c r="C69" s="655">
        <v>0</v>
      </c>
      <c r="D69" s="655">
        <v>0</v>
      </c>
      <c r="E69" s="656">
        <v>0</v>
      </c>
      <c r="F69" s="656">
        <v>0</v>
      </c>
      <c r="G69" s="657">
        <v>0</v>
      </c>
      <c r="H69" s="657">
        <v>0</v>
      </c>
      <c r="I69" s="657">
        <v>0</v>
      </c>
      <c r="J69" s="657">
        <v>0</v>
      </c>
      <c r="K69" s="657">
        <v>49227.75</v>
      </c>
      <c r="L69" s="657">
        <v>0</v>
      </c>
      <c r="M69" s="91"/>
    </row>
    <row r="70" spans="1:13" s="157" customFormat="1" x14ac:dyDescent="0.2">
      <c r="A70" s="373" t="s">
        <v>683</v>
      </c>
      <c r="C70" s="374">
        <f>SUM(C7:C69)</f>
        <v>99645.73000000001</v>
      </c>
      <c r="D70" s="374">
        <f>SUM(D7:D69)</f>
        <v>1502.0300000000002</v>
      </c>
      <c r="E70" s="374">
        <f t="shared" ref="E70:L70" si="0">SUM(E7:E69)</f>
        <v>125775.56</v>
      </c>
      <c r="F70" s="374">
        <f t="shared" si="0"/>
        <v>3972.3037387119061</v>
      </c>
      <c r="G70" s="374">
        <f t="shared" si="0"/>
        <v>189588.49</v>
      </c>
      <c r="H70" s="374">
        <f t="shared" si="0"/>
        <v>888336.24000000034</v>
      </c>
      <c r="I70" s="374">
        <f t="shared" si="0"/>
        <v>6274.1100000000006</v>
      </c>
      <c r="J70" s="374">
        <f t="shared" si="0"/>
        <v>142566.42000000001</v>
      </c>
      <c r="K70" s="374">
        <f t="shared" si="0"/>
        <v>94600.4</v>
      </c>
      <c r="L70" s="374">
        <f t="shared" si="0"/>
        <v>0</v>
      </c>
      <c r="M70" s="375"/>
    </row>
    <row r="71" spans="1:13" s="157" customFormat="1" x14ac:dyDescent="0.2">
      <c r="C71" s="376"/>
      <c r="D71" s="376"/>
      <c r="E71" s="376"/>
      <c r="F71" s="376"/>
      <c r="G71" s="376"/>
      <c r="K71" s="376"/>
    </row>
    <row r="72" spans="1:13" s="157" customFormat="1" x14ac:dyDescent="0.2">
      <c r="A72" s="157" t="s">
        <v>521</v>
      </c>
      <c r="B72" s="157" t="s">
        <v>766</v>
      </c>
      <c r="D72" s="376"/>
      <c r="E72" s="377">
        <f>C70+E70+D70</f>
        <v>226923.32</v>
      </c>
      <c r="F72" s="378">
        <f>E72/E78</f>
        <v>0.16701496883982134</v>
      </c>
      <c r="G72" s="379" t="s">
        <v>795</v>
      </c>
    </row>
    <row r="73" spans="1:13" s="157" customFormat="1" x14ac:dyDescent="0.2">
      <c r="D73" s="376"/>
      <c r="E73" s="376"/>
      <c r="F73" s="376"/>
      <c r="G73" s="376"/>
    </row>
    <row r="74" spans="1:13" s="157" customFormat="1" x14ac:dyDescent="0.2">
      <c r="A74" s="157" t="s">
        <v>1222</v>
      </c>
      <c r="D74" s="380"/>
      <c r="E74" s="381">
        <f>SUM(C70:L70)</f>
        <v>1552261.2837387121</v>
      </c>
      <c r="G74" s="376"/>
      <c r="L74" s="375"/>
    </row>
    <row r="75" spans="1:13" x14ac:dyDescent="0.2">
      <c r="B75" s="382"/>
      <c r="C75" s="153"/>
      <c r="D75" s="383" t="s">
        <v>883</v>
      </c>
      <c r="E75" s="384"/>
      <c r="G75" s="153"/>
    </row>
    <row r="76" spans="1:13" x14ac:dyDescent="0.2">
      <c r="B76" s="386"/>
      <c r="C76" s="153"/>
      <c r="D76" s="387" t="s">
        <v>884</v>
      </c>
      <c r="E76" s="384">
        <v>0</v>
      </c>
      <c r="G76" s="153"/>
    </row>
    <row r="77" spans="1:13" x14ac:dyDescent="0.2">
      <c r="B77" s="386"/>
      <c r="C77" s="153"/>
      <c r="D77" s="387" t="s">
        <v>885</v>
      </c>
      <c r="E77" s="388">
        <f>E87</f>
        <v>193560.79373871189</v>
      </c>
      <c r="G77" s="153"/>
    </row>
    <row r="78" spans="1:13" ht="13.5" thickBot="1" x14ac:dyDescent="0.25">
      <c r="B78" s="386"/>
      <c r="C78" s="153"/>
      <c r="D78" s="387" t="s">
        <v>896</v>
      </c>
      <c r="E78" s="389">
        <f>E74-E77</f>
        <v>1358700.4900000002</v>
      </c>
      <c r="G78" s="153"/>
    </row>
    <row r="79" spans="1:13" ht="13.5" thickTop="1" x14ac:dyDescent="0.2">
      <c r="B79" s="385"/>
      <c r="C79" s="153"/>
      <c r="D79" s="475" t="s">
        <v>1223</v>
      </c>
      <c r="E79" s="658">
        <v>1360487.51</v>
      </c>
      <c r="G79" s="153"/>
    </row>
    <row r="80" spans="1:13" x14ac:dyDescent="0.2">
      <c r="B80" s="385"/>
      <c r="C80" s="153"/>
      <c r="D80" s="61" t="s">
        <v>1035</v>
      </c>
      <c r="E80" s="478">
        <f>E79-E78</f>
        <v>1787.0199999997858</v>
      </c>
      <c r="G80" s="153"/>
    </row>
    <row r="81" spans="2:7" x14ac:dyDescent="0.2">
      <c r="B81" s="385"/>
      <c r="C81" s="153"/>
      <c r="D81" s="475" t="s">
        <v>1117</v>
      </c>
      <c r="E81" s="478">
        <v>-1787.02</v>
      </c>
      <c r="G81" s="153"/>
    </row>
    <row r="82" spans="2:7" ht="13.5" thickBot="1" x14ac:dyDescent="0.25">
      <c r="C82" s="153"/>
      <c r="D82" s="475" t="s">
        <v>1036</v>
      </c>
      <c r="E82" s="479">
        <f>SUM(E80:E81)</f>
        <v>-2.141860022675246E-10</v>
      </c>
    </row>
    <row r="83" spans="2:7" ht="13.5" thickTop="1" x14ac:dyDescent="0.2">
      <c r="C83" s="153"/>
      <c r="D83" s="476"/>
      <c r="E83" s="525"/>
    </row>
    <row r="84" spans="2:7" x14ac:dyDescent="0.2">
      <c r="C84" s="153"/>
      <c r="D84" s="477" t="s">
        <v>1037</v>
      </c>
      <c r="E84" s="525"/>
    </row>
    <row r="85" spans="2:7" x14ac:dyDescent="0.2">
      <c r="C85" s="153"/>
      <c r="D85" s="477" t="s">
        <v>1038</v>
      </c>
      <c r="E85" s="3">
        <f>SUM(F70:G70)</f>
        <v>193560.79373871189</v>
      </c>
    </row>
    <row r="86" spans="2:7" x14ac:dyDescent="0.2">
      <c r="C86" s="153"/>
      <c r="D86" s="477" t="s">
        <v>1039</v>
      </c>
      <c r="E86" s="3">
        <v>0</v>
      </c>
    </row>
    <row r="87" spans="2:7" ht="13.5" thickBot="1" x14ac:dyDescent="0.25">
      <c r="C87" s="153"/>
      <c r="D87" s="477" t="s">
        <v>885</v>
      </c>
      <c r="E87" s="479">
        <f>E85-E86</f>
        <v>193560.79373871189</v>
      </c>
    </row>
    <row r="88" spans="2:7" ht="13.5" thickTop="1" x14ac:dyDescent="0.2"/>
  </sheetData>
  <sheetProtection formatCells="0"/>
  <mergeCells count="2">
    <mergeCell ref="A1:L1"/>
    <mergeCell ref="A2:L2"/>
  </mergeCells>
  <phoneticPr fontId="18" type="noConversion"/>
  <printOptions horizontalCentered="1"/>
  <pageMargins left="0.75" right="0.75" top="1" bottom="1" header="0.5" footer="0.5"/>
  <pageSetup scale="49" fitToHeight="2" orientation="portrait" r:id="rId1"/>
  <headerFooter alignWithMargins="0">
    <oddHeader>&amp;CIDAHO POWER COMPANY
Transmission Cost of Service Rate Development
12 Months Ended 12/31/2016</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22"/>
  <sheetViews>
    <sheetView zoomScaleNormal="100" zoomScaleSheetLayoutView="100" workbookViewId="0">
      <selection activeCell="A19" sqref="A19"/>
    </sheetView>
  </sheetViews>
  <sheetFormatPr defaultRowHeight="12.75" x14ac:dyDescent="0.2"/>
  <cols>
    <col min="1" max="1" width="26.28515625" style="153" customWidth="1"/>
    <col min="2" max="2" width="14.42578125" style="153" bestFit="1" customWidth="1"/>
    <col min="3" max="3" width="12.28515625" style="153" bestFit="1" customWidth="1"/>
    <col min="4" max="4" width="12" style="153" bestFit="1" customWidth="1"/>
    <col min="5" max="5" width="13.28515625" style="153" bestFit="1" customWidth="1"/>
    <col min="6" max="16384" width="9.140625" style="153"/>
  </cols>
  <sheetData>
    <row r="1" spans="1:5" ht="17.25" customHeight="1" x14ac:dyDescent="0.2">
      <c r="A1" s="685" t="s">
        <v>581</v>
      </c>
      <c r="B1" s="685"/>
      <c r="C1" s="685"/>
      <c r="D1" s="685"/>
      <c r="E1" s="685"/>
    </row>
    <row r="2" spans="1:5" x14ac:dyDescent="0.2">
      <c r="A2" s="685" t="s">
        <v>1152</v>
      </c>
      <c r="B2" s="685"/>
      <c r="C2" s="685"/>
      <c r="D2" s="685"/>
      <c r="E2" s="685"/>
    </row>
    <row r="3" spans="1:5" x14ac:dyDescent="0.2">
      <c r="A3" s="685" t="s">
        <v>1153</v>
      </c>
      <c r="B3" s="685"/>
      <c r="C3" s="685"/>
      <c r="D3" s="685"/>
      <c r="E3" s="685"/>
    </row>
    <row r="4" spans="1:5" x14ac:dyDescent="0.2">
      <c r="A4" s="632"/>
      <c r="B4" s="702"/>
      <c r="C4" s="702"/>
      <c r="D4" s="702"/>
      <c r="E4" s="702"/>
    </row>
    <row r="5" spans="1:5" x14ac:dyDescent="0.2">
      <c r="A5" s="632"/>
      <c r="B5" s="220" t="s">
        <v>385</v>
      </c>
      <c r="C5" s="220" t="s">
        <v>521</v>
      </c>
      <c r="D5" s="220" t="s">
        <v>582</v>
      </c>
      <c r="E5" s="436" t="s">
        <v>539</v>
      </c>
    </row>
    <row r="6" spans="1:5" ht="12.75" customHeight="1" x14ac:dyDescent="0.2">
      <c r="A6" s="632" t="s">
        <v>444</v>
      </c>
      <c r="B6" s="659">
        <v>67466.61</v>
      </c>
      <c r="C6" s="659">
        <v>22997.420000000002</v>
      </c>
      <c r="D6" s="659">
        <v>1192.26</v>
      </c>
      <c r="E6" s="483">
        <f>SUM(B6:D6)</f>
        <v>91656.29</v>
      </c>
    </row>
    <row r="7" spans="1:5" x14ac:dyDescent="0.2">
      <c r="A7" s="632" t="s">
        <v>445</v>
      </c>
      <c r="B7" s="659">
        <v>67240.960000000006</v>
      </c>
      <c r="C7" s="659">
        <v>23083.420000000002</v>
      </c>
      <c r="D7" s="659">
        <v>1192.26</v>
      </c>
      <c r="E7" s="483">
        <f t="shared" ref="E7:E17" si="0">SUM(B7:D7)</f>
        <v>91516.64</v>
      </c>
    </row>
    <row r="8" spans="1:5" x14ac:dyDescent="0.2">
      <c r="A8" s="632" t="s">
        <v>446</v>
      </c>
      <c r="B8" s="659">
        <v>67291.62</v>
      </c>
      <c r="C8" s="659">
        <v>23175.54</v>
      </c>
      <c r="D8" s="659">
        <v>1192.26</v>
      </c>
      <c r="E8" s="483">
        <f t="shared" si="0"/>
        <v>91659.42</v>
      </c>
    </row>
    <row r="9" spans="1:5" x14ac:dyDescent="0.2">
      <c r="A9" s="632" t="s">
        <v>447</v>
      </c>
      <c r="B9" s="659">
        <v>67375.13</v>
      </c>
      <c r="C9" s="659">
        <v>23175.54</v>
      </c>
      <c r="D9" s="659">
        <v>1192.26</v>
      </c>
      <c r="E9" s="483">
        <f t="shared" si="0"/>
        <v>91742.930000000008</v>
      </c>
    </row>
    <row r="10" spans="1:5" x14ac:dyDescent="0.2">
      <c r="A10" s="632" t="s">
        <v>448</v>
      </c>
      <c r="B10" s="659">
        <v>67580.039999999994</v>
      </c>
      <c r="C10" s="659">
        <v>23253.74</v>
      </c>
      <c r="D10" s="659">
        <v>1192.26</v>
      </c>
      <c r="E10" s="483">
        <f t="shared" si="0"/>
        <v>92026.04</v>
      </c>
    </row>
    <row r="11" spans="1:5" x14ac:dyDescent="0.2">
      <c r="A11" s="632" t="s">
        <v>449</v>
      </c>
      <c r="B11" s="659">
        <v>67686.58</v>
      </c>
      <c r="C11" s="659">
        <v>23300.66</v>
      </c>
      <c r="D11" s="659">
        <v>1192.26</v>
      </c>
      <c r="E11" s="483">
        <f t="shared" si="0"/>
        <v>92179.5</v>
      </c>
    </row>
    <row r="12" spans="1:5" x14ac:dyDescent="0.2">
      <c r="A12" s="632" t="s">
        <v>450</v>
      </c>
      <c r="B12" s="659">
        <v>67767.61</v>
      </c>
      <c r="C12" s="659">
        <v>23344.12</v>
      </c>
      <c r="D12" s="659">
        <v>1192.26</v>
      </c>
      <c r="E12" s="483">
        <f t="shared" si="0"/>
        <v>92303.989999999991</v>
      </c>
    </row>
    <row r="13" spans="1:5" x14ac:dyDescent="0.2">
      <c r="A13" s="632" t="s">
        <v>451</v>
      </c>
      <c r="B13" s="659">
        <v>67895.679999999993</v>
      </c>
      <c r="C13" s="659">
        <v>23482.920000000002</v>
      </c>
      <c r="D13" s="659">
        <v>1192.26</v>
      </c>
      <c r="E13" s="483">
        <f t="shared" si="0"/>
        <v>92570.859999999986</v>
      </c>
    </row>
    <row r="14" spans="1:5" x14ac:dyDescent="0.2">
      <c r="A14" s="632" t="s">
        <v>452</v>
      </c>
      <c r="B14" s="659">
        <v>68116.23</v>
      </c>
      <c r="C14" s="659">
        <v>23502.65</v>
      </c>
      <c r="D14" s="659">
        <v>1192.26</v>
      </c>
      <c r="E14" s="483">
        <f t="shared" si="0"/>
        <v>92811.14</v>
      </c>
    </row>
    <row r="15" spans="1:5" x14ac:dyDescent="0.2">
      <c r="A15" s="632" t="s">
        <v>453</v>
      </c>
      <c r="B15" s="659">
        <v>68206.64</v>
      </c>
      <c r="C15" s="659">
        <v>23654.75</v>
      </c>
      <c r="D15" s="659">
        <v>1192.26</v>
      </c>
      <c r="E15" s="483">
        <f t="shared" si="0"/>
        <v>93053.65</v>
      </c>
    </row>
    <row r="16" spans="1:5" x14ac:dyDescent="0.2">
      <c r="A16" s="632" t="s">
        <v>454</v>
      </c>
      <c r="B16" s="659">
        <v>68229.319999999992</v>
      </c>
      <c r="C16" s="659">
        <v>23693.460000000003</v>
      </c>
      <c r="D16" s="659">
        <v>1192.26</v>
      </c>
      <c r="E16" s="483">
        <f t="shared" si="0"/>
        <v>93115.04</v>
      </c>
    </row>
    <row r="17" spans="1:5" x14ac:dyDescent="0.2">
      <c r="A17" s="632" t="s">
        <v>455</v>
      </c>
      <c r="B17" s="660">
        <v>68348.53</v>
      </c>
      <c r="C17" s="660">
        <v>23866.030000000002</v>
      </c>
      <c r="D17" s="660">
        <v>1192.26</v>
      </c>
      <c r="E17" s="482">
        <f t="shared" si="0"/>
        <v>93406.819999999992</v>
      </c>
    </row>
    <row r="18" spans="1:5" x14ac:dyDescent="0.2">
      <c r="A18" s="632" t="s">
        <v>1007</v>
      </c>
      <c r="B18" s="437">
        <f>SUM(B6:B17)</f>
        <v>813204.95</v>
      </c>
      <c r="C18" s="437">
        <f>SUM(C6:C17)</f>
        <v>280530.25</v>
      </c>
      <c r="D18" s="437">
        <f>SUM(D6:D17)</f>
        <v>14307.12</v>
      </c>
      <c r="E18" s="437">
        <f>SUM(E6:E17)</f>
        <v>1108042.32</v>
      </c>
    </row>
    <row r="19" spans="1:5" ht="25.5" customHeight="1" x14ac:dyDescent="0.2">
      <c r="A19" s="431"/>
      <c r="B19" s="175"/>
      <c r="C19" s="175"/>
      <c r="D19" s="175"/>
      <c r="E19" s="175"/>
    </row>
    <row r="20" spans="1:5" x14ac:dyDescent="0.2">
      <c r="A20" s="632"/>
      <c r="B20" s="438"/>
      <c r="C20" s="438"/>
      <c r="D20" s="438"/>
      <c r="E20" s="438"/>
    </row>
    <row r="21" spans="1:5" x14ac:dyDescent="0.2">
      <c r="A21" s="178"/>
      <c r="B21" s="178"/>
      <c r="C21" s="178"/>
      <c r="D21" s="178"/>
      <c r="E21" s="178"/>
    </row>
    <row r="22" spans="1:5" x14ac:dyDescent="0.2">
      <c r="A22" s="178"/>
      <c r="B22" s="178"/>
      <c r="C22" s="178"/>
      <c r="D22" s="178"/>
      <c r="E22" s="178"/>
    </row>
  </sheetData>
  <sheetProtection formatCells="0"/>
  <mergeCells count="4">
    <mergeCell ref="A1:E1"/>
    <mergeCell ref="A2:E2"/>
    <mergeCell ref="B4:E4"/>
    <mergeCell ref="A3:E3"/>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8"/>
  <sheetViews>
    <sheetView zoomScaleNormal="100" zoomScaleSheetLayoutView="100" workbookViewId="0">
      <selection activeCell="A19" sqref="A19"/>
    </sheetView>
  </sheetViews>
  <sheetFormatPr defaultRowHeight="12.75" x14ac:dyDescent="0.2"/>
  <cols>
    <col min="1" max="1" width="3.5703125" style="197" customWidth="1"/>
    <col min="2" max="2" width="1.85546875" style="197" customWidth="1"/>
    <col min="3" max="3" width="3.42578125" style="500" customWidth="1"/>
    <col min="4" max="4" width="37.5703125" style="197" customWidth="1"/>
    <col min="5" max="5" width="10" style="197" customWidth="1"/>
    <col min="6" max="6" width="1.85546875" style="197" customWidth="1"/>
    <col min="7" max="7" width="16.28515625" style="197" customWidth="1"/>
    <col min="8" max="8" width="1.7109375" style="197" customWidth="1"/>
    <col min="9" max="9" width="49.140625" style="197" customWidth="1"/>
    <col min="10" max="16384" width="9.140625" style="197"/>
  </cols>
  <sheetData>
    <row r="1" spans="1:9" x14ac:dyDescent="0.2">
      <c r="A1" s="677" t="s">
        <v>743</v>
      </c>
      <c r="B1" s="677"/>
      <c r="C1" s="677"/>
      <c r="D1" s="677"/>
      <c r="E1" s="677"/>
      <c r="F1" s="677"/>
      <c r="G1" s="677"/>
      <c r="H1" s="677"/>
      <c r="I1" s="677"/>
    </row>
    <row r="2" spans="1:9" x14ac:dyDescent="0.2">
      <c r="A2" s="677" t="s">
        <v>1154</v>
      </c>
      <c r="B2" s="677"/>
      <c r="C2" s="677"/>
      <c r="D2" s="677"/>
      <c r="E2" s="677"/>
      <c r="F2" s="677"/>
      <c r="G2" s="677"/>
      <c r="H2" s="677"/>
      <c r="I2" s="677"/>
    </row>
    <row r="3" spans="1:9" x14ac:dyDescent="0.2">
      <c r="C3" s="501"/>
      <c r="D3" s="501"/>
      <c r="E3" s="501"/>
      <c r="F3" s="501"/>
      <c r="G3" s="501"/>
      <c r="H3" s="501"/>
      <c r="I3" s="501"/>
    </row>
    <row r="4" spans="1:9" x14ac:dyDescent="0.2">
      <c r="C4" s="501"/>
      <c r="D4" s="501"/>
      <c r="E4" s="501"/>
      <c r="F4" s="501"/>
      <c r="G4" s="501"/>
      <c r="H4" s="501"/>
      <c r="I4" s="501"/>
    </row>
    <row r="5" spans="1:9" x14ac:dyDescent="0.2">
      <c r="D5" s="29"/>
      <c r="E5" s="501" t="s">
        <v>539</v>
      </c>
      <c r="F5" s="501"/>
      <c r="G5" s="501" t="s">
        <v>636</v>
      </c>
      <c r="H5" s="501"/>
      <c r="I5" s="501"/>
    </row>
    <row r="6" spans="1:9" x14ac:dyDescent="0.2">
      <c r="C6" s="677" t="s">
        <v>637</v>
      </c>
      <c r="D6" s="677"/>
      <c r="E6" s="501" t="s">
        <v>230</v>
      </c>
      <c r="F6" s="501"/>
      <c r="G6" s="501" t="s">
        <v>638</v>
      </c>
      <c r="H6" s="501"/>
      <c r="I6" s="501" t="s">
        <v>639</v>
      </c>
    </row>
    <row r="7" spans="1:9" x14ac:dyDescent="0.2">
      <c r="D7" s="501" t="s">
        <v>459</v>
      </c>
      <c r="E7" s="501" t="s">
        <v>460</v>
      </c>
      <c r="F7" s="501"/>
      <c r="G7" s="501" t="s">
        <v>640</v>
      </c>
      <c r="H7" s="501"/>
      <c r="I7" s="501" t="s">
        <v>641</v>
      </c>
    </row>
    <row r="8" spans="1:9" x14ac:dyDescent="0.2">
      <c r="A8" s="135">
        <v>1</v>
      </c>
      <c r="B8" s="500"/>
      <c r="C8" s="30" t="s">
        <v>972</v>
      </c>
      <c r="D8" s="86"/>
      <c r="E8" s="17"/>
      <c r="F8" s="17"/>
      <c r="G8" s="17"/>
      <c r="H8" s="17"/>
      <c r="I8" s="31"/>
    </row>
    <row r="9" spans="1:9" ht="12.75" customHeight="1" x14ac:dyDescent="0.2">
      <c r="A9" s="32">
        <f>A8+1</f>
        <v>2</v>
      </c>
      <c r="B9" s="134"/>
      <c r="C9" s="33"/>
      <c r="D9" s="18" t="s">
        <v>744</v>
      </c>
      <c r="E9" s="145">
        <f>'Schedule 4 Workpaper page 3'!E77</f>
        <v>193560.79373871189</v>
      </c>
      <c r="F9" s="144"/>
      <c r="G9" s="145">
        <f>'Schedule 4 Workpaper page 3'!F70</f>
        <v>3972.3037387119061</v>
      </c>
      <c r="H9" s="19"/>
      <c r="I9" s="20" t="s">
        <v>937</v>
      </c>
    </row>
    <row r="10" spans="1:9" x14ac:dyDescent="0.2">
      <c r="A10" s="32">
        <f>A9+1</f>
        <v>3</v>
      </c>
      <c r="B10" s="134"/>
      <c r="C10" s="35"/>
      <c r="D10" s="18" t="s">
        <v>583</v>
      </c>
      <c r="E10" s="146">
        <f>'Schedule 4 Workpaper page 3'!E76</f>
        <v>0</v>
      </c>
      <c r="F10" s="146"/>
      <c r="G10" s="146">
        <f>E10*1</f>
        <v>0</v>
      </c>
      <c r="H10" s="19"/>
      <c r="I10" s="20" t="s">
        <v>157</v>
      </c>
    </row>
    <row r="11" spans="1:9" ht="15.75" customHeight="1" x14ac:dyDescent="0.2">
      <c r="A11" s="32">
        <f>A10+1</f>
        <v>4</v>
      </c>
      <c r="B11" s="134"/>
      <c r="C11" s="36" t="s">
        <v>657</v>
      </c>
      <c r="D11" s="37"/>
      <c r="E11" s="145">
        <f>SUM(E9:E10)</f>
        <v>193560.79373871189</v>
      </c>
      <c r="F11" s="145"/>
      <c r="G11" s="145">
        <f>SUM(G9:G10)</f>
        <v>3972.3037387119061</v>
      </c>
      <c r="H11" s="19"/>
      <c r="I11" s="19" t="s">
        <v>33</v>
      </c>
    </row>
    <row r="12" spans="1:9" x14ac:dyDescent="0.2">
      <c r="D12" s="141"/>
      <c r="E12" s="16"/>
      <c r="F12" s="16"/>
      <c r="G12" s="16"/>
      <c r="H12" s="16"/>
      <c r="I12" s="16"/>
    </row>
    <row r="13" spans="1:9" x14ac:dyDescent="0.2">
      <c r="C13" s="198"/>
      <c r="D13" s="198" t="s">
        <v>973</v>
      </c>
      <c r="E13" s="16"/>
      <c r="F13" s="16"/>
      <c r="G13" s="16"/>
      <c r="H13" s="16"/>
      <c r="I13" s="16"/>
    </row>
    <row r="14" spans="1:9" x14ac:dyDescent="0.2">
      <c r="D14" s="34"/>
      <c r="E14" s="16"/>
      <c r="F14" s="16"/>
      <c r="G14" s="16"/>
      <c r="H14" s="16"/>
      <c r="I14" s="16"/>
    </row>
    <row r="16" spans="1:9" x14ac:dyDescent="0.2">
      <c r="D16" s="34"/>
      <c r="E16" s="16"/>
    </row>
    <row r="18" spans="4:5" x14ac:dyDescent="0.2">
      <c r="D18" s="38"/>
      <c r="E18" s="16"/>
    </row>
  </sheetData>
  <sheetProtection formatCells="0"/>
  <mergeCells count="3">
    <mergeCell ref="C6:D6"/>
    <mergeCell ref="A1:I1"/>
    <mergeCell ref="A2:I2"/>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K40"/>
  <sheetViews>
    <sheetView zoomScaleNormal="100" zoomScaleSheetLayoutView="100" workbookViewId="0">
      <selection activeCell="A19" sqref="A19"/>
    </sheetView>
  </sheetViews>
  <sheetFormatPr defaultRowHeight="12.75" x14ac:dyDescent="0.2"/>
  <cols>
    <col min="1" max="1" width="4.7109375" style="153" customWidth="1"/>
    <col min="2" max="2" width="57.85546875" style="153" customWidth="1"/>
    <col min="3" max="3" width="0.42578125" style="153" customWidth="1"/>
    <col min="4" max="4" width="1.5703125" style="153" customWidth="1"/>
    <col min="5" max="5" width="12.7109375" style="153" bestFit="1" customWidth="1"/>
    <col min="6" max="6" width="1.5703125" style="153" customWidth="1"/>
    <col min="7" max="7" width="12.7109375" style="153" bestFit="1" customWidth="1"/>
    <col min="8" max="8" width="1.5703125" style="153" customWidth="1"/>
    <col min="9" max="9" width="11.85546875" style="153" bestFit="1" customWidth="1"/>
    <col min="10" max="10" width="1.42578125" style="153" customWidth="1"/>
    <col min="11" max="11" width="15.7109375" style="153" customWidth="1"/>
    <col min="12" max="16384" width="9.140625" style="153"/>
  </cols>
  <sheetData>
    <row r="1" spans="1:11" x14ac:dyDescent="0.2">
      <c r="A1" s="685" t="s">
        <v>373</v>
      </c>
      <c r="B1" s="685"/>
      <c r="C1" s="685"/>
      <c r="D1" s="685"/>
      <c r="E1" s="685"/>
      <c r="F1" s="685"/>
      <c r="G1" s="685"/>
      <c r="H1" s="685"/>
      <c r="I1" s="685"/>
      <c r="J1" s="685"/>
      <c r="K1" s="685"/>
    </row>
    <row r="2" spans="1:11" ht="12.75" customHeight="1" x14ac:dyDescent="0.2">
      <c r="A2" s="685" t="s">
        <v>374</v>
      </c>
      <c r="B2" s="685"/>
      <c r="C2" s="685"/>
      <c r="D2" s="685"/>
      <c r="E2" s="685"/>
      <c r="F2" s="685"/>
      <c r="G2" s="685"/>
      <c r="H2" s="685"/>
      <c r="I2" s="685"/>
      <c r="J2" s="685"/>
      <c r="K2" s="685"/>
    </row>
    <row r="3" spans="1:11" ht="12.75" customHeight="1" x14ac:dyDescent="0.2">
      <c r="A3" s="685" t="s">
        <v>1224</v>
      </c>
      <c r="B3" s="685"/>
      <c r="C3" s="685"/>
      <c r="D3" s="685"/>
      <c r="E3" s="685"/>
      <c r="F3" s="685"/>
      <c r="G3" s="685"/>
      <c r="H3" s="685"/>
      <c r="I3" s="685"/>
      <c r="J3" s="685"/>
      <c r="K3" s="685"/>
    </row>
    <row r="4" spans="1:11" x14ac:dyDescent="0.2">
      <c r="B4" s="154"/>
      <c r="C4" s="154"/>
      <c r="D4" s="154"/>
      <c r="E4" s="154"/>
      <c r="F4" s="154"/>
      <c r="G4" s="154"/>
      <c r="H4" s="154"/>
      <c r="I4" s="154"/>
      <c r="J4" s="154"/>
      <c r="K4" s="154"/>
    </row>
    <row r="5" spans="1:11" x14ac:dyDescent="0.2">
      <c r="B5" s="504"/>
      <c r="C5" s="504"/>
      <c r="D5" s="504"/>
      <c r="E5" s="504"/>
      <c r="F5" s="504"/>
      <c r="G5" s="504"/>
      <c r="H5" s="504"/>
      <c r="I5" s="504"/>
      <c r="J5" s="504"/>
      <c r="K5" s="504"/>
    </row>
    <row r="6" spans="1:11" x14ac:dyDescent="0.2">
      <c r="B6" s="504"/>
      <c r="C6" s="504"/>
      <c r="D6" s="504"/>
      <c r="E6" s="504"/>
      <c r="F6" s="504"/>
      <c r="G6" s="504"/>
      <c r="H6" s="504"/>
      <c r="I6" s="504"/>
      <c r="J6" s="504"/>
      <c r="K6" s="504"/>
    </row>
    <row r="8" spans="1:11" ht="26.25" customHeight="1" x14ac:dyDescent="0.2">
      <c r="C8" s="431"/>
      <c r="D8" s="510"/>
      <c r="E8" s="432" t="s">
        <v>185</v>
      </c>
      <c r="F8" s="510"/>
      <c r="G8" s="235" t="s">
        <v>184</v>
      </c>
      <c r="H8" s="510"/>
      <c r="I8" s="432" t="s">
        <v>916</v>
      </c>
      <c r="J8" s="510"/>
      <c r="K8" s="432" t="s">
        <v>539</v>
      </c>
    </row>
    <row r="9" spans="1:11" x14ac:dyDescent="0.2">
      <c r="C9" s="510"/>
      <c r="D9" s="510"/>
      <c r="E9" s="510"/>
      <c r="F9" s="510"/>
      <c r="G9" s="510"/>
      <c r="H9" s="510"/>
      <c r="I9" s="510"/>
      <c r="J9" s="510"/>
      <c r="K9" s="510"/>
    </row>
    <row r="10" spans="1:11" x14ac:dyDescent="0.2">
      <c r="A10" s="504"/>
      <c r="B10" s="433"/>
      <c r="C10" s="433"/>
      <c r="D10" s="433"/>
      <c r="E10" s="433"/>
      <c r="F10" s="433"/>
      <c r="G10" s="433"/>
      <c r="H10" s="433"/>
      <c r="I10" s="433"/>
      <c r="J10" s="433"/>
      <c r="K10" s="147"/>
    </row>
    <row r="11" spans="1:11" x14ac:dyDescent="0.2">
      <c r="A11" s="504">
        <v>1</v>
      </c>
      <c r="B11" s="433" t="s">
        <v>1112</v>
      </c>
      <c r="C11" s="433"/>
      <c r="D11" s="433"/>
      <c r="E11" s="147"/>
      <c r="F11" s="661"/>
      <c r="G11" s="147">
        <v>40.049999999999997</v>
      </c>
      <c r="H11" s="434"/>
      <c r="I11" s="662"/>
      <c r="J11" s="433"/>
      <c r="K11" s="147">
        <f>SUM(E11:I11)</f>
        <v>40.049999999999997</v>
      </c>
    </row>
    <row r="12" spans="1:11" x14ac:dyDescent="0.2">
      <c r="A12" s="504">
        <f t="shared" ref="A12:A30" si="0">A11+1</f>
        <v>2</v>
      </c>
      <c r="B12" s="433" t="s">
        <v>950</v>
      </c>
      <c r="C12" s="433"/>
      <c r="D12" s="433"/>
      <c r="E12" s="147">
        <v>4468.01</v>
      </c>
      <c r="F12" s="661"/>
      <c r="G12" s="147">
        <v>201805.65</v>
      </c>
      <c r="H12" s="434"/>
      <c r="I12" s="662"/>
      <c r="J12" s="433"/>
      <c r="K12" s="147">
        <f t="shared" ref="K12:K26" si="1">SUM(E12:I12)</f>
        <v>206273.66</v>
      </c>
    </row>
    <row r="13" spans="1:11" x14ac:dyDescent="0.2">
      <c r="A13" s="570">
        <f t="shared" si="0"/>
        <v>3</v>
      </c>
      <c r="B13" s="433" t="s">
        <v>1108</v>
      </c>
      <c r="C13" s="433"/>
      <c r="D13" s="433"/>
      <c r="E13" s="147"/>
      <c r="F13" s="661"/>
      <c r="G13" s="147">
        <v>61141.43</v>
      </c>
      <c r="H13" s="434"/>
      <c r="I13" s="662"/>
      <c r="J13" s="433"/>
      <c r="K13" s="147">
        <f t="shared" si="1"/>
        <v>61141.43</v>
      </c>
    </row>
    <row r="14" spans="1:11" x14ac:dyDescent="0.2">
      <c r="A14" s="570">
        <f t="shared" si="0"/>
        <v>4</v>
      </c>
      <c r="B14" s="433" t="s">
        <v>1225</v>
      </c>
      <c r="C14" s="433"/>
      <c r="D14" s="433"/>
      <c r="E14" s="147"/>
      <c r="F14" s="661"/>
      <c r="G14" s="147">
        <v>75.099999999999994</v>
      </c>
      <c r="H14" s="434"/>
      <c r="I14" s="662"/>
      <c r="J14" s="433"/>
      <c r="K14" s="147">
        <f>SUM(E14:I14)</f>
        <v>75.099999999999994</v>
      </c>
    </row>
    <row r="15" spans="1:11" x14ac:dyDescent="0.2">
      <c r="A15" s="570">
        <f t="shared" si="0"/>
        <v>5</v>
      </c>
      <c r="B15" s="433" t="s">
        <v>836</v>
      </c>
      <c r="C15" s="433"/>
      <c r="D15" s="433"/>
      <c r="E15" s="147">
        <v>464473.45</v>
      </c>
      <c r="F15" s="661"/>
      <c r="G15" s="147">
        <v>630352.61</v>
      </c>
      <c r="H15" s="434"/>
      <c r="I15" s="662"/>
      <c r="J15" s="433"/>
      <c r="K15" s="147">
        <f t="shared" si="1"/>
        <v>1094826.06</v>
      </c>
    </row>
    <row r="16" spans="1:11" x14ac:dyDescent="0.2">
      <c r="A16" s="570">
        <f t="shared" si="0"/>
        <v>6</v>
      </c>
      <c r="B16" s="433" t="s">
        <v>1043</v>
      </c>
      <c r="C16" s="433"/>
      <c r="D16" s="433"/>
      <c r="E16" s="147">
        <v>40764.720000000001</v>
      </c>
      <c r="F16" s="661"/>
      <c r="G16" s="147">
        <v>54950.09</v>
      </c>
      <c r="H16" s="434"/>
      <c r="I16" s="662"/>
      <c r="J16" s="433"/>
      <c r="K16" s="147">
        <f t="shared" si="1"/>
        <v>95714.81</v>
      </c>
    </row>
    <row r="17" spans="1:11" x14ac:dyDescent="0.2">
      <c r="A17" s="570">
        <f t="shared" si="0"/>
        <v>7</v>
      </c>
      <c r="B17" s="433" t="s">
        <v>1041</v>
      </c>
      <c r="C17" s="433"/>
      <c r="D17" s="433"/>
      <c r="E17" s="147">
        <v>673755.14</v>
      </c>
      <c r="F17" s="661"/>
      <c r="G17" s="147">
        <v>519913.01</v>
      </c>
      <c r="H17" s="434"/>
      <c r="I17" s="662"/>
      <c r="J17" s="433"/>
      <c r="K17" s="147">
        <f t="shared" si="1"/>
        <v>1193668.1499999999</v>
      </c>
    </row>
    <row r="18" spans="1:11" x14ac:dyDescent="0.2">
      <c r="A18" s="570">
        <f t="shared" si="0"/>
        <v>8</v>
      </c>
      <c r="B18" s="433" t="s">
        <v>837</v>
      </c>
      <c r="C18" s="433"/>
      <c r="D18" s="433"/>
      <c r="E18" s="147"/>
      <c r="F18" s="661"/>
      <c r="G18" s="147">
        <v>16288.93</v>
      </c>
      <c r="H18" s="434"/>
      <c r="I18" s="662"/>
      <c r="J18" s="433"/>
      <c r="K18" s="147">
        <f>SUM(E18:I18)</f>
        <v>16288.93</v>
      </c>
    </row>
    <row r="19" spans="1:11" x14ac:dyDescent="0.2">
      <c r="A19" s="570">
        <f t="shared" si="0"/>
        <v>9</v>
      </c>
      <c r="B19" s="433" t="s">
        <v>1042</v>
      </c>
      <c r="C19" s="433"/>
      <c r="D19" s="433"/>
      <c r="E19" s="147">
        <v>81416.13</v>
      </c>
      <c r="F19" s="661"/>
      <c r="G19" s="147">
        <v>403062.21</v>
      </c>
      <c r="H19" s="434"/>
      <c r="I19" s="662"/>
      <c r="J19" s="433"/>
      <c r="K19" s="147">
        <f t="shared" si="1"/>
        <v>484478.34</v>
      </c>
    </row>
    <row r="20" spans="1:11" x14ac:dyDescent="0.2">
      <c r="A20" s="570">
        <f t="shared" si="0"/>
        <v>10</v>
      </c>
      <c r="B20" s="433" t="s">
        <v>1044</v>
      </c>
      <c r="C20" s="433"/>
      <c r="D20" s="433"/>
      <c r="E20" s="147">
        <v>64193.78</v>
      </c>
      <c r="F20" s="661"/>
      <c r="G20" s="147">
        <v>633011.16</v>
      </c>
      <c r="H20" s="434"/>
      <c r="I20" s="662"/>
      <c r="J20" s="433"/>
      <c r="K20" s="147">
        <f>SUM(E20:I20)</f>
        <v>697204.94000000006</v>
      </c>
    </row>
    <row r="21" spans="1:11" x14ac:dyDescent="0.2">
      <c r="A21" s="556">
        <f t="shared" si="0"/>
        <v>11</v>
      </c>
      <c r="B21" s="433" t="s">
        <v>1113</v>
      </c>
      <c r="C21" s="433"/>
      <c r="D21" s="433"/>
      <c r="E21" s="147"/>
      <c r="F21" s="661"/>
      <c r="G21" s="147">
        <v>7012.68</v>
      </c>
      <c r="H21" s="434"/>
      <c r="I21" s="662"/>
      <c r="J21" s="433"/>
      <c r="K21" s="147">
        <f>SUM(E21:I21)</f>
        <v>7012.68</v>
      </c>
    </row>
    <row r="22" spans="1:11" x14ac:dyDescent="0.2">
      <c r="A22" s="556">
        <f t="shared" si="0"/>
        <v>12</v>
      </c>
      <c r="B22" s="433" t="s">
        <v>1109</v>
      </c>
      <c r="C22" s="433"/>
      <c r="D22" s="433"/>
      <c r="E22" s="147"/>
      <c r="F22" s="661"/>
      <c r="G22" s="147">
        <v>2414.0300000000002</v>
      </c>
      <c r="H22" s="434"/>
      <c r="I22" s="662"/>
      <c r="J22" s="433"/>
      <c r="K22" s="147">
        <f t="shared" si="1"/>
        <v>2414.0300000000002</v>
      </c>
    </row>
    <row r="23" spans="1:11" x14ac:dyDescent="0.2">
      <c r="A23" s="556">
        <f t="shared" si="0"/>
        <v>13</v>
      </c>
      <c r="B23" s="433" t="s">
        <v>1110</v>
      </c>
      <c r="C23" s="433"/>
      <c r="D23" s="433"/>
      <c r="E23" s="147"/>
      <c r="F23" s="661"/>
      <c r="G23" s="147">
        <v>13982.51</v>
      </c>
      <c r="H23" s="434"/>
      <c r="I23" s="662"/>
      <c r="J23" s="433"/>
      <c r="K23" s="147">
        <f t="shared" si="1"/>
        <v>13982.51</v>
      </c>
    </row>
    <row r="24" spans="1:11" x14ac:dyDescent="0.2">
      <c r="A24" s="556">
        <f t="shared" si="0"/>
        <v>14</v>
      </c>
      <c r="B24" s="433" t="s">
        <v>1111</v>
      </c>
      <c r="C24" s="433"/>
      <c r="D24" s="433"/>
      <c r="E24" s="147"/>
      <c r="F24" s="661"/>
      <c r="G24" s="147">
        <v>43346.68</v>
      </c>
      <c r="H24" s="434"/>
      <c r="I24" s="662"/>
      <c r="J24" s="433"/>
      <c r="K24" s="147">
        <f t="shared" si="1"/>
        <v>43346.68</v>
      </c>
    </row>
    <row r="25" spans="1:11" x14ac:dyDescent="0.2">
      <c r="A25" s="570">
        <f t="shared" si="0"/>
        <v>15</v>
      </c>
      <c r="B25" s="433" t="s">
        <v>951</v>
      </c>
      <c r="C25" s="433"/>
      <c r="D25" s="433"/>
      <c r="E25" s="147"/>
      <c r="F25" s="661"/>
      <c r="G25" s="147">
        <v>5882.89</v>
      </c>
      <c r="H25" s="434"/>
      <c r="I25" s="662"/>
      <c r="J25" s="433"/>
      <c r="K25" s="147">
        <f t="shared" si="1"/>
        <v>5882.89</v>
      </c>
    </row>
    <row r="26" spans="1:11" x14ac:dyDescent="0.2">
      <c r="A26" s="570">
        <f t="shared" si="0"/>
        <v>16</v>
      </c>
      <c r="B26" s="433" t="s">
        <v>938</v>
      </c>
      <c r="C26" s="433"/>
      <c r="D26" s="433"/>
      <c r="E26" s="147">
        <f>1866240.2+1960981.35</f>
        <v>3827221.55</v>
      </c>
      <c r="F26" s="661"/>
      <c r="G26" s="147">
        <f>669039.54+2936245.94</f>
        <v>3605285.48</v>
      </c>
      <c r="H26" s="434"/>
      <c r="I26" s="147"/>
      <c r="J26" s="433"/>
      <c r="K26" s="147">
        <f t="shared" si="1"/>
        <v>7432507.0299999993</v>
      </c>
    </row>
    <row r="27" spans="1:11" x14ac:dyDescent="0.2">
      <c r="A27" s="570">
        <f t="shared" si="0"/>
        <v>17</v>
      </c>
      <c r="B27" s="433"/>
      <c r="C27" s="433"/>
      <c r="D27" s="433"/>
      <c r="E27" s="433"/>
      <c r="F27" s="433"/>
      <c r="G27" s="433"/>
      <c r="H27" s="433"/>
      <c r="I27" s="433"/>
      <c r="J27" s="433"/>
      <c r="K27" s="147"/>
    </row>
    <row r="28" spans="1:11" x14ac:dyDescent="0.2">
      <c r="A28" s="570">
        <f t="shared" si="0"/>
        <v>18</v>
      </c>
      <c r="B28" s="433" t="s">
        <v>539</v>
      </c>
      <c r="C28" s="147"/>
      <c r="D28" s="433"/>
      <c r="E28" s="435">
        <f>SUM(E11:E26)</f>
        <v>5156292.78</v>
      </c>
      <c r="F28" s="433"/>
      <c r="G28" s="435">
        <f>SUM(G11:G26)</f>
        <v>6198564.5099999998</v>
      </c>
      <c r="H28" s="433"/>
      <c r="I28" s="435">
        <f>SUM(I11:I26)</f>
        <v>0</v>
      </c>
      <c r="J28" s="147">
        <f>SUM(J10:J25)</f>
        <v>0</v>
      </c>
      <c r="K28" s="147"/>
    </row>
    <row r="29" spans="1:11" x14ac:dyDescent="0.2">
      <c r="A29" s="570">
        <f t="shared" si="0"/>
        <v>19</v>
      </c>
      <c r="K29" s="178"/>
    </row>
    <row r="30" spans="1:11" x14ac:dyDescent="0.2">
      <c r="A30" s="570">
        <f t="shared" si="0"/>
        <v>20</v>
      </c>
      <c r="B30" s="433" t="s">
        <v>35</v>
      </c>
      <c r="K30" s="196">
        <f>SUM(K11:K26)</f>
        <v>11354857.289999999</v>
      </c>
    </row>
    <row r="31" spans="1:11" x14ac:dyDescent="0.2">
      <c r="K31" s="178"/>
    </row>
    <row r="32" spans="1:11" x14ac:dyDescent="0.2">
      <c r="K32" s="178"/>
    </row>
    <row r="33" spans="2:11" x14ac:dyDescent="0.2">
      <c r="E33" s="193"/>
      <c r="F33" s="193"/>
      <c r="G33" s="193"/>
      <c r="H33" s="193"/>
      <c r="I33" s="193"/>
      <c r="J33" s="193"/>
      <c r="K33" s="193"/>
    </row>
    <row r="34" spans="2:11" x14ac:dyDescent="0.2">
      <c r="B34" s="153" t="s">
        <v>939</v>
      </c>
    </row>
    <row r="35" spans="2:11" x14ac:dyDescent="0.2">
      <c r="B35" s="153" t="s">
        <v>1045</v>
      </c>
    </row>
    <row r="38" spans="2:11" x14ac:dyDescent="0.2">
      <c r="B38" s="178"/>
    </row>
    <row r="40" spans="2:11" x14ac:dyDescent="0.2">
      <c r="B40" s="154"/>
    </row>
  </sheetData>
  <sheetProtection formatCells="0"/>
  <mergeCells count="3">
    <mergeCell ref="A1:K1"/>
    <mergeCell ref="A2:K2"/>
    <mergeCell ref="A3:K3"/>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19"/>
  <sheetViews>
    <sheetView zoomScaleNormal="100" zoomScaleSheetLayoutView="100" workbookViewId="0">
      <selection activeCell="A19" sqref="A19"/>
    </sheetView>
  </sheetViews>
  <sheetFormatPr defaultRowHeight="12.75" x14ac:dyDescent="0.2"/>
  <cols>
    <col min="1" max="1" width="2.85546875" style="178" customWidth="1"/>
    <col min="2" max="2" width="32.42578125" style="178" bestFit="1" customWidth="1"/>
    <col min="3" max="3" width="9.140625" style="178"/>
    <col min="4" max="4" width="11.5703125" style="178" bestFit="1" customWidth="1"/>
    <col min="5" max="5" width="10.140625" style="178" bestFit="1" customWidth="1"/>
    <col min="6" max="6" width="11.140625" style="178" bestFit="1" customWidth="1"/>
    <col min="7" max="16384" width="9.140625" style="178"/>
  </cols>
  <sheetData>
    <row r="1" spans="1:14" x14ac:dyDescent="0.2">
      <c r="A1" s="702" t="s">
        <v>377</v>
      </c>
      <c r="B1" s="702"/>
      <c r="C1" s="702"/>
      <c r="D1" s="702"/>
      <c r="E1" s="702"/>
      <c r="F1" s="349"/>
      <c r="G1" s="349"/>
      <c r="H1" s="349"/>
      <c r="I1" s="349"/>
      <c r="J1" s="349"/>
      <c r="K1" s="349"/>
      <c r="L1" s="349"/>
      <c r="M1" s="349"/>
      <c r="N1" s="349"/>
    </row>
    <row r="2" spans="1:14" x14ac:dyDescent="0.2">
      <c r="A2" s="702" t="s">
        <v>375</v>
      </c>
      <c r="B2" s="702"/>
      <c r="C2" s="702"/>
      <c r="D2" s="702"/>
      <c r="E2" s="702"/>
      <c r="F2" s="349"/>
      <c r="G2" s="349"/>
      <c r="H2" s="349"/>
      <c r="I2" s="349"/>
      <c r="J2" s="349"/>
      <c r="K2" s="349"/>
      <c r="L2" s="349"/>
      <c r="M2" s="349"/>
      <c r="N2" s="349"/>
    </row>
    <row r="3" spans="1:14" x14ac:dyDescent="0.2">
      <c r="A3" s="702" t="s">
        <v>1226</v>
      </c>
      <c r="B3" s="702"/>
      <c r="C3" s="702"/>
      <c r="D3" s="702"/>
      <c r="E3" s="702"/>
      <c r="F3" s="349"/>
      <c r="G3" s="349"/>
      <c r="H3" s="349"/>
      <c r="I3" s="349"/>
      <c r="J3" s="349"/>
      <c r="K3" s="349"/>
      <c r="L3" s="349"/>
      <c r="M3" s="349"/>
      <c r="N3" s="349"/>
    </row>
    <row r="4" spans="1:14" s="153" customFormat="1" x14ac:dyDescent="0.2">
      <c r="A4" s="702" t="str">
        <f>'Schedule 4 Workpaper page 4'!A3:E3</f>
        <v>Retail Schedule 72 Recorded in Account 454</v>
      </c>
      <c r="B4" s="702"/>
      <c r="C4" s="702"/>
      <c r="D4" s="702"/>
      <c r="E4" s="702"/>
      <c r="F4" s="349"/>
      <c r="G4" s="349"/>
      <c r="H4" s="349"/>
      <c r="I4" s="349"/>
      <c r="J4" s="349"/>
      <c r="K4" s="349"/>
      <c r="L4" s="349"/>
      <c r="M4" s="349"/>
      <c r="N4" s="349"/>
    </row>
    <row r="6" spans="1:14" x14ac:dyDescent="0.2">
      <c r="D6" s="242">
        <v>2016</v>
      </c>
    </row>
    <row r="7" spans="1:14" x14ac:dyDescent="0.2">
      <c r="A7" s="510">
        <v>1</v>
      </c>
      <c r="B7" s="178" t="s">
        <v>940</v>
      </c>
      <c r="D7" s="261">
        <v>10539.52</v>
      </c>
      <c r="F7" s="91"/>
    </row>
    <row r="8" spans="1:14" x14ac:dyDescent="0.2">
      <c r="A8" s="510">
        <f>A7+1</f>
        <v>2</v>
      </c>
      <c r="B8" s="178" t="s">
        <v>1051</v>
      </c>
      <c r="D8" s="261">
        <v>0</v>
      </c>
      <c r="F8" s="261"/>
    </row>
    <row r="9" spans="1:14" x14ac:dyDescent="0.2">
      <c r="A9" s="554">
        <f t="shared" ref="A9:A14" si="0">A8+1</f>
        <v>3</v>
      </c>
      <c r="B9" s="178" t="s">
        <v>1044</v>
      </c>
      <c r="D9" s="261">
        <v>0</v>
      </c>
      <c r="F9" s="261"/>
    </row>
    <row r="10" spans="1:14" x14ac:dyDescent="0.2">
      <c r="A10" s="554">
        <f t="shared" si="0"/>
        <v>4</v>
      </c>
      <c r="B10" s="178" t="s">
        <v>925</v>
      </c>
      <c r="D10" s="261">
        <v>929862.34</v>
      </c>
      <c r="F10" s="261"/>
    </row>
    <row r="11" spans="1:14" x14ac:dyDescent="0.2">
      <c r="A11" s="554">
        <f t="shared" si="0"/>
        <v>5</v>
      </c>
      <c r="B11" s="178" t="s">
        <v>990</v>
      </c>
      <c r="D11" s="261">
        <v>5873488</v>
      </c>
      <c r="E11" s="510"/>
      <c r="F11" s="261"/>
    </row>
    <row r="12" spans="1:14" x14ac:dyDescent="0.2">
      <c r="A12" s="554">
        <f t="shared" si="0"/>
        <v>6</v>
      </c>
      <c r="B12" s="178" t="s">
        <v>926</v>
      </c>
      <c r="D12" s="261">
        <v>1614601</v>
      </c>
      <c r="F12" s="430"/>
    </row>
    <row r="13" spans="1:14" x14ac:dyDescent="0.2">
      <c r="A13" s="554">
        <f t="shared" si="0"/>
        <v>7</v>
      </c>
      <c r="D13" s="175"/>
    </row>
    <row r="14" spans="1:14" x14ac:dyDescent="0.2">
      <c r="A14" s="554">
        <f t="shared" si="0"/>
        <v>8</v>
      </c>
      <c r="B14" s="178" t="s">
        <v>539</v>
      </c>
      <c r="D14" s="91">
        <f>SUM(D7:D13)</f>
        <v>8428490.8599999994</v>
      </c>
      <c r="F14" s="91"/>
    </row>
    <row r="15" spans="1:14" x14ac:dyDescent="0.2">
      <c r="D15" s="91"/>
    </row>
    <row r="19" spans="2:2" x14ac:dyDescent="0.2">
      <c r="B19" s="524"/>
    </row>
  </sheetData>
  <sheetProtection formatCells="0"/>
  <mergeCells count="4">
    <mergeCell ref="A1:E1"/>
    <mergeCell ref="A2:E2"/>
    <mergeCell ref="A3:E3"/>
    <mergeCell ref="A4:E4"/>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ignoredErrors>
    <ignoredError sqref="D14" formulaRange="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J58"/>
  <sheetViews>
    <sheetView topLeftCell="A19" zoomScale="90" zoomScaleNormal="90" zoomScaleSheetLayoutView="100" workbookViewId="0">
      <selection activeCell="A19" sqref="A19"/>
    </sheetView>
  </sheetViews>
  <sheetFormatPr defaultRowHeight="12.75" x14ac:dyDescent="0.2"/>
  <cols>
    <col min="1" max="1" width="16.140625" style="159" customWidth="1"/>
    <col min="2" max="2" width="15.85546875" style="504" customWidth="1"/>
    <col min="3" max="3" width="13.85546875" style="504" customWidth="1"/>
    <col min="4" max="4" width="18.7109375" style="504" customWidth="1"/>
    <col min="5" max="5" width="15.85546875" style="504" customWidth="1"/>
    <col min="6" max="6" width="17.5703125" style="153" customWidth="1"/>
    <col min="7" max="7" width="15.42578125" style="153" customWidth="1"/>
    <col min="8" max="8" width="15" style="153" customWidth="1"/>
    <col min="9" max="16384" width="9.140625" style="153"/>
  </cols>
  <sheetData>
    <row r="1" spans="1:8" x14ac:dyDescent="0.2">
      <c r="A1" s="685" t="s">
        <v>30</v>
      </c>
      <c r="B1" s="685"/>
      <c r="C1" s="685"/>
      <c r="D1" s="685"/>
      <c r="E1" s="685"/>
      <c r="F1" s="685"/>
      <c r="G1" s="685"/>
      <c r="H1" s="685"/>
    </row>
    <row r="2" spans="1:8" x14ac:dyDescent="0.2">
      <c r="A2" s="685" t="s">
        <v>376</v>
      </c>
      <c r="B2" s="685"/>
      <c r="C2" s="685"/>
      <c r="D2" s="685"/>
      <c r="E2" s="685"/>
      <c r="F2" s="685"/>
      <c r="G2" s="685"/>
      <c r="H2" s="685"/>
    </row>
    <row r="3" spans="1:8" x14ac:dyDescent="0.2">
      <c r="F3" s="504"/>
      <c r="G3" s="504"/>
      <c r="H3" s="504"/>
    </row>
    <row r="4" spans="1:8" x14ac:dyDescent="0.2">
      <c r="C4" s="505"/>
      <c r="F4" s="504"/>
      <c r="G4" s="504"/>
      <c r="H4" s="504"/>
    </row>
    <row r="5" spans="1:8" x14ac:dyDescent="0.2">
      <c r="A5" s="711" t="s">
        <v>941</v>
      </c>
      <c r="B5" s="687"/>
      <c r="C5" s="687"/>
      <c r="D5" s="687"/>
      <c r="E5" s="687"/>
      <c r="F5" s="712"/>
      <c r="G5" s="240"/>
      <c r="H5" s="240"/>
    </row>
    <row r="6" spans="1:8" x14ac:dyDescent="0.2">
      <c r="A6" s="218"/>
      <c r="B6" s="567"/>
      <c r="C6" s="567" t="s">
        <v>456</v>
      </c>
      <c r="D6" s="567"/>
      <c r="E6" s="567"/>
      <c r="F6" s="568" t="s">
        <v>402</v>
      </c>
      <c r="G6" s="178"/>
      <c r="H6" s="178"/>
    </row>
    <row r="7" spans="1:8" x14ac:dyDescent="0.2">
      <c r="A7" s="218"/>
      <c r="B7" s="567" t="s">
        <v>456</v>
      </c>
      <c r="C7" s="567" t="s">
        <v>457</v>
      </c>
      <c r="D7" s="567" t="s">
        <v>782</v>
      </c>
      <c r="E7" s="567" t="s">
        <v>520</v>
      </c>
      <c r="F7" s="568" t="s">
        <v>793</v>
      </c>
      <c r="G7" s="567"/>
      <c r="H7" s="567"/>
    </row>
    <row r="8" spans="1:8" x14ac:dyDescent="0.2">
      <c r="A8" s="218"/>
      <c r="B8" s="220" t="s">
        <v>796</v>
      </c>
      <c r="C8" s="220" t="s">
        <v>458</v>
      </c>
      <c r="D8" s="220" t="s">
        <v>1070</v>
      </c>
      <c r="E8" s="220" t="s">
        <v>521</v>
      </c>
      <c r="F8" s="221" t="s">
        <v>794</v>
      </c>
      <c r="G8" s="220"/>
      <c r="H8" s="220"/>
    </row>
    <row r="9" spans="1:8" x14ac:dyDescent="0.2">
      <c r="A9" s="218"/>
      <c r="B9" s="567" t="s">
        <v>783</v>
      </c>
      <c r="C9" s="567" t="s">
        <v>784</v>
      </c>
      <c r="D9" s="567" t="s">
        <v>785</v>
      </c>
      <c r="E9" s="567" t="s">
        <v>786</v>
      </c>
      <c r="F9" s="568" t="s">
        <v>787</v>
      </c>
      <c r="G9" s="178"/>
      <c r="H9" s="567"/>
    </row>
    <row r="10" spans="1:8" x14ac:dyDescent="0.2">
      <c r="A10" s="218" t="s">
        <v>444</v>
      </c>
      <c r="B10" s="632">
        <v>1853</v>
      </c>
      <c r="C10" s="229">
        <v>222</v>
      </c>
      <c r="D10" s="632">
        <v>773</v>
      </c>
      <c r="E10" s="632">
        <v>207</v>
      </c>
      <c r="F10" s="568">
        <f t="shared" ref="F10:F21" si="0">SUM(B10:E10)</f>
        <v>3055</v>
      </c>
      <c r="G10" s="567"/>
      <c r="H10" s="567"/>
    </row>
    <row r="11" spans="1:8" x14ac:dyDescent="0.2">
      <c r="A11" s="218" t="s">
        <v>445</v>
      </c>
      <c r="B11" s="632">
        <v>2016</v>
      </c>
      <c r="C11" s="229">
        <v>221</v>
      </c>
      <c r="D11" s="632">
        <v>773</v>
      </c>
      <c r="E11" s="632">
        <v>84</v>
      </c>
      <c r="F11" s="568">
        <f t="shared" si="0"/>
        <v>3094</v>
      </c>
      <c r="G11" s="567"/>
      <c r="H11" s="567"/>
    </row>
    <row r="12" spans="1:8" x14ac:dyDescent="0.2">
      <c r="A12" s="218" t="s">
        <v>446</v>
      </c>
      <c r="B12" s="632">
        <v>1328</v>
      </c>
      <c r="C12" s="229">
        <v>175</v>
      </c>
      <c r="D12" s="632">
        <v>773</v>
      </c>
      <c r="E12" s="632">
        <v>376</v>
      </c>
      <c r="F12" s="568">
        <f t="shared" si="0"/>
        <v>2652</v>
      </c>
      <c r="G12" s="567"/>
      <c r="H12" s="567"/>
    </row>
    <row r="13" spans="1:8" x14ac:dyDescent="0.2">
      <c r="A13" s="218" t="s">
        <v>447</v>
      </c>
      <c r="B13" s="632">
        <v>1305</v>
      </c>
      <c r="C13" s="229">
        <v>204</v>
      </c>
      <c r="D13" s="632">
        <v>773</v>
      </c>
      <c r="E13" s="632">
        <v>425</v>
      </c>
      <c r="F13" s="568">
        <f t="shared" si="0"/>
        <v>2707</v>
      </c>
      <c r="G13" s="567"/>
      <c r="H13" s="567"/>
    </row>
    <row r="14" spans="1:8" x14ac:dyDescent="0.2">
      <c r="A14" s="218" t="s">
        <v>448</v>
      </c>
      <c r="B14" s="632">
        <v>1762</v>
      </c>
      <c r="C14" s="229">
        <v>253</v>
      </c>
      <c r="D14" s="632">
        <v>773</v>
      </c>
      <c r="E14" s="632">
        <v>405</v>
      </c>
      <c r="F14" s="568">
        <f t="shared" si="0"/>
        <v>3193</v>
      </c>
      <c r="G14" s="567"/>
      <c r="H14" s="567"/>
    </row>
    <row r="15" spans="1:8" x14ac:dyDescent="0.2">
      <c r="A15" s="218" t="s">
        <v>449</v>
      </c>
      <c r="B15" s="632">
        <v>2916</v>
      </c>
      <c r="C15" s="229">
        <v>365</v>
      </c>
      <c r="D15" s="632">
        <v>773</v>
      </c>
      <c r="E15" s="632">
        <v>305</v>
      </c>
      <c r="F15" s="568">
        <f t="shared" si="0"/>
        <v>4359</v>
      </c>
      <c r="G15" s="567"/>
      <c r="H15" s="567"/>
    </row>
    <row r="16" spans="1:8" x14ac:dyDescent="0.2">
      <c r="A16" s="218" t="s">
        <v>450</v>
      </c>
      <c r="B16" s="632">
        <v>2952</v>
      </c>
      <c r="C16" s="229">
        <v>344</v>
      </c>
      <c r="D16" s="632">
        <v>973</v>
      </c>
      <c r="E16" s="632">
        <v>58</v>
      </c>
      <c r="F16" s="568">
        <f t="shared" si="0"/>
        <v>4327</v>
      </c>
      <c r="G16" s="567"/>
      <c r="H16" s="567"/>
    </row>
    <row r="17" spans="1:10" x14ac:dyDescent="0.2">
      <c r="A17" s="218" t="s">
        <v>451</v>
      </c>
      <c r="B17" s="632">
        <v>2982</v>
      </c>
      <c r="C17" s="229">
        <v>331</v>
      </c>
      <c r="D17" s="632">
        <v>973</v>
      </c>
      <c r="E17" s="632">
        <v>28</v>
      </c>
      <c r="F17" s="568">
        <f t="shared" si="0"/>
        <v>4314</v>
      </c>
      <c r="G17" s="567"/>
      <c r="H17" s="567"/>
    </row>
    <row r="18" spans="1:10" x14ac:dyDescent="0.2">
      <c r="A18" s="218" t="s">
        <v>452</v>
      </c>
      <c r="B18" s="632">
        <v>2256</v>
      </c>
      <c r="C18" s="229">
        <v>294</v>
      </c>
      <c r="D18" s="632">
        <v>973</v>
      </c>
      <c r="E18" s="632">
        <v>165</v>
      </c>
      <c r="F18" s="568">
        <f t="shared" si="0"/>
        <v>3688</v>
      </c>
      <c r="G18" s="567"/>
      <c r="H18" s="567"/>
    </row>
    <row r="19" spans="1:10" x14ac:dyDescent="0.2">
      <c r="A19" s="218" t="s">
        <v>453</v>
      </c>
      <c r="B19" s="632">
        <v>1585</v>
      </c>
      <c r="C19" s="229">
        <v>171</v>
      </c>
      <c r="D19" s="632">
        <v>973</v>
      </c>
      <c r="E19" s="632">
        <v>136</v>
      </c>
      <c r="F19" s="568">
        <f t="shared" si="0"/>
        <v>2865</v>
      </c>
      <c r="G19" s="567"/>
      <c r="H19" s="567"/>
    </row>
    <row r="20" spans="1:10" x14ac:dyDescent="0.2">
      <c r="A20" s="218" t="s">
        <v>454</v>
      </c>
      <c r="B20" s="632">
        <v>1661</v>
      </c>
      <c r="C20" s="229">
        <v>189</v>
      </c>
      <c r="D20" s="632">
        <v>973</v>
      </c>
      <c r="E20" s="632">
        <v>239</v>
      </c>
      <c r="F20" s="568">
        <f t="shared" si="0"/>
        <v>3062</v>
      </c>
      <c r="G20" s="567"/>
      <c r="H20" s="567"/>
    </row>
    <row r="21" spans="1:10" x14ac:dyDescent="0.2">
      <c r="A21" s="218" t="s">
        <v>455</v>
      </c>
      <c r="B21" s="632">
        <v>2034</v>
      </c>
      <c r="C21" s="229">
        <v>233</v>
      </c>
      <c r="D21" s="632">
        <v>973</v>
      </c>
      <c r="E21" s="632">
        <v>315</v>
      </c>
      <c r="F21" s="568">
        <f t="shared" si="0"/>
        <v>3555</v>
      </c>
      <c r="G21" s="567"/>
      <c r="H21" s="567"/>
    </row>
    <row r="22" spans="1:10" x14ac:dyDescent="0.2">
      <c r="A22" s="218"/>
      <c r="B22" s="567"/>
      <c r="C22" s="567"/>
      <c r="D22" s="567"/>
      <c r="E22" s="567"/>
      <c r="F22" s="568"/>
      <c r="G22" s="178"/>
      <c r="H22" s="178"/>
      <c r="J22" s="523"/>
    </row>
    <row r="23" spans="1:10" x14ac:dyDescent="0.2">
      <c r="A23" s="218" t="s">
        <v>522</v>
      </c>
      <c r="B23" s="567">
        <f>ROUND(SUM(B10:B21)/12,0)</f>
        <v>2054</v>
      </c>
      <c r="C23" s="567">
        <f>ROUND(SUM(C10:C22)/12,0)</f>
        <v>250</v>
      </c>
      <c r="D23" s="567">
        <f>ROUND(SUM(D10:D22)/12,0)</f>
        <v>873</v>
      </c>
      <c r="E23" s="567">
        <f>ROUND(SUM(E10:E22)/12,0)</f>
        <v>229</v>
      </c>
      <c r="F23" s="230">
        <f>SUM(F10:F21)/12</f>
        <v>3405.9166666666665</v>
      </c>
      <c r="G23" s="229"/>
      <c r="H23" s="229"/>
      <c r="J23" s="523"/>
    </row>
    <row r="24" spans="1:10" x14ac:dyDescent="0.2">
      <c r="A24" s="218"/>
      <c r="B24" s="567"/>
      <c r="C24" s="567"/>
      <c r="D24" s="567"/>
      <c r="E24" s="567"/>
      <c r="F24" s="568"/>
      <c r="G24" s="567"/>
      <c r="H24" s="567"/>
    </row>
    <row r="25" spans="1:10" ht="37.5" customHeight="1" x14ac:dyDescent="0.2">
      <c r="A25" s="708" t="s">
        <v>1103</v>
      </c>
      <c r="B25" s="709"/>
      <c r="C25" s="709"/>
      <c r="D25" s="709"/>
      <c r="E25" s="709"/>
      <c r="F25" s="710"/>
      <c r="G25" s="569"/>
      <c r="H25" s="569"/>
    </row>
    <row r="26" spans="1:10" x14ac:dyDescent="0.2">
      <c r="B26" s="685"/>
      <c r="C26" s="685"/>
      <c r="D26" s="685"/>
      <c r="E26" s="685"/>
      <c r="F26" s="685"/>
      <c r="G26" s="685"/>
      <c r="H26" s="685"/>
    </row>
    <row r="27" spans="1:10" x14ac:dyDescent="0.2">
      <c r="A27" s="704"/>
      <c r="B27" s="704"/>
      <c r="C27" s="704"/>
      <c r="D27" s="704"/>
      <c r="E27" s="704"/>
      <c r="F27" s="704"/>
      <c r="G27" s="704"/>
      <c r="H27" s="178"/>
    </row>
    <row r="28" spans="1:10" x14ac:dyDescent="0.2">
      <c r="A28" s="363"/>
      <c r="B28" s="364"/>
      <c r="C28" s="364"/>
      <c r="D28" s="364"/>
      <c r="E28" s="364"/>
      <c r="F28" s="364"/>
      <c r="G28" s="364"/>
      <c r="H28" s="365"/>
    </row>
    <row r="29" spans="1:10" x14ac:dyDescent="0.2">
      <c r="A29" s="703" t="s">
        <v>193</v>
      </c>
      <c r="B29" s="704"/>
      <c r="C29" s="704"/>
      <c r="D29" s="704"/>
      <c r="E29" s="704"/>
      <c r="F29" s="704"/>
      <c r="G29" s="704"/>
      <c r="H29" s="705"/>
    </row>
    <row r="30" spans="1:10" x14ac:dyDescent="0.2">
      <c r="A30" s="366"/>
      <c r="B30" s="178"/>
      <c r="C30" s="178"/>
      <c r="D30" s="178"/>
      <c r="E30" s="178"/>
      <c r="F30" s="178"/>
      <c r="G30" s="178" t="s">
        <v>402</v>
      </c>
      <c r="H30" s="219"/>
    </row>
    <row r="31" spans="1:10" x14ac:dyDescent="0.2">
      <c r="A31" s="366"/>
      <c r="B31" s="506"/>
      <c r="C31" s="506" t="s">
        <v>456</v>
      </c>
      <c r="D31" s="506"/>
      <c r="E31" s="506"/>
      <c r="F31" s="364"/>
      <c r="G31" s="364"/>
      <c r="H31" s="365"/>
    </row>
    <row r="32" spans="1:10" x14ac:dyDescent="0.2">
      <c r="A32" s="366"/>
      <c r="B32" s="510" t="s">
        <v>456</v>
      </c>
      <c r="C32" s="510" t="s">
        <v>457</v>
      </c>
      <c r="D32" s="510" t="s">
        <v>782</v>
      </c>
      <c r="E32" s="510"/>
      <c r="F32" s="510" t="s">
        <v>800</v>
      </c>
      <c r="G32" s="178"/>
      <c r="H32" s="511"/>
    </row>
    <row r="33" spans="1:8" x14ac:dyDescent="0.2">
      <c r="A33" s="366"/>
      <c r="B33" s="220" t="s">
        <v>31</v>
      </c>
      <c r="C33" s="220" t="s">
        <v>458</v>
      </c>
      <c r="D33" s="220" t="s">
        <v>533</v>
      </c>
      <c r="E33" s="220" t="s">
        <v>443</v>
      </c>
      <c r="F33" s="220" t="s">
        <v>798</v>
      </c>
      <c r="G33" s="220" t="s">
        <v>335</v>
      </c>
      <c r="H33" s="221" t="s">
        <v>443</v>
      </c>
    </row>
    <row r="34" spans="1:8" x14ac:dyDescent="0.2">
      <c r="A34" s="366"/>
      <c r="B34" s="510" t="s">
        <v>788</v>
      </c>
      <c r="C34" s="510" t="s">
        <v>789</v>
      </c>
      <c r="D34" s="367" t="s">
        <v>15</v>
      </c>
      <c r="E34" s="510" t="s">
        <v>792</v>
      </c>
      <c r="F34" s="510" t="s">
        <v>791</v>
      </c>
      <c r="G34" s="510" t="s">
        <v>790</v>
      </c>
      <c r="H34" s="511" t="s">
        <v>799</v>
      </c>
    </row>
    <row r="35" spans="1:8" x14ac:dyDescent="0.2">
      <c r="A35" s="366" t="s">
        <v>444</v>
      </c>
      <c r="B35" s="229">
        <f>'Schedule 5'!B11</f>
        <v>2060</v>
      </c>
      <c r="C35" s="229">
        <f>'Schedule 5'!C11</f>
        <v>222</v>
      </c>
      <c r="D35" s="229">
        <f>'Schedule 5'!D11</f>
        <v>773</v>
      </c>
      <c r="E35" s="229">
        <f>'Schedule 5'!E11</f>
        <v>3055</v>
      </c>
      <c r="F35" s="229">
        <f>'Schedule 5'!F11</f>
        <v>0</v>
      </c>
      <c r="G35" s="229">
        <f>'Schedule 5'!G11</f>
        <v>330</v>
      </c>
      <c r="H35" s="230">
        <f>'Schedule 5'!H11</f>
        <v>3385</v>
      </c>
    </row>
    <row r="36" spans="1:8" x14ac:dyDescent="0.2">
      <c r="A36" s="366" t="s">
        <v>445</v>
      </c>
      <c r="B36" s="229">
        <f>'Schedule 5'!B12</f>
        <v>2100</v>
      </c>
      <c r="C36" s="229">
        <f>'Schedule 5'!C12</f>
        <v>221</v>
      </c>
      <c r="D36" s="229">
        <f>'Schedule 5'!D12</f>
        <v>773</v>
      </c>
      <c r="E36" s="229">
        <f>'Schedule 5'!E12</f>
        <v>3094</v>
      </c>
      <c r="F36" s="229">
        <f>'Schedule 5'!F12</f>
        <v>0</v>
      </c>
      <c r="G36" s="229">
        <f>'Schedule 5'!G12</f>
        <v>330</v>
      </c>
      <c r="H36" s="230">
        <f>'Schedule 5'!H12</f>
        <v>3424</v>
      </c>
    </row>
    <row r="37" spans="1:8" x14ac:dyDescent="0.2">
      <c r="A37" s="366" t="s">
        <v>446</v>
      </c>
      <c r="B37" s="229">
        <f>'Schedule 5'!B13</f>
        <v>1704</v>
      </c>
      <c r="C37" s="229">
        <f>'Schedule 5'!C13</f>
        <v>175</v>
      </c>
      <c r="D37" s="229">
        <f>'Schedule 5'!D13</f>
        <v>773</v>
      </c>
      <c r="E37" s="229">
        <f>'Schedule 5'!E13</f>
        <v>2652</v>
      </c>
      <c r="F37" s="229">
        <f>'Schedule 5'!F13</f>
        <v>0</v>
      </c>
      <c r="G37" s="229">
        <f>'Schedule 5'!G13</f>
        <v>330</v>
      </c>
      <c r="H37" s="230">
        <f>'Schedule 5'!H13</f>
        <v>2982</v>
      </c>
    </row>
    <row r="38" spans="1:8" x14ac:dyDescent="0.2">
      <c r="A38" s="366" t="s">
        <v>447</v>
      </c>
      <c r="B38" s="229">
        <f>'Schedule 5'!B14</f>
        <v>1730</v>
      </c>
      <c r="C38" s="229">
        <f>'Schedule 5'!C14</f>
        <v>204</v>
      </c>
      <c r="D38" s="229">
        <f>'Schedule 5'!D14</f>
        <v>773</v>
      </c>
      <c r="E38" s="229">
        <f>'Schedule 5'!E14</f>
        <v>2707</v>
      </c>
      <c r="F38" s="229">
        <f>'Schedule 5'!F14</f>
        <v>0</v>
      </c>
      <c r="G38" s="229">
        <f>'Schedule 5'!G14</f>
        <v>330</v>
      </c>
      <c r="H38" s="230">
        <f>'Schedule 5'!H14</f>
        <v>3037</v>
      </c>
    </row>
    <row r="39" spans="1:8" x14ac:dyDescent="0.2">
      <c r="A39" s="366" t="s">
        <v>448</v>
      </c>
      <c r="B39" s="229">
        <f>'Schedule 5'!B15</f>
        <v>2167</v>
      </c>
      <c r="C39" s="229">
        <f>'Schedule 5'!C15</f>
        <v>253</v>
      </c>
      <c r="D39" s="229">
        <f>'Schedule 5'!D15</f>
        <v>773</v>
      </c>
      <c r="E39" s="229">
        <f>'Schedule 5'!E15</f>
        <v>3193</v>
      </c>
      <c r="F39" s="229">
        <f>'Schedule 5'!F15</f>
        <v>0</v>
      </c>
      <c r="G39" s="229">
        <f>'Schedule 5'!G15</f>
        <v>330</v>
      </c>
      <c r="H39" s="230">
        <f>'Schedule 5'!H15</f>
        <v>3523</v>
      </c>
    </row>
    <row r="40" spans="1:8" x14ac:dyDescent="0.2">
      <c r="A40" s="366" t="s">
        <v>449</v>
      </c>
      <c r="B40" s="229">
        <f>'Schedule 5'!B16</f>
        <v>3221</v>
      </c>
      <c r="C40" s="229">
        <f>'Schedule 5'!C16</f>
        <v>365</v>
      </c>
      <c r="D40" s="229">
        <f>'Schedule 5'!D16</f>
        <v>773</v>
      </c>
      <c r="E40" s="229">
        <f>'Schedule 5'!E16</f>
        <v>4359</v>
      </c>
      <c r="F40" s="229">
        <f>'Schedule 5'!F16</f>
        <v>0</v>
      </c>
      <c r="G40" s="229">
        <f>'Schedule 5'!G16</f>
        <v>330</v>
      </c>
      <c r="H40" s="230">
        <f>'Schedule 5'!H16</f>
        <v>4689</v>
      </c>
    </row>
    <row r="41" spans="1:8" x14ac:dyDescent="0.2">
      <c r="A41" s="366" t="s">
        <v>450</v>
      </c>
      <c r="B41" s="229">
        <f>'Schedule 5'!B17</f>
        <v>3010</v>
      </c>
      <c r="C41" s="229">
        <f>'Schedule 5'!C17</f>
        <v>344</v>
      </c>
      <c r="D41" s="229">
        <f>'Schedule 5'!D17</f>
        <v>973</v>
      </c>
      <c r="E41" s="229">
        <f>'Schedule 5'!E17</f>
        <v>4327</v>
      </c>
      <c r="F41" s="229">
        <f>'Schedule 5'!F17</f>
        <v>0</v>
      </c>
      <c r="G41" s="229">
        <f>'Schedule 5'!G17</f>
        <v>330</v>
      </c>
      <c r="H41" s="230">
        <f>'Schedule 5'!H17</f>
        <v>4657</v>
      </c>
    </row>
    <row r="42" spans="1:8" x14ac:dyDescent="0.2">
      <c r="A42" s="366" t="s">
        <v>451</v>
      </c>
      <c r="B42" s="229">
        <f>'Schedule 5'!B18</f>
        <v>3010</v>
      </c>
      <c r="C42" s="229">
        <f>'Schedule 5'!C18</f>
        <v>331</v>
      </c>
      <c r="D42" s="229">
        <f>'Schedule 5'!D18</f>
        <v>973</v>
      </c>
      <c r="E42" s="229">
        <f>'Schedule 5'!E18</f>
        <v>4314</v>
      </c>
      <c r="F42" s="229">
        <f>'Schedule 5'!F18</f>
        <v>0</v>
      </c>
      <c r="G42" s="229">
        <f>'Schedule 5'!G18</f>
        <v>330</v>
      </c>
      <c r="H42" s="230">
        <f>'Schedule 5'!H18</f>
        <v>4644</v>
      </c>
    </row>
    <row r="43" spans="1:8" x14ac:dyDescent="0.2">
      <c r="A43" s="366" t="s">
        <v>452</v>
      </c>
      <c r="B43" s="229">
        <f>'Schedule 5'!B19</f>
        <v>2421</v>
      </c>
      <c r="C43" s="229">
        <f>'Schedule 5'!C19</f>
        <v>294</v>
      </c>
      <c r="D43" s="229">
        <f>'Schedule 5'!D19</f>
        <v>973</v>
      </c>
      <c r="E43" s="229">
        <f>'Schedule 5'!E19</f>
        <v>3688</v>
      </c>
      <c r="F43" s="229">
        <f>'Schedule 5'!F19</f>
        <v>0</v>
      </c>
      <c r="G43" s="229">
        <f>'Schedule 5'!G19</f>
        <v>330</v>
      </c>
      <c r="H43" s="230">
        <f>'Schedule 5'!H19</f>
        <v>4018</v>
      </c>
    </row>
    <row r="44" spans="1:8" x14ac:dyDescent="0.2">
      <c r="A44" s="366" t="s">
        <v>453</v>
      </c>
      <c r="B44" s="229">
        <f>'Schedule 5'!B20</f>
        <v>1721</v>
      </c>
      <c r="C44" s="229">
        <f>'Schedule 5'!C20</f>
        <v>171</v>
      </c>
      <c r="D44" s="229">
        <f>'Schedule 5'!D20</f>
        <v>973</v>
      </c>
      <c r="E44" s="229">
        <f>'Schedule 5'!E20</f>
        <v>2865</v>
      </c>
      <c r="F44" s="229">
        <f>'Schedule 5'!F20</f>
        <v>0</v>
      </c>
      <c r="G44" s="229">
        <f>'Schedule 5'!G20</f>
        <v>330</v>
      </c>
      <c r="H44" s="230">
        <f>'Schedule 5'!H20</f>
        <v>3195</v>
      </c>
    </row>
    <row r="45" spans="1:8" x14ac:dyDescent="0.2">
      <c r="A45" s="366" t="s">
        <v>454</v>
      </c>
      <c r="B45" s="229">
        <f>'Schedule 5'!B21</f>
        <v>1900</v>
      </c>
      <c r="C45" s="229">
        <f>'Schedule 5'!C21</f>
        <v>189</v>
      </c>
      <c r="D45" s="229">
        <f>'Schedule 5'!D21</f>
        <v>973</v>
      </c>
      <c r="E45" s="229">
        <f>'Schedule 5'!E21</f>
        <v>3062</v>
      </c>
      <c r="F45" s="229">
        <f>'Schedule 5'!F21</f>
        <v>0</v>
      </c>
      <c r="G45" s="229">
        <f>'Schedule 5'!G21</f>
        <v>330</v>
      </c>
      <c r="H45" s="230">
        <f>'Schedule 5'!H21</f>
        <v>3392</v>
      </c>
    </row>
    <row r="46" spans="1:8" x14ac:dyDescent="0.2">
      <c r="A46" s="366" t="s">
        <v>455</v>
      </c>
      <c r="B46" s="229">
        <f>'Schedule 5'!B22</f>
        <v>2349</v>
      </c>
      <c r="C46" s="229">
        <f>'Schedule 5'!C22</f>
        <v>233</v>
      </c>
      <c r="D46" s="229">
        <f>'Schedule 5'!D22</f>
        <v>973</v>
      </c>
      <c r="E46" s="229">
        <f>'Schedule 5'!E22</f>
        <v>3555</v>
      </c>
      <c r="F46" s="229">
        <f>'Schedule 5'!F22</f>
        <v>0</v>
      </c>
      <c r="G46" s="229">
        <f>'Schedule 5'!G22</f>
        <v>330</v>
      </c>
      <c r="H46" s="230">
        <f>'Schedule 5'!H22</f>
        <v>3885</v>
      </c>
    </row>
    <row r="47" spans="1:8" x14ac:dyDescent="0.2">
      <c r="A47" s="366"/>
      <c r="B47" s="178"/>
      <c r="C47" s="178"/>
      <c r="D47" s="178"/>
      <c r="E47" s="178"/>
      <c r="F47" s="178"/>
      <c r="G47" s="178"/>
      <c r="H47" s="230"/>
    </row>
    <row r="48" spans="1:8" x14ac:dyDescent="0.2">
      <c r="A48" s="366" t="s">
        <v>115</v>
      </c>
      <c r="B48" s="229">
        <f t="shared" ref="B48:G48" si="1">ROUND(SUM(B35:B46)/12,0)</f>
        <v>2283</v>
      </c>
      <c r="C48" s="229">
        <f t="shared" si="1"/>
        <v>250</v>
      </c>
      <c r="D48" s="229">
        <f t="shared" si="1"/>
        <v>873</v>
      </c>
      <c r="E48" s="229">
        <f t="shared" si="1"/>
        <v>3406</v>
      </c>
      <c r="F48" s="229">
        <f t="shared" si="1"/>
        <v>0</v>
      </c>
      <c r="G48" s="229">
        <f t="shared" si="1"/>
        <v>330</v>
      </c>
      <c r="H48" s="230">
        <f>'Schedule 5'!H24</f>
        <v>3735.9166666666665</v>
      </c>
    </row>
    <row r="49" spans="1:8" x14ac:dyDescent="0.2">
      <c r="A49" s="366"/>
      <c r="B49" s="178"/>
      <c r="C49" s="178"/>
      <c r="D49" s="178"/>
      <c r="E49" s="178"/>
      <c r="F49" s="178"/>
      <c r="G49" s="178"/>
      <c r="H49" s="511"/>
    </row>
    <row r="50" spans="1:8" x14ac:dyDescent="0.2">
      <c r="A50" s="706" t="s">
        <v>1068</v>
      </c>
      <c r="B50" s="707"/>
      <c r="C50" s="707"/>
      <c r="D50" s="707"/>
      <c r="E50" s="707"/>
      <c r="F50" s="707"/>
      <c r="G50" s="707"/>
      <c r="H50" s="219"/>
    </row>
    <row r="51" spans="1:8" s="504" customFormat="1" x14ac:dyDescent="0.2">
      <c r="A51" s="706"/>
      <c r="B51" s="707"/>
      <c r="C51" s="707"/>
      <c r="D51" s="707"/>
      <c r="E51" s="707"/>
      <c r="F51" s="707"/>
      <c r="G51" s="707"/>
      <c r="H51" s="511"/>
    </row>
    <row r="52" spans="1:8" x14ac:dyDescent="0.2">
      <c r="A52" s="706"/>
      <c r="B52" s="707"/>
      <c r="C52" s="707"/>
      <c r="D52" s="707"/>
      <c r="E52" s="707"/>
      <c r="F52" s="707"/>
      <c r="G52" s="707"/>
      <c r="H52" s="219"/>
    </row>
    <row r="53" spans="1:8" x14ac:dyDescent="0.2">
      <c r="A53" s="706"/>
      <c r="B53" s="707"/>
      <c r="C53" s="707"/>
      <c r="D53" s="707"/>
      <c r="E53" s="707"/>
      <c r="F53" s="707"/>
      <c r="G53" s="707"/>
      <c r="H53" s="219"/>
    </row>
    <row r="54" spans="1:8" x14ac:dyDescent="0.2">
      <c r="A54" s="706"/>
      <c r="B54" s="707"/>
      <c r="C54" s="707"/>
      <c r="D54" s="707"/>
      <c r="E54" s="707"/>
      <c r="F54" s="707"/>
      <c r="G54" s="707"/>
      <c r="H54" s="219"/>
    </row>
    <row r="55" spans="1:8" ht="40.5" customHeight="1" x14ac:dyDescent="0.2">
      <c r="A55" s="708"/>
      <c r="B55" s="709"/>
      <c r="C55" s="709"/>
      <c r="D55" s="709"/>
      <c r="E55" s="709"/>
      <c r="F55" s="709"/>
      <c r="G55" s="709"/>
      <c r="H55" s="368"/>
    </row>
    <row r="56" spans="1:8" x14ac:dyDescent="0.2">
      <c r="A56" s="181"/>
      <c r="B56" s="510"/>
      <c r="C56" s="510"/>
      <c r="D56" s="510"/>
      <c r="E56" s="510"/>
      <c r="F56" s="178"/>
      <c r="G56" s="178"/>
      <c r="H56" s="178"/>
    </row>
    <row r="57" spans="1:8" x14ac:dyDescent="0.2">
      <c r="A57" s="179"/>
      <c r="B57" s="510"/>
      <c r="C57" s="510"/>
      <c r="D57" s="510"/>
      <c r="E57" s="510"/>
      <c r="F57" s="178"/>
      <c r="G57" s="178"/>
      <c r="H57" s="178"/>
    </row>
    <row r="58" spans="1:8" x14ac:dyDescent="0.2">
      <c r="A58" s="683"/>
      <c r="B58" s="683"/>
      <c r="C58" s="683"/>
      <c r="D58" s="683"/>
      <c r="E58" s="683"/>
      <c r="F58" s="683"/>
      <c r="G58" s="683"/>
      <c r="H58" s="683"/>
    </row>
  </sheetData>
  <sheetProtection formatCells="0"/>
  <mergeCells count="10">
    <mergeCell ref="A58:H58"/>
    <mergeCell ref="A29:H29"/>
    <mergeCell ref="A1:H1"/>
    <mergeCell ref="A2:H2"/>
    <mergeCell ref="A27:G27"/>
    <mergeCell ref="B26:H26"/>
    <mergeCell ref="A50:G54"/>
    <mergeCell ref="A55:G55"/>
    <mergeCell ref="A25:F25"/>
    <mergeCell ref="A5:F5"/>
  </mergeCells>
  <phoneticPr fontId="18" type="noConversion"/>
  <printOptions horizontalCentered="1"/>
  <pageMargins left="0.75" right="0.75" top="1" bottom="1" header="0.5" footer="0.5"/>
  <pageSetup scale="70" orientation="portrait" r:id="rId1"/>
  <headerFooter alignWithMargins="0">
    <oddHeader>&amp;CIDAHO POWER COMPANY
Transmission Cost of Service Rate Development
12 Months Ended 12/31/2016</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44"/>
  <sheetViews>
    <sheetView zoomScale="75" zoomScaleNormal="75" zoomScaleSheetLayoutView="80" zoomScalePageLayoutView="75" workbookViewId="0">
      <selection activeCell="A19" sqref="A19"/>
    </sheetView>
  </sheetViews>
  <sheetFormatPr defaultColWidth="11" defaultRowHeight="12.75" x14ac:dyDescent="0.2"/>
  <cols>
    <col min="1" max="1" width="4" style="423" customWidth="1"/>
    <col min="2" max="2" width="42.85546875" style="423" customWidth="1"/>
    <col min="3" max="3" width="11.5703125" style="429" customWidth="1"/>
    <col min="4" max="4" width="10" style="423" customWidth="1"/>
    <col min="5" max="5" width="10.28515625" style="423" customWidth="1"/>
    <col min="6" max="6" width="11.5703125" style="423" customWidth="1"/>
    <col min="7" max="7" width="13.28515625" style="423" customWidth="1"/>
    <col min="8" max="11" width="11.5703125" style="423" customWidth="1"/>
    <col min="12" max="12" width="13.42578125" style="423" customWidth="1"/>
    <col min="13" max="13" width="11.5703125" style="423" customWidth="1"/>
    <col min="14" max="14" width="13.42578125" style="423" bestFit="1" customWidth="1"/>
    <col min="15" max="15" width="11.5703125" style="423" customWidth="1"/>
    <col min="16" max="16384" width="11" style="423"/>
  </cols>
  <sheetData>
    <row r="1" spans="1:15" s="153" customFormat="1" x14ac:dyDescent="0.2">
      <c r="A1" s="685" t="s">
        <v>942</v>
      </c>
      <c r="B1" s="685"/>
      <c r="C1" s="685"/>
      <c r="D1" s="685"/>
      <c r="E1" s="685"/>
      <c r="F1" s="685"/>
      <c r="G1" s="685"/>
      <c r="H1" s="685"/>
      <c r="I1" s="685"/>
      <c r="J1" s="685"/>
      <c r="K1" s="685"/>
      <c r="L1" s="685"/>
      <c r="M1" s="685"/>
      <c r="N1" s="685"/>
      <c r="O1" s="685"/>
    </row>
    <row r="2" spans="1:15" s="153" customFormat="1" x14ac:dyDescent="0.2">
      <c r="A2" s="685" t="s">
        <v>943</v>
      </c>
      <c r="B2" s="685"/>
      <c r="C2" s="685"/>
      <c r="D2" s="685"/>
      <c r="E2" s="685"/>
      <c r="F2" s="685"/>
      <c r="G2" s="685"/>
      <c r="H2" s="685"/>
      <c r="I2" s="685"/>
      <c r="J2" s="685"/>
      <c r="K2" s="685"/>
      <c r="L2" s="685"/>
      <c r="M2" s="685"/>
      <c r="N2" s="685"/>
      <c r="O2" s="685"/>
    </row>
    <row r="3" spans="1:15" s="490" customFormat="1" x14ac:dyDescent="0.2">
      <c r="A3" s="685" t="s">
        <v>899</v>
      </c>
      <c r="B3" s="685"/>
      <c r="C3" s="685"/>
      <c r="D3" s="685"/>
      <c r="E3" s="685"/>
      <c r="F3" s="685"/>
      <c r="G3" s="685"/>
      <c r="H3" s="685"/>
      <c r="I3" s="685"/>
      <c r="J3" s="685"/>
      <c r="K3" s="685"/>
      <c r="L3" s="685"/>
      <c r="M3" s="685"/>
      <c r="N3" s="685"/>
      <c r="O3" s="685"/>
    </row>
    <row r="4" spans="1:15" s="153" customFormat="1" x14ac:dyDescent="0.2">
      <c r="A4" s="571"/>
      <c r="B4" s="571"/>
      <c r="C4" s="571"/>
      <c r="D4" s="571"/>
      <c r="E4" s="571"/>
      <c r="F4" s="571"/>
      <c r="G4" s="571"/>
      <c r="H4" s="571"/>
      <c r="I4" s="571"/>
      <c r="J4" s="571"/>
      <c r="K4" s="571"/>
      <c r="L4" s="571"/>
      <c r="M4" s="571"/>
      <c r="N4" s="571"/>
      <c r="O4" s="571"/>
    </row>
    <row r="5" spans="1:15" ht="15" x14ac:dyDescent="0.3">
      <c r="A5" s="603"/>
      <c r="B5" s="578" t="s">
        <v>850</v>
      </c>
      <c r="C5" s="578" t="s">
        <v>851</v>
      </c>
      <c r="D5" s="578" t="s">
        <v>852</v>
      </c>
      <c r="E5" s="578" t="s">
        <v>853</v>
      </c>
      <c r="F5" s="578" t="s">
        <v>854</v>
      </c>
      <c r="G5" s="578" t="s">
        <v>855</v>
      </c>
      <c r="H5" s="578" t="s">
        <v>856</v>
      </c>
      <c r="I5" s="578" t="s">
        <v>857</v>
      </c>
      <c r="J5" s="578" t="s">
        <v>858</v>
      </c>
      <c r="K5" s="578" t="s">
        <v>859</v>
      </c>
      <c r="L5" s="578" t="s">
        <v>860</v>
      </c>
      <c r="M5" s="578" t="s">
        <v>861</v>
      </c>
      <c r="N5" s="578" t="s">
        <v>862</v>
      </c>
      <c r="O5" s="578" t="s">
        <v>863</v>
      </c>
    </row>
    <row r="6" spans="1:15" ht="13.5" customHeight="1" x14ac:dyDescent="0.3">
      <c r="A6" s="603"/>
      <c r="B6" s="579"/>
      <c r="C6" s="579"/>
      <c r="D6" s="580"/>
      <c r="E6" s="580"/>
      <c r="F6" s="579"/>
      <c r="G6" s="579"/>
      <c r="H6" s="581"/>
      <c r="I6" s="581" t="s">
        <v>544</v>
      </c>
      <c r="J6" s="581"/>
      <c r="K6" s="581"/>
      <c r="L6" s="581" t="s">
        <v>864</v>
      </c>
      <c r="M6" s="581"/>
      <c r="N6" s="581" t="s">
        <v>865</v>
      </c>
      <c r="O6" s="581" t="s">
        <v>866</v>
      </c>
    </row>
    <row r="7" spans="1:15" ht="15" x14ac:dyDescent="0.3">
      <c r="A7" s="603"/>
      <c r="B7" s="603"/>
      <c r="C7" s="603"/>
      <c r="D7" s="580"/>
      <c r="E7" s="580"/>
      <c r="F7" s="579"/>
      <c r="G7" s="579"/>
      <c r="H7" s="581"/>
      <c r="I7" s="424"/>
      <c r="J7" s="579"/>
      <c r="K7" s="579"/>
      <c r="L7" s="581" t="s">
        <v>545</v>
      </c>
      <c r="M7" s="581"/>
      <c r="N7" s="581" t="s">
        <v>543</v>
      </c>
      <c r="O7" s="579"/>
    </row>
    <row r="8" spans="1:15" ht="15" x14ac:dyDescent="0.3">
      <c r="A8" s="581" t="s">
        <v>546</v>
      </c>
      <c r="B8" s="603"/>
      <c r="C8" s="581" t="s">
        <v>867</v>
      </c>
      <c r="D8" s="582" t="s">
        <v>868</v>
      </c>
      <c r="E8" s="582" t="s">
        <v>869</v>
      </c>
      <c r="F8" s="713" t="s">
        <v>547</v>
      </c>
      <c r="G8" s="713"/>
      <c r="H8" s="581"/>
      <c r="I8" s="579" t="s">
        <v>870</v>
      </c>
      <c r="J8" s="581" t="s">
        <v>871</v>
      </c>
      <c r="K8" s="581" t="s">
        <v>548</v>
      </c>
      <c r="L8" s="581" t="s">
        <v>549</v>
      </c>
      <c r="M8" s="581"/>
      <c r="N8" s="581" t="s">
        <v>550</v>
      </c>
      <c r="O8" s="581" t="s">
        <v>551</v>
      </c>
    </row>
    <row r="9" spans="1:15" ht="15" x14ac:dyDescent="0.3">
      <c r="A9" s="583" t="s">
        <v>552</v>
      </c>
      <c r="B9" s="583" t="s">
        <v>529</v>
      </c>
      <c r="C9" s="583" t="s">
        <v>556</v>
      </c>
      <c r="D9" s="584" t="s">
        <v>872</v>
      </c>
      <c r="E9" s="584" t="s">
        <v>872</v>
      </c>
      <c r="F9" s="583" t="s">
        <v>530</v>
      </c>
      <c r="G9" s="583" t="s">
        <v>531</v>
      </c>
      <c r="H9" s="583" t="s">
        <v>553</v>
      </c>
      <c r="I9" s="583" t="s">
        <v>532</v>
      </c>
      <c r="J9" s="583" t="s">
        <v>873</v>
      </c>
      <c r="K9" s="583" t="s">
        <v>554</v>
      </c>
      <c r="L9" s="583" t="s">
        <v>555</v>
      </c>
      <c r="M9" s="583" t="s">
        <v>874</v>
      </c>
      <c r="N9" s="583" t="s">
        <v>557</v>
      </c>
      <c r="O9" s="583" t="s">
        <v>558</v>
      </c>
    </row>
    <row r="10" spans="1:15" ht="15" x14ac:dyDescent="0.3">
      <c r="A10" s="603"/>
      <c r="B10" s="585" t="s">
        <v>559</v>
      </c>
      <c r="C10" s="585"/>
      <c r="D10" s="425"/>
      <c r="E10" s="425"/>
      <c r="F10" s="603"/>
      <c r="G10" s="603"/>
      <c r="H10" s="603"/>
      <c r="I10" s="603"/>
      <c r="J10" s="603"/>
      <c r="K10" s="603"/>
      <c r="L10" s="603"/>
      <c r="M10" s="603"/>
      <c r="N10" s="603"/>
      <c r="O10" s="603"/>
    </row>
    <row r="11" spans="1:15" ht="15" x14ac:dyDescent="0.3">
      <c r="A11" s="581">
        <v>1</v>
      </c>
      <c r="B11" s="586" t="s">
        <v>848</v>
      </c>
      <c r="C11" s="555">
        <v>0.06</v>
      </c>
      <c r="D11" s="587">
        <v>37575</v>
      </c>
      <c r="E11" s="587">
        <v>48533</v>
      </c>
      <c r="F11" s="588">
        <v>100000</v>
      </c>
      <c r="G11" s="588">
        <v>100000</v>
      </c>
      <c r="H11" s="575">
        <v>99.456000000000003</v>
      </c>
      <c r="I11" s="589">
        <v>543.99999999999693</v>
      </c>
      <c r="J11" s="577">
        <v>750</v>
      </c>
      <c r="K11" s="577">
        <v>441.21600000000001</v>
      </c>
      <c r="L11" s="590">
        <v>98264.784</v>
      </c>
      <c r="M11" s="591">
        <v>6.127109345623246E-2</v>
      </c>
      <c r="N11" s="616">
        <v>6000</v>
      </c>
      <c r="O11" s="617">
        <v>6.1059514464510505</v>
      </c>
    </row>
    <row r="12" spans="1:15" ht="15" x14ac:dyDescent="0.3">
      <c r="A12" s="581">
        <f>A11+1</f>
        <v>2</v>
      </c>
      <c r="B12" s="586" t="s">
        <v>560</v>
      </c>
      <c r="C12" s="555">
        <v>5.5E-2</v>
      </c>
      <c r="D12" s="587">
        <v>37754</v>
      </c>
      <c r="E12" s="587">
        <v>48670</v>
      </c>
      <c r="F12" s="588">
        <v>70000</v>
      </c>
      <c r="G12" s="588">
        <v>70000</v>
      </c>
      <c r="H12" s="575">
        <v>99.947999999999993</v>
      </c>
      <c r="I12" s="576">
        <v>36.400000000004695</v>
      </c>
      <c r="J12" s="577">
        <v>525</v>
      </c>
      <c r="K12" s="577">
        <v>3810.2468900000003</v>
      </c>
      <c r="L12" s="590">
        <v>65628.353109999996</v>
      </c>
      <c r="M12" s="591">
        <v>5.9489763374888566E-2</v>
      </c>
      <c r="N12" s="616">
        <v>3850</v>
      </c>
      <c r="O12" s="617">
        <v>5.8663669245927847</v>
      </c>
    </row>
    <row r="13" spans="1:15" ht="15" x14ac:dyDescent="0.3">
      <c r="A13" s="581">
        <f t="shared" ref="A13:A26" si="0">A12+1</f>
        <v>3</v>
      </c>
      <c r="B13" s="586" t="s">
        <v>561</v>
      </c>
      <c r="C13" s="555">
        <v>5.5E-2</v>
      </c>
      <c r="D13" s="587">
        <v>38072</v>
      </c>
      <c r="E13" s="587">
        <v>49018</v>
      </c>
      <c r="F13" s="588">
        <v>50000</v>
      </c>
      <c r="G13" s="588">
        <v>50000</v>
      </c>
      <c r="H13" s="575">
        <v>99.233000000000004</v>
      </c>
      <c r="I13" s="576">
        <v>383.49999999999795</v>
      </c>
      <c r="J13" s="590">
        <v>375</v>
      </c>
      <c r="K13" s="577">
        <v>149.41932</v>
      </c>
      <c r="L13" s="590">
        <v>49092.080679999999</v>
      </c>
      <c r="M13" s="591">
        <v>5.6259085786513958E-2</v>
      </c>
      <c r="N13" s="616">
        <v>2750</v>
      </c>
      <c r="O13" s="617">
        <v>5.6017181629059447</v>
      </c>
    </row>
    <row r="14" spans="1:15" ht="15" x14ac:dyDescent="0.3">
      <c r="A14" s="581">
        <f t="shared" si="0"/>
        <v>4</v>
      </c>
      <c r="B14" s="586" t="s">
        <v>562</v>
      </c>
      <c r="C14" s="555">
        <v>5.8749999999999997E-2</v>
      </c>
      <c r="D14" s="587">
        <v>38215</v>
      </c>
      <c r="E14" s="587">
        <v>49171</v>
      </c>
      <c r="F14" s="592">
        <v>55000</v>
      </c>
      <c r="G14" s="592">
        <v>55000</v>
      </c>
      <c r="H14" s="593">
        <v>98.64</v>
      </c>
      <c r="I14" s="576">
        <v>747.99999999999966</v>
      </c>
      <c r="J14" s="590">
        <v>412.5</v>
      </c>
      <c r="K14" s="577">
        <v>173.25947999999997</v>
      </c>
      <c r="L14" s="590">
        <v>53666.240519999999</v>
      </c>
      <c r="M14" s="591">
        <v>6.0511966969041583E-2</v>
      </c>
      <c r="N14" s="616">
        <v>3231.25</v>
      </c>
      <c r="O14" s="617">
        <v>6.0210105434827277</v>
      </c>
    </row>
    <row r="15" spans="1:15" ht="15" x14ac:dyDescent="0.3">
      <c r="A15" s="581">
        <f t="shared" si="0"/>
        <v>5</v>
      </c>
      <c r="B15" s="586" t="s">
        <v>563</v>
      </c>
      <c r="C15" s="555">
        <v>5.2999999999999999E-2</v>
      </c>
      <c r="D15" s="587">
        <v>38590</v>
      </c>
      <c r="E15" s="587">
        <v>49536</v>
      </c>
      <c r="F15" s="588">
        <v>60000</v>
      </c>
      <c r="G15" s="588">
        <v>60000</v>
      </c>
      <c r="H15" s="575">
        <v>99.319000000000003</v>
      </c>
      <c r="I15" s="576">
        <v>408.59999999999837</v>
      </c>
      <c r="J15" s="577">
        <v>450</v>
      </c>
      <c r="K15" s="577">
        <v>3399.7387599999997</v>
      </c>
      <c r="L15" s="590">
        <v>55741.661240000001</v>
      </c>
      <c r="M15" s="591">
        <v>5.8021037371971895E-2</v>
      </c>
      <c r="N15" s="616">
        <v>3180</v>
      </c>
      <c r="O15" s="619">
        <v>5.7048891785055806</v>
      </c>
    </row>
    <row r="16" spans="1:15" ht="15" x14ac:dyDescent="0.3">
      <c r="A16" s="581">
        <f t="shared" si="0"/>
        <v>6</v>
      </c>
      <c r="B16" s="586" t="s">
        <v>839</v>
      </c>
      <c r="C16" s="555">
        <v>6.3E-2</v>
      </c>
      <c r="D16" s="587">
        <v>39255</v>
      </c>
      <c r="E16" s="587">
        <v>50206</v>
      </c>
      <c r="F16" s="588">
        <v>140000</v>
      </c>
      <c r="G16" s="588">
        <v>140000</v>
      </c>
      <c r="H16" s="575">
        <v>99.801000000000002</v>
      </c>
      <c r="I16" s="576">
        <v>278.59999999999729</v>
      </c>
      <c r="J16" s="577">
        <v>1050</v>
      </c>
      <c r="K16" s="577">
        <v>450.03067999999996</v>
      </c>
      <c r="L16" s="590">
        <v>138221.36932</v>
      </c>
      <c r="M16" s="591">
        <v>6.3956176346651808E-2</v>
      </c>
      <c r="N16" s="616">
        <v>8820</v>
      </c>
      <c r="O16" s="619">
        <v>6.3810683133811104</v>
      </c>
    </row>
    <row r="17" spans="1:15" ht="15" x14ac:dyDescent="0.3">
      <c r="A17" s="581">
        <f t="shared" si="0"/>
        <v>7</v>
      </c>
      <c r="B17" s="586" t="s">
        <v>840</v>
      </c>
      <c r="C17" s="555">
        <v>6.25E-2</v>
      </c>
      <c r="D17" s="587">
        <v>39373</v>
      </c>
      <c r="E17" s="587">
        <v>50328</v>
      </c>
      <c r="F17" s="588">
        <v>100000</v>
      </c>
      <c r="G17" s="588">
        <v>100000</v>
      </c>
      <c r="H17" s="575">
        <v>99.731999999999999</v>
      </c>
      <c r="I17" s="576">
        <v>268.00000000000068</v>
      </c>
      <c r="J17" s="577">
        <v>750</v>
      </c>
      <c r="K17" s="577">
        <v>477.48976999999996</v>
      </c>
      <c r="L17" s="590">
        <v>98504.51023</v>
      </c>
      <c r="M17" s="591">
        <v>6.362251555849123E-2</v>
      </c>
      <c r="N17" s="616">
        <v>6250</v>
      </c>
      <c r="O17" s="619">
        <v>6.3448871380678504</v>
      </c>
    </row>
    <row r="18" spans="1:15" ht="15" x14ac:dyDescent="0.3">
      <c r="A18" s="581">
        <f t="shared" si="0"/>
        <v>8</v>
      </c>
      <c r="B18" s="586" t="s">
        <v>849</v>
      </c>
      <c r="C18" s="555">
        <v>4.4999999999999998E-2</v>
      </c>
      <c r="D18" s="587">
        <v>40137</v>
      </c>
      <c r="E18" s="587">
        <v>43891</v>
      </c>
      <c r="F18" s="588">
        <v>130000</v>
      </c>
      <c r="G18" s="588">
        <v>130000</v>
      </c>
      <c r="H18" s="575">
        <v>99.819000000000003</v>
      </c>
      <c r="I18" s="576">
        <v>235.29999999999663</v>
      </c>
      <c r="J18" s="577">
        <v>812.5</v>
      </c>
      <c r="K18" s="577">
        <v>386.88333999999998</v>
      </c>
      <c r="L18" s="590">
        <v>128565.31666</v>
      </c>
      <c r="M18" s="591">
        <v>4.6353839852438648E-2</v>
      </c>
      <c r="N18" s="616">
        <v>5850</v>
      </c>
      <c r="O18" s="619">
        <v>4.5502163040369092</v>
      </c>
    </row>
    <row r="19" spans="1:15" ht="15" x14ac:dyDescent="0.3">
      <c r="A19" s="581">
        <f t="shared" si="0"/>
        <v>9</v>
      </c>
      <c r="B19" s="586" t="s">
        <v>900</v>
      </c>
      <c r="C19" s="555">
        <v>3.4000000000000002E-2</v>
      </c>
      <c r="D19" s="587">
        <v>40420</v>
      </c>
      <c r="E19" s="587">
        <v>44136</v>
      </c>
      <c r="F19" s="588">
        <v>100000</v>
      </c>
      <c r="G19" s="588">
        <v>100000</v>
      </c>
      <c r="H19" s="575">
        <v>99.501000000000005</v>
      </c>
      <c r="I19" s="576">
        <v>498.99999999999523</v>
      </c>
      <c r="J19" s="577">
        <v>625</v>
      </c>
      <c r="K19" s="577">
        <v>534.87079000000006</v>
      </c>
      <c r="L19" s="590">
        <v>98341.129209999999</v>
      </c>
      <c r="M19" s="591">
        <v>3.5958058425209681E-2</v>
      </c>
      <c r="N19" s="616">
        <v>3400.0000000000005</v>
      </c>
      <c r="O19" s="619">
        <v>3.4573530193450996</v>
      </c>
    </row>
    <row r="20" spans="1:15" ht="15" x14ac:dyDescent="0.3">
      <c r="A20" s="581">
        <f t="shared" si="0"/>
        <v>10</v>
      </c>
      <c r="B20" s="586" t="s">
        <v>901</v>
      </c>
      <c r="C20" s="555">
        <v>4.8500000000000001E-2</v>
      </c>
      <c r="D20" s="587">
        <v>40420</v>
      </c>
      <c r="E20" s="587">
        <v>51363</v>
      </c>
      <c r="F20" s="588">
        <v>100000</v>
      </c>
      <c r="G20" s="588">
        <v>100000</v>
      </c>
      <c r="H20" s="575">
        <v>99.83</v>
      </c>
      <c r="I20" s="576">
        <v>170.00000000000171</v>
      </c>
      <c r="J20" s="577">
        <v>750</v>
      </c>
      <c r="K20" s="577">
        <v>534.87079999999992</v>
      </c>
      <c r="L20" s="590">
        <v>98545.129199999996</v>
      </c>
      <c r="M20" s="591">
        <v>4.943446770003905E-2</v>
      </c>
      <c r="N20" s="616">
        <v>4850</v>
      </c>
      <c r="O20" s="619">
        <v>4.9216029644213002</v>
      </c>
    </row>
    <row r="21" spans="1:15" ht="15" x14ac:dyDescent="0.3">
      <c r="A21" s="581">
        <f t="shared" si="0"/>
        <v>11</v>
      </c>
      <c r="B21" s="586" t="s">
        <v>994</v>
      </c>
      <c r="C21" s="555">
        <v>2.9499999999999998E-2</v>
      </c>
      <c r="D21" s="587">
        <v>41012</v>
      </c>
      <c r="E21" s="587">
        <v>44652</v>
      </c>
      <c r="F21" s="588">
        <v>75000</v>
      </c>
      <c r="G21" s="588">
        <v>75000</v>
      </c>
      <c r="H21" s="575">
        <v>99.828999999999994</v>
      </c>
      <c r="I21" s="576">
        <v>128.25000000000486</v>
      </c>
      <c r="J21" s="577">
        <v>468.75</v>
      </c>
      <c r="K21" s="577">
        <v>1397.79</v>
      </c>
      <c r="L21" s="590">
        <v>73005.210000000006</v>
      </c>
      <c r="M21" s="591">
        <v>3.2646932264447474E-2</v>
      </c>
      <c r="N21" s="616">
        <v>2212.5</v>
      </c>
      <c r="O21" s="619">
        <v>3.0306056238999926</v>
      </c>
    </row>
    <row r="22" spans="1:15" ht="15" x14ac:dyDescent="0.3">
      <c r="A22" s="581">
        <f t="shared" si="0"/>
        <v>12</v>
      </c>
      <c r="B22" s="586" t="s">
        <v>995</v>
      </c>
      <c r="C22" s="555">
        <v>4.2999999999999997E-2</v>
      </c>
      <c r="D22" s="587">
        <v>41012</v>
      </c>
      <c r="E22" s="587">
        <v>51957</v>
      </c>
      <c r="F22" s="588">
        <v>75000</v>
      </c>
      <c r="G22" s="588">
        <v>75000</v>
      </c>
      <c r="H22" s="575">
        <v>99.933999999999997</v>
      </c>
      <c r="I22" s="576">
        <v>49.500000000001876</v>
      </c>
      <c r="J22" s="577">
        <v>562.5</v>
      </c>
      <c r="K22" s="577">
        <v>1397.79</v>
      </c>
      <c r="L22" s="590">
        <v>72990.210000000006</v>
      </c>
      <c r="M22" s="591">
        <v>4.4629381661078486E-2</v>
      </c>
      <c r="N22" s="616">
        <v>3224.9999999999995</v>
      </c>
      <c r="O22" s="619">
        <v>4.4184007690894429</v>
      </c>
    </row>
    <row r="23" spans="1:15" ht="15" x14ac:dyDescent="0.3">
      <c r="A23" s="581">
        <f t="shared" si="0"/>
        <v>13</v>
      </c>
      <c r="B23" s="586" t="s">
        <v>1028</v>
      </c>
      <c r="C23" s="555">
        <v>2.5000000000000001E-2</v>
      </c>
      <c r="D23" s="587">
        <v>41372</v>
      </c>
      <c r="E23" s="587">
        <v>45017</v>
      </c>
      <c r="F23" s="588">
        <v>75000</v>
      </c>
      <c r="G23" s="588">
        <v>75000</v>
      </c>
      <c r="H23" s="575">
        <v>99.501000000000005</v>
      </c>
      <c r="I23" s="589">
        <v>374.24999999999642</v>
      </c>
      <c r="J23" s="577">
        <v>468.75</v>
      </c>
      <c r="K23" s="577">
        <v>179</v>
      </c>
      <c r="L23" s="590">
        <v>73978</v>
      </c>
      <c r="M23" s="591">
        <v>2.6562932464233708E-2</v>
      </c>
      <c r="N23" s="616">
        <v>1875</v>
      </c>
      <c r="O23" s="619">
        <v>2.5345372948714484</v>
      </c>
    </row>
    <row r="24" spans="1:15" ht="15" x14ac:dyDescent="0.3">
      <c r="A24" s="581">
        <f t="shared" si="0"/>
        <v>14</v>
      </c>
      <c r="B24" s="586" t="s">
        <v>1029</v>
      </c>
      <c r="C24" s="555">
        <v>0.04</v>
      </c>
      <c r="D24" s="587">
        <v>41372</v>
      </c>
      <c r="E24" s="587">
        <v>52322</v>
      </c>
      <c r="F24" s="588">
        <v>75000</v>
      </c>
      <c r="G24" s="588">
        <v>75000</v>
      </c>
      <c r="H24" s="575">
        <v>99.741</v>
      </c>
      <c r="I24" s="589">
        <v>194.25000000000026</v>
      </c>
      <c r="J24" s="577">
        <v>562.5</v>
      </c>
      <c r="K24" s="577">
        <v>179</v>
      </c>
      <c r="L24" s="590">
        <v>74064.25</v>
      </c>
      <c r="M24" s="591">
        <v>4.0723967416831014E-2</v>
      </c>
      <c r="N24" s="616">
        <v>3000</v>
      </c>
      <c r="O24" s="619">
        <v>4.0505372024964812</v>
      </c>
    </row>
    <row r="25" spans="1:15" ht="15" x14ac:dyDescent="0.3">
      <c r="A25" s="581">
        <f t="shared" si="0"/>
        <v>15</v>
      </c>
      <c r="B25" s="586" t="s">
        <v>1102</v>
      </c>
      <c r="C25" s="555">
        <v>3.6499999999999998E-2</v>
      </c>
      <c r="D25" s="587">
        <v>42069</v>
      </c>
      <c r="E25" s="587">
        <v>16497</v>
      </c>
      <c r="F25" s="588">
        <v>250000</v>
      </c>
      <c r="G25" s="588">
        <v>250000</v>
      </c>
      <c r="H25" s="575">
        <v>99.313999999999993</v>
      </c>
      <c r="I25" s="589">
        <v>1715</v>
      </c>
      <c r="J25" s="577">
        <v>1875</v>
      </c>
      <c r="K25" s="577">
        <v>19138</v>
      </c>
      <c r="L25" s="590">
        <v>227272</v>
      </c>
      <c r="M25" s="591">
        <v>4.1849999999999998E-2</v>
      </c>
      <c r="N25" s="618">
        <v>10462.354909818127</v>
      </c>
      <c r="O25" s="619">
        <v>4.6034508913628285</v>
      </c>
    </row>
    <row r="26" spans="1:15" ht="15" x14ac:dyDescent="0.3">
      <c r="A26" s="581">
        <f t="shared" si="0"/>
        <v>16</v>
      </c>
      <c r="B26" s="586" t="s">
        <v>1236</v>
      </c>
      <c r="C26" s="555">
        <v>4.0500000000000001E-2</v>
      </c>
      <c r="D26" s="587">
        <v>42439</v>
      </c>
      <c r="E26" s="587">
        <v>16862</v>
      </c>
      <c r="F26" s="588">
        <v>120000</v>
      </c>
      <c r="G26" s="588">
        <v>120000</v>
      </c>
      <c r="H26" s="575">
        <v>99.742000000000004</v>
      </c>
      <c r="I26" s="589">
        <v>309.60000000000002</v>
      </c>
      <c r="J26" s="577">
        <v>900</v>
      </c>
      <c r="K26" s="577">
        <v>14689</v>
      </c>
      <c r="L26" s="590">
        <v>104101.4</v>
      </c>
      <c r="M26" s="591">
        <v>4.8980000000000003E-2</v>
      </c>
      <c r="N26" s="618">
        <v>5877.0618924385553</v>
      </c>
      <c r="O26" s="619">
        <v>5.6455166716668126</v>
      </c>
    </row>
    <row r="27" spans="1:15" ht="15" x14ac:dyDescent="0.3">
      <c r="A27" s="581"/>
      <c r="B27" s="586" t="s">
        <v>564</v>
      </c>
      <c r="C27" s="586"/>
      <c r="D27" s="426"/>
      <c r="E27" s="426"/>
      <c r="F27" s="592">
        <f>SUM(F11:F26)</f>
        <v>1575000</v>
      </c>
      <c r="G27" s="592">
        <f>SUM(G11:G26)</f>
        <v>1575000</v>
      </c>
      <c r="H27" s="593"/>
      <c r="I27" s="576">
        <f>SUM(I11:I26)</f>
        <v>6342.2499999999936</v>
      </c>
      <c r="J27" s="590">
        <f>SUM(J11:J26)</f>
        <v>11337.5</v>
      </c>
      <c r="K27" s="590">
        <f>SUM(K11:K26)</f>
        <v>47338.60583</v>
      </c>
      <c r="L27" s="590">
        <f>SUM(L11:L26)</f>
        <v>1509981.6441699998</v>
      </c>
      <c r="M27" s="604"/>
      <c r="N27" s="590">
        <f>SUM(N11:N26)</f>
        <v>74833.166802256674</v>
      </c>
      <c r="O27" s="600">
        <f>(N27/L27)</f>
        <v>4.955899105872287E-2</v>
      </c>
    </row>
    <row r="28" spans="1:15" ht="15" x14ac:dyDescent="0.3">
      <c r="B28" s="586"/>
      <c r="C28" s="586"/>
      <c r="D28" s="426"/>
      <c r="E28" s="426"/>
      <c r="F28" s="592"/>
      <c r="G28" s="592"/>
      <c r="H28" s="593"/>
      <c r="I28" s="576"/>
      <c r="J28" s="590"/>
      <c r="K28" s="590"/>
      <c r="L28" s="590"/>
      <c r="M28" s="604"/>
      <c r="N28" s="590"/>
      <c r="O28" s="489"/>
    </row>
    <row r="29" spans="1:15" ht="15" x14ac:dyDescent="0.3">
      <c r="A29" s="581"/>
      <c r="B29" s="586" t="s">
        <v>565</v>
      </c>
      <c r="C29" s="586"/>
      <c r="D29" s="426"/>
      <c r="E29" s="426"/>
      <c r="F29" s="592"/>
      <c r="G29" s="592"/>
      <c r="H29" s="593"/>
      <c r="I29" s="576"/>
      <c r="J29" s="590"/>
      <c r="K29" s="590"/>
      <c r="L29" s="590"/>
      <c r="M29" s="604"/>
      <c r="N29" s="590"/>
      <c r="O29" s="601"/>
    </row>
    <row r="30" spans="1:15" ht="15" x14ac:dyDescent="0.3">
      <c r="A30" s="581">
        <v>17</v>
      </c>
      <c r="B30" s="427" t="s">
        <v>875</v>
      </c>
      <c r="C30" s="555">
        <v>5.2499999999999998E-2</v>
      </c>
      <c r="D30" s="587">
        <v>40045</v>
      </c>
      <c r="E30" s="587">
        <v>46218</v>
      </c>
      <c r="F30" s="588">
        <v>116300</v>
      </c>
      <c r="G30" s="588">
        <v>116300</v>
      </c>
      <c r="H30" s="593">
        <v>100</v>
      </c>
      <c r="I30" s="576">
        <v>0</v>
      </c>
      <c r="J30" s="577">
        <v>930.4</v>
      </c>
      <c r="K30" s="577">
        <v>7703.9115110000002</v>
      </c>
      <c r="L30" s="590">
        <v>107665.68848900001</v>
      </c>
      <c r="M30" s="591">
        <v>5.9520295507838376E-2</v>
      </c>
      <c r="N30" s="620">
        <v>6105.75</v>
      </c>
      <c r="O30" s="622">
        <v>5.6710267548456841</v>
      </c>
    </row>
    <row r="31" spans="1:15" ht="15" x14ac:dyDescent="0.3">
      <c r="A31" s="581">
        <v>18</v>
      </c>
      <c r="B31" s="586" t="s">
        <v>876</v>
      </c>
      <c r="C31" s="555">
        <v>2.1524589999999998E-3</v>
      </c>
      <c r="D31" s="587">
        <v>36663</v>
      </c>
      <c r="E31" s="587">
        <v>46419</v>
      </c>
      <c r="F31" s="592">
        <v>4360</v>
      </c>
      <c r="G31" s="592">
        <v>4360</v>
      </c>
      <c r="H31" s="593">
        <v>100</v>
      </c>
      <c r="I31" s="576">
        <v>0</v>
      </c>
      <c r="J31" s="577">
        <v>50</v>
      </c>
      <c r="K31" s="577">
        <v>120.34312999999999</v>
      </c>
      <c r="L31" s="590">
        <v>4189.6568699999998</v>
      </c>
      <c r="M31" s="591">
        <v>3.6900391027000001E-5</v>
      </c>
      <c r="N31" s="620">
        <v>24.910858177311951</v>
      </c>
      <c r="O31" s="622">
        <v>0.59457991311140357</v>
      </c>
    </row>
    <row r="32" spans="1:15" ht="15" x14ac:dyDescent="0.3">
      <c r="A32" s="581">
        <v>19</v>
      </c>
      <c r="B32" s="586" t="s">
        <v>877</v>
      </c>
      <c r="C32" s="555">
        <v>5.1499999999999997E-2</v>
      </c>
      <c r="D32" s="587">
        <v>40045</v>
      </c>
      <c r="E32" s="587">
        <v>45627</v>
      </c>
      <c r="F32" s="588">
        <v>49800</v>
      </c>
      <c r="G32" s="588">
        <v>49800</v>
      </c>
      <c r="H32" s="575">
        <v>100</v>
      </c>
      <c r="I32" s="589">
        <v>0</v>
      </c>
      <c r="J32" s="577">
        <v>398.4</v>
      </c>
      <c r="K32" s="577">
        <v>3956.6490389999999</v>
      </c>
      <c r="L32" s="590">
        <v>45444.950960999995</v>
      </c>
      <c r="M32" s="591">
        <v>6.033134456052873E-2</v>
      </c>
      <c r="N32" s="620">
        <v>2564.6999999999998</v>
      </c>
      <c r="O32" s="621">
        <v>5.6435312301271425</v>
      </c>
    </row>
    <row r="33" spans="1:15" ht="15" x14ac:dyDescent="0.3">
      <c r="A33" s="581"/>
      <c r="B33" s="586"/>
      <c r="C33" s="586"/>
      <c r="D33" s="587"/>
      <c r="E33" s="587"/>
      <c r="F33" s="594"/>
      <c r="G33" s="594"/>
      <c r="H33" s="595"/>
      <c r="I33" s="596"/>
      <c r="J33" s="597"/>
      <c r="K33" s="597"/>
      <c r="L33" s="597"/>
      <c r="M33" s="598"/>
      <c r="N33" s="597"/>
      <c r="O33" s="599"/>
    </row>
    <row r="34" spans="1:15" ht="15" x14ac:dyDescent="0.3">
      <c r="A34" s="581">
        <v>20</v>
      </c>
      <c r="B34" s="586" t="s">
        <v>566</v>
      </c>
      <c r="C34" s="586"/>
      <c r="D34" s="425"/>
      <c r="E34" s="425"/>
      <c r="F34" s="592">
        <f>SUM(F30:F33)</f>
        <v>170460</v>
      </c>
      <c r="G34" s="592">
        <f>SUM(G30:G33)</f>
        <v>170460</v>
      </c>
      <c r="H34" s="593"/>
      <c r="I34" s="576">
        <f>SUM(I30:I33)</f>
        <v>0</v>
      </c>
      <c r="J34" s="590">
        <f>SUM(J30:J33)</f>
        <v>1378.8</v>
      </c>
      <c r="K34" s="590">
        <f>SUM(K30:K33)</f>
        <v>11780.903679999999</v>
      </c>
      <c r="L34" s="590">
        <f>SUM(L30:L33)</f>
        <v>157300.29632000002</v>
      </c>
      <c r="M34" s="604"/>
      <c r="N34" s="590">
        <f>SUM(N30:N33)</f>
        <v>8695.3608581773115</v>
      </c>
      <c r="O34" s="601">
        <f>(N34/L34*100)</f>
        <v>5.5278731582858027</v>
      </c>
    </row>
    <row r="35" spans="1:15" ht="15" x14ac:dyDescent="0.3">
      <c r="A35" s="581"/>
      <c r="B35" s="586"/>
      <c r="C35" s="586"/>
      <c r="D35" s="425"/>
      <c r="E35" s="425"/>
      <c r="F35" s="592"/>
      <c r="G35" s="592"/>
      <c r="H35" s="593"/>
      <c r="I35" s="576"/>
      <c r="J35" s="590"/>
      <c r="K35" s="590"/>
      <c r="L35" s="590"/>
      <c r="M35" s="604"/>
      <c r="N35" s="590"/>
      <c r="O35" s="601"/>
    </row>
    <row r="36" spans="1:15" ht="15" x14ac:dyDescent="0.3">
      <c r="A36" s="581"/>
      <c r="B36" s="586"/>
      <c r="C36" s="586"/>
      <c r="D36" s="582"/>
      <c r="E36" s="582"/>
      <c r="F36" s="592"/>
      <c r="G36" s="590"/>
      <c r="H36" s="593"/>
      <c r="I36" s="605"/>
      <c r="J36" s="606"/>
      <c r="K36" s="606"/>
      <c r="L36" s="590"/>
      <c r="M36" s="604"/>
      <c r="N36" s="590"/>
      <c r="O36" s="601"/>
    </row>
    <row r="37" spans="1:15" ht="15" x14ac:dyDescent="0.3">
      <c r="A37" s="603"/>
      <c r="B37" s="586"/>
      <c r="C37" s="586"/>
      <c r="D37" s="425"/>
      <c r="E37" s="425"/>
      <c r="F37" s="592"/>
      <c r="G37" s="592"/>
      <c r="H37" s="592"/>
      <c r="I37" s="607"/>
      <c r="J37" s="590"/>
      <c r="K37" s="590"/>
      <c r="L37" s="590"/>
      <c r="M37" s="590"/>
      <c r="N37" s="590"/>
      <c r="O37" s="608"/>
    </row>
    <row r="38" spans="1:15" ht="15.75" thickBot="1" x14ac:dyDescent="0.35">
      <c r="A38" s="581">
        <v>21</v>
      </c>
      <c r="B38" s="586" t="s">
        <v>567</v>
      </c>
      <c r="C38" s="586"/>
      <c r="D38" s="425"/>
      <c r="E38" s="425"/>
      <c r="F38" s="609">
        <f>SUM(F27,F34)</f>
        <v>1745460</v>
      </c>
      <c r="G38" s="610">
        <f>SUM(G27,G34)</f>
        <v>1745460</v>
      </c>
      <c r="H38" s="428"/>
      <c r="I38" s="611">
        <f>SUM(I27,I34)</f>
        <v>6342.2499999999936</v>
      </c>
      <c r="J38" s="610">
        <f>SUM(J27,J34)</f>
        <v>12716.3</v>
      </c>
      <c r="K38" s="610">
        <f>SUM(K27,K34)</f>
        <v>59119.509510000004</v>
      </c>
      <c r="L38" s="610">
        <f>SUM(L27,L34)</f>
        <v>1667281.9404899997</v>
      </c>
      <c r="M38" s="610"/>
      <c r="N38" s="610">
        <f>SUM(N27,N34)</f>
        <v>83528.527660433989</v>
      </c>
      <c r="O38" s="612">
        <f>(N38/L38)</f>
        <v>5.0098621973849053E-2</v>
      </c>
    </row>
    <row r="39" spans="1:15" ht="15.75" thickTop="1" x14ac:dyDescent="0.3">
      <c r="A39" s="581"/>
      <c r="B39" s="586"/>
      <c r="C39" s="586"/>
      <c r="D39" s="425"/>
      <c r="E39" s="425"/>
      <c r="F39" s="613"/>
      <c r="G39" s="613"/>
      <c r="H39" s="613"/>
      <c r="I39" s="614"/>
      <c r="J39" s="590"/>
      <c r="K39" s="590"/>
      <c r="L39" s="614"/>
      <c r="M39" s="614"/>
      <c r="N39" s="614"/>
      <c r="O39" s="602"/>
    </row>
    <row r="40" spans="1:15" ht="15" x14ac:dyDescent="0.3">
      <c r="A40" s="586" t="s">
        <v>841</v>
      </c>
      <c r="B40" s="615" t="s">
        <v>1237</v>
      </c>
      <c r="C40" s="603"/>
      <c r="D40" s="425"/>
      <c r="E40" s="425"/>
      <c r="F40" s="603"/>
      <c r="G40" s="603"/>
      <c r="H40" s="603"/>
      <c r="I40" s="603"/>
      <c r="J40" s="590"/>
      <c r="K40" s="603"/>
      <c r="L40" s="603"/>
      <c r="M40" s="603"/>
      <c r="N40" s="603"/>
      <c r="O40" s="603"/>
    </row>
    <row r="41" spans="1:15" ht="15" x14ac:dyDescent="0.3">
      <c r="B41" s="603" t="s">
        <v>878</v>
      </c>
      <c r="C41" s="603"/>
      <c r="D41" s="425"/>
      <c r="E41" s="425"/>
      <c r="F41" s="603"/>
      <c r="G41" s="603"/>
      <c r="H41" s="603"/>
      <c r="I41" s="603"/>
      <c r="J41" s="603"/>
      <c r="K41" s="603"/>
      <c r="L41" s="603"/>
      <c r="M41" s="603"/>
      <c r="N41" s="603"/>
      <c r="O41" s="603"/>
    </row>
    <row r="42" spans="1:15" ht="15" x14ac:dyDescent="0.3">
      <c r="A42" s="603"/>
      <c r="M42" s="153"/>
      <c r="N42" s="153"/>
    </row>
    <row r="43" spans="1:15" x14ac:dyDescent="0.2">
      <c r="A43" s="76"/>
      <c r="B43" s="153"/>
      <c r="C43" s="153"/>
      <c r="D43" s="153"/>
      <c r="E43" s="153"/>
      <c r="F43" s="153"/>
      <c r="G43" s="153"/>
      <c r="H43" s="153"/>
      <c r="I43" s="153"/>
      <c r="J43" s="153"/>
      <c r="K43" s="153"/>
      <c r="L43" s="153"/>
      <c r="M43" s="153"/>
      <c r="N43" s="153"/>
    </row>
    <row r="44" spans="1:15" x14ac:dyDescent="0.2">
      <c r="A44" s="153"/>
      <c r="B44" s="76"/>
      <c r="C44" s="77"/>
      <c r="D44" s="78"/>
      <c r="E44" s="78"/>
      <c r="F44" s="79"/>
      <c r="G44" s="80"/>
      <c r="H44" s="81"/>
      <c r="I44" s="82"/>
      <c r="J44" s="82"/>
      <c r="K44" s="83"/>
      <c r="L44" s="84"/>
      <c r="M44" s="153"/>
      <c r="N44" s="153"/>
    </row>
  </sheetData>
  <sheetProtection formatCells="0"/>
  <mergeCells count="4">
    <mergeCell ref="F8:G8"/>
    <mergeCell ref="A3:O3"/>
    <mergeCell ref="A1:O1"/>
    <mergeCell ref="A2:O2"/>
  </mergeCells>
  <phoneticPr fontId="18" type="noConversion"/>
  <printOptions horizontalCentered="1"/>
  <pageMargins left="0.75" right="0.75" top="1" bottom="1" header="0.5" footer="0.5"/>
  <pageSetup scale="45" orientation="portrait" r:id="rId1"/>
  <headerFooter alignWithMargins="0">
    <oddHeader>&amp;CIDAHO POWER COMPANY
Transmission Cost of Service Rate Development
12 Months Ended 12/31/2016</oddHeader>
  </headerFooter>
  <ignoredErrors>
    <ignoredError sqref="B5:O5" numberStoredAsText="1"/>
    <ignoredError sqref="F27:O27 I33:O34 F34:G34 G38:O38"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F19"/>
  <sheetViews>
    <sheetView zoomScaleNormal="100" zoomScaleSheetLayoutView="100" workbookViewId="0">
      <selection activeCell="A19" sqref="A19"/>
    </sheetView>
  </sheetViews>
  <sheetFormatPr defaultColWidth="9.85546875" defaultRowHeight="12.75" x14ac:dyDescent="0.2"/>
  <cols>
    <col min="1" max="1" width="1.42578125" style="197" customWidth="1"/>
    <col min="2" max="2" width="28.42578125" style="197" bestFit="1" customWidth="1"/>
    <col min="3" max="6" width="12.7109375" style="197" customWidth="1"/>
    <col min="7" max="16384" width="9.85546875" style="197"/>
  </cols>
  <sheetData>
    <row r="1" spans="2:6" x14ac:dyDescent="0.2">
      <c r="B1" s="677" t="s">
        <v>361</v>
      </c>
      <c r="C1" s="677"/>
      <c r="D1" s="677"/>
      <c r="E1" s="677"/>
      <c r="F1" s="677"/>
    </row>
    <row r="2" spans="2:6" x14ac:dyDescent="0.2">
      <c r="B2" s="677" t="s">
        <v>104</v>
      </c>
      <c r="C2" s="677"/>
      <c r="D2" s="677"/>
      <c r="E2" s="677"/>
      <c r="F2" s="677"/>
    </row>
    <row r="3" spans="2:6" x14ac:dyDescent="0.2">
      <c r="B3" s="676"/>
      <c r="C3" s="676"/>
      <c r="D3" s="676"/>
      <c r="E3" s="676"/>
      <c r="F3" s="676"/>
    </row>
    <row r="4" spans="2:6" x14ac:dyDescent="0.2">
      <c r="B4" s="500"/>
      <c r="C4" s="500"/>
      <c r="D4" s="500"/>
      <c r="E4" s="500"/>
      <c r="F4" s="500"/>
    </row>
    <row r="7" spans="2:6" x14ac:dyDescent="0.2">
      <c r="C7" s="499" t="s">
        <v>99</v>
      </c>
      <c r="D7" s="499" t="s">
        <v>100</v>
      </c>
      <c r="E7" s="499" t="s">
        <v>101</v>
      </c>
      <c r="F7" s="499" t="s">
        <v>102</v>
      </c>
    </row>
    <row r="9" spans="2:6" x14ac:dyDescent="0.2">
      <c r="B9" s="197" t="s">
        <v>103</v>
      </c>
      <c r="C9" s="194">
        <v>5.8999999999999997E-2</v>
      </c>
      <c r="D9" s="194">
        <v>3.0000000000000001E-3</v>
      </c>
      <c r="E9" s="194">
        <v>1E-3</v>
      </c>
      <c r="F9" s="75">
        <f>SUM(C9:E9)</f>
        <v>6.3E-2</v>
      </c>
    </row>
    <row r="14" spans="2:6" x14ac:dyDescent="0.2">
      <c r="B14" s="4" t="s">
        <v>326</v>
      </c>
    </row>
    <row r="15" spans="2:6" x14ac:dyDescent="0.2">
      <c r="B15" s="197" t="s">
        <v>327</v>
      </c>
    </row>
    <row r="16" spans="2:6" x14ac:dyDescent="0.2">
      <c r="B16" s="197" t="s">
        <v>1233</v>
      </c>
    </row>
    <row r="18" spans="2:2" x14ac:dyDescent="0.2">
      <c r="B18" s="197" t="s">
        <v>1234</v>
      </c>
    </row>
    <row r="19" spans="2:2" x14ac:dyDescent="0.2">
      <c r="B19" s="197" t="s">
        <v>1235</v>
      </c>
    </row>
  </sheetData>
  <sheetProtection formatCells="0"/>
  <mergeCells count="3">
    <mergeCell ref="B2:F2"/>
    <mergeCell ref="B1:F1"/>
    <mergeCell ref="B3:F3"/>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17"/>
  <sheetViews>
    <sheetView zoomScaleNormal="100" zoomScaleSheetLayoutView="100" workbookViewId="0">
      <selection activeCell="A19" sqref="A19"/>
    </sheetView>
  </sheetViews>
  <sheetFormatPr defaultRowHeight="12.75" x14ac:dyDescent="0.2"/>
  <cols>
    <col min="1" max="2" width="9.140625" style="153"/>
    <col min="3" max="3" width="13" style="153" bestFit="1" customWidth="1"/>
    <col min="4" max="4" width="9.140625" style="153"/>
    <col min="5" max="5" width="13" style="153" bestFit="1" customWidth="1"/>
    <col min="6" max="6" width="9.140625" style="153"/>
    <col min="7" max="7" width="11.42578125" style="153" bestFit="1" customWidth="1"/>
    <col min="8" max="16384" width="9.140625" style="153"/>
  </cols>
  <sheetData>
    <row r="1" spans="1:7" x14ac:dyDescent="0.2">
      <c r="A1" s="685" t="s">
        <v>362</v>
      </c>
      <c r="B1" s="685"/>
      <c r="C1" s="685"/>
      <c r="D1" s="685"/>
      <c r="E1" s="685"/>
      <c r="F1" s="685"/>
      <c r="G1" s="685"/>
    </row>
    <row r="2" spans="1:7" x14ac:dyDescent="0.2">
      <c r="A2" s="685" t="s">
        <v>109</v>
      </c>
      <c r="B2" s="685"/>
      <c r="C2" s="685"/>
      <c r="D2" s="685"/>
      <c r="E2" s="685"/>
      <c r="F2" s="685"/>
      <c r="G2" s="685"/>
    </row>
    <row r="3" spans="1:7" x14ac:dyDescent="0.2">
      <c r="A3" s="685" t="s">
        <v>1238</v>
      </c>
      <c r="B3" s="685"/>
      <c r="C3" s="685"/>
      <c r="D3" s="685"/>
      <c r="E3" s="685"/>
      <c r="F3" s="685"/>
      <c r="G3" s="685"/>
    </row>
    <row r="4" spans="1:7" x14ac:dyDescent="0.2">
      <c r="A4" s="685" t="s">
        <v>703</v>
      </c>
      <c r="B4" s="685"/>
      <c r="C4" s="685"/>
      <c r="D4" s="685"/>
      <c r="E4" s="685"/>
      <c r="F4" s="685"/>
      <c r="G4" s="685"/>
    </row>
    <row r="5" spans="1:7" x14ac:dyDescent="0.2">
      <c r="A5" s="504"/>
      <c r="B5" s="504"/>
      <c r="C5" s="504"/>
      <c r="D5" s="504"/>
      <c r="E5" s="504"/>
      <c r="F5" s="504"/>
      <c r="G5" s="504"/>
    </row>
    <row r="6" spans="1:7" x14ac:dyDescent="0.2">
      <c r="A6" s="504"/>
      <c r="B6" s="504"/>
      <c r="C6" s="504"/>
      <c r="D6" s="504"/>
      <c r="E6" s="504"/>
      <c r="F6" s="504"/>
      <c r="G6" s="504"/>
    </row>
    <row r="7" spans="1:7" x14ac:dyDescent="0.2">
      <c r="A7" s="504"/>
      <c r="B7" s="504"/>
      <c r="C7" s="504"/>
      <c r="D7" s="504"/>
      <c r="E7" s="504"/>
      <c r="F7" s="504"/>
      <c r="G7" s="504"/>
    </row>
    <row r="8" spans="1:7" ht="13.5" thickBot="1" x14ac:dyDescent="0.25">
      <c r="A8" s="184"/>
      <c r="B8" s="184"/>
      <c r="C8" s="185" t="s">
        <v>110</v>
      </c>
      <c r="D8" s="185" t="s">
        <v>402</v>
      </c>
      <c r="E8" s="186" t="s">
        <v>111</v>
      </c>
    </row>
    <row r="9" spans="1:7" x14ac:dyDescent="0.2">
      <c r="A9" s="184"/>
      <c r="B9" s="184"/>
      <c r="C9" s="184">
        <v>107000</v>
      </c>
      <c r="D9" s="184">
        <v>451</v>
      </c>
      <c r="E9" s="663">
        <v>4114079.06</v>
      </c>
    </row>
    <row r="10" spans="1:7" ht="13.5" thickBot="1" x14ac:dyDescent="0.25">
      <c r="A10" s="187"/>
      <c r="B10" s="187"/>
      <c r="C10" s="188" t="s">
        <v>902</v>
      </c>
      <c r="D10" s="188"/>
      <c r="E10" s="189">
        <f>SUM(E9:E9)</f>
        <v>4114079.06</v>
      </c>
    </row>
    <row r="11" spans="1:7" ht="13.5" thickTop="1" x14ac:dyDescent="0.2">
      <c r="A11" s="187"/>
      <c r="B11" s="187"/>
      <c r="C11" s="188"/>
      <c r="D11" s="188"/>
      <c r="E11" s="190"/>
    </row>
    <row r="13" spans="1:7" x14ac:dyDescent="0.2">
      <c r="C13" s="153" t="s">
        <v>237</v>
      </c>
      <c r="E13" s="191"/>
    </row>
    <row r="14" spans="1:7" x14ac:dyDescent="0.2">
      <c r="C14" s="153" t="s">
        <v>238</v>
      </c>
      <c r="E14" s="191"/>
    </row>
    <row r="15" spans="1:7" x14ac:dyDescent="0.2">
      <c r="C15" s="192">
        <v>2.0199999999999999E-2</v>
      </c>
      <c r="E15" s="191"/>
    </row>
    <row r="17" spans="3:7" x14ac:dyDescent="0.2">
      <c r="C17" s="193">
        <f>E10</f>
        <v>4114079.06</v>
      </c>
      <c r="D17" s="504" t="s">
        <v>112</v>
      </c>
      <c r="E17" s="194">
        <f>C15</f>
        <v>2.0199999999999999E-2</v>
      </c>
      <c r="F17" s="195" t="s">
        <v>113</v>
      </c>
      <c r="G17" s="196">
        <f>ROUND(C17*E17,0)</f>
        <v>83104</v>
      </c>
    </row>
  </sheetData>
  <sheetProtection formatCells="0"/>
  <mergeCells count="4">
    <mergeCell ref="A2:G2"/>
    <mergeCell ref="A1:G1"/>
    <mergeCell ref="A3:G3"/>
    <mergeCell ref="A4:G4"/>
  </mergeCells>
  <phoneticPr fontId="18" type="noConversion"/>
  <conditionalFormatting sqref="E9">
    <cfRule type="cellIs" dxfId="1" priority="2" operator="lessThan">
      <formula>0</formula>
    </cfRule>
  </conditionalFormatting>
  <conditionalFormatting sqref="C15">
    <cfRule type="cellIs" dxfId="0" priority="1" operator="notBetween">
      <formula>0.02</formula>
      <formula>0.0299</formula>
    </cfRule>
  </conditionalFormatting>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U107"/>
  <sheetViews>
    <sheetView topLeftCell="B64" zoomScale="90" zoomScaleNormal="90" zoomScaleSheetLayoutView="70" zoomScalePageLayoutView="50" workbookViewId="0">
      <selection activeCell="A19" sqref="A19"/>
    </sheetView>
  </sheetViews>
  <sheetFormatPr defaultColWidth="30.140625" defaultRowHeight="12.75" x14ac:dyDescent="0.2"/>
  <cols>
    <col min="1" max="1" width="11.5703125" style="402" customWidth="1"/>
    <col min="2" max="2" width="30.140625" style="402" customWidth="1"/>
    <col min="3" max="3" width="9.28515625" style="405" bestFit="1" customWidth="1"/>
    <col min="4" max="4" width="5.85546875" style="406" bestFit="1" customWidth="1"/>
    <col min="5" max="5" width="14.28515625" style="402" bestFit="1" customWidth="1"/>
    <col min="6" max="6" width="12.7109375" style="405" bestFit="1" customWidth="1"/>
    <col min="7" max="7" width="8.42578125" style="402" bestFit="1" customWidth="1"/>
    <col min="8" max="8" width="13" style="402" bestFit="1" customWidth="1"/>
    <col min="9" max="9" width="12.7109375" style="405" bestFit="1" customWidth="1"/>
    <col min="10" max="10" width="8.42578125" style="402" bestFit="1" customWidth="1"/>
    <col min="11" max="11" width="14.42578125" style="402" bestFit="1" customWidth="1"/>
    <col min="12" max="12" width="13.7109375" style="405" bestFit="1" customWidth="1"/>
    <col min="13" max="13" width="8.42578125" style="405" bestFit="1" customWidth="1"/>
    <col min="14" max="14" width="14.42578125" style="402" bestFit="1" customWidth="1"/>
    <col min="15" max="15" width="18.42578125" style="402" bestFit="1" customWidth="1"/>
    <col min="16" max="16" width="14.28515625" style="402" bestFit="1" customWidth="1"/>
    <col min="17" max="17" width="11.28515625" style="404" bestFit="1" customWidth="1"/>
    <col min="18" max="28" width="9.140625" style="402" customWidth="1"/>
    <col min="29" max="29" width="11.5703125" style="402" customWidth="1"/>
    <col min="30" max="16384" width="30.140625" style="402"/>
  </cols>
  <sheetData>
    <row r="1" spans="1:21" x14ac:dyDescent="0.2">
      <c r="A1" s="717" t="s">
        <v>11</v>
      </c>
      <c r="B1" s="717"/>
      <c r="C1" s="717"/>
      <c r="D1" s="717"/>
      <c r="E1" s="717"/>
      <c r="F1" s="717"/>
      <c r="G1" s="717"/>
      <c r="H1" s="717"/>
      <c r="I1" s="717"/>
      <c r="J1" s="717"/>
      <c r="K1" s="717"/>
      <c r="L1" s="717"/>
      <c r="M1" s="717"/>
      <c r="N1" s="717"/>
      <c r="O1" s="717"/>
      <c r="P1" s="717"/>
      <c r="Q1" s="717"/>
    </row>
    <row r="2" spans="1:21" x14ac:dyDescent="0.2">
      <c r="A2" s="685" t="s">
        <v>702</v>
      </c>
      <c r="B2" s="685"/>
      <c r="C2" s="685"/>
      <c r="D2" s="685"/>
      <c r="E2" s="685"/>
      <c r="F2" s="685"/>
      <c r="G2" s="685"/>
      <c r="H2" s="685"/>
      <c r="I2" s="685"/>
      <c r="J2" s="685"/>
      <c r="K2" s="685"/>
      <c r="L2" s="685"/>
      <c r="M2" s="685"/>
      <c r="N2" s="685"/>
      <c r="O2" s="685"/>
      <c r="P2" s="685"/>
      <c r="Q2" s="685"/>
    </row>
    <row r="3" spans="1:21" x14ac:dyDescent="0.2">
      <c r="A3" s="692" t="s">
        <v>708</v>
      </c>
      <c r="B3" s="692"/>
      <c r="C3" s="692"/>
      <c r="D3" s="692"/>
      <c r="E3" s="692"/>
      <c r="F3" s="692"/>
      <c r="G3" s="692"/>
      <c r="H3" s="692"/>
      <c r="I3" s="692"/>
      <c r="J3" s="692"/>
      <c r="K3" s="692"/>
      <c r="L3" s="692"/>
      <c r="M3" s="692"/>
      <c r="N3" s="692"/>
      <c r="O3" s="692"/>
      <c r="P3" s="692"/>
      <c r="Q3" s="692"/>
    </row>
    <row r="4" spans="1:21" x14ac:dyDescent="0.2">
      <c r="A4" s="692" t="s">
        <v>704</v>
      </c>
      <c r="B4" s="692"/>
      <c r="C4" s="692"/>
      <c r="D4" s="692"/>
      <c r="E4" s="692"/>
      <c r="F4" s="692"/>
      <c r="G4" s="692"/>
      <c r="H4" s="692"/>
      <c r="I4" s="692"/>
      <c r="J4" s="692"/>
      <c r="K4" s="692"/>
      <c r="L4" s="692"/>
      <c r="M4" s="692"/>
      <c r="N4" s="692"/>
      <c r="O4" s="692"/>
      <c r="P4" s="692"/>
      <c r="Q4" s="692"/>
    </row>
    <row r="5" spans="1:21" x14ac:dyDescent="0.2">
      <c r="A5" s="631"/>
      <c r="B5" s="631"/>
      <c r="C5" s="631"/>
      <c r="D5" s="403"/>
      <c r="E5" s="631"/>
      <c r="F5" s="631"/>
      <c r="G5" s="631"/>
      <c r="H5" s="633"/>
      <c r="I5" s="633"/>
      <c r="J5" s="633"/>
      <c r="K5" s="633"/>
      <c r="L5" s="633"/>
      <c r="M5" s="664"/>
      <c r="N5" s="633"/>
      <c r="O5" s="633"/>
      <c r="P5" s="633"/>
    </row>
    <row r="6" spans="1:21" x14ac:dyDescent="0.2">
      <c r="F6" s="714" t="s">
        <v>991</v>
      </c>
      <c r="G6" s="715"/>
      <c r="H6" s="716"/>
      <c r="I6" s="714" t="s">
        <v>992</v>
      </c>
      <c r="J6" s="715"/>
      <c r="K6" s="716"/>
      <c r="L6" s="714" t="s">
        <v>993</v>
      </c>
      <c r="M6" s="715"/>
      <c r="N6" s="716"/>
      <c r="O6" s="407"/>
    </row>
    <row r="7" spans="1:21" ht="26.25" thickBot="1" x14ac:dyDescent="0.25">
      <c r="A7" s="408" t="s">
        <v>40</v>
      </c>
      <c r="B7" s="408" t="s">
        <v>691</v>
      </c>
      <c r="C7" s="408" t="s">
        <v>805</v>
      </c>
      <c r="D7" s="409" t="s">
        <v>806</v>
      </c>
      <c r="E7" s="408" t="s">
        <v>807</v>
      </c>
      <c r="F7" s="408" t="s">
        <v>808</v>
      </c>
      <c r="G7" s="408" t="s">
        <v>159</v>
      </c>
      <c r="H7" s="410" t="s">
        <v>160</v>
      </c>
      <c r="I7" s="408" t="s">
        <v>808</v>
      </c>
      <c r="J7" s="408" t="s">
        <v>159</v>
      </c>
      <c r="K7" s="410" t="s">
        <v>160</v>
      </c>
      <c r="L7" s="408" t="s">
        <v>808</v>
      </c>
      <c r="M7" s="408" t="s">
        <v>159</v>
      </c>
      <c r="N7" s="410" t="s">
        <v>160</v>
      </c>
      <c r="O7" s="410" t="s">
        <v>809</v>
      </c>
      <c r="P7" s="410" t="s">
        <v>810</v>
      </c>
      <c r="Q7" s="410" t="s">
        <v>811</v>
      </c>
    </row>
    <row r="8" spans="1:21" x14ac:dyDescent="0.2">
      <c r="A8" s="187" t="s">
        <v>823</v>
      </c>
      <c r="B8" s="187" t="s">
        <v>161</v>
      </c>
      <c r="C8" s="277">
        <v>353</v>
      </c>
      <c r="D8" s="295">
        <v>1978</v>
      </c>
      <c r="E8" s="522">
        <f>648863.15-968.78</f>
        <v>647894.37</v>
      </c>
      <c r="F8" s="412">
        <v>2.12E-2</v>
      </c>
      <c r="G8" s="665">
        <f>IF((2008-$D8)+0.58&lt;0, 0,(2008-$D8)+0.58)</f>
        <v>30.58</v>
      </c>
      <c r="H8" s="404">
        <f>ROUND(E8*G8*F8,2)</f>
        <v>420027.33</v>
      </c>
      <c r="I8" s="412">
        <v>2.06E-2</v>
      </c>
      <c r="J8" s="414">
        <f t="shared" ref="J8:J17" si="0">IF(G8=0,IF($J$96=D8,$J$96-D8+0.42,($J$96+0.42-D8)-G8),$J$96+0.42-D8)-G8</f>
        <v>3.8400000000000745</v>
      </c>
      <c r="K8" s="404">
        <f>ROUND(E8*J8*I8,2)</f>
        <v>51251.040000000001</v>
      </c>
      <c r="L8" s="412">
        <v>1.9E-2</v>
      </c>
      <c r="M8" s="414">
        <f>$J$100+1-D8-J8-G8</f>
        <v>4.5799999999999272</v>
      </c>
      <c r="N8" s="404">
        <f>ROUND(E8*L8*M8,2)</f>
        <v>56379.77</v>
      </c>
      <c r="O8" s="404">
        <f>SUM(H8,K8,N8)</f>
        <v>527658.14</v>
      </c>
      <c r="P8" s="411">
        <f t="shared" ref="P8:P69" si="1">E8-O8</f>
        <v>120236.22999999998</v>
      </c>
      <c r="Q8" s="404">
        <f>ROUND(E8*L8,2)</f>
        <v>12309.99</v>
      </c>
      <c r="S8" s="560">
        <f>2015+1-D8</f>
        <v>38</v>
      </c>
      <c r="T8" s="561">
        <f>G8+J8+M8</f>
        <v>39</v>
      </c>
      <c r="U8" s="561" t="str">
        <f>IF(S8-T8=0, "ok","error")</f>
        <v>error</v>
      </c>
    </row>
    <row r="9" spans="1:21" x14ac:dyDescent="0.2">
      <c r="A9" s="187" t="s">
        <v>823</v>
      </c>
      <c r="B9" s="187" t="s">
        <v>161</v>
      </c>
      <c r="C9" s="277">
        <v>353</v>
      </c>
      <c r="D9" s="295">
        <v>2013</v>
      </c>
      <c r="E9" s="522">
        <v>10928.33</v>
      </c>
      <c r="F9" s="412">
        <v>2.12E-2</v>
      </c>
      <c r="G9" s="628">
        <f>IF((2008-$D9)+0.58&lt;0, 0,(2008-$D9)+0.58)</f>
        <v>0</v>
      </c>
      <c r="H9" s="404">
        <f>ROUND(E9*G9*F9,2)</f>
        <v>0</v>
      </c>
      <c r="I9" s="412">
        <v>2.06E-2</v>
      </c>
      <c r="J9" s="414">
        <v>0</v>
      </c>
      <c r="K9" s="404">
        <f>ROUND(E9*J9*I9,2)</f>
        <v>0</v>
      </c>
      <c r="L9" s="412">
        <v>1.9E-2</v>
      </c>
      <c r="M9" s="414">
        <f>$J$100+1-D9-J9-G9</f>
        <v>4</v>
      </c>
      <c r="N9" s="404">
        <f>ROUND(E9*L9*M9,2)</f>
        <v>830.55</v>
      </c>
      <c r="O9" s="404">
        <f>SUM(H9,K9,N9)</f>
        <v>830.55</v>
      </c>
      <c r="P9" s="411">
        <f t="shared" ref="P9" si="2">E9-O9</f>
        <v>10097.780000000001</v>
      </c>
      <c r="Q9" s="404">
        <f>ROUND(E9*L9,2)</f>
        <v>207.64</v>
      </c>
      <c r="S9" s="560">
        <f>2015+1-D9</f>
        <v>3</v>
      </c>
      <c r="T9" s="561">
        <f>G9+J9+M9</f>
        <v>4</v>
      </c>
      <c r="U9" s="561" t="str">
        <f>IF(S9-T9=0, "ok","error")</f>
        <v>error</v>
      </c>
    </row>
    <row r="10" spans="1:21" x14ac:dyDescent="0.2">
      <c r="A10" s="187" t="s">
        <v>812</v>
      </c>
      <c r="B10" s="187" t="s">
        <v>162</v>
      </c>
      <c r="C10" s="277">
        <v>353</v>
      </c>
      <c r="D10" s="295">
        <v>1959</v>
      </c>
      <c r="E10" s="522">
        <f>748173.1-275.63</f>
        <v>747897.47</v>
      </c>
      <c r="F10" s="412">
        <v>2.12E-2</v>
      </c>
      <c r="G10" s="628">
        <f t="shared" ref="G10:G75" si="3">IF((2008-D10)+0.58&lt;0, 0,(2008-D10)+0.58)</f>
        <v>49.58</v>
      </c>
      <c r="H10" s="404">
        <f>ROUND(E10*G10*F10,2)</f>
        <v>786112.04</v>
      </c>
      <c r="I10" s="412">
        <v>2.06E-2</v>
      </c>
      <c r="J10" s="414">
        <f t="shared" si="0"/>
        <v>3.8400000000000745</v>
      </c>
      <c r="K10" s="404">
        <f t="shared" ref="K10:K69" si="4">ROUND(E10*J10*I10,2)</f>
        <v>59161.68</v>
      </c>
      <c r="L10" s="412">
        <v>1.9E-2</v>
      </c>
      <c r="M10" s="414">
        <f t="shared" ref="M10:M74" si="5">$J$100+1-D10-J10-G10</f>
        <v>4.5799999999999272</v>
      </c>
      <c r="N10" s="404">
        <f t="shared" ref="N10:N56" si="6">ROUND(E10*L10*M10,2)</f>
        <v>65082.04</v>
      </c>
      <c r="O10" s="404">
        <f>SUM(H10,K10,N10)</f>
        <v>910355.76000000013</v>
      </c>
      <c r="P10" s="411">
        <f t="shared" si="1"/>
        <v>-162458.29000000015</v>
      </c>
      <c r="Q10" s="404">
        <f t="shared" ref="Q10:Q69" si="7">ROUND(E10*L10,2)</f>
        <v>14210.05</v>
      </c>
      <c r="S10" s="560">
        <f t="shared" ref="S10:S79" si="8">2015+1-D10</f>
        <v>57</v>
      </c>
      <c r="T10" s="561">
        <f t="shared" ref="T10:T68" si="9">G10+J10+M10</f>
        <v>58</v>
      </c>
      <c r="U10" s="561" t="str">
        <f t="shared" ref="U10:U68" si="10">IF(S10-T10=0, "ok","error")</f>
        <v>error</v>
      </c>
    </row>
    <row r="11" spans="1:21" x14ac:dyDescent="0.2">
      <c r="A11" s="187" t="s">
        <v>812</v>
      </c>
      <c r="B11" s="187" t="s">
        <v>162</v>
      </c>
      <c r="C11" s="277">
        <v>353</v>
      </c>
      <c r="D11" s="295">
        <v>1980</v>
      </c>
      <c r="E11" s="522">
        <v>1541721.69</v>
      </c>
      <c r="F11" s="412">
        <v>2.12E-2</v>
      </c>
      <c r="G11" s="628">
        <f t="shared" si="3"/>
        <v>28.58</v>
      </c>
      <c r="H11" s="404">
        <f>ROUND(E11*G11*F11,2)</f>
        <v>934123.01</v>
      </c>
      <c r="I11" s="412">
        <v>2.06E-2</v>
      </c>
      <c r="J11" s="414">
        <f t="shared" si="0"/>
        <v>3.8400000000000745</v>
      </c>
      <c r="K11" s="404">
        <f t="shared" si="4"/>
        <v>121956.35</v>
      </c>
      <c r="L11" s="412">
        <v>1.9E-2</v>
      </c>
      <c r="M11" s="414">
        <f t="shared" si="5"/>
        <v>4.5799999999999272</v>
      </c>
      <c r="N11" s="404">
        <f t="shared" si="6"/>
        <v>134160.62</v>
      </c>
      <c r="O11" s="404">
        <f>SUM(H11,K11,N11)</f>
        <v>1190239.98</v>
      </c>
      <c r="P11" s="411">
        <f t="shared" si="1"/>
        <v>351481.70999999996</v>
      </c>
      <c r="Q11" s="404">
        <f t="shared" si="7"/>
        <v>29292.71</v>
      </c>
      <c r="S11" s="560">
        <f t="shared" si="8"/>
        <v>36</v>
      </c>
      <c r="T11" s="561">
        <f t="shared" si="9"/>
        <v>37</v>
      </c>
      <c r="U11" s="561" t="str">
        <f t="shared" si="10"/>
        <v>error</v>
      </c>
    </row>
    <row r="12" spans="1:21" x14ac:dyDescent="0.2">
      <c r="A12" s="187" t="s">
        <v>812</v>
      </c>
      <c r="B12" s="187" t="s">
        <v>162</v>
      </c>
      <c r="C12" s="277">
        <v>353</v>
      </c>
      <c r="D12" s="295">
        <v>2000</v>
      </c>
      <c r="E12" s="522">
        <v>11284.55</v>
      </c>
      <c r="F12" s="412">
        <v>2.12E-2</v>
      </c>
      <c r="G12" s="628">
        <f t="shared" si="3"/>
        <v>8.58</v>
      </c>
      <c r="H12" s="404">
        <f t="shared" ref="H12:H22" si="11">ROUND(E12*G12*F12,2)</f>
        <v>2052.61</v>
      </c>
      <c r="I12" s="412">
        <v>2.06E-2</v>
      </c>
      <c r="J12" s="414">
        <f t="shared" si="0"/>
        <v>3.8400000000000727</v>
      </c>
      <c r="K12" s="404">
        <f t="shared" si="4"/>
        <v>892.65</v>
      </c>
      <c r="L12" s="412">
        <v>1.9E-2</v>
      </c>
      <c r="M12" s="414">
        <f t="shared" si="5"/>
        <v>4.5799999999999272</v>
      </c>
      <c r="N12" s="404">
        <f t="shared" si="6"/>
        <v>981.98</v>
      </c>
      <c r="O12" s="404">
        <f t="shared" ref="O12:O56" si="12">SUM(H12,K12,N12)</f>
        <v>3927.2400000000002</v>
      </c>
      <c r="P12" s="411">
        <f t="shared" si="1"/>
        <v>7357.3099999999995</v>
      </c>
      <c r="Q12" s="404">
        <f t="shared" si="7"/>
        <v>214.41</v>
      </c>
      <c r="S12" s="560">
        <f t="shared" si="8"/>
        <v>16</v>
      </c>
      <c r="T12" s="561">
        <f t="shared" si="9"/>
        <v>17</v>
      </c>
      <c r="U12" s="561" t="str">
        <f t="shared" si="10"/>
        <v>error</v>
      </c>
    </row>
    <row r="13" spans="1:21" x14ac:dyDescent="0.2">
      <c r="A13" s="187" t="s">
        <v>812</v>
      </c>
      <c r="B13" s="187" t="s">
        <v>162</v>
      </c>
      <c r="C13" s="277">
        <v>353</v>
      </c>
      <c r="D13" s="295">
        <v>2003</v>
      </c>
      <c r="E13" s="522">
        <v>15167.15</v>
      </c>
      <c r="F13" s="412">
        <v>2.12E-2</v>
      </c>
      <c r="G13" s="628">
        <f t="shared" si="3"/>
        <v>5.58</v>
      </c>
      <c r="H13" s="404">
        <f t="shared" si="11"/>
        <v>1794.21</v>
      </c>
      <c r="I13" s="412">
        <v>2.06E-2</v>
      </c>
      <c r="J13" s="414">
        <f t="shared" si="0"/>
        <v>3.8400000000000727</v>
      </c>
      <c r="K13" s="404">
        <f t="shared" si="4"/>
        <v>1199.78</v>
      </c>
      <c r="L13" s="412">
        <v>1.9E-2</v>
      </c>
      <c r="M13" s="414">
        <f t="shared" si="5"/>
        <v>4.5799999999999272</v>
      </c>
      <c r="N13" s="404">
        <f t="shared" si="6"/>
        <v>1319.85</v>
      </c>
      <c r="O13" s="404">
        <f t="shared" si="12"/>
        <v>4313.84</v>
      </c>
      <c r="P13" s="411">
        <f t="shared" si="1"/>
        <v>10853.31</v>
      </c>
      <c r="Q13" s="404">
        <f t="shared" si="7"/>
        <v>288.18</v>
      </c>
      <c r="S13" s="560">
        <f t="shared" si="8"/>
        <v>13</v>
      </c>
      <c r="T13" s="561">
        <f t="shared" si="9"/>
        <v>14</v>
      </c>
      <c r="U13" s="561" t="str">
        <f t="shared" si="10"/>
        <v>error</v>
      </c>
    </row>
    <row r="14" spans="1:21" x14ac:dyDescent="0.2">
      <c r="A14" s="187" t="s">
        <v>812</v>
      </c>
      <c r="B14" s="187" t="s">
        <v>162</v>
      </c>
      <c r="C14" s="277">
        <v>353</v>
      </c>
      <c r="D14" s="295">
        <v>2012</v>
      </c>
      <c r="E14" s="522">
        <v>1855783.59</v>
      </c>
      <c r="F14" s="412">
        <v>2.12E-2</v>
      </c>
      <c r="G14" s="628">
        <f t="shared" si="3"/>
        <v>0</v>
      </c>
      <c r="H14" s="404">
        <f t="shared" si="11"/>
        <v>0</v>
      </c>
      <c r="I14" s="412">
        <v>2.06E-2</v>
      </c>
      <c r="J14" s="414">
        <f t="shared" si="0"/>
        <v>0.42</v>
      </c>
      <c r="K14" s="404">
        <f t="shared" si="4"/>
        <v>16056.24</v>
      </c>
      <c r="L14" s="412">
        <v>1.9E-2</v>
      </c>
      <c r="M14" s="414">
        <f t="shared" si="5"/>
        <v>4.58</v>
      </c>
      <c r="N14" s="404">
        <f t="shared" si="6"/>
        <v>161490.29</v>
      </c>
      <c r="O14" s="404">
        <f t="shared" si="12"/>
        <v>177546.53</v>
      </c>
      <c r="P14" s="411">
        <f t="shared" si="1"/>
        <v>1678237.06</v>
      </c>
      <c r="Q14" s="404">
        <f t="shared" si="7"/>
        <v>35259.89</v>
      </c>
      <c r="S14" s="560">
        <f t="shared" si="8"/>
        <v>4</v>
      </c>
      <c r="T14" s="561">
        <f t="shared" si="9"/>
        <v>5</v>
      </c>
      <c r="U14" s="561" t="str">
        <f t="shared" si="10"/>
        <v>error</v>
      </c>
    </row>
    <row r="15" spans="1:21" x14ac:dyDescent="0.2">
      <c r="A15" s="187" t="s">
        <v>812</v>
      </c>
      <c r="B15" s="187" t="s">
        <v>162</v>
      </c>
      <c r="C15" s="277">
        <v>353</v>
      </c>
      <c r="D15" s="295">
        <v>2014</v>
      </c>
      <c r="E15" s="522">
        <v>205853.64</v>
      </c>
      <c r="F15" s="412">
        <v>2.12E-2</v>
      </c>
      <c r="G15" s="628">
        <f t="shared" ref="G15" si="13">IF((2008-D15)+0.58&lt;0, 0,(2008-D15)+0.58)</f>
        <v>0</v>
      </c>
      <c r="H15" s="404">
        <f t="shared" ref="H15" si="14">ROUND(E15*G15*F15,2)</f>
        <v>0</v>
      </c>
      <c r="I15" s="412">
        <v>2.06E-2</v>
      </c>
      <c r="J15" s="414">
        <v>0</v>
      </c>
      <c r="K15" s="404">
        <f t="shared" ref="K15" si="15">ROUND(E15*J15*I15,2)</f>
        <v>0</v>
      </c>
      <c r="L15" s="412">
        <v>1.9E-2</v>
      </c>
      <c r="M15" s="414">
        <f t="shared" si="5"/>
        <v>3</v>
      </c>
      <c r="N15" s="404">
        <f t="shared" ref="N15" si="16">ROUND(E15*L15*M15,2)</f>
        <v>11733.66</v>
      </c>
      <c r="O15" s="404">
        <f t="shared" ref="O15" si="17">SUM(H15,K15,N15)</f>
        <v>11733.66</v>
      </c>
      <c r="P15" s="411">
        <f t="shared" ref="P15" si="18">E15-O15</f>
        <v>194119.98</v>
      </c>
      <c r="Q15" s="404">
        <f t="shared" ref="Q15" si="19">ROUND(E15*L15,2)</f>
        <v>3911.22</v>
      </c>
      <c r="S15" s="560">
        <f t="shared" ref="S15" si="20">2015+1-D15</f>
        <v>2</v>
      </c>
      <c r="T15" s="561">
        <f t="shared" ref="T15" si="21">G15+J15+M15</f>
        <v>3</v>
      </c>
      <c r="U15" s="561" t="str">
        <f t="shared" ref="U15" si="22">IF(S15-T15=0, "ok","error")</f>
        <v>error</v>
      </c>
    </row>
    <row r="16" spans="1:21" x14ac:dyDescent="0.2">
      <c r="A16" s="187" t="s">
        <v>825</v>
      </c>
      <c r="B16" s="187" t="s">
        <v>163</v>
      </c>
      <c r="C16" s="277">
        <v>353</v>
      </c>
      <c r="D16" s="295">
        <v>1950</v>
      </c>
      <c r="E16" s="522">
        <v>316403.89</v>
      </c>
      <c r="F16" s="412">
        <v>2.12E-2</v>
      </c>
      <c r="G16" s="628">
        <f t="shared" si="3"/>
        <v>58.58</v>
      </c>
      <c r="H16" s="404">
        <f t="shared" si="11"/>
        <v>392940.73</v>
      </c>
      <c r="I16" s="412">
        <v>2.06E-2</v>
      </c>
      <c r="J16" s="414">
        <f t="shared" si="0"/>
        <v>3.8400000000000745</v>
      </c>
      <c r="K16" s="404">
        <f t="shared" si="4"/>
        <v>25028.81</v>
      </c>
      <c r="L16" s="412">
        <v>1.9E-2</v>
      </c>
      <c r="M16" s="414">
        <f t="shared" si="5"/>
        <v>4.5799999999999272</v>
      </c>
      <c r="N16" s="404">
        <f t="shared" si="6"/>
        <v>27533.47</v>
      </c>
      <c r="O16" s="404">
        <f t="shared" si="12"/>
        <v>445503.01</v>
      </c>
      <c r="P16" s="411">
        <f t="shared" si="1"/>
        <v>-129099.12</v>
      </c>
      <c r="Q16" s="404">
        <f t="shared" si="7"/>
        <v>6011.67</v>
      </c>
      <c r="S16" s="560">
        <f t="shared" si="8"/>
        <v>66</v>
      </c>
      <c r="T16" s="561">
        <f t="shared" si="9"/>
        <v>67</v>
      </c>
      <c r="U16" s="561" t="str">
        <f t="shared" si="10"/>
        <v>error</v>
      </c>
    </row>
    <row r="17" spans="1:21" x14ac:dyDescent="0.2">
      <c r="A17" s="187" t="s">
        <v>825</v>
      </c>
      <c r="B17" s="187" t="s">
        <v>163</v>
      </c>
      <c r="C17" s="277">
        <v>353</v>
      </c>
      <c r="D17" s="295">
        <v>1964</v>
      </c>
      <c r="E17" s="522">
        <v>1416.21</v>
      </c>
      <c r="F17" s="412">
        <v>2.12E-2</v>
      </c>
      <c r="G17" s="628">
        <f t="shared" si="3"/>
        <v>44.58</v>
      </c>
      <c r="H17" s="404">
        <f t="shared" si="11"/>
        <v>1338.45</v>
      </c>
      <c r="I17" s="412">
        <v>2.06E-2</v>
      </c>
      <c r="J17" s="414">
        <f t="shared" si="0"/>
        <v>3.8400000000000745</v>
      </c>
      <c r="K17" s="404">
        <f t="shared" si="4"/>
        <v>112.03</v>
      </c>
      <c r="L17" s="412">
        <v>1.9E-2</v>
      </c>
      <c r="M17" s="414">
        <f t="shared" si="5"/>
        <v>4.5799999999999272</v>
      </c>
      <c r="N17" s="404">
        <f t="shared" si="6"/>
        <v>123.24</v>
      </c>
      <c r="O17" s="404">
        <f t="shared" si="12"/>
        <v>1573.72</v>
      </c>
      <c r="P17" s="411">
        <f t="shared" si="1"/>
        <v>-157.51</v>
      </c>
      <c r="Q17" s="404">
        <f t="shared" si="7"/>
        <v>26.91</v>
      </c>
      <c r="S17" s="560">
        <f t="shared" si="8"/>
        <v>52</v>
      </c>
      <c r="T17" s="561">
        <f t="shared" si="9"/>
        <v>53</v>
      </c>
      <c r="U17" s="561" t="str">
        <f t="shared" si="10"/>
        <v>error</v>
      </c>
    </row>
    <row r="18" spans="1:21" x14ac:dyDescent="0.2">
      <c r="A18" s="187" t="s">
        <v>821</v>
      </c>
      <c r="B18" s="187" t="s">
        <v>164</v>
      </c>
      <c r="C18" s="277">
        <v>353</v>
      </c>
      <c r="D18" s="295">
        <v>1983</v>
      </c>
      <c r="E18" s="522">
        <v>257772.45</v>
      </c>
      <c r="F18" s="412">
        <v>2.12E-2</v>
      </c>
      <c r="G18" s="628">
        <f t="shared" si="3"/>
        <v>25.58</v>
      </c>
      <c r="H18" s="404">
        <f t="shared" si="11"/>
        <v>139788.97</v>
      </c>
      <c r="I18" s="412">
        <v>2.06E-2</v>
      </c>
      <c r="J18" s="414">
        <f>IF(G18=0,IF($J$96=D18,$J$96-D18+0.42,($J$96+0.42-D18)-G18),$J$96+0.42-D18)-G18</f>
        <v>3.8400000000000745</v>
      </c>
      <c r="K18" s="404">
        <f t="shared" si="4"/>
        <v>20390.830000000002</v>
      </c>
      <c r="L18" s="412">
        <v>1.9E-2</v>
      </c>
      <c r="M18" s="414">
        <f t="shared" si="5"/>
        <v>4.5799999999999272</v>
      </c>
      <c r="N18" s="404">
        <f t="shared" si="6"/>
        <v>22431.360000000001</v>
      </c>
      <c r="O18" s="404">
        <f t="shared" si="12"/>
        <v>182611.15999999997</v>
      </c>
      <c r="P18" s="411">
        <f t="shared" si="1"/>
        <v>75161.290000000037</v>
      </c>
      <c r="Q18" s="404">
        <f t="shared" si="7"/>
        <v>4897.68</v>
      </c>
      <c r="S18" s="560">
        <f t="shared" si="8"/>
        <v>33</v>
      </c>
      <c r="T18" s="561">
        <f t="shared" si="9"/>
        <v>34</v>
      </c>
      <c r="U18" s="561" t="str">
        <f t="shared" si="10"/>
        <v>error</v>
      </c>
    </row>
    <row r="19" spans="1:21" x14ac:dyDescent="0.2">
      <c r="A19" s="187" t="s">
        <v>824</v>
      </c>
      <c r="B19" s="187" t="s">
        <v>165</v>
      </c>
      <c r="C19" s="277">
        <v>353</v>
      </c>
      <c r="D19" s="295">
        <v>1965</v>
      </c>
      <c r="E19" s="522">
        <v>19807.669999999998</v>
      </c>
      <c r="F19" s="412">
        <v>2.12E-2</v>
      </c>
      <c r="G19" s="628">
        <f t="shared" si="3"/>
        <v>43.58</v>
      </c>
      <c r="H19" s="404">
        <f t="shared" si="11"/>
        <v>18300.23</v>
      </c>
      <c r="I19" s="412">
        <v>2.06E-2</v>
      </c>
      <c r="J19" s="414">
        <f>IF(G19=0,IF($J$96=D19,$J$96-D19+0.42,($J$96+0.42-D19)-G19),$J$96+0.42-D19)-G19</f>
        <v>3.8400000000000745</v>
      </c>
      <c r="K19" s="404">
        <f t="shared" si="4"/>
        <v>1566.87</v>
      </c>
      <c r="L19" s="412">
        <v>1.9E-2</v>
      </c>
      <c r="M19" s="414">
        <f t="shared" si="5"/>
        <v>4.5799999999999272</v>
      </c>
      <c r="N19" s="404">
        <f t="shared" si="6"/>
        <v>1723.66</v>
      </c>
      <c r="O19" s="404">
        <f t="shared" si="12"/>
        <v>21590.76</v>
      </c>
      <c r="P19" s="411">
        <f t="shared" si="1"/>
        <v>-1783.0900000000001</v>
      </c>
      <c r="Q19" s="404">
        <f t="shared" si="7"/>
        <v>376.35</v>
      </c>
      <c r="S19" s="560">
        <f t="shared" si="8"/>
        <v>51</v>
      </c>
      <c r="T19" s="561">
        <f t="shared" si="9"/>
        <v>52</v>
      </c>
      <c r="U19" s="561" t="str">
        <f t="shared" si="10"/>
        <v>error</v>
      </c>
    </row>
    <row r="20" spans="1:21" x14ac:dyDescent="0.2">
      <c r="A20" s="187" t="s">
        <v>813</v>
      </c>
      <c r="B20" s="187" t="s">
        <v>166</v>
      </c>
      <c r="C20" s="277">
        <v>353</v>
      </c>
      <c r="D20" s="295">
        <v>2001</v>
      </c>
      <c r="E20" s="522">
        <v>259219.44</v>
      </c>
      <c r="F20" s="412">
        <v>2.12E-2</v>
      </c>
      <c r="G20" s="628">
        <f t="shared" si="3"/>
        <v>7.58</v>
      </c>
      <c r="H20" s="404">
        <f t="shared" si="11"/>
        <v>41655.53</v>
      </c>
      <c r="I20" s="412">
        <v>2.06E-2</v>
      </c>
      <c r="J20" s="414">
        <f>IF(G20=0,IF($J$96=D20,$J$96-D20+0.42,($J$96+0.42-D20)-G20),$J$96+0.42-D20)-G20</f>
        <v>3.8400000000000727</v>
      </c>
      <c r="K20" s="404">
        <f t="shared" si="4"/>
        <v>20505.29</v>
      </c>
      <c r="L20" s="412">
        <v>1.9E-2</v>
      </c>
      <c r="M20" s="414">
        <f t="shared" si="5"/>
        <v>4.5799999999999272</v>
      </c>
      <c r="N20" s="404">
        <f t="shared" si="6"/>
        <v>22557.279999999999</v>
      </c>
      <c r="O20" s="404">
        <f t="shared" si="12"/>
        <v>84718.1</v>
      </c>
      <c r="P20" s="411">
        <f t="shared" si="1"/>
        <v>174501.34</v>
      </c>
      <c r="Q20" s="404">
        <f t="shared" si="7"/>
        <v>4925.17</v>
      </c>
      <c r="S20" s="560">
        <f t="shared" si="8"/>
        <v>15</v>
      </c>
      <c r="T20" s="561">
        <f t="shared" si="9"/>
        <v>16</v>
      </c>
      <c r="U20" s="561" t="str">
        <f t="shared" si="10"/>
        <v>error</v>
      </c>
    </row>
    <row r="21" spans="1:21" x14ac:dyDescent="0.2">
      <c r="A21" s="187" t="s">
        <v>813</v>
      </c>
      <c r="B21" s="187" t="s">
        <v>166</v>
      </c>
      <c r="C21" s="277">
        <v>353</v>
      </c>
      <c r="D21" s="295">
        <v>2008</v>
      </c>
      <c r="E21" s="522">
        <v>7041.17</v>
      </c>
      <c r="F21" s="412">
        <v>2.12E-2</v>
      </c>
      <c r="G21" s="628">
        <f t="shared" si="3"/>
        <v>0.57999999999999996</v>
      </c>
      <c r="H21" s="404">
        <f t="shared" si="11"/>
        <v>86.58</v>
      </c>
      <c r="I21" s="412">
        <v>2.06E-2</v>
      </c>
      <c r="J21" s="414">
        <f t="shared" ref="J21:J55" si="23">IF(G21=0,IF($J$96=D21,$J$96-D21+0.42,($J$96+0.42-D21)-G21),$J$96+0.42-D21)-G21</f>
        <v>3.8400000000000727</v>
      </c>
      <c r="K21" s="404">
        <f t="shared" si="4"/>
        <v>556.98</v>
      </c>
      <c r="L21" s="412">
        <v>1.9E-2</v>
      </c>
      <c r="M21" s="414">
        <f t="shared" si="5"/>
        <v>4.5799999999999272</v>
      </c>
      <c r="N21" s="404">
        <f t="shared" si="6"/>
        <v>612.72</v>
      </c>
      <c r="O21" s="404">
        <f t="shared" si="12"/>
        <v>1256.2800000000002</v>
      </c>
      <c r="P21" s="411">
        <f t="shared" si="1"/>
        <v>5784.8899999999994</v>
      </c>
      <c r="Q21" s="404">
        <f t="shared" si="7"/>
        <v>133.78</v>
      </c>
      <c r="S21" s="560">
        <f t="shared" si="8"/>
        <v>8</v>
      </c>
      <c r="T21" s="561">
        <f t="shared" si="9"/>
        <v>9</v>
      </c>
      <c r="U21" s="561" t="str">
        <f t="shared" si="10"/>
        <v>error</v>
      </c>
    </row>
    <row r="22" spans="1:21" x14ac:dyDescent="0.2">
      <c r="A22" s="187" t="s">
        <v>813</v>
      </c>
      <c r="B22" s="187" t="s">
        <v>166</v>
      </c>
      <c r="C22" s="277">
        <v>353</v>
      </c>
      <c r="D22" s="481">
        <v>2009</v>
      </c>
      <c r="E22" s="522">
        <v>3878240.38</v>
      </c>
      <c r="F22" s="412">
        <v>2.12E-2</v>
      </c>
      <c r="G22" s="628">
        <f t="shared" si="3"/>
        <v>0</v>
      </c>
      <c r="H22" s="404">
        <f t="shared" si="11"/>
        <v>0</v>
      </c>
      <c r="I22" s="412">
        <v>2.06E-2</v>
      </c>
      <c r="J22" s="414">
        <f t="shared" si="23"/>
        <v>3.4200000000000728</v>
      </c>
      <c r="K22" s="404">
        <f t="shared" si="4"/>
        <v>273229.78999999998</v>
      </c>
      <c r="L22" s="412">
        <v>1.9E-2</v>
      </c>
      <c r="M22" s="414">
        <f t="shared" si="5"/>
        <v>4.5799999999999272</v>
      </c>
      <c r="N22" s="404">
        <f t="shared" si="6"/>
        <v>337484.48</v>
      </c>
      <c r="O22" s="404">
        <f t="shared" si="12"/>
        <v>610714.27</v>
      </c>
      <c r="P22" s="411">
        <f t="shared" si="1"/>
        <v>3267526.11</v>
      </c>
      <c r="Q22" s="404">
        <f t="shared" si="7"/>
        <v>73686.570000000007</v>
      </c>
      <c r="S22" s="560">
        <f t="shared" si="8"/>
        <v>7</v>
      </c>
      <c r="T22" s="561">
        <f t="shared" si="9"/>
        <v>8</v>
      </c>
      <c r="U22" s="561" t="str">
        <f t="shared" si="10"/>
        <v>error</v>
      </c>
    </row>
    <row r="23" spans="1:21" x14ac:dyDescent="0.2">
      <c r="A23" s="187" t="s">
        <v>814</v>
      </c>
      <c r="B23" s="187" t="s">
        <v>167</v>
      </c>
      <c r="C23" s="277">
        <v>353</v>
      </c>
      <c r="D23" s="295">
        <v>1967</v>
      </c>
      <c r="E23" s="522">
        <v>630598.12</v>
      </c>
      <c r="F23" s="412">
        <v>2.12E-2</v>
      </c>
      <c r="G23" s="628">
        <f t="shared" si="3"/>
        <v>41.58</v>
      </c>
      <c r="H23" s="404">
        <f>ROUND(E23*G23*F23,2)</f>
        <v>555869.72</v>
      </c>
      <c r="I23" s="412">
        <v>2.06E-2</v>
      </c>
      <c r="J23" s="414">
        <f t="shared" si="23"/>
        <v>3.8400000000000745</v>
      </c>
      <c r="K23" s="404">
        <f t="shared" si="4"/>
        <v>49882.83</v>
      </c>
      <c r="L23" s="412">
        <v>1.9E-2</v>
      </c>
      <c r="M23" s="414">
        <f t="shared" si="5"/>
        <v>4.5799999999999272</v>
      </c>
      <c r="N23" s="404">
        <f t="shared" si="6"/>
        <v>54874.65</v>
      </c>
      <c r="O23" s="404">
        <f t="shared" si="12"/>
        <v>660627.19999999995</v>
      </c>
      <c r="P23" s="411">
        <f t="shared" si="1"/>
        <v>-30029.079999999958</v>
      </c>
      <c r="Q23" s="404">
        <f t="shared" si="7"/>
        <v>11981.36</v>
      </c>
      <c r="S23" s="560">
        <f t="shared" si="8"/>
        <v>49</v>
      </c>
      <c r="T23" s="561">
        <f t="shared" si="9"/>
        <v>50</v>
      </c>
      <c r="U23" s="561" t="str">
        <f t="shared" si="10"/>
        <v>error</v>
      </c>
    </row>
    <row r="24" spans="1:21" x14ac:dyDescent="0.2">
      <c r="A24" s="187" t="s">
        <v>814</v>
      </c>
      <c r="B24" s="187" t="s">
        <v>167</v>
      </c>
      <c r="C24" s="277">
        <v>353</v>
      </c>
      <c r="D24" s="295">
        <v>2000</v>
      </c>
      <c r="E24" s="522">
        <v>1787.31</v>
      </c>
      <c r="F24" s="412">
        <v>2.12E-2</v>
      </c>
      <c r="G24" s="628">
        <f t="shared" si="3"/>
        <v>8.58</v>
      </c>
      <c r="H24" s="404">
        <f>ROUND(E24*G24*F24,2)</f>
        <v>325.10000000000002</v>
      </c>
      <c r="I24" s="412">
        <v>2.06E-2</v>
      </c>
      <c r="J24" s="414">
        <f t="shared" si="23"/>
        <v>3.8400000000000727</v>
      </c>
      <c r="K24" s="404">
        <f t="shared" si="4"/>
        <v>141.38</v>
      </c>
      <c r="L24" s="412">
        <v>1.9E-2</v>
      </c>
      <c r="M24" s="414">
        <f t="shared" si="5"/>
        <v>4.5799999999999272</v>
      </c>
      <c r="N24" s="404">
        <f t="shared" si="6"/>
        <v>155.53</v>
      </c>
      <c r="O24" s="404">
        <f t="shared" si="12"/>
        <v>622.01</v>
      </c>
      <c r="P24" s="411">
        <f t="shared" si="1"/>
        <v>1165.3</v>
      </c>
      <c r="Q24" s="404">
        <f t="shared" si="7"/>
        <v>33.96</v>
      </c>
      <c r="S24" s="560">
        <f t="shared" si="8"/>
        <v>16</v>
      </c>
      <c r="T24" s="561">
        <f t="shared" si="9"/>
        <v>17</v>
      </c>
      <c r="U24" s="561" t="str">
        <f t="shared" si="10"/>
        <v>error</v>
      </c>
    </row>
    <row r="25" spans="1:21" x14ac:dyDescent="0.2">
      <c r="A25" s="187" t="s">
        <v>814</v>
      </c>
      <c r="B25" s="187" t="s">
        <v>167</v>
      </c>
      <c r="C25" s="277">
        <v>353</v>
      </c>
      <c r="D25" s="295">
        <v>2015</v>
      </c>
      <c r="E25" s="522">
        <f>354.19+739.19+1784415.46+1852610.71+1966.67+1208.53</f>
        <v>3641294.7499999995</v>
      </c>
      <c r="F25" s="412">
        <v>2.12E-2</v>
      </c>
      <c r="G25" s="628">
        <f t="shared" si="3"/>
        <v>0</v>
      </c>
      <c r="H25" s="404">
        <f>ROUND(E25*G25*F25,2)</f>
        <v>0</v>
      </c>
      <c r="I25" s="412">
        <v>2.06E-2</v>
      </c>
      <c r="J25" s="414">
        <v>0</v>
      </c>
      <c r="K25" s="404">
        <f t="shared" si="4"/>
        <v>0</v>
      </c>
      <c r="L25" s="412">
        <v>1.9E-2</v>
      </c>
      <c r="M25" s="414">
        <f t="shared" ref="M25" si="24">$J$100+1-D25-J25-G25</f>
        <v>2</v>
      </c>
      <c r="N25" s="404">
        <f t="shared" si="6"/>
        <v>138369.20000000001</v>
      </c>
      <c r="O25" s="404">
        <f t="shared" si="12"/>
        <v>138369.20000000001</v>
      </c>
      <c r="P25" s="411">
        <f t="shared" si="1"/>
        <v>3502925.5499999993</v>
      </c>
      <c r="Q25" s="404">
        <f t="shared" si="7"/>
        <v>69184.600000000006</v>
      </c>
      <c r="S25" s="560">
        <f t="shared" si="8"/>
        <v>1</v>
      </c>
      <c r="T25" s="561">
        <f t="shared" si="9"/>
        <v>2</v>
      </c>
      <c r="U25" s="561" t="str">
        <f t="shared" si="10"/>
        <v>error</v>
      </c>
    </row>
    <row r="26" spans="1:21" x14ac:dyDescent="0.2">
      <c r="A26" s="187" t="s">
        <v>814</v>
      </c>
      <c r="B26" s="187" t="s">
        <v>167</v>
      </c>
      <c r="C26" s="277">
        <v>353</v>
      </c>
      <c r="D26" s="295">
        <v>2016</v>
      </c>
      <c r="E26" s="522">
        <f>24916.09-5652.21+1826525.33-19277.97</f>
        <v>1826511.24</v>
      </c>
      <c r="F26" s="412">
        <v>2.12E-2</v>
      </c>
      <c r="G26" s="628">
        <f t="shared" ref="G26" si="25">IF((2008-D26)+0.58&lt;0, 0,(2008-D26)+0.58)</f>
        <v>0</v>
      </c>
      <c r="H26" s="404">
        <f>ROUND(E26*G26*F26,2)</f>
        <v>0</v>
      </c>
      <c r="I26" s="412">
        <v>2.06E-2</v>
      </c>
      <c r="J26" s="414">
        <v>0</v>
      </c>
      <c r="K26" s="404">
        <f t="shared" ref="K26" si="26">ROUND(E26*J26*I26,2)</f>
        <v>0</v>
      </c>
      <c r="L26" s="412">
        <v>1.9E-2</v>
      </c>
      <c r="M26" s="414">
        <f t="shared" si="5"/>
        <v>1</v>
      </c>
      <c r="N26" s="404">
        <f t="shared" ref="N26" si="27">ROUND(E26*L26*M26,2)</f>
        <v>34703.71</v>
      </c>
      <c r="O26" s="404">
        <f t="shared" ref="O26" si="28">SUM(H26,K26,N26)</f>
        <v>34703.71</v>
      </c>
      <c r="P26" s="411">
        <f t="shared" ref="P26" si="29">E26-O26</f>
        <v>1791807.53</v>
      </c>
      <c r="Q26" s="404">
        <f t="shared" ref="Q26" si="30">ROUND(E26*L26,2)</f>
        <v>34703.71</v>
      </c>
      <c r="S26" s="560">
        <f t="shared" ref="S26" si="31">2015+1-D26</f>
        <v>0</v>
      </c>
      <c r="T26" s="561">
        <f t="shared" ref="T26" si="32">G26+J26+M26</f>
        <v>1</v>
      </c>
      <c r="U26" s="561" t="str">
        <f t="shared" ref="U26" si="33">IF(S26-T26=0, "ok","error")</f>
        <v>error</v>
      </c>
    </row>
    <row r="27" spans="1:21" x14ac:dyDescent="0.2">
      <c r="A27" s="187" t="s">
        <v>826</v>
      </c>
      <c r="B27" s="187" t="s">
        <v>168</v>
      </c>
      <c r="C27" s="277">
        <v>353</v>
      </c>
      <c r="D27" s="295">
        <v>1948</v>
      </c>
      <c r="E27" s="522">
        <v>81118.75</v>
      </c>
      <c r="F27" s="412">
        <v>2.12E-2</v>
      </c>
      <c r="G27" s="628">
        <f t="shared" si="3"/>
        <v>60.58</v>
      </c>
      <c r="H27" s="404">
        <f t="shared" ref="H27:H34" si="34">ROUND(E27*G27*F27,2)</f>
        <v>104180.49</v>
      </c>
      <c r="I27" s="412">
        <v>2.06E-2</v>
      </c>
      <c r="J27" s="414">
        <f t="shared" si="23"/>
        <v>3.8400000000000745</v>
      </c>
      <c r="K27" s="404">
        <f t="shared" si="4"/>
        <v>6416.82</v>
      </c>
      <c r="L27" s="412">
        <v>1.9E-2</v>
      </c>
      <c r="M27" s="414">
        <f t="shared" si="5"/>
        <v>4.5799999999999272</v>
      </c>
      <c r="N27" s="404">
        <f t="shared" si="6"/>
        <v>7058.95</v>
      </c>
      <c r="O27" s="404">
        <f t="shared" si="12"/>
        <v>117656.26</v>
      </c>
      <c r="P27" s="411">
        <f t="shared" si="1"/>
        <v>-36537.509999999995</v>
      </c>
      <c r="Q27" s="404">
        <f t="shared" si="7"/>
        <v>1541.26</v>
      </c>
      <c r="S27" s="560">
        <f t="shared" si="8"/>
        <v>68</v>
      </c>
      <c r="T27" s="561">
        <f t="shared" si="9"/>
        <v>69</v>
      </c>
      <c r="U27" s="561" t="str">
        <f t="shared" si="10"/>
        <v>error</v>
      </c>
    </row>
    <row r="28" spans="1:21" x14ac:dyDescent="0.2">
      <c r="A28" s="187" t="s">
        <v>826</v>
      </c>
      <c r="B28" s="187" t="s">
        <v>168</v>
      </c>
      <c r="C28" s="277">
        <v>353</v>
      </c>
      <c r="D28" s="295">
        <v>1958</v>
      </c>
      <c r="E28" s="522">
        <v>1551.05</v>
      </c>
      <c r="F28" s="412">
        <v>2.12E-2</v>
      </c>
      <c r="G28" s="628">
        <f t="shared" si="3"/>
        <v>50.58</v>
      </c>
      <c r="H28" s="404">
        <f t="shared" si="34"/>
        <v>1663.18</v>
      </c>
      <c r="I28" s="412">
        <v>2.06E-2</v>
      </c>
      <c r="J28" s="414">
        <f t="shared" si="23"/>
        <v>3.8400000000000745</v>
      </c>
      <c r="K28" s="404">
        <f t="shared" si="4"/>
        <v>122.69</v>
      </c>
      <c r="L28" s="412">
        <v>1.9E-2</v>
      </c>
      <c r="M28" s="414">
        <f t="shared" si="5"/>
        <v>4.5799999999999272</v>
      </c>
      <c r="N28" s="404">
        <f t="shared" si="6"/>
        <v>134.97</v>
      </c>
      <c r="O28" s="404">
        <f t="shared" si="12"/>
        <v>1920.8400000000001</v>
      </c>
      <c r="P28" s="411">
        <f t="shared" si="1"/>
        <v>-369.79000000000019</v>
      </c>
      <c r="Q28" s="404">
        <f t="shared" si="7"/>
        <v>29.47</v>
      </c>
      <c r="S28" s="560">
        <f t="shared" si="8"/>
        <v>58</v>
      </c>
      <c r="T28" s="561">
        <f t="shared" si="9"/>
        <v>59</v>
      </c>
      <c r="U28" s="561" t="str">
        <f t="shared" si="10"/>
        <v>error</v>
      </c>
    </row>
    <row r="29" spans="1:21" x14ac:dyDescent="0.2">
      <c r="A29" s="187" t="s">
        <v>829</v>
      </c>
      <c r="B29" s="187" t="s">
        <v>169</v>
      </c>
      <c r="C29" s="277">
        <v>353</v>
      </c>
      <c r="D29" s="295">
        <v>1949</v>
      </c>
      <c r="E29" s="522">
        <v>303512.28999999998</v>
      </c>
      <c r="F29" s="412">
        <v>2.12E-2</v>
      </c>
      <c r="G29" s="628">
        <f t="shared" si="3"/>
        <v>59.58</v>
      </c>
      <c r="H29" s="404">
        <f t="shared" si="34"/>
        <v>383365.16</v>
      </c>
      <c r="I29" s="412">
        <v>2.06E-2</v>
      </c>
      <c r="J29" s="414">
        <f t="shared" si="23"/>
        <v>3.8400000000000745</v>
      </c>
      <c r="K29" s="404">
        <f t="shared" si="4"/>
        <v>24009.040000000001</v>
      </c>
      <c r="L29" s="412">
        <v>1.9E-2</v>
      </c>
      <c r="M29" s="414">
        <f t="shared" si="5"/>
        <v>4.5799999999999272</v>
      </c>
      <c r="N29" s="404">
        <f t="shared" si="6"/>
        <v>26411.64</v>
      </c>
      <c r="O29" s="404">
        <f t="shared" si="12"/>
        <v>433785.83999999997</v>
      </c>
      <c r="P29" s="411">
        <f t="shared" si="1"/>
        <v>-130273.54999999999</v>
      </c>
      <c r="Q29" s="404">
        <f t="shared" si="7"/>
        <v>5766.73</v>
      </c>
      <c r="S29" s="560">
        <f t="shared" si="8"/>
        <v>67</v>
      </c>
      <c r="T29" s="561">
        <f t="shared" si="9"/>
        <v>68</v>
      </c>
      <c r="U29" s="561" t="str">
        <f t="shared" si="10"/>
        <v>error</v>
      </c>
    </row>
    <row r="30" spans="1:21" x14ac:dyDescent="0.2">
      <c r="A30" s="187" t="s">
        <v>818</v>
      </c>
      <c r="B30" s="187" t="s">
        <v>170</v>
      </c>
      <c r="C30" s="277">
        <v>353</v>
      </c>
      <c r="D30" s="295">
        <v>1992</v>
      </c>
      <c r="E30" s="522">
        <v>664293.88</v>
      </c>
      <c r="F30" s="412">
        <v>2.12E-2</v>
      </c>
      <c r="G30" s="628">
        <f t="shared" si="3"/>
        <v>16.579999999999998</v>
      </c>
      <c r="H30" s="404">
        <f t="shared" si="34"/>
        <v>233496.64</v>
      </c>
      <c r="I30" s="412">
        <v>2.06E-2</v>
      </c>
      <c r="J30" s="414">
        <f t="shared" si="23"/>
        <v>3.8400000000000745</v>
      </c>
      <c r="K30" s="404">
        <f t="shared" si="4"/>
        <v>52548.3</v>
      </c>
      <c r="L30" s="412">
        <v>1.9E-2</v>
      </c>
      <c r="M30" s="414">
        <f t="shared" si="5"/>
        <v>4.5799999999999272</v>
      </c>
      <c r="N30" s="404">
        <f t="shared" si="6"/>
        <v>57806.85</v>
      </c>
      <c r="O30" s="404">
        <f t="shared" si="12"/>
        <v>343851.79</v>
      </c>
      <c r="P30" s="411">
        <f t="shared" si="1"/>
        <v>320442.09000000003</v>
      </c>
      <c r="Q30" s="404">
        <f t="shared" si="7"/>
        <v>12621.58</v>
      </c>
      <c r="S30" s="560">
        <f t="shared" si="8"/>
        <v>24</v>
      </c>
      <c r="T30" s="561">
        <f t="shared" si="9"/>
        <v>25</v>
      </c>
      <c r="U30" s="561" t="str">
        <f t="shared" si="10"/>
        <v>error</v>
      </c>
    </row>
    <row r="31" spans="1:21" x14ac:dyDescent="0.2">
      <c r="A31" s="187" t="s">
        <v>815</v>
      </c>
      <c r="B31" s="187" t="s">
        <v>171</v>
      </c>
      <c r="C31" s="277">
        <v>353</v>
      </c>
      <c r="D31" s="295">
        <v>1949</v>
      </c>
      <c r="E31" s="522">
        <v>100827.22</v>
      </c>
      <c r="F31" s="412">
        <v>2.12E-2</v>
      </c>
      <c r="G31" s="628">
        <f t="shared" si="3"/>
        <v>59.58</v>
      </c>
      <c r="H31" s="404">
        <f t="shared" si="34"/>
        <v>127354.46</v>
      </c>
      <c r="I31" s="412">
        <v>2.06E-2</v>
      </c>
      <c r="J31" s="414">
        <f t="shared" si="23"/>
        <v>3.8400000000000745</v>
      </c>
      <c r="K31" s="404">
        <f t="shared" si="4"/>
        <v>7975.84</v>
      </c>
      <c r="L31" s="412">
        <v>1.9E-2</v>
      </c>
      <c r="M31" s="414">
        <f t="shared" si="5"/>
        <v>4.5799999999999272</v>
      </c>
      <c r="N31" s="404">
        <f t="shared" si="6"/>
        <v>8773.98</v>
      </c>
      <c r="O31" s="404">
        <f t="shared" si="12"/>
        <v>144104.28000000003</v>
      </c>
      <c r="P31" s="411">
        <f t="shared" si="1"/>
        <v>-43277.060000000027</v>
      </c>
      <c r="Q31" s="404">
        <f t="shared" si="7"/>
        <v>1915.72</v>
      </c>
      <c r="S31" s="560">
        <f t="shared" si="8"/>
        <v>67</v>
      </c>
      <c r="T31" s="561">
        <f t="shared" si="9"/>
        <v>68</v>
      </c>
      <c r="U31" s="561" t="str">
        <f t="shared" si="10"/>
        <v>error</v>
      </c>
    </row>
    <row r="32" spans="1:21" x14ac:dyDescent="0.2">
      <c r="A32" s="187" t="s">
        <v>815</v>
      </c>
      <c r="B32" s="187" t="s">
        <v>171</v>
      </c>
      <c r="C32" s="277">
        <v>353</v>
      </c>
      <c r="D32" s="295">
        <v>1951</v>
      </c>
      <c r="E32" s="522">
        <v>43216.23</v>
      </c>
      <c r="F32" s="412">
        <v>2.12E-2</v>
      </c>
      <c r="G32" s="628">
        <f t="shared" si="3"/>
        <v>57.58</v>
      </c>
      <c r="H32" s="404">
        <f t="shared" si="34"/>
        <v>52753.88</v>
      </c>
      <c r="I32" s="412">
        <v>2.06E-2</v>
      </c>
      <c r="J32" s="414">
        <f t="shared" si="23"/>
        <v>3.8400000000000745</v>
      </c>
      <c r="K32" s="404">
        <f t="shared" si="4"/>
        <v>3418.58</v>
      </c>
      <c r="L32" s="412">
        <v>1.9E-2</v>
      </c>
      <c r="M32" s="414">
        <f t="shared" si="5"/>
        <v>4.5799999999999272</v>
      </c>
      <c r="N32" s="404">
        <f t="shared" si="6"/>
        <v>3760.68</v>
      </c>
      <c r="O32" s="404">
        <f t="shared" si="12"/>
        <v>59933.14</v>
      </c>
      <c r="P32" s="411">
        <f t="shared" si="1"/>
        <v>-16716.909999999996</v>
      </c>
      <c r="Q32" s="404">
        <f t="shared" si="7"/>
        <v>821.11</v>
      </c>
      <c r="S32" s="560">
        <f t="shared" si="8"/>
        <v>65</v>
      </c>
      <c r="T32" s="561">
        <f t="shared" si="9"/>
        <v>66</v>
      </c>
      <c r="U32" s="561" t="str">
        <f t="shared" si="10"/>
        <v>error</v>
      </c>
    </row>
    <row r="33" spans="1:21" x14ac:dyDescent="0.2">
      <c r="A33" s="187" t="s">
        <v>815</v>
      </c>
      <c r="B33" s="187" t="s">
        <v>171</v>
      </c>
      <c r="C33" s="277">
        <v>353</v>
      </c>
      <c r="D33" s="295">
        <v>1957</v>
      </c>
      <c r="E33" s="522">
        <v>208866.2</v>
      </c>
      <c r="F33" s="412">
        <v>2.12E-2</v>
      </c>
      <c r="G33" s="628">
        <f t="shared" si="3"/>
        <v>51.58</v>
      </c>
      <c r="H33" s="404">
        <f t="shared" si="34"/>
        <v>228394.35</v>
      </c>
      <c r="I33" s="412">
        <v>2.06E-2</v>
      </c>
      <c r="J33" s="414">
        <f t="shared" si="23"/>
        <v>3.8400000000000745</v>
      </c>
      <c r="K33" s="404">
        <f t="shared" si="4"/>
        <v>16522.150000000001</v>
      </c>
      <c r="L33" s="412">
        <v>1.9E-2</v>
      </c>
      <c r="M33" s="414">
        <f t="shared" si="5"/>
        <v>4.5799999999999272</v>
      </c>
      <c r="N33" s="404">
        <f t="shared" si="6"/>
        <v>18175.54</v>
      </c>
      <c r="O33" s="404">
        <f t="shared" si="12"/>
        <v>263092.03999999998</v>
      </c>
      <c r="P33" s="411">
        <f t="shared" si="1"/>
        <v>-54225.839999999967</v>
      </c>
      <c r="Q33" s="404">
        <f t="shared" si="7"/>
        <v>3968.46</v>
      </c>
      <c r="S33" s="560">
        <f t="shared" si="8"/>
        <v>59</v>
      </c>
      <c r="T33" s="561">
        <f t="shared" si="9"/>
        <v>60</v>
      </c>
      <c r="U33" s="561" t="str">
        <f t="shared" si="10"/>
        <v>error</v>
      </c>
    </row>
    <row r="34" spans="1:21" x14ac:dyDescent="0.2">
      <c r="A34" s="187" t="s">
        <v>815</v>
      </c>
      <c r="B34" s="187" t="s">
        <v>171</v>
      </c>
      <c r="C34" s="277">
        <v>353</v>
      </c>
      <c r="D34" s="295">
        <v>1961</v>
      </c>
      <c r="E34" s="522">
        <v>423845.86</v>
      </c>
      <c r="F34" s="412">
        <v>2.12E-2</v>
      </c>
      <c r="G34" s="628">
        <f t="shared" si="3"/>
        <v>47.58</v>
      </c>
      <c r="H34" s="404">
        <f t="shared" si="34"/>
        <v>427531.62</v>
      </c>
      <c r="I34" s="412">
        <v>2.06E-2</v>
      </c>
      <c r="J34" s="414">
        <f t="shared" si="23"/>
        <v>3.8400000000000745</v>
      </c>
      <c r="K34" s="404">
        <f t="shared" si="4"/>
        <v>33527.9</v>
      </c>
      <c r="L34" s="412">
        <v>1.9E-2</v>
      </c>
      <c r="M34" s="414">
        <f t="shared" si="5"/>
        <v>4.5799999999999272</v>
      </c>
      <c r="N34" s="404">
        <f t="shared" si="6"/>
        <v>36883.07</v>
      </c>
      <c r="O34" s="404">
        <f t="shared" si="12"/>
        <v>497942.59</v>
      </c>
      <c r="P34" s="411">
        <f t="shared" si="1"/>
        <v>-74096.73000000004</v>
      </c>
      <c r="Q34" s="404">
        <f t="shared" si="7"/>
        <v>8053.07</v>
      </c>
      <c r="S34" s="560">
        <f t="shared" si="8"/>
        <v>55</v>
      </c>
      <c r="T34" s="561">
        <f t="shared" si="9"/>
        <v>56</v>
      </c>
      <c r="U34" s="561" t="str">
        <f t="shared" si="10"/>
        <v>error</v>
      </c>
    </row>
    <row r="35" spans="1:21" x14ac:dyDescent="0.2">
      <c r="A35" s="187" t="s">
        <v>815</v>
      </c>
      <c r="B35" s="187" t="s">
        <v>171</v>
      </c>
      <c r="C35" s="277">
        <v>353</v>
      </c>
      <c r="D35" s="295">
        <v>1979</v>
      </c>
      <c r="E35" s="522">
        <v>2963.82</v>
      </c>
      <c r="F35" s="412">
        <v>2.12E-2</v>
      </c>
      <c r="G35" s="628">
        <f t="shared" si="3"/>
        <v>29.58</v>
      </c>
      <c r="H35" s="404">
        <f>ROUND(E35*G35*F35,2)</f>
        <v>1858.6</v>
      </c>
      <c r="I35" s="412">
        <v>2.06E-2</v>
      </c>
      <c r="J35" s="414">
        <f t="shared" si="23"/>
        <v>3.8400000000000745</v>
      </c>
      <c r="K35" s="404">
        <f t="shared" si="4"/>
        <v>234.45</v>
      </c>
      <c r="L35" s="412">
        <v>1.9E-2</v>
      </c>
      <c r="M35" s="414">
        <f t="shared" si="5"/>
        <v>4.5799999999999272</v>
      </c>
      <c r="N35" s="404">
        <f t="shared" si="6"/>
        <v>257.91000000000003</v>
      </c>
      <c r="O35" s="404">
        <f t="shared" si="12"/>
        <v>2350.9599999999996</v>
      </c>
      <c r="P35" s="411">
        <f t="shared" si="1"/>
        <v>612.86000000000058</v>
      </c>
      <c r="Q35" s="404">
        <f t="shared" si="7"/>
        <v>56.31</v>
      </c>
      <c r="S35" s="560">
        <f t="shared" si="8"/>
        <v>37</v>
      </c>
      <c r="T35" s="561">
        <f t="shared" si="9"/>
        <v>38</v>
      </c>
      <c r="U35" s="561" t="str">
        <f t="shared" si="10"/>
        <v>error</v>
      </c>
    </row>
    <row r="36" spans="1:21" x14ac:dyDescent="0.2">
      <c r="A36" s="187" t="s">
        <v>815</v>
      </c>
      <c r="B36" s="187" t="s">
        <v>171</v>
      </c>
      <c r="C36" s="277">
        <v>353</v>
      </c>
      <c r="D36" s="295">
        <v>1980</v>
      </c>
      <c r="E36" s="522">
        <v>6099.17</v>
      </c>
      <c r="F36" s="412">
        <v>2.12E-2</v>
      </c>
      <c r="G36" s="628">
        <f t="shared" si="3"/>
        <v>28.58</v>
      </c>
      <c r="H36" s="404">
        <f>ROUND(E36*G36*F36,2)</f>
        <v>3695.46</v>
      </c>
      <c r="I36" s="412">
        <v>2.06E-2</v>
      </c>
      <c r="J36" s="414">
        <f t="shared" si="23"/>
        <v>3.8400000000000745</v>
      </c>
      <c r="K36" s="404">
        <f t="shared" si="4"/>
        <v>482.47</v>
      </c>
      <c r="L36" s="412">
        <v>1.9E-2</v>
      </c>
      <c r="M36" s="414">
        <f t="shared" si="5"/>
        <v>4.5799999999999272</v>
      </c>
      <c r="N36" s="404">
        <f t="shared" si="6"/>
        <v>530.75</v>
      </c>
      <c r="O36" s="404">
        <f t="shared" si="12"/>
        <v>4708.68</v>
      </c>
      <c r="P36" s="411">
        <f t="shared" si="1"/>
        <v>1390.4899999999998</v>
      </c>
      <c r="Q36" s="404">
        <f t="shared" si="7"/>
        <v>115.88</v>
      </c>
      <c r="S36" s="560">
        <f t="shared" si="8"/>
        <v>36</v>
      </c>
      <c r="T36" s="561">
        <f t="shared" si="9"/>
        <v>37</v>
      </c>
      <c r="U36" s="561" t="str">
        <f t="shared" si="10"/>
        <v>error</v>
      </c>
    </row>
    <row r="37" spans="1:21" x14ac:dyDescent="0.2">
      <c r="A37" s="187" t="s">
        <v>815</v>
      </c>
      <c r="B37" s="187" t="s">
        <v>171</v>
      </c>
      <c r="C37" s="277">
        <v>353</v>
      </c>
      <c r="D37" s="295">
        <v>2000</v>
      </c>
      <c r="E37" s="522">
        <v>132897.45000000001</v>
      </c>
      <c r="F37" s="412">
        <v>2.12E-2</v>
      </c>
      <c r="G37" s="628">
        <f t="shared" si="3"/>
        <v>8.58</v>
      </c>
      <c r="H37" s="404">
        <f t="shared" ref="H37:H46" si="35">ROUND(E37*G37*F37,2)</f>
        <v>24173.51</v>
      </c>
      <c r="I37" s="412">
        <v>2.06E-2</v>
      </c>
      <c r="J37" s="414">
        <f t="shared" si="23"/>
        <v>3.8400000000000727</v>
      </c>
      <c r="K37" s="404">
        <f t="shared" si="4"/>
        <v>10512.72</v>
      </c>
      <c r="L37" s="412">
        <v>1.9E-2</v>
      </c>
      <c r="M37" s="414">
        <f t="shared" si="5"/>
        <v>4.5799999999999272</v>
      </c>
      <c r="N37" s="404">
        <f t="shared" si="6"/>
        <v>11564.74</v>
      </c>
      <c r="O37" s="404">
        <f t="shared" si="12"/>
        <v>46250.969999999994</v>
      </c>
      <c r="P37" s="411">
        <f t="shared" si="1"/>
        <v>86646.48000000001</v>
      </c>
      <c r="Q37" s="404">
        <f t="shared" si="7"/>
        <v>2525.0500000000002</v>
      </c>
      <c r="S37" s="560">
        <f t="shared" si="8"/>
        <v>16</v>
      </c>
      <c r="T37" s="561">
        <f t="shared" si="9"/>
        <v>17</v>
      </c>
      <c r="U37" s="561" t="str">
        <f t="shared" si="10"/>
        <v>error</v>
      </c>
    </row>
    <row r="38" spans="1:21" x14ac:dyDescent="0.2">
      <c r="A38" s="187" t="s">
        <v>815</v>
      </c>
      <c r="B38" s="187" t="s">
        <v>171</v>
      </c>
      <c r="C38" s="277">
        <v>353</v>
      </c>
      <c r="D38" s="295">
        <v>2000</v>
      </c>
      <c r="E38" s="522">
        <v>3395.4</v>
      </c>
      <c r="F38" s="412">
        <v>2.12E-2</v>
      </c>
      <c r="G38" s="628">
        <f t="shared" ref="G38" si="36">IF((2008-D38)+0.58&lt;0, 0,(2008-D38)+0.58)</f>
        <v>8.58</v>
      </c>
      <c r="H38" s="404">
        <f t="shared" ref="H38" si="37">ROUND(E38*G38*F38,2)</f>
        <v>617.61</v>
      </c>
      <c r="I38" s="412">
        <v>2.06E-2</v>
      </c>
      <c r="J38" s="414">
        <f t="shared" ref="J38" si="38">IF(G38=0,IF($J$96=D38,$J$96-D38+0.42,($J$96+0.42-D38)-G38),$J$96+0.42-D38)-G38</f>
        <v>3.8400000000000727</v>
      </c>
      <c r="K38" s="404">
        <f t="shared" ref="K38" si="39">ROUND(E38*J38*I38,2)</f>
        <v>268.58999999999997</v>
      </c>
      <c r="L38" s="412">
        <v>1.9E-2</v>
      </c>
      <c r="M38" s="414">
        <f t="shared" si="5"/>
        <v>4.5799999999999272</v>
      </c>
      <c r="N38" s="404">
        <f t="shared" ref="N38" si="40">ROUND(E38*L38*M38,2)</f>
        <v>295.47000000000003</v>
      </c>
      <c r="O38" s="404">
        <f t="shared" ref="O38" si="41">SUM(H38,K38,N38)</f>
        <v>1181.67</v>
      </c>
      <c r="P38" s="411">
        <f t="shared" ref="P38" si="42">E38-O38</f>
        <v>2213.73</v>
      </c>
      <c r="Q38" s="404">
        <f t="shared" ref="Q38" si="43">ROUND(E38*L38,2)</f>
        <v>64.510000000000005</v>
      </c>
      <c r="S38" s="560">
        <f t="shared" ref="S38" si="44">2015+1-D38</f>
        <v>16</v>
      </c>
      <c r="T38" s="561">
        <f t="shared" ref="T38" si="45">G38+J38+M38</f>
        <v>17</v>
      </c>
      <c r="U38" s="561" t="str">
        <f t="shared" ref="U38" si="46">IF(S38-T38=0, "ok","error")</f>
        <v>error</v>
      </c>
    </row>
    <row r="39" spans="1:21" x14ac:dyDescent="0.2">
      <c r="A39" s="187" t="s">
        <v>815</v>
      </c>
      <c r="B39" s="187" t="s">
        <v>171</v>
      </c>
      <c r="C39" s="277">
        <v>353</v>
      </c>
      <c r="D39" s="295">
        <v>2014</v>
      </c>
      <c r="E39" s="522">
        <v>40966.1</v>
      </c>
      <c r="F39" s="412">
        <v>2.12E-2</v>
      </c>
      <c r="G39" s="628">
        <f t="shared" si="3"/>
        <v>0</v>
      </c>
      <c r="H39" s="404">
        <f t="shared" si="35"/>
        <v>0</v>
      </c>
      <c r="I39" s="412">
        <v>2.06E-2</v>
      </c>
      <c r="J39" s="414">
        <v>0</v>
      </c>
      <c r="K39" s="404">
        <f t="shared" si="4"/>
        <v>0</v>
      </c>
      <c r="L39" s="412">
        <v>1.9E-2</v>
      </c>
      <c r="M39" s="414">
        <f t="shared" si="5"/>
        <v>3</v>
      </c>
      <c r="N39" s="404">
        <f t="shared" si="6"/>
        <v>2335.0700000000002</v>
      </c>
      <c r="O39" s="404">
        <f t="shared" si="12"/>
        <v>2335.0700000000002</v>
      </c>
      <c r="P39" s="411">
        <f t="shared" si="1"/>
        <v>38631.03</v>
      </c>
      <c r="Q39" s="404">
        <f t="shared" si="7"/>
        <v>778.36</v>
      </c>
      <c r="S39" s="560">
        <f t="shared" si="8"/>
        <v>2</v>
      </c>
      <c r="T39" s="561">
        <f t="shared" si="9"/>
        <v>3</v>
      </c>
      <c r="U39" s="561" t="str">
        <f t="shared" si="10"/>
        <v>error</v>
      </c>
    </row>
    <row r="40" spans="1:21" x14ac:dyDescent="0.2">
      <c r="A40" s="187" t="s">
        <v>819</v>
      </c>
      <c r="B40" s="187" t="s">
        <v>172</v>
      </c>
      <c r="C40" s="277">
        <v>353</v>
      </c>
      <c r="D40" s="295">
        <v>1992</v>
      </c>
      <c r="E40" s="522">
        <v>306659.17</v>
      </c>
      <c r="F40" s="412">
        <v>2.12E-2</v>
      </c>
      <c r="G40" s="628">
        <f t="shared" si="3"/>
        <v>16.579999999999998</v>
      </c>
      <c r="H40" s="404">
        <f t="shared" si="35"/>
        <v>107789.47</v>
      </c>
      <c r="I40" s="412">
        <v>2.06E-2</v>
      </c>
      <c r="J40" s="414">
        <f t="shared" si="23"/>
        <v>3.8400000000000745</v>
      </c>
      <c r="K40" s="404">
        <f t="shared" si="4"/>
        <v>24257.97</v>
      </c>
      <c r="L40" s="412">
        <v>1.9E-2</v>
      </c>
      <c r="M40" s="414">
        <f t="shared" si="5"/>
        <v>4.5799999999999272</v>
      </c>
      <c r="N40" s="404">
        <f t="shared" si="6"/>
        <v>26685.48</v>
      </c>
      <c r="O40" s="404">
        <f t="shared" si="12"/>
        <v>158732.92000000001</v>
      </c>
      <c r="P40" s="411">
        <f t="shared" si="1"/>
        <v>147926.24999999997</v>
      </c>
      <c r="Q40" s="404">
        <f t="shared" si="7"/>
        <v>5826.52</v>
      </c>
      <c r="S40" s="560">
        <f t="shared" si="8"/>
        <v>24</v>
      </c>
      <c r="T40" s="561">
        <f t="shared" si="9"/>
        <v>25</v>
      </c>
      <c r="U40" s="561" t="str">
        <f t="shared" si="10"/>
        <v>error</v>
      </c>
    </row>
    <row r="41" spans="1:21" x14ac:dyDescent="0.2">
      <c r="A41" s="187" t="s">
        <v>822</v>
      </c>
      <c r="B41" s="187" t="s">
        <v>173</v>
      </c>
      <c r="C41" s="277">
        <v>353</v>
      </c>
      <c r="D41" s="295">
        <v>1952</v>
      </c>
      <c r="E41" s="522">
        <v>344946.87</v>
      </c>
      <c r="F41" s="412">
        <v>2.12E-2</v>
      </c>
      <c r="G41" s="628">
        <f t="shared" si="3"/>
        <v>56.58</v>
      </c>
      <c r="H41" s="404">
        <f t="shared" si="35"/>
        <v>413762.39</v>
      </c>
      <c r="I41" s="412">
        <v>2.06E-2</v>
      </c>
      <c r="J41" s="414">
        <f t="shared" si="23"/>
        <v>3.8400000000000745</v>
      </c>
      <c r="K41" s="404">
        <f t="shared" si="4"/>
        <v>27286.68</v>
      </c>
      <c r="L41" s="412">
        <v>1.9E-2</v>
      </c>
      <c r="M41" s="414">
        <f t="shared" si="5"/>
        <v>4.5799999999999272</v>
      </c>
      <c r="N41" s="404">
        <f t="shared" si="6"/>
        <v>30017.279999999999</v>
      </c>
      <c r="O41" s="404">
        <f t="shared" si="12"/>
        <v>471066.35</v>
      </c>
      <c r="P41" s="411">
        <f t="shared" si="1"/>
        <v>-126119.47999999998</v>
      </c>
      <c r="Q41" s="404">
        <f t="shared" si="7"/>
        <v>6553.99</v>
      </c>
      <c r="S41" s="560">
        <f t="shared" si="8"/>
        <v>64</v>
      </c>
      <c r="T41" s="561">
        <f t="shared" si="9"/>
        <v>65</v>
      </c>
      <c r="U41" s="561" t="str">
        <f t="shared" si="10"/>
        <v>error</v>
      </c>
    </row>
    <row r="42" spans="1:21" x14ac:dyDescent="0.2">
      <c r="A42" s="187" t="s">
        <v>822</v>
      </c>
      <c r="B42" s="187" t="s">
        <v>173</v>
      </c>
      <c r="C42" s="277">
        <v>353</v>
      </c>
      <c r="D42" s="295">
        <v>1965</v>
      </c>
      <c r="E42" s="522">
        <v>1480.23</v>
      </c>
      <c r="F42" s="412">
        <v>2.12E-2</v>
      </c>
      <c r="G42" s="628">
        <f t="shared" si="3"/>
        <v>43.58</v>
      </c>
      <c r="H42" s="404">
        <f t="shared" si="35"/>
        <v>1367.58</v>
      </c>
      <c r="I42" s="412">
        <v>2.06E-2</v>
      </c>
      <c r="J42" s="414">
        <f t="shared" si="23"/>
        <v>3.8400000000000745</v>
      </c>
      <c r="K42" s="404">
        <f t="shared" si="4"/>
        <v>117.09</v>
      </c>
      <c r="L42" s="412">
        <v>1.9E-2</v>
      </c>
      <c r="M42" s="414">
        <f t="shared" si="5"/>
        <v>4.5799999999999272</v>
      </c>
      <c r="N42" s="404">
        <f t="shared" si="6"/>
        <v>128.81</v>
      </c>
      <c r="O42" s="404">
        <f t="shared" si="12"/>
        <v>1613.4799999999998</v>
      </c>
      <c r="P42" s="411">
        <f t="shared" si="1"/>
        <v>-133.24999999999977</v>
      </c>
      <c r="Q42" s="404">
        <f t="shared" si="7"/>
        <v>28.12</v>
      </c>
      <c r="S42" s="560">
        <f t="shared" si="8"/>
        <v>51</v>
      </c>
      <c r="T42" s="561">
        <f t="shared" si="9"/>
        <v>52</v>
      </c>
      <c r="U42" s="561" t="str">
        <f t="shared" si="10"/>
        <v>error</v>
      </c>
    </row>
    <row r="43" spans="1:21" x14ac:dyDescent="0.2">
      <c r="A43" s="187" t="s">
        <v>822</v>
      </c>
      <c r="B43" s="187" t="s">
        <v>173</v>
      </c>
      <c r="C43" s="277">
        <v>353</v>
      </c>
      <c r="D43" s="295">
        <v>1972</v>
      </c>
      <c r="E43" s="522">
        <v>609.84</v>
      </c>
      <c r="F43" s="412">
        <v>2.12E-2</v>
      </c>
      <c r="G43" s="628">
        <f t="shared" si="3"/>
        <v>36.58</v>
      </c>
      <c r="H43" s="404">
        <f t="shared" si="35"/>
        <v>472.93</v>
      </c>
      <c r="I43" s="412">
        <v>2.06E-2</v>
      </c>
      <c r="J43" s="414">
        <f t="shared" si="23"/>
        <v>3.8400000000000745</v>
      </c>
      <c r="K43" s="404">
        <f t="shared" si="4"/>
        <v>48.24</v>
      </c>
      <c r="L43" s="412">
        <v>1.9E-2</v>
      </c>
      <c r="M43" s="414">
        <f t="shared" si="5"/>
        <v>4.5799999999999272</v>
      </c>
      <c r="N43" s="404">
        <f t="shared" si="6"/>
        <v>53.07</v>
      </c>
      <c r="O43" s="404">
        <f t="shared" si="12"/>
        <v>574.24</v>
      </c>
      <c r="P43" s="411">
        <f t="shared" si="1"/>
        <v>35.600000000000023</v>
      </c>
      <c r="Q43" s="404">
        <f t="shared" si="7"/>
        <v>11.59</v>
      </c>
      <c r="S43" s="560">
        <f t="shared" si="8"/>
        <v>44</v>
      </c>
      <c r="T43" s="561">
        <f t="shared" si="9"/>
        <v>45</v>
      </c>
      <c r="U43" s="561" t="str">
        <f t="shared" si="10"/>
        <v>error</v>
      </c>
    </row>
    <row r="44" spans="1:21" x14ac:dyDescent="0.2">
      <c r="A44" s="187" t="s">
        <v>822</v>
      </c>
      <c r="B44" s="187" t="s">
        <v>173</v>
      </c>
      <c r="C44" s="277">
        <v>353</v>
      </c>
      <c r="D44" s="295">
        <v>1973</v>
      </c>
      <c r="E44" s="522">
        <v>316.68</v>
      </c>
      <c r="F44" s="412">
        <v>2.12E-2</v>
      </c>
      <c r="G44" s="628">
        <f t="shared" si="3"/>
        <v>35.58</v>
      </c>
      <c r="H44" s="404">
        <f t="shared" si="35"/>
        <v>238.87</v>
      </c>
      <c r="I44" s="412">
        <v>2.06E-2</v>
      </c>
      <c r="J44" s="414">
        <f t="shared" si="23"/>
        <v>3.8400000000000745</v>
      </c>
      <c r="K44" s="404">
        <f t="shared" si="4"/>
        <v>25.05</v>
      </c>
      <c r="L44" s="412">
        <v>1.9E-2</v>
      </c>
      <c r="M44" s="414">
        <f t="shared" si="5"/>
        <v>4.5799999999999272</v>
      </c>
      <c r="N44" s="404">
        <f t="shared" si="6"/>
        <v>27.56</v>
      </c>
      <c r="O44" s="404">
        <f t="shared" si="12"/>
        <v>291.48</v>
      </c>
      <c r="P44" s="411">
        <f t="shared" si="1"/>
        <v>25.199999999999989</v>
      </c>
      <c r="Q44" s="404">
        <f t="shared" si="7"/>
        <v>6.02</v>
      </c>
      <c r="S44" s="560">
        <f t="shared" si="8"/>
        <v>43</v>
      </c>
      <c r="T44" s="561">
        <f t="shared" si="9"/>
        <v>44</v>
      </c>
      <c r="U44" s="561" t="str">
        <f t="shared" si="10"/>
        <v>error</v>
      </c>
    </row>
    <row r="45" spans="1:21" x14ac:dyDescent="0.2">
      <c r="A45" s="187" t="s">
        <v>822</v>
      </c>
      <c r="B45" s="187" t="s">
        <v>173</v>
      </c>
      <c r="C45" s="277">
        <v>353</v>
      </c>
      <c r="D45" s="295">
        <v>1982</v>
      </c>
      <c r="E45" s="522">
        <v>32437.37</v>
      </c>
      <c r="F45" s="412">
        <v>2.12E-2</v>
      </c>
      <c r="G45" s="628">
        <f t="shared" si="3"/>
        <v>26.58</v>
      </c>
      <c r="H45" s="404">
        <f t="shared" si="35"/>
        <v>18278.330000000002</v>
      </c>
      <c r="I45" s="412">
        <v>2.06E-2</v>
      </c>
      <c r="J45" s="414">
        <f t="shared" si="23"/>
        <v>3.8400000000000745</v>
      </c>
      <c r="K45" s="404">
        <f t="shared" si="4"/>
        <v>2565.9299999999998</v>
      </c>
      <c r="L45" s="412">
        <v>1.9E-2</v>
      </c>
      <c r="M45" s="414">
        <f t="shared" si="5"/>
        <v>4.5799999999999272</v>
      </c>
      <c r="N45" s="404">
        <f t="shared" si="6"/>
        <v>2822.7</v>
      </c>
      <c r="O45" s="404">
        <f t="shared" si="12"/>
        <v>23666.960000000003</v>
      </c>
      <c r="P45" s="411">
        <f t="shared" si="1"/>
        <v>8770.4099999999962</v>
      </c>
      <c r="Q45" s="404">
        <f t="shared" si="7"/>
        <v>616.30999999999995</v>
      </c>
      <c r="S45" s="560">
        <f t="shared" si="8"/>
        <v>34</v>
      </c>
      <c r="T45" s="561">
        <f t="shared" si="9"/>
        <v>35</v>
      </c>
      <c r="U45" s="561" t="str">
        <f t="shared" si="10"/>
        <v>error</v>
      </c>
    </row>
    <row r="46" spans="1:21" x14ac:dyDescent="0.2">
      <c r="A46" s="187" t="s">
        <v>816</v>
      </c>
      <c r="B46" s="187" t="s">
        <v>174</v>
      </c>
      <c r="C46" s="277">
        <v>353</v>
      </c>
      <c r="D46" s="295">
        <v>1994</v>
      </c>
      <c r="E46" s="522">
        <v>432054.7</v>
      </c>
      <c r="F46" s="412">
        <v>2.12E-2</v>
      </c>
      <c r="G46" s="628">
        <f t="shared" si="3"/>
        <v>14.58</v>
      </c>
      <c r="H46" s="404">
        <f t="shared" si="35"/>
        <v>133546.38</v>
      </c>
      <c r="I46" s="412">
        <v>2.06E-2</v>
      </c>
      <c r="J46" s="414">
        <f t="shared" si="23"/>
        <v>3.8400000000000727</v>
      </c>
      <c r="K46" s="404">
        <f t="shared" si="4"/>
        <v>34177.25</v>
      </c>
      <c r="L46" s="412">
        <v>1.9E-2</v>
      </c>
      <c r="M46" s="414">
        <f t="shared" si="5"/>
        <v>4.5799999999999255</v>
      </c>
      <c r="N46" s="404">
        <f t="shared" si="6"/>
        <v>37597.4</v>
      </c>
      <c r="O46" s="404">
        <f t="shared" si="12"/>
        <v>205321.03</v>
      </c>
      <c r="P46" s="411">
        <f t="shared" si="1"/>
        <v>226733.67</v>
      </c>
      <c r="Q46" s="404">
        <f t="shared" si="7"/>
        <v>8209.0400000000009</v>
      </c>
      <c r="S46" s="560">
        <f t="shared" si="8"/>
        <v>22</v>
      </c>
      <c r="T46" s="561">
        <f t="shared" si="9"/>
        <v>23</v>
      </c>
      <c r="U46" s="561" t="str">
        <f t="shared" si="10"/>
        <v>error</v>
      </c>
    </row>
    <row r="47" spans="1:21" x14ac:dyDescent="0.2">
      <c r="A47" s="187" t="s">
        <v>816</v>
      </c>
      <c r="B47" s="187" t="s">
        <v>174</v>
      </c>
      <c r="C47" s="277">
        <v>353</v>
      </c>
      <c r="D47" s="295">
        <v>1999</v>
      </c>
      <c r="E47" s="522">
        <v>3.04</v>
      </c>
      <c r="F47" s="412">
        <v>2.12E-2</v>
      </c>
      <c r="G47" s="628">
        <f t="shared" si="3"/>
        <v>9.58</v>
      </c>
      <c r="H47" s="404">
        <f>ROUND(E47*G47*F47,2)</f>
        <v>0.62</v>
      </c>
      <c r="I47" s="412">
        <v>2.06E-2</v>
      </c>
      <c r="J47" s="414">
        <f t="shared" si="23"/>
        <v>3.8400000000000727</v>
      </c>
      <c r="K47" s="404">
        <f t="shared" si="4"/>
        <v>0.24</v>
      </c>
      <c r="L47" s="412">
        <v>1.9E-2</v>
      </c>
      <c r="M47" s="414">
        <f t="shared" si="5"/>
        <v>4.5799999999999272</v>
      </c>
      <c r="N47" s="404">
        <f t="shared" si="6"/>
        <v>0.26</v>
      </c>
      <c r="O47" s="404">
        <f t="shared" si="12"/>
        <v>1.1200000000000001</v>
      </c>
      <c r="P47" s="411">
        <f t="shared" si="1"/>
        <v>1.92</v>
      </c>
      <c r="Q47" s="404">
        <f t="shared" si="7"/>
        <v>0.06</v>
      </c>
      <c r="S47" s="560">
        <f t="shared" si="8"/>
        <v>17</v>
      </c>
      <c r="T47" s="561">
        <f t="shared" si="9"/>
        <v>18</v>
      </c>
      <c r="U47" s="561" t="str">
        <f t="shared" si="10"/>
        <v>error</v>
      </c>
    </row>
    <row r="48" spans="1:21" x14ac:dyDescent="0.2">
      <c r="A48" s="187" t="s">
        <v>830</v>
      </c>
      <c r="B48" s="187" t="s">
        <v>175</v>
      </c>
      <c r="C48" s="277">
        <v>353</v>
      </c>
      <c r="D48" s="295">
        <v>1949</v>
      </c>
      <c r="E48" s="522">
        <v>39458.78</v>
      </c>
      <c r="F48" s="412">
        <v>2.12E-2</v>
      </c>
      <c r="G48" s="628">
        <f t="shared" si="3"/>
        <v>59.58</v>
      </c>
      <c r="H48" s="404">
        <f>ROUND(E48*G48*F48,2)</f>
        <v>49840.23</v>
      </c>
      <c r="I48" s="412">
        <v>2.06E-2</v>
      </c>
      <c r="J48" s="414">
        <f t="shared" si="23"/>
        <v>3.8400000000000745</v>
      </c>
      <c r="K48" s="404">
        <f t="shared" si="4"/>
        <v>3121.35</v>
      </c>
      <c r="L48" s="412">
        <v>1.9E-2</v>
      </c>
      <c r="M48" s="414">
        <f t="shared" si="5"/>
        <v>4.5799999999999272</v>
      </c>
      <c r="N48" s="404">
        <f t="shared" si="6"/>
        <v>3433.7</v>
      </c>
      <c r="O48" s="404">
        <f t="shared" si="12"/>
        <v>56395.28</v>
      </c>
      <c r="P48" s="411">
        <f t="shared" si="1"/>
        <v>-16936.5</v>
      </c>
      <c r="Q48" s="404">
        <f t="shared" si="7"/>
        <v>749.72</v>
      </c>
      <c r="S48" s="560">
        <f t="shared" si="8"/>
        <v>67</v>
      </c>
      <c r="T48" s="561">
        <f t="shared" si="9"/>
        <v>68</v>
      </c>
      <c r="U48" s="561" t="str">
        <f t="shared" si="10"/>
        <v>error</v>
      </c>
    </row>
    <row r="49" spans="1:21" x14ac:dyDescent="0.2">
      <c r="A49" s="187" t="s">
        <v>817</v>
      </c>
      <c r="B49" s="187" t="s">
        <v>176</v>
      </c>
      <c r="C49" s="277">
        <v>353</v>
      </c>
      <c r="D49" s="295">
        <v>1995</v>
      </c>
      <c r="E49" s="522">
        <v>430708.27</v>
      </c>
      <c r="F49" s="412">
        <v>2.12E-2</v>
      </c>
      <c r="G49" s="628">
        <f t="shared" si="3"/>
        <v>13.58</v>
      </c>
      <c r="H49" s="404">
        <f t="shared" ref="H49:H56" si="47">ROUND(E49*G49*F49,2)</f>
        <v>123999.19</v>
      </c>
      <c r="I49" s="412">
        <v>2.06E-2</v>
      </c>
      <c r="J49" s="414">
        <f t="shared" si="23"/>
        <v>3.8400000000000727</v>
      </c>
      <c r="K49" s="404">
        <f t="shared" si="4"/>
        <v>34070.75</v>
      </c>
      <c r="L49" s="412">
        <v>1.9E-2</v>
      </c>
      <c r="M49" s="414">
        <f t="shared" si="5"/>
        <v>4.5799999999999255</v>
      </c>
      <c r="N49" s="404">
        <f t="shared" si="6"/>
        <v>37480.230000000003</v>
      </c>
      <c r="O49" s="404">
        <f t="shared" si="12"/>
        <v>195550.17</v>
      </c>
      <c r="P49" s="411">
        <f t="shared" si="1"/>
        <v>235158.1</v>
      </c>
      <c r="Q49" s="404">
        <f t="shared" si="7"/>
        <v>8183.46</v>
      </c>
      <c r="S49" s="560">
        <f t="shared" si="8"/>
        <v>21</v>
      </c>
      <c r="T49" s="561">
        <f t="shared" si="9"/>
        <v>22</v>
      </c>
      <c r="U49" s="561" t="str">
        <f t="shared" si="10"/>
        <v>error</v>
      </c>
    </row>
    <row r="50" spans="1:21" x14ac:dyDescent="0.2">
      <c r="A50" s="187" t="s">
        <v>827</v>
      </c>
      <c r="B50" s="187" t="s">
        <v>177</v>
      </c>
      <c r="C50" s="277">
        <v>353</v>
      </c>
      <c r="D50" s="295">
        <v>1956</v>
      </c>
      <c r="E50" s="522">
        <v>36470.01</v>
      </c>
      <c r="F50" s="412">
        <v>2.12E-2</v>
      </c>
      <c r="G50" s="628">
        <f t="shared" si="3"/>
        <v>52.58</v>
      </c>
      <c r="H50" s="404">
        <f t="shared" si="47"/>
        <v>40652.97</v>
      </c>
      <c r="I50" s="412">
        <v>2.06E-2</v>
      </c>
      <c r="J50" s="414">
        <f t="shared" si="23"/>
        <v>3.8400000000000745</v>
      </c>
      <c r="K50" s="404">
        <f t="shared" si="4"/>
        <v>2884.92</v>
      </c>
      <c r="L50" s="412">
        <v>1.9E-2</v>
      </c>
      <c r="M50" s="414">
        <f t="shared" si="5"/>
        <v>4.5799999999999272</v>
      </c>
      <c r="N50" s="404">
        <f t="shared" si="6"/>
        <v>3173.62</v>
      </c>
      <c r="O50" s="404">
        <f t="shared" si="12"/>
        <v>46711.51</v>
      </c>
      <c r="P50" s="411">
        <f t="shared" si="1"/>
        <v>-10241.5</v>
      </c>
      <c r="Q50" s="404">
        <f t="shared" si="7"/>
        <v>692.93</v>
      </c>
      <c r="S50" s="560">
        <f t="shared" si="8"/>
        <v>60</v>
      </c>
      <c r="T50" s="561">
        <f t="shared" si="9"/>
        <v>61</v>
      </c>
      <c r="U50" s="561" t="str">
        <f t="shared" si="10"/>
        <v>error</v>
      </c>
    </row>
    <row r="51" spans="1:21" x14ac:dyDescent="0.2">
      <c r="A51" s="187" t="s">
        <v>820</v>
      </c>
      <c r="B51" s="187" t="s">
        <v>178</v>
      </c>
      <c r="C51" s="277">
        <v>353</v>
      </c>
      <c r="D51" s="295">
        <v>1948</v>
      </c>
      <c r="E51" s="522">
        <v>31129.21</v>
      </c>
      <c r="F51" s="412">
        <v>2.12E-2</v>
      </c>
      <c r="G51" s="628">
        <f t="shared" si="3"/>
        <v>60.58</v>
      </c>
      <c r="H51" s="404">
        <f t="shared" si="47"/>
        <v>39979.120000000003</v>
      </c>
      <c r="I51" s="412">
        <v>2.06E-2</v>
      </c>
      <c r="J51" s="414">
        <f t="shared" si="23"/>
        <v>3.8400000000000745</v>
      </c>
      <c r="K51" s="404">
        <f t="shared" si="4"/>
        <v>2462.4499999999998</v>
      </c>
      <c r="L51" s="412">
        <v>1.9E-2</v>
      </c>
      <c r="M51" s="414">
        <f t="shared" si="5"/>
        <v>4.5799999999999272</v>
      </c>
      <c r="N51" s="404">
        <f t="shared" si="6"/>
        <v>2708.86</v>
      </c>
      <c r="O51" s="404">
        <f t="shared" si="12"/>
        <v>45150.43</v>
      </c>
      <c r="P51" s="411">
        <f t="shared" si="1"/>
        <v>-14021.220000000001</v>
      </c>
      <c r="Q51" s="404">
        <f t="shared" si="7"/>
        <v>591.45000000000005</v>
      </c>
      <c r="S51" s="560">
        <f t="shared" si="8"/>
        <v>68</v>
      </c>
      <c r="T51" s="561">
        <f t="shared" si="9"/>
        <v>69</v>
      </c>
      <c r="U51" s="561" t="str">
        <f t="shared" si="10"/>
        <v>error</v>
      </c>
    </row>
    <row r="52" spans="1:21" x14ac:dyDescent="0.2">
      <c r="A52" s="187" t="s">
        <v>820</v>
      </c>
      <c r="B52" s="187" t="s">
        <v>178</v>
      </c>
      <c r="C52" s="277">
        <v>353</v>
      </c>
      <c r="D52" s="295">
        <v>1987</v>
      </c>
      <c r="E52" s="522">
        <v>2109.16</v>
      </c>
      <c r="F52" s="412">
        <v>2.12E-2</v>
      </c>
      <c r="G52" s="628">
        <f t="shared" si="3"/>
        <v>21.58</v>
      </c>
      <c r="H52" s="404">
        <f t="shared" si="47"/>
        <v>964.93</v>
      </c>
      <c r="I52" s="412">
        <v>2.06E-2</v>
      </c>
      <c r="J52" s="414">
        <f t="shared" si="23"/>
        <v>3.8400000000000745</v>
      </c>
      <c r="K52" s="404">
        <f t="shared" si="4"/>
        <v>166.84</v>
      </c>
      <c r="L52" s="412">
        <v>1.9E-2</v>
      </c>
      <c r="M52" s="414">
        <f t="shared" si="5"/>
        <v>4.5799999999999272</v>
      </c>
      <c r="N52" s="404">
        <f t="shared" si="6"/>
        <v>183.54</v>
      </c>
      <c r="O52" s="404">
        <f t="shared" si="12"/>
        <v>1315.31</v>
      </c>
      <c r="P52" s="411">
        <f t="shared" si="1"/>
        <v>793.84999999999991</v>
      </c>
      <c r="Q52" s="404">
        <f t="shared" si="7"/>
        <v>40.07</v>
      </c>
      <c r="S52" s="560">
        <f t="shared" si="8"/>
        <v>29</v>
      </c>
      <c r="T52" s="561">
        <f t="shared" si="9"/>
        <v>30</v>
      </c>
      <c r="U52" s="561" t="str">
        <f t="shared" si="10"/>
        <v>error</v>
      </c>
    </row>
    <row r="53" spans="1:21" x14ac:dyDescent="0.2">
      <c r="A53" s="187" t="s">
        <v>820</v>
      </c>
      <c r="B53" s="187" t="s">
        <v>178</v>
      </c>
      <c r="C53" s="277">
        <v>353</v>
      </c>
      <c r="D53" s="295">
        <v>1988</v>
      </c>
      <c r="E53" s="522">
        <v>278.93</v>
      </c>
      <c r="F53" s="412">
        <v>2.12E-2</v>
      </c>
      <c r="G53" s="628">
        <f t="shared" si="3"/>
        <v>20.58</v>
      </c>
      <c r="H53" s="404">
        <f t="shared" si="47"/>
        <v>121.7</v>
      </c>
      <c r="I53" s="412">
        <v>2.06E-2</v>
      </c>
      <c r="J53" s="414">
        <f t="shared" si="23"/>
        <v>3.8400000000000745</v>
      </c>
      <c r="K53" s="404">
        <f t="shared" si="4"/>
        <v>22.06</v>
      </c>
      <c r="L53" s="412">
        <v>1.9E-2</v>
      </c>
      <c r="M53" s="414">
        <f t="shared" si="5"/>
        <v>4.5799999999999272</v>
      </c>
      <c r="N53" s="404">
        <f t="shared" si="6"/>
        <v>24.27</v>
      </c>
      <c r="O53" s="404">
        <f t="shared" si="12"/>
        <v>168.03</v>
      </c>
      <c r="P53" s="411">
        <f t="shared" si="1"/>
        <v>110.9</v>
      </c>
      <c r="Q53" s="404">
        <f t="shared" si="7"/>
        <v>5.3</v>
      </c>
      <c r="S53" s="560">
        <f t="shared" si="8"/>
        <v>28</v>
      </c>
      <c r="T53" s="561">
        <f t="shared" si="9"/>
        <v>29</v>
      </c>
      <c r="U53" s="561" t="str">
        <f t="shared" si="10"/>
        <v>error</v>
      </c>
    </row>
    <row r="54" spans="1:21" x14ac:dyDescent="0.2">
      <c r="A54" s="187" t="s">
        <v>828</v>
      </c>
      <c r="B54" s="187" t="s">
        <v>179</v>
      </c>
      <c r="C54" s="277">
        <v>353</v>
      </c>
      <c r="D54" s="295">
        <v>1937</v>
      </c>
      <c r="E54" s="522">
        <v>72167.73</v>
      </c>
      <c r="F54" s="412">
        <v>2.12E-2</v>
      </c>
      <c r="G54" s="628">
        <f t="shared" si="3"/>
        <v>71.58</v>
      </c>
      <c r="H54" s="404">
        <f t="shared" si="47"/>
        <v>109514.24000000001</v>
      </c>
      <c r="I54" s="412">
        <v>2.06E-2</v>
      </c>
      <c r="J54" s="414">
        <f t="shared" si="23"/>
        <v>3.8400000000000745</v>
      </c>
      <c r="K54" s="404">
        <f t="shared" si="4"/>
        <v>5708.76</v>
      </c>
      <c r="L54" s="412">
        <v>1.9E-2</v>
      </c>
      <c r="M54" s="414">
        <f t="shared" si="5"/>
        <v>4.5799999999999272</v>
      </c>
      <c r="N54" s="404">
        <f t="shared" si="6"/>
        <v>6280.04</v>
      </c>
      <c r="O54" s="404">
        <f t="shared" si="12"/>
        <v>121503.03999999999</v>
      </c>
      <c r="P54" s="411">
        <f t="shared" si="1"/>
        <v>-49335.31</v>
      </c>
      <c r="Q54" s="404">
        <f t="shared" si="7"/>
        <v>1371.19</v>
      </c>
      <c r="S54" s="560">
        <f t="shared" si="8"/>
        <v>79</v>
      </c>
      <c r="T54" s="561">
        <f t="shared" si="9"/>
        <v>80</v>
      </c>
      <c r="U54" s="561" t="str">
        <f t="shared" si="10"/>
        <v>error</v>
      </c>
    </row>
    <row r="55" spans="1:21" x14ac:dyDescent="0.2">
      <c r="A55" s="187" t="s">
        <v>828</v>
      </c>
      <c r="B55" s="187" t="s">
        <v>179</v>
      </c>
      <c r="C55" s="277">
        <v>353</v>
      </c>
      <c r="D55" s="295">
        <v>1954</v>
      </c>
      <c r="E55" s="522">
        <v>418.06</v>
      </c>
      <c r="F55" s="412">
        <v>2.12E-2</v>
      </c>
      <c r="G55" s="628">
        <f t="shared" si="3"/>
        <v>54.58</v>
      </c>
      <c r="H55" s="404">
        <f>ROUND(E55*G55*F55,2)</f>
        <v>483.74</v>
      </c>
      <c r="I55" s="412">
        <v>2.06E-2</v>
      </c>
      <c r="J55" s="414">
        <f t="shared" si="23"/>
        <v>3.8400000000000745</v>
      </c>
      <c r="K55" s="404">
        <f t="shared" si="4"/>
        <v>33.07</v>
      </c>
      <c r="L55" s="412">
        <v>1.9E-2</v>
      </c>
      <c r="M55" s="414">
        <f t="shared" si="5"/>
        <v>4.5799999999999272</v>
      </c>
      <c r="N55" s="404">
        <f t="shared" si="6"/>
        <v>36.380000000000003</v>
      </c>
      <c r="O55" s="404">
        <f t="shared" si="12"/>
        <v>553.19000000000005</v>
      </c>
      <c r="P55" s="411">
        <f t="shared" si="1"/>
        <v>-135.13000000000005</v>
      </c>
      <c r="Q55" s="404">
        <f t="shared" si="7"/>
        <v>7.94</v>
      </c>
      <c r="S55" s="560">
        <f t="shared" si="8"/>
        <v>62</v>
      </c>
      <c r="T55" s="561">
        <f t="shared" si="9"/>
        <v>63</v>
      </c>
      <c r="U55" s="561" t="str">
        <f t="shared" si="10"/>
        <v>error</v>
      </c>
    </row>
    <row r="56" spans="1:21" x14ac:dyDescent="0.2">
      <c r="A56" s="187" t="s">
        <v>831</v>
      </c>
      <c r="B56" s="187" t="s">
        <v>180</v>
      </c>
      <c r="C56" s="277">
        <v>353</v>
      </c>
      <c r="D56" s="295">
        <v>1947</v>
      </c>
      <c r="E56" s="522">
        <v>70392.59</v>
      </c>
      <c r="F56" s="412">
        <v>2.12E-2</v>
      </c>
      <c r="G56" s="628">
        <f t="shared" si="3"/>
        <v>61.58</v>
      </c>
      <c r="H56" s="404">
        <f t="shared" si="47"/>
        <v>91897.24</v>
      </c>
      <c r="I56" s="412">
        <v>2.06E-2</v>
      </c>
      <c r="J56" s="414">
        <f t="shared" ref="J56:J70" si="48">IF(G56=0,IF($J$96=D56,$J$96-D56+0.42,($J$96+0.42-D56)-G56),$J$96+0.42-D56)-G56</f>
        <v>3.8400000000000745</v>
      </c>
      <c r="K56" s="404">
        <f t="shared" si="4"/>
        <v>5568.34</v>
      </c>
      <c r="L56" s="412">
        <v>1.9E-2</v>
      </c>
      <c r="M56" s="414">
        <f t="shared" si="5"/>
        <v>4.5799999999999272</v>
      </c>
      <c r="N56" s="404">
        <f t="shared" si="6"/>
        <v>6125.56</v>
      </c>
      <c r="O56" s="404">
        <f t="shared" si="12"/>
        <v>103591.14</v>
      </c>
      <c r="P56" s="411">
        <f t="shared" si="1"/>
        <v>-33198.550000000003</v>
      </c>
      <c r="Q56" s="404">
        <f t="shared" si="7"/>
        <v>1337.46</v>
      </c>
      <c r="S56" s="560">
        <f t="shared" si="8"/>
        <v>69</v>
      </c>
      <c r="T56" s="561">
        <f t="shared" si="9"/>
        <v>70</v>
      </c>
      <c r="U56" s="561" t="str">
        <f t="shared" si="10"/>
        <v>error</v>
      </c>
    </row>
    <row r="57" spans="1:21" x14ac:dyDescent="0.2">
      <c r="A57" s="187"/>
      <c r="B57" s="187" t="s">
        <v>188</v>
      </c>
      <c r="C57" s="277">
        <v>353</v>
      </c>
      <c r="D57" s="295">
        <v>1980</v>
      </c>
      <c r="E57" s="522">
        <v>373215.24</v>
      </c>
      <c r="F57" s="412">
        <v>2.12E-2</v>
      </c>
      <c r="G57" s="628">
        <f t="shared" si="3"/>
        <v>28.58</v>
      </c>
      <c r="H57" s="404">
        <f t="shared" ref="H57:H86" si="49">ROUND(E57*G57*F57,2)</f>
        <v>226129.62</v>
      </c>
      <c r="I57" s="412">
        <v>2.06E-2</v>
      </c>
      <c r="J57" s="414">
        <f t="shared" si="48"/>
        <v>3.8400000000000745</v>
      </c>
      <c r="K57" s="404">
        <f t="shared" si="4"/>
        <v>29522.82</v>
      </c>
      <c r="L57" s="412">
        <v>1.9E-2</v>
      </c>
      <c r="M57" s="414">
        <f t="shared" si="5"/>
        <v>4.5799999999999272</v>
      </c>
      <c r="N57" s="404">
        <f t="shared" ref="N57:N88" si="50">ROUND(E57*L57*M57,2)</f>
        <v>32477.19</v>
      </c>
      <c r="O57" s="404">
        <f t="shared" ref="O57:O88" si="51">SUM(H57,K57,N57)</f>
        <v>288129.63</v>
      </c>
      <c r="P57" s="411">
        <f t="shared" si="1"/>
        <v>85085.609999999986</v>
      </c>
      <c r="Q57" s="404">
        <f t="shared" si="7"/>
        <v>7091.09</v>
      </c>
      <c r="S57" s="560">
        <f t="shared" si="8"/>
        <v>36</v>
      </c>
      <c r="T57" s="561">
        <f t="shared" si="9"/>
        <v>37</v>
      </c>
      <c r="U57" s="561" t="str">
        <f t="shared" si="10"/>
        <v>error</v>
      </c>
    </row>
    <row r="58" spans="1:21" x14ac:dyDescent="0.2">
      <c r="A58" s="187"/>
      <c r="B58" s="187" t="s">
        <v>188</v>
      </c>
      <c r="C58" s="277">
        <v>353</v>
      </c>
      <c r="D58" s="295">
        <v>1992</v>
      </c>
      <c r="E58" s="522">
        <v>2010.51</v>
      </c>
      <c r="F58" s="412">
        <v>2.12E-2</v>
      </c>
      <c r="G58" s="628">
        <f t="shared" si="3"/>
        <v>16.579999999999998</v>
      </c>
      <c r="H58" s="404">
        <f t="shared" si="49"/>
        <v>706.69</v>
      </c>
      <c r="I58" s="412">
        <v>2.06E-2</v>
      </c>
      <c r="J58" s="414">
        <f t="shared" si="48"/>
        <v>3.8400000000000745</v>
      </c>
      <c r="K58" s="404">
        <f t="shared" si="4"/>
        <v>159.04</v>
      </c>
      <c r="L58" s="412">
        <v>1.9E-2</v>
      </c>
      <c r="M58" s="414">
        <f t="shared" si="5"/>
        <v>4.5799999999999272</v>
      </c>
      <c r="N58" s="404">
        <f t="shared" si="50"/>
        <v>174.95</v>
      </c>
      <c r="O58" s="404">
        <f t="shared" si="51"/>
        <v>1040.68</v>
      </c>
      <c r="P58" s="411">
        <f t="shared" si="1"/>
        <v>969.82999999999993</v>
      </c>
      <c r="Q58" s="404">
        <f t="shared" si="7"/>
        <v>38.200000000000003</v>
      </c>
      <c r="S58" s="560">
        <f t="shared" si="8"/>
        <v>24</v>
      </c>
      <c r="T58" s="561">
        <f t="shared" si="9"/>
        <v>25</v>
      </c>
      <c r="U58" s="561" t="str">
        <f t="shared" si="10"/>
        <v>error</v>
      </c>
    </row>
    <row r="59" spans="1:21" x14ac:dyDescent="0.2">
      <c r="A59" s="187"/>
      <c r="B59" s="187" t="s">
        <v>188</v>
      </c>
      <c r="C59" s="277">
        <v>353</v>
      </c>
      <c r="D59" s="295">
        <v>2003</v>
      </c>
      <c r="E59" s="522">
        <v>64212.69</v>
      </c>
      <c r="F59" s="412">
        <v>2.12E-2</v>
      </c>
      <c r="G59" s="628">
        <f t="shared" si="3"/>
        <v>5.58</v>
      </c>
      <c r="H59" s="404">
        <f t="shared" si="49"/>
        <v>7596.1</v>
      </c>
      <c r="I59" s="412">
        <v>2.06E-2</v>
      </c>
      <c r="J59" s="414">
        <f t="shared" si="48"/>
        <v>3.8400000000000727</v>
      </c>
      <c r="K59" s="404">
        <f t="shared" si="4"/>
        <v>5079.4799999999996</v>
      </c>
      <c r="L59" s="412">
        <v>1.9E-2</v>
      </c>
      <c r="M59" s="414">
        <f t="shared" si="5"/>
        <v>4.5799999999999272</v>
      </c>
      <c r="N59" s="404">
        <f t="shared" si="50"/>
        <v>5587.79</v>
      </c>
      <c r="O59" s="404">
        <f t="shared" si="51"/>
        <v>18263.37</v>
      </c>
      <c r="P59" s="411">
        <f t="shared" si="1"/>
        <v>45949.320000000007</v>
      </c>
      <c r="Q59" s="404">
        <f t="shared" si="7"/>
        <v>1220.04</v>
      </c>
      <c r="S59" s="560">
        <f t="shared" si="8"/>
        <v>13</v>
      </c>
      <c r="T59" s="561">
        <f t="shared" si="9"/>
        <v>14</v>
      </c>
      <c r="U59" s="561" t="str">
        <f t="shared" si="10"/>
        <v>error</v>
      </c>
    </row>
    <row r="60" spans="1:21" x14ac:dyDescent="0.2">
      <c r="A60" s="187"/>
      <c r="B60" s="187" t="s">
        <v>188</v>
      </c>
      <c r="C60" s="277">
        <v>353</v>
      </c>
      <c r="D60" s="295">
        <v>2007</v>
      </c>
      <c r="E60" s="522">
        <v>3243.66</v>
      </c>
      <c r="F60" s="412">
        <v>2.12E-2</v>
      </c>
      <c r="G60" s="628">
        <f t="shared" si="3"/>
        <v>1.58</v>
      </c>
      <c r="H60" s="404">
        <f t="shared" si="49"/>
        <v>108.65</v>
      </c>
      <c r="I60" s="412">
        <v>2.06E-2</v>
      </c>
      <c r="J60" s="414">
        <f t="shared" si="48"/>
        <v>3.8400000000000727</v>
      </c>
      <c r="K60" s="404">
        <f t="shared" si="4"/>
        <v>256.58999999999997</v>
      </c>
      <c r="L60" s="412">
        <v>1.9E-2</v>
      </c>
      <c r="M60" s="414">
        <f t="shared" si="5"/>
        <v>4.5799999999999272</v>
      </c>
      <c r="N60" s="404">
        <f t="shared" si="50"/>
        <v>282.26</v>
      </c>
      <c r="O60" s="404">
        <f t="shared" si="51"/>
        <v>647.5</v>
      </c>
      <c r="P60" s="411">
        <f t="shared" si="1"/>
        <v>2596.16</v>
      </c>
      <c r="Q60" s="404">
        <f t="shared" si="7"/>
        <v>61.63</v>
      </c>
      <c r="S60" s="560">
        <f t="shared" si="8"/>
        <v>9</v>
      </c>
      <c r="T60" s="561">
        <f t="shared" si="9"/>
        <v>10</v>
      </c>
      <c r="U60" s="561" t="str">
        <f t="shared" si="10"/>
        <v>error</v>
      </c>
    </row>
    <row r="61" spans="1:21" x14ac:dyDescent="0.2">
      <c r="A61" s="187"/>
      <c r="B61" s="187" t="s">
        <v>188</v>
      </c>
      <c r="C61" s="277">
        <v>353</v>
      </c>
      <c r="D61" s="295">
        <v>2009</v>
      </c>
      <c r="E61" s="522">
        <v>6429.87</v>
      </c>
      <c r="F61" s="412">
        <v>2.12E-2</v>
      </c>
      <c r="G61" s="628">
        <f t="shared" si="3"/>
        <v>0</v>
      </c>
      <c r="H61" s="404">
        <f t="shared" si="49"/>
        <v>0</v>
      </c>
      <c r="I61" s="412">
        <v>2.06E-2</v>
      </c>
      <c r="J61" s="414">
        <f t="shared" si="48"/>
        <v>3.4200000000000728</v>
      </c>
      <c r="K61" s="404">
        <f t="shared" si="4"/>
        <v>453</v>
      </c>
      <c r="L61" s="412">
        <v>1.9E-2</v>
      </c>
      <c r="M61" s="414">
        <f t="shared" si="5"/>
        <v>4.5799999999999272</v>
      </c>
      <c r="N61" s="404">
        <f t="shared" si="50"/>
        <v>559.53</v>
      </c>
      <c r="O61" s="404">
        <f t="shared" si="51"/>
        <v>1012.53</v>
      </c>
      <c r="P61" s="411">
        <f t="shared" si="1"/>
        <v>5417.34</v>
      </c>
      <c r="Q61" s="404">
        <f t="shared" si="7"/>
        <v>122.17</v>
      </c>
      <c r="S61" s="560">
        <f t="shared" si="8"/>
        <v>7</v>
      </c>
      <c r="T61" s="561">
        <f t="shared" si="9"/>
        <v>8</v>
      </c>
      <c r="U61" s="561" t="str">
        <f t="shared" si="10"/>
        <v>error</v>
      </c>
    </row>
    <row r="62" spans="1:21" x14ac:dyDescent="0.2">
      <c r="A62" s="187"/>
      <c r="B62" s="187" t="s">
        <v>188</v>
      </c>
      <c r="C62" s="277">
        <v>353</v>
      </c>
      <c r="D62" s="295">
        <v>2010</v>
      </c>
      <c r="E62" s="522">
        <v>4030.25</v>
      </c>
      <c r="F62" s="412">
        <v>2.12E-2</v>
      </c>
      <c r="G62" s="628">
        <f t="shared" si="3"/>
        <v>0</v>
      </c>
      <c r="H62" s="404">
        <f t="shared" si="49"/>
        <v>0</v>
      </c>
      <c r="I62" s="412">
        <v>2.06E-2</v>
      </c>
      <c r="J62" s="414">
        <f t="shared" si="48"/>
        <v>2.4200000000000728</v>
      </c>
      <c r="K62" s="404">
        <f t="shared" si="4"/>
        <v>200.92</v>
      </c>
      <c r="L62" s="412">
        <v>1.9E-2</v>
      </c>
      <c r="M62" s="414">
        <f t="shared" si="5"/>
        <v>4.5799999999999272</v>
      </c>
      <c r="N62" s="404">
        <f t="shared" si="50"/>
        <v>350.71</v>
      </c>
      <c r="O62" s="404">
        <f t="shared" si="51"/>
        <v>551.63</v>
      </c>
      <c r="P62" s="411">
        <f t="shared" si="1"/>
        <v>3478.62</v>
      </c>
      <c r="Q62" s="404">
        <f t="shared" si="7"/>
        <v>76.569999999999993</v>
      </c>
      <c r="S62" s="560">
        <f t="shared" si="8"/>
        <v>6</v>
      </c>
      <c r="T62" s="561">
        <f t="shared" si="9"/>
        <v>7</v>
      </c>
      <c r="U62" s="561" t="str">
        <f t="shared" si="10"/>
        <v>error</v>
      </c>
    </row>
    <row r="63" spans="1:21" x14ac:dyDescent="0.2">
      <c r="A63" s="187"/>
      <c r="B63" s="187" t="s">
        <v>188</v>
      </c>
      <c r="C63" s="277">
        <v>353</v>
      </c>
      <c r="D63" s="295">
        <v>2016</v>
      </c>
      <c r="E63" s="522">
        <f>101132*0.1</f>
        <v>10113.200000000001</v>
      </c>
      <c r="F63" s="412">
        <v>2.12E-2</v>
      </c>
      <c r="G63" s="628">
        <f t="shared" ref="G63" si="52">IF((2008-D63)+0.58&lt;0, 0,(2008-D63)+0.58)</f>
        <v>0</v>
      </c>
      <c r="H63" s="404">
        <f t="shared" ref="H63" si="53">ROUND(E63*G63*F63,2)</f>
        <v>0</v>
      </c>
      <c r="I63" s="412">
        <v>2.06E-2</v>
      </c>
      <c r="J63" s="414">
        <v>0</v>
      </c>
      <c r="K63" s="404">
        <f t="shared" ref="K63" si="54">ROUND(E63*J63*I63,2)</f>
        <v>0</v>
      </c>
      <c r="L63" s="412">
        <v>1.9E-2</v>
      </c>
      <c r="M63" s="414">
        <f t="shared" ref="M63" si="55">$J$100+1-D63-J63-G63</f>
        <v>1</v>
      </c>
      <c r="N63" s="404">
        <f t="shared" ref="N63" si="56">ROUND(E63*L63*M63,2)</f>
        <v>192.15</v>
      </c>
      <c r="O63" s="404">
        <f t="shared" ref="O63" si="57">SUM(H63,K63,N63)</f>
        <v>192.15</v>
      </c>
      <c r="P63" s="411">
        <f t="shared" ref="P63" si="58">E63-O63</f>
        <v>9921.0500000000011</v>
      </c>
      <c r="Q63" s="404">
        <f t="shared" ref="Q63" si="59">ROUND(E63*L63,2)</f>
        <v>192.15</v>
      </c>
      <c r="S63" s="560">
        <f t="shared" ref="S63" si="60">2015+1-D63</f>
        <v>0</v>
      </c>
      <c r="T63" s="561">
        <f t="shared" ref="T63" si="61">G63+J63+M63</f>
        <v>1</v>
      </c>
      <c r="U63" s="561" t="str">
        <f t="shared" ref="U63" si="62">IF(S63-T63=0, "ok","error")</f>
        <v>error</v>
      </c>
    </row>
    <row r="64" spans="1:21" x14ac:dyDescent="0.2">
      <c r="A64" s="187"/>
      <c r="B64" s="187" t="s">
        <v>189</v>
      </c>
      <c r="C64" s="277">
        <v>353</v>
      </c>
      <c r="D64" s="295">
        <v>1976</v>
      </c>
      <c r="E64" s="522">
        <f>842488-533657.09-37722.28-2112.41</f>
        <v>268996.22000000003</v>
      </c>
      <c r="F64" s="412">
        <v>2.12E-2</v>
      </c>
      <c r="G64" s="628">
        <f t="shared" si="3"/>
        <v>32.58</v>
      </c>
      <c r="H64" s="404">
        <f t="shared" si="49"/>
        <v>185794.61</v>
      </c>
      <c r="I64" s="412">
        <v>2.06E-2</v>
      </c>
      <c r="J64" s="414">
        <f t="shared" si="48"/>
        <v>3.8400000000000745</v>
      </c>
      <c r="K64" s="404">
        <f t="shared" si="4"/>
        <v>21278.68</v>
      </c>
      <c r="L64" s="412">
        <v>1.9E-2</v>
      </c>
      <c r="M64" s="414">
        <f t="shared" si="5"/>
        <v>4.5799999999999272</v>
      </c>
      <c r="N64" s="404">
        <f t="shared" si="50"/>
        <v>23408.05</v>
      </c>
      <c r="O64" s="404">
        <f t="shared" si="51"/>
        <v>230481.33999999997</v>
      </c>
      <c r="P64" s="411">
        <f t="shared" si="1"/>
        <v>38514.880000000063</v>
      </c>
      <c r="Q64" s="404">
        <f t="shared" si="7"/>
        <v>5110.93</v>
      </c>
      <c r="S64" s="560">
        <f t="shared" si="8"/>
        <v>40</v>
      </c>
      <c r="T64" s="561">
        <f t="shared" si="9"/>
        <v>41</v>
      </c>
      <c r="U64" s="561" t="str">
        <f t="shared" si="10"/>
        <v>error</v>
      </c>
    </row>
    <row r="65" spans="1:21" x14ac:dyDescent="0.2">
      <c r="A65" s="187"/>
      <c r="B65" s="187" t="s">
        <v>189</v>
      </c>
      <c r="C65" s="277">
        <v>353</v>
      </c>
      <c r="D65" s="295">
        <v>1990</v>
      </c>
      <c r="E65" s="522">
        <f>965852-14490.31-36852.2-4454.28</f>
        <v>910055.21</v>
      </c>
      <c r="F65" s="412">
        <v>2.12E-2</v>
      </c>
      <c r="G65" s="628">
        <f t="shared" si="3"/>
        <v>18.579999999999998</v>
      </c>
      <c r="H65" s="404">
        <f t="shared" si="49"/>
        <v>358467.11</v>
      </c>
      <c r="I65" s="412">
        <v>2.06E-2</v>
      </c>
      <c r="J65" s="414">
        <f t="shared" si="48"/>
        <v>3.8400000000000745</v>
      </c>
      <c r="K65" s="404">
        <f t="shared" si="4"/>
        <v>71989.009999999995</v>
      </c>
      <c r="L65" s="412">
        <v>1.9E-2</v>
      </c>
      <c r="M65" s="414">
        <f t="shared" si="5"/>
        <v>4.5799999999999272</v>
      </c>
      <c r="N65" s="404">
        <f t="shared" si="50"/>
        <v>79193</v>
      </c>
      <c r="O65" s="404">
        <f t="shared" si="51"/>
        <v>509649.12</v>
      </c>
      <c r="P65" s="411">
        <f t="shared" si="1"/>
        <v>400406.08999999997</v>
      </c>
      <c r="Q65" s="404">
        <f t="shared" si="7"/>
        <v>17291.05</v>
      </c>
      <c r="S65" s="560">
        <f t="shared" si="8"/>
        <v>26</v>
      </c>
      <c r="T65" s="561">
        <f t="shared" si="9"/>
        <v>27</v>
      </c>
      <c r="U65" s="561" t="str">
        <f t="shared" si="10"/>
        <v>error</v>
      </c>
    </row>
    <row r="66" spans="1:21" x14ac:dyDescent="0.2">
      <c r="A66" s="187"/>
      <c r="B66" s="187" t="s">
        <v>189</v>
      </c>
      <c r="C66" s="277">
        <v>353</v>
      </c>
      <c r="D66" s="295">
        <v>1995</v>
      </c>
      <c r="E66" s="522">
        <v>27259</v>
      </c>
      <c r="F66" s="412">
        <v>2.12E-2</v>
      </c>
      <c r="G66" s="628">
        <f t="shared" si="3"/>
        <v>13.58</v>
      </c>
      <c r="H66" s="404">
        <f t="shared" si="49"/>
        <v>7847.76</v>
      </c>
      <c r="I66" s="412">
        <v>2.06E-2</v>
      </c>
      <c r="J66" s="414">
        <f t="shared" si="48"/>
        <v>3.8400000000000727</v>
      </c>
      <c r="K66" s="404">
        <f t="shared" si="4"/>
        <v>2156.3000000000002</v>
      </c>
      <c r="L66" s="412">
        <v>1.9E-2</v>
      </c>
      <c r="M66" s="414">
        <f t="shared" si="5"/>
        <v>4.5799999999999255</v>
      </c>
      <c r="N66" s="404">
        <f t="shared" si="50"/>
        <v>2372.08</v>
      </c>
      <c r="O66" s="404">
        <f t="shared" si="51"/>
        <v>12376.140000000001</v>
      </c>
      <c r="P66" s="411">
        <f t="shared" si="1"/>
        <v>14882.859999999999</v>
      </c>
      <c r="Q66" s="404">
        <f t="shared" si="7"/>
        <v>517.91999999999996</v>
      </c>
      <c r="S66" s="560">
        <f t="shared" si="8"/>
        <v>21</v>
      </c>
      <c r="T66" s="561">
        <f t="shared" si="9"/>
        <v>22</v>
      </c>
      <c r="U66" s="561" t="str">
        <f t="shared" si="10"/>
        <v>error</v>
      </c>
    </row>
    <row r="67" spans="1:21" x14ac:dyDescent="0.2">
      <c r="A67" s="187"/>
      <c r="B67" s="187" t="s">
        <v>189</v>
      </c>
      <c r="C67" s="277">
        <v>353</v>
      </c>
      <c r="D67" s="295">
        <v>1996</v>
      </c>
      <c r="E67" s="522">
        <v>45684</v>
      </c>
      <c r="F67" s="412">
        <v>2.12E-2</v>
      </c>
      <c r="G67" s="628">
        <f t="shared" si="3"/>
        <v>12.58</v>
      </c>
      <c r="H67" s="404">
        <f t="shared" si="49"/>
        <v>12183.74</v>
      </c>
      <c r="I67" s="412">
        <v>2.06E-2</v>
      </c>
      <c r="J67" s="414">
        <f t="shared" si="48"/>
        <v>3.8400000000000727</v>
      </c>
      <c r="K67" s="404">
        <f t="shared" si="4"/>
        <v>3613.79</v>
      </c>
      <c r="L67" s="412">
        <v>1.9E-2</v>
      </c>
      <c r="M67" s="414">
        <f t="shared" si="5"/>
        <v>4.5799999999999255</v>
      </c>
      <c r="N67" s="404">
        <f t="shared" si="50"/>
        <v>3975.42</v>
      </c>
      <c r="O67" s="404">
        <f t="shared" si="51"/>
        <v>19772.949999999997</v>
      </c>
      <c r="P67" s="411">
        <f t="shared" si="1"/>
        <v>25911.050000000003</v>
      </c>
      <c r="Q67" s="404">
        <f t="shared" si="7"/>
        <v>868</v>
      </c>
      <c r="S67" s="560">
        <f t="shared" si="8"/>
        <v>20</v>
      </c>
      <c r="T67" s="561">
        <f t="shared" si="9"/>
        <v>21</v>
      </c>
      <c r="U67" s="561" t="str">
        <f t="shared" si="10"/>
        <v>error</v>
      </c>
    </row>
    <row r="68" spans="1:21" x14ac:dyDescent="0.2">
      <c r="A68" s="187"/>
      <c r="B68" s="187" t="s">
        <v>189</v>
      </c>
      <c r="C68" s="277">
        <f>C67</f>
        <v>353</v>
      </c>
      <c r="D68" s="295">
        <v>2000</v>
      </c>
      <c r="E68" s="522">
        <v>972906</v>
      </c>
      <c r="F68" s="412">
        <v>2.12E-2</v>
      </c>
      <c r="G68" s="628">
        <f t="shared" si="3"/>
        <v>8.58</v>
      </c>
      <c r="H68" s="404">
        <f t="shared" si="49"/>
        <v>176967.71</v>
      </c>
      <c r="I68" s="412">
        <v>2.06E-2</v>
      </c>
      <c r="J68" s="414">
        <f t="shared" si="48"/>
        <v>3.8400000000000727</v>
      </c>
      <c r="K68" s="404">
        <f t="shared" si="4"/>
        <v>76960.759999999995</v>
      </c>
      <c r="L68" s="412">
        <v>1.9E-2</v>
      </c>
      <c r="M68" s="414">
        <f t="shared" si="5"/>
        <v>4.5799999999999272</v>
      </c>
      <c r="N68" s="404">
        <f t="shared" si="50"/>
        <v>84662.28</v>
      </c>
      <c r="O68" s="404">
        <f t="shared" si="51"/>
        <v>338590.75</v>
      </c>
      <c r="P68" s="411">
        <f t="shared" si="1"/>
        <v>634315.25</v>
      </c>
      <c r="Q68" s="404">
        <f t="shared" si="7"/>
        <v>18485.21</v>
      </c>
      <c r="S68" s="560">
        <f t="shared" si="8"/>
        <v>16</v>
      </c>
      <c r="T68" s="561">
        <f t="shared" si="9"/>
        <v>17</v>
      </c>
      <c r="U68" s="561" t="str">
        <f t="shared" si="10"/>
        <v>error</v>
      </c>
    </row>
    <row r="69" spans="1:21" x14ac:dyDescent="0.2">
      <c r="A69" s="187"/>
      <c r="B69" s="187" t="s">
        <v>189</v>
      </c>
      <c r="C69" s="277">
        <v>353</v>
      </c>
      <c r="D69" s="295">
        <v>2008</v>
      </c>
      <c r="E69" s="522">
        <f>29415.43+73352.25</f>
        <v>102767.67999999999</v>
      </c>
      <c r="F69" s="412">
        <v>2.12E-2</v>
      </c>
      <c r="G69" s="628">
        <f t="shared" si="3"/>
        <v>0.57999999999999996</v>
      </c>
      <c r="H69" s="404">
        <f t="shared" si="49"/>
        <v>1263.6300000000001</v>
      </c>
      <c r="I69" s="412">
        <v>2.06E-2</v>
      </c>
      <c r="J69" s="414">
        <f t="shared" si="48"/>
        <v>3.8400000000000727</v>
      </c>
      <c r="K69" s="404">
        <f t="shared" si="4"/>
        <v>8129.33</v>
      </c>
      <c r="L69" s="412">
        <v>1.9E-2</v>
      </c>
      <c r="M69" s="414">
        <f t="shared" si="5"/>
        <v>4.5799999999999272</v>
      </c>
      <c r="N69" s="404">
        <f t="shared" si="50"/>
        <v>8942.84</v>
      </c>
      <c r="O69" s="404">
        <f t="shared" si="51"/>
        <v>18335.8</v>
      </c>
      <c r="P69" s="411">
        <f t="shared" si="1"/>
        <v>84431.87999999999</v>
      </c>
      <c r="Q69" s="404">
        <f t="shared" si="7"/>
        <v>1952.59</v>
      </c>
      <c r="S69" s="560">
        <f t="shared" si="8"/>
        <v>8</v>
      </c>
      <c r="T69" s="561">
        <f t="shared" ref="T69:T88" si="63">G69+J69+M69</f>
        <v>9</v>
      </c>
      <c r="U69" s="561" t="str">
        <f t="shared" ref="U69:U88" si="64">IF(S69-T69=0, "ok","error")</f>
        <v>error</v>
      </c>
    </row>
    <row r="70" spans="1:21" x14ac:dyDescent="0.2">
      <c r="A70" s="187"/>
      <c r="B70" s="187" t="s">
        <v>189</v>
      </c>
      <c r="C70" s="277">
        <v>353</v>
      </c>
      <c r="D70" s="295">
        <v>2011</v>
      </c>
      <c r="E70" s="522">
        <f>482673.57-78424.03</f>
        <v>404249.54000000004</v>
      </c>
      <c r="F70" s="412">
        <v>2.12E-2</v>
      </c>
      <c r="G70" s="628">
        <f t="shared" si="3"/>
        <v>0</v>
      </c>
      <c r="H70" s="404">
        <f t="shared" si="49"/>
        <v>0</v>
      </c>
      <c r="I70" s="412">
        <v>2.06E-2</v>
      </c>
      <c r="J70" s="414">
        <f t="shared" si="48"/>
        <v>1.4200000000000728</v>
      </c>
      <c r="K70" s="404">
        <f t="shared" ref="K70:K88" si="65">ROUND(E70*J70*I70,2)</f>
        <v>11825.11</v>
      </c>
      <c r="L70" s="412">
        <v>1.9E-2</v>
      </c>
      <c r="M70" s="414">
        <f t="shared" si="5"/>
        <v>4.5799999999999272</v>
      </c>
      <c r="N70" s="404">
        <f t="shared" si="50"/>
        <v>35177.79</v>
      </c>
      <c r="O70" s="404">
        <f t="shared" si="51"/>
        <v>47002.9</v>
      </c>
      <c r="P70" s="411">
        <f t="shared" ref="P70:P88" si="66">E70-O70</f>
        <v>357246.64</v>
      </c>
      <c r="Q70" s="404">
        <f t="shared" ref="Q70:Q88" si="67">ROUND(E70*L70,2)</f>
        <v>7680.74</v>
      </c>
      <c r="S70" s="560">
        <f t="shared" si="8"/>
        <v>5</v>
      </c>
      <c r="T70" s="561">
        <f t="shared" si="63"/>
        <v>6</v>
      </c>
      <c r="U70" s="561" t="str">
        <f t="shared" si="64"/>
        <v>error</v>
      </c>
    </row>
    <row r="71" spans="1:21" x14ac:dyDescent="0.2">
      <c r="A71" s="187"/>
      <c r="B71" s="187" t="s">
        <v>189</v>
      </c>
      <c r="C71" s="277">
        <v>353</v>
      </c>
      <c r="D71" s="295">
        <v>2013</v>
      </c>
      <c r="E71" s="522">
        <v>20629.744999999999</v>
      </c>
      <c r="F71" s="412">
        <v>2.12E-2</v>
      </c>
      <c r="G71" s="628">
        <f t="shared" si="3"/>
        <v>0</v>
      </c>
      <c r="H71" s="404">
        <f t="shared" si="49"/>
        <v>0</v>
      </c>
      <c r="I71" s="412">
        <v>2.06E-2</v>
      </c>
      <c r="J71" s="414">
        <v>0</v>
      </c>
      <c r="K71" s="404">
        <f t="shared" si="65"/>
        <v>0</v>
      </c>
      <c r="L71" s="412">
        <v>1.9E-2</v>
      </c>
      <c r="M71" s="414">
        <f t="shared" si="5"/>
        <v>4</v>
      </c>
      <c r="N71" s="404">
        <f t="shared" si="50"/>
        <v>1567.86</v>
      </c>
      <c r="O71" s="404">
        <f t="shared" si="51"/>
        <v>1567.86</v>
      </c>
      <c r="P71" s="411">
        <f>E71-O71</f>
        <v>19061.884999999998</v>
      </c>
      <c r="Q71" s="404">
        <f>ROUND(E71*L71,2)</f>
        <v>391.97</v>
      </c>
      <c r="S71" s="560">
        <f t="shared" si="8"/>
        <v>3</v>
      </c>
      <c r="T71" s="561">
        <f t="shared" si="63"/>
        <v>4</v>
      </c>
      <c r="U71" s="561" t="str">
        <f t="shared" si="64"/>
        <v>error</v>
      </c>
    </row>
    <row r="72" spans="1:21" x14ac:dyDescent="0.2">
      <c r="A72" s="187"/>
      <c r="B72" s="187" t="s">
        <v>189</v>
      </c>
      <c r="C72" s="277">
        <v>353</v>
      </c>
      <c r="D72" s="295">
        <v>2013</v>
      </c>
      <c r="E72" s="522">
        <v>1564945.2299999997</v>
      </c>
      <c r="F72" s="412">
        <v>2.12E-2</v>
      </c>
      <c r="G72" s="628">
        <f t="shared" si="3"/>
        <v>0</v>
      </c>
      <c r="H72" s="404">
        <f t="shared" si="49"/>
        <v>0</v>
      </c>
      <c r="I72" s="412">
        <v>2.06E-2</v>
      </c>
      <c r="J72" s="414">
        <v>0</v>
      </c>
      <c r="K72" s="404">
        <f t="shared" si="65"/>
        <v>0</v>
      </c>
      <c r="L72" s="412">
        <v>1.9E-2</v>
      </c>
      <c r="M72" s="414">
        <f t="shared" si="5"/>
        <v>4</v>
      </c>
      <c r="N72" s="404">
        <f t="shared" si="50"/>
        <v>118935.84</v>
      </c>
      <c r="O72" s="404">
        <f t="shared" si="51"/>
        <v>118935.84</v>
      </c>
      <c r="P72" s="411">
        <f>E72-O72</f>
        <v>1446009.3899999997</v>
      </c>
      <c r="Q72" s="404">
        <f>ROUND(E72*L72,2)</f>
        <v>29733.96</v>
      </c>
      <c r="S72" s="560">
        <f t="shared" si="8"/>
        <v>3</v>
      </c>
      <c r="T72" s="561">
        <f t="shared" si="63"/>
        <v>4</v>
      </c>
      <c r="U72" s="561" t="str">
        <f t="shared" si="64"/>
        <v>error</v>
      </c>
    </row>
    <row r="73" spans="1:21" x14ac:dyDescent="0.2">
      <c r="A73" s="187"/>
      <c r="B73" s="187" t="s">
        <v>189</v>
      </c>
      <c r="C73" s="277">
        <v>353</v>
      </c>
      <c r="D73" s="295">
        <v>2014</v>
      </c>
      <c r="E73" s="522">
        <f>1663952.72+0.43</f>
        <v>1663953.15</v>
      </c>
      <c r="F73" s="412">
        <v>2.12E-2</v>
      </c>
      <c r="G73" s="628">
        <f t="shared" ref="G73:G74" si="68">IF((2008-D73)+0.58&lt;0, 0,(2008-D73)+0.58)</f>
        <v>0</v>
      </c>
      <c r="H73" s="404">
        <f t="shared" ref="H73:H74" si="69">ROUND(E73*G73*F73,2)</f>
        <v>0</v>
      </c>
      <c r="I73" s="412">
        <v>2.06E-2</v>
      </c>
      <c r="J73" s="414">
        <v>0</v>
      </c>
      <c r="K73" s="404">
        <f t="shared" ref="K73:K74" si="70">ROUND(E73*J73*I73,2)</f>
        <v>0</v>
      </c>
      <c r="L73" s="412">
        <v>1.9E-2</v>
      </c>
      <c r="M73" s="414">
        <f t="shared" si="5"/>
        <v>3</v>
      </c>
      <c r="N73" s="404">
        <f t="shared" ref="N73:N74" si="71">ROUND(E73*L73*M73,2)</f>
        <v>94845.33</v>
      </c>
      <c r="O73" s="404">
        <f>SUM(H73,K73,N73)</f>
        <v>94845.33</v>
      </c>
      <c r="P73" s="411">
        <f>E73-O73</f>
        <v>1569107.8199999998</v>
      </c>
      <c r="Q73" s="404">
        <f>ROUND(E73*L73,2)</f>
        <v>31615.11</v>
      </c>
      <c r="S73" s="560">
        <f t="shared" si="8"/>
        <v>2</v>
      </c>
      <c r="T73" s="561">
        <f>G73+J73+M73</f>
        <v>3</v>
      </c>
      <c r="U73" s="561" t="str">
        <f>IF(S73-T73=0, "ok","error")</f>
        <v>error</v>
      </c>
    </row>
    <row r="74" spans="1:21" x14ac:dyDescent="0.2">
      <c r="A74" s="187"/>
      <c r="B74" s="187" t="s">
        <v>189</v>
      </c>
      <c r="C74" s="277">
        <v>353</v>
      </c>
      <c r="D74" s="295">
        <v>2015</v>
      </c>
      <c r="E74" s="522">
        <v>6785.08</v>
      </c>
      <c r="F74" s="412">
        <v>2.12E-2</v>
      </c>
      <c r="G74" s="628">
        <f t="shared" si="68"/>
        <v>0</v>
      </c>
      <c r="H74" s="404">
        <f t="shared" si="69"/>
        <v>0</v>
      </c>
      <c r="I74" s="412">
        <v>2.06E-2</v>
      </c>
      <c r="J74" s="414">
        <v>0</v>
      </c>
      <c r="K74" s="404">
        <f t="shared" si="70"/>
        <v>0</v>
      </c>
      <c r="L74" s="412">
        <v>1.9E-2</v>
      </c>
      <c r="M74" s="414">
        <f t="shared" si="5"/>
        <v>2</v>
      </c>
      <c r="N74" s="404">
        <f t="shared" si="71"/>
        <v>257.83</v>
      </c>
      <c r="O74" s="404">
        <f>SUM(H74,K74,N74)</f>
        <v>257.83</v>
      </c>
      <c r="P74" s="411">
        <f>E74-O74</f>
        <v>6527.25</v>
      </c>
      <c r="Q74" s="404">
        <f>ROUND(E74*L74,2)</f>
        <v>128.91999999999999</v>
      </c>
      <c r="S74" s="560">
        <f t="shared" ref="S74" si="72">2015+1-D74</f>
        <v>1</v>
      </c>
      <c r="T74" s="561">
        <f>G74+J74+M74</f>
        <v>2</v>
      </c>
      <c r="U74" s="561" t="str">
        <f>IF(S74-T74=0, "ok","error")</f>
        <v>error</v>
      </c>
    </row>
    <row r="75" spans="1:21" x14ac:dyDescent="0.2">
      <c r="A75" s="187"/>
      <c r="B75" s="187" t="s">
        <v>189</v>
      </c>
      <c r="C75" s="277">
        <v>353</v>
      </c>
      <c r="D75" s="295">
        <v>2016</v>
      </c>
      <c r="E75" s="522">
        <v>137250.85</v>
      </c>
      <c r="F75" s="412">
        <v>2.12E-2</v>
      </c>
      <c r="G75" s="628">
        <f t="shared" si="3"/>
        <v>0</v>
      </c>
      <c r="H75" s="404">
        <f t="shared" si="49"/>
        <v>0</v>
      </c>
      <c r="I75" s="412">
        <v>2.06E-2</v>
      </c>
      <c r="J75" s="414">
        <v>0</v>
      </c>
      <c r="K75" s="404">
        <f t="shared" si="65"/>
        <v>0</v>
      </c>
      <c r="L75" s="412">
        <v>1.9E-2</v>
      </c>
      <c r="M75" s="414">
        <f t="shared" ref="M75:M88" si="73">$J$100+1-D75-J75-G75</f>
        <v>1</v>
      </c>
      <c r="N75" s="404">
        <f t="shared" si="50"/>
        <v>2607.77</v>
      </c>
      <c r="O75" s="404">
        <f>SUM(H75,K75,N75)</f>
        <v>2607.77</v>
      </c>
      <c r="P75" s="411">
        <f>E75-O75</f>
        <v>134643.08000000002</v>
      </c>
      <c r="Q75" s="404">
        <f>ROUND(E75*L75,2)</f>
        <v>2607.77</v>
      </c>
      <c r="S75" s="560">
        <f t="shared" si="8"/>
        <v>0</v>
      </c>
      <c r="T75" s="561">
        <f>G75+J75+M75</f>
        <v>1</v>
      </c>
      <c r="U75" s="561" t="str">
        <f>IF(S75-T75=0, "ok","error")</f>
        <v>error</v>
      </c>
    </row>
    <row r="76" spans="1:21" x14ac:dyDescent="0.2">
      <c r="A76" s="187"/>
      <c r="B76" s="187" t="s">
        <v>974</v>
      </c>
      <c r="C76" s="277">
        <v>353</v>
      </c>
      <c r="D76" s="295">
        <v>2008</v>
      </c>
      <c r="E76" s="522">
        <f>2223479.04</f>
        <v>2223479.04</v>
      </c>
      <c r="F76" s="412">
        <v>2.12E-2</v>
      </c>
      <c r="G76" s="628">
        <f t="shared" ref="G76:G86" si="74">IF((2008-D76)+0.58&lt;0, 0,(2008-D76)+0.58)</f>
        <v>0.57999999999999996</v>
      </c>
      <c r="H76" s="404">
        <f>ROUND(E76*G76*F76,2)</f>
        <v>27339.9</v>
      </c>
      <c r="I76" s="412">
        <v>2.06E-2</v>
      </c>
      <c r="J76" s="414">
        <f>IF(G76=0,IF($J$96=D76,$J$96-D76+0.42,($J$96+0.42-D76)-G76),$J$96+0.42-D76)-G76</f>
        <v>3.8400000000000727</v>
      </c>
      <c r="K76" s="404">
        <f t="shared" si="65"/>
        <v>175886.09</v>
      </c>
      <c r="L76" s="412">
        <v>1.9E-2</v>
      </c>
      <c r="M76" s="414">
        <f t="shared" si="73"/>
        <v>4.5799999999999272</v>
      </c>
      <c r="N76" s="404">
        <f t="shared" si="50"/>
        <v>193487.15</v>
      </c>
      <c r="O76" s="404">
        <f t="shared" si="51"/>
        <v>396713.14</v>
      </c>
      <c r="P76" s="411">
        <f t="shared" si="66"/>
        <v>1826765.9</v>
      </c>
      <c r="Q76" s="404">
        <f t="shared" si="67"/>
        <v>42246.1</v>
      </c>
      <c r="S76" s="560">
        <f t="shared" si="8"/>
        <v>8</v>
      </c>
      <c r="T76" s="561">
        <f t="shared" si="63"/>
        <v>9</v>
      </c>
      <c r="U76" s="561" t="str">
        <f t="shared" si="64"/>
        <v>error</v>
      </c>
    </row>
    <row r="77" spans="1:21" x14ac:dyDescent="0.2">
      <c r="A77" s="187"/>
      <c r="B77" s="187" t="s">
        <v>974</v>
      </c>
      <c r="C77" s="277">
        <v>353</v>
      </c>
      <c r="D77" s="295">
        <v>2011</v>
      </c>
      <c r="E77" s="522">
        <v>63402.18</v>
      </c>
      <c r="F77" s="412">
        <v>2.12E-2</v>
      </c>
      <c r="G77" s="628">
        <f t="shared" si="74"/>
        <v>0</v>
      </c>
      <c r="H77" s="404">
        <f>ROUND(E77*G77*F77,2)</f>
        <v>0</v>
      </c>
      <c r="I77" s="412">
        <v>2.06E-2</v>
      </c>
      <c r="J77" s="414">
        <f>IF(G77=0,IF($J$96=D77,$J$96-D77+0.42,($J$96+0.42-D77)-G77),$J$96+0.42-D77)-G77</f>
        <v>1.4200000000000728</v>
      </c>
      <c r="K77" s="404">
        <f t="shared" si="65"/>
        <v>1854.64</v>
      </c>
      <c r="L77" s="412">
        <v>1.9E-2</v>
      </c>
      <c r="M77" s="414">
        <f t="shared" si="73"/>
        <v>4.5799999999999272</v>
      </c>
      <c r="N77" s="404">
        <f t="shared" si="50"/>
        <v>5517.26</v>
      </c>
      <c r="O77" s="404">
        <f t="shared" si="51"/>
        <v>7371.9000000000005</v>
      </c>
      <c r="P77" s="411">
        <f t="shared" si="66"/>
        <v>56030.28</v>
      </c>
      <c r="Q77" s="404">
        <f t="shared" si="67"/>
        <v>1204.6400000000001</v>
      </c>
      <c r="S77" s="560">
        <f t="shared" si="8"/>
        <v>5</v>
      </c>
      <c r="T77" s="561">
        <f t="shared" si="63"/>
        <v>6</v>
      </c>
      <c r="U77" s="561" t="str">
        <f t="shared" si="64"/>
        <v>error</v>
      </c>
    </row>
    <row r="78" spans="1:21" x14ac:dyDescent="0.2">
      <c r="A78" s="187"/>
      <c r="B78" s="187" t="s">
        <v>1033</v>
      </c>
      <c r="C78" s="277">
        <v>353</v>
      </c>
      <c r="D78" s="295">
        <v>2013</v>
      </c>
      <c r="E78" s="522">
        <f>234568.29-56507.35-39973.38</f>
        <v>138087.56</v>
      </c>
      <c r="F78" s="412">
        <v>2.12E-2</v>
      </c>
      <c r="G78" s="628">
        <f t="shared" si="74"/>
        <v>0</v>
      </c>
      <c r="H78" s="404">
        <f>ROUND(E78*G78*F78,2)</f>
        <v>0</v>
      </c>
      <c r="I78" s="412">
        <v>2.06E-2</v>
      </c>
      <c r="J78" s="414">
        <v>0</v>
      </c>
      <c r="K78" s="404">
        <f t="shared" si="65"/>
        <v>0</v>
      </c>
      <c r="L78" s="412">
        <v>1.9E-2</v>
      </c>
      <c r="M78" s="414">
        <f t="shared" si="73"/>
        <v>4</v>
      </c>
      <c r="N78" s="404">
        <f t="shared" si="50"/>
        <v>10494.65</v>
      </c>
      <c r="O78" s="404">
        <f t="shared" si="51"/>
        <v>10494.65</v>
      </c>
      <c r="P78" s="411">
        <f t="shared" si="66"/>
        <v>127592.91</v>
      </c>
      <c r="Q78" s="404">
        <f t="shared" si="67"/>
        <v>2623.66</v>
      </c>
      <c r="S78" s="560">
        <f t="shared" si="8"/>
        <v>3</v>
      </c>
      <c r="T78" s="561">
        <f t="shared" si="63"/>
        <v>4</v>
      </c>
      <c r="U78" s="561" t="str">
        <f t="shared" si="64"/>
        <v>error</v>
      </c>
    </row>
    <row r="79" spans="1:21" x14ac:dyDescent="0.2">
      <c r="A79" s="187"/>
      <c r="B79" s="187" t="s">
        <v>975</v>
      </c>
      <c r="C79" s="277">
        <v>352</v>
      </c>
      <c r="D79" s="295">
        <v>1982</v>
      </c>
      <c r="E79" s="522">
        <v>55381.11</v>
      </c>
      <c r="F79" s="412">
        <v>1.29E-2</v>
      </c>
      <c r="G79" s="628">
        <f t="shared" si="74"/>
        <v>26.58</v>
      </c>
      <c r="H79" s="404">
        <f t="shared" si="49"/>
        <v>18989.189999999999</v>
      </c>
      <c r="I79" s="412">
        <v>1.6799999999999999E-2</v>
      </c>
      <c r="J79" s="414">
        <f t="shared" ref="J79:J88" si="75">IF(G79=0,IF($J$96=D79,$J$96-D79+0.42,($J$96+0.42-D79)-G79),$J$96+0.42-D79)-G79</f>
        <v>3.8400000000000745</v>
      </c>
      <c r="K79" s="404">
        <f t="shared" si="65"/>
        <v>3572.75</v>
      </c>
      <c r="L79" s="412">
        <v>1.84E-2</v>
      </c>
      <c r="M79" s="414">
        <f t="shared" si="73"/>
        <v>4.5799999999999272</v>
      </c>
      <c r="N79" s="404">
        <f t="shared" si="50"/>
        <v>4667.08</v>
      </c>
      <c r="O79" s="404">
        <f t="shared" si="51"/>
        <v>27229.019999999997</v>
      </c>
      <c r="P79" s="411">
        <f t="shared" si="66"/>
        <v>28152.090000000004</v>
      </c>
      <c r="Q79" s="404">
        <f t="shared" si="67"/>
        <v>1019.01</v>
      </c>
      <c r="S79" s="560">
        <f t="shared" si="8"/>
        <v>34</v>
      </c>
      <c r="T79" s="561">
        <f t="shared" si="63"/>
        <v>35</v>
      </c>
      <c r="U79" s="561" t="str">
        <f t="shared" si="64"/>
        <v>error</v>
      </c>
    </row>
    <row r="80" spans="1:21" x14ac:dyDescent="0.2">
      <c r="A80" s="187"/>
      <c r="B80" s="187" t="s">
        <v>975</v>
      </c>
      <c r="C80" s="277">
        <v>353</v>
      </c>
      <c r="D80" s="295">
        <v>1985</v>
      </c>
      <c r="E80" s="522">
        <f>518465.7+518465.71-189778.67</f>
        <v>847152.74</v>
      </c>
      <c r="F80" s="412">
        <v>2.12E-2</v>
      </c>
      <c r="G80" s="628">
        <f t="shared" ref="G80:G85" si="76">IF((2008-D80)+0.58&lt;0, 0,(2008-D80)+0.58)</f>
        <v>23.58</v>
      </c>
      <c r="H80" s="404">
        <f t="shared" ref="H80:H85" si="77">ROUND(E80*G80*F80,2)</f>
        <v>423488.27</v>
      </c>
      <c r="I80" s="412">
        <v>2.06E-2</v>
      </c>
      <c r="J80" s="414">
        <f t="shared" si="75"/>
        <v>3.8400000000000745</v>
      </c>
      <c r="K80" s="404">
        <f t="shared" ref="K80:K85" si="78">ROUND(E80*J80*I80,2)</f>
        <v>67013.17</v>
      </c>
      <c r="L80" s="412">
        <v>1.9E-2</v>
      </c>
      <c r="M80" s="414">
        <f t="shared" si="73"/>
        <v>4.5799999999999272</v>
      </c>
      <c r="N80" s="404">
        <f t="shared" ref="N80:N85" si="79">ROUND(E80*L80*M80,2)</f>
        <v>73719.23</v>
      </c>
      <c r="O80" s="404">
        <f t="shared" ref="O80:O85" si="80">SUM(H80,K80,N80)</f>
        <v>564220.67000000004</v>
      </c>
      <c r="P80" s="411">
        <f t="shared" ref="P80:P85" si="81">E80-O80</f>
        <v>282932.06999999995</v>
      </c>
      <c r="Q80" s="404">
        <f t="shared" ref="Q80:Q85" si="82">ROUND(E80*L80,2)</f>
        <v>16095.9</v>
      </c>
      <c r="S80" s="560">
        <f t="shared" ref="S80:S88" si="83">2015+1-D80</f>
        <v>31</v>
      </c>
      <c r="T80" s="561">
        <f t="shared" ref="T80:T85" si="84">G80+J80+M80</f>
        <v>32</v>
      </c>
      <c r="U80" s="561" t="str">
        <f t="shared" ref="U80:U85" si="85">IF(S80-T80=0, "ok","error")</f>
        <v>error</v>
      </c>
    </row>
    <row r="81" spans="1:21" x14ac:dyDescent="0.2">
      <c r="A81" s="187"/>
      <c r="B81" s="187" t="s">
        <v>975</v>
      </c>
      <c r="C81" s="277">
        <v>353</v>
      </c>
      <c r="D81" s="295">
        <v>1986</v>
      </c>
      <c r="E81" s="522">
        <v>4161.2299999999996</v>
      </c>
      <c r="F81" s="412">
        <v>2.12E-2</v>
      </c>
      <c r="G81" s="628">
        <f t="shared" si="76"/>
        <v>22.58</v>
      </c>
      <c r="H81" s="404">
        <f t="shared" si="77"/>
        <v>1991.96</v>
      </c>
      <c r="I81" s="412">
        <v>2.06E-2</v>
      </c>
      <c r="J81" s="414">
        <f t="shared" si="75"/>
        <v>3.8400000000000745</v>
      </c>
      <c r="K81" s="404">
        <f t="shared" si="78"/>
        <v>329.17</v>
      </c>
      <c r="L81" s="412">
        <v>1.9E-2</v>
      </c>
      <c r="M81" s="414">
        <f t="shared" si="73"/>
        <v>4.5799999999999272</v>
      </c>
      <c r="N81" s="404">
        <f t="shared" si="79"/>
        <v>362.11</v>
      </c>
      <c r="O81" s="404">
        <f t="shared" si="80"/>
        <v>2683.2400000000002</v>
      </c>
      <c r="P81" s="411">
        <f t="shared" si="81"/>
        <v>1477.9899999999993</v>
      </c>
      <c r="Q81" s="404">
        <f t="shared" si="82"/>
        <v>79.06</v>
      </c>
      <c r="S81" s="560">
        <f t="shared" si="83"/>
        <v>30</v>
      </c>
      <c r="T81" s="561">
        <f t="shared" si="84"/>
        <v>31</v>
      </c>
      <c r="U81" s="561" t="str">
        <f t="shared" si="85"/>
        <v>error</v>
      </c>
    </row>
    <row r="82" spans="1:21" x14ac:dyDescent="0.2">
      <c r="A82" s="187"/>
      <c r="B82" s="187" t="s">
        <v>975</v>
      </c>
      <c r="C82" s="277">
        <v>353</v>
      </c>
      <c r="D82" s="295">
        <v>1987</v>
      </c>
      <c r="E82" s="522">
        <v>70.08</v>
      </c>
      <c r="F82" s="412">
        <v>2.12E-2</v>
      </c>
      <c r="G82" s="628">
        <f t="shared" si="76"/>
        <v>21.58</v>
      </c>
      <c r="H82" s="404">
        <f t="shared" si="77"/>
        <v>32.06</v>
      </c>
      <c r="I82" s="412">
        <v>2.06E-2</v>
      </c>
      <c r="J82" s="414">
        <f t="shared" si="75"/>
        <v>3.8400000000000745</v>
      </c>
      <c r="K82" s="404">
        <f t="shared" si="78"/>
        <v>5.54</v>
      </c>
      <c r="L82" s="412">
        <v>1.9E-2</v>
      </c>
      <c r="M82" s="414">
        <f t="shared" si="73"/>
        <v>4.5799999999999272</v>
      </c>
      <c r="N82" s="404">
        <f t="shared" si="79"/>
        <v>6.1</v>
      </c>
      <c r="O82" s="404">
        <f t="shared" si="80"/>
        <v>43.7</v>
      </c>
      <c r="P82" s="411">
        <f t="shared" si="81"/>
        <v>26.379999999999995</v>
      </c>
      <c r="Q82" s="404">
        <f t="shared" si="82"/>
        <v>1.33</v>
      </c>
      <c r="S82" s="560">
        <f t="shared" si="83"/>
        <v>29</v>
      </c>
      <c r="T82" s="561">
        <f t="shared" si="84"/>
        <v>30</v>
      </c>
      <c r="U82" s="561" t="str">
        <f t="shared" si="85"/>
        <v>error</v>
      </c>
    </row>
    <row r="83" spans="1:21" x14ac:dyDescent="0.2">
      <c r="A83" s="187"/>
      <c r="B83" s="187" t="s">
        <v>975</v>
      </c>
      <c r="C83" s="277">
        <v>353</v>
      </c>
      <c r="D83" s="295">
        <v>2011</v>
      </c>
      <c r="E83" s="522">
        <v>22115.47</v>
      </c>
      <c r="F83" s="412">
        <v>2.12E-2</v>
      </c>
      <c r="G83" s="628">
        <f t="shared" si="76"/>
        <v>0</v>
      </c>
      <c r="H83" s="404">
        <f t="shared" si="77"/>
        <v>0</v>
      </c>
      <c r="I83" s="412">
        <v>2.06E-2</v>
      </c>
      <c r="J83" s="414">
        <f t="shared" si="75"/>
        <v>1.4200000000000728</v>
      </c>
      <c r="K83" s="404">
        <f t="shared" si="78"/>
        <v>646.91999999999996</v>
      </c>
      <c r="L83" s="412">
        <v>1.9E-2</v>
      </c>
      <c r="M83" s="414">
        <f t="shared" si="73"/>
        <v>4.5799999999999272</v>
      </c>
      <c r="N83" s="404">
        <f t="shared" si="79"/>
        <v>1924.49</v>
      </c>
      <c r="O83" s="404">
        <f t="shared" si="80"/>
        <v>2571.41</v>
      </c>
      <c r="P83" s="411">
        <f t="shared" si="81"/>
        <v>19544.060000000001</v>
      </c>
      <c r="Q83" s="404">
        <f t="shared" si="82"/>
        <v>420.19</v>
      </c>
      <c r="S83" s="560">
        <f t="shared" si="83"/>
        <v>5</v>
      </c>
      <c r="T83" s="561">
        <f t="shared" si="84"/>
        <v>6</v>
      </c>
      <c r="U83" s="561" t="str">
        <f t="shared" si="85"/>
        <v>error</v>
      </c>
    </row>
    <row r="84" spans="1:21" x14ac:dyDescent="0.2">
      <c r="A84" s="187"/>
      <c r="B84" s="187" t="s">
        <v>976</v>
      </c>
      <c r="C84" s="277">
        <v>352</v>
      </c>
      <c r="D84" s="295">
        <v>1977</v>
      </c>
      <c r="E84" s="522">
        <f>228712.7-2725.26-2.46</f>
        <v>225984.98</v>
      </c>
      <c r="F84" s="412">
        <v>1.29E-2</v>
      </c>
      <c r="G84" s="628">
        <f t="shared" si="76"/>
        <v>31.58</v>
      </c>
      <c r="H84" s="404">
        <f t="shared" si="77"/>
        <v>92062.21</v>
      </c>
      <c r="I84" s="412">
        <v>1.6799999999999999E-2</v>
      </c>
      <c r="J84" s="414">
        <f t="shared" si="75"/>
        <v>3.8400000000000745</v>
      </c>
      <c r="K84" s="404">
        <f t="shared" si="78"/>
        <v>14578.74</v>
      </c>
      <c r="L84" s="412">
        <v>1.84E-2</v>
      </c>
      <c r="M84" s="414">
        <f t="shared" si="73"/>
        <v>4.5799999999999272</v>
      </c>
      <c r="N84" s="404">
        <f t="shared" si="79"/>
        <v>19044.21</v>
      </c>
      <c r="O84" s="404">
        <f t="shared" si="80"/>
        <v>125685.16</v>
      </c>
      <c r="P84" s="411">
        <f t="shared" si="81"/>
        <v>100299.82</v>
      </c>
      <c r="Q84" s="404">
        <f t="shared" si="82"/>
        <v>4158.12</v>
      </c>
      <c r="S84" s="560">
        <f t="shared" si="83"/>
        <v>39</v>
      </c>
      <c r="T84" s="561">
        <f t="shared" si="84"/>
        <v>40</v>
      </c>
      <c r="U84" s="561" t="str">
        <f t="shared" si="85"/>
        <v>error</v>
      </c>
    </row>
    <row r="85" spans="1:21" x14ac:dyDescent="0.2">
      <c r="A85" s="187"/>
      <c r="B85" s="187" t="s">
        <v>976</v>
      </c>
      <c r="C85" s="277">
        <v>352</v>
      </c>
      <c r="D85" s="295">
        <v>1982</v>
      </c>
      <c r="E85" s="522">
        <v>130830.17</v>
      </c>
      <c r="F85" s="412">
        <v>1.29E-2</v>
      </c>
      <c r="G85" s="628">
        <f t="shared" si="76"/>
        <v>26.58</v>
      </c>
      <c r="H85" s="404">
        <f t="shared" si="77"/>
        <v>44859.31</v>
      </c>
      <c r="I85" s="412">
        <v>1.6799999999999999E-2</v>
      </c>
      <c r="J85" s="414">
        <f t="shared" si="75"/>
        <v>3.8400000000000745</v>
      </c>
      <c r="K85" s="404">
        <f t="shared" si="78"/>
        <v>8440.1200000000008</v>
      </c>
      <c r="L85" s="412">
        <v>1.84E-2</v>
      </c>
      <c r="M85" s="414">
        <f t="shared" si="73"/>
        <v>4.5799999999999272</v>
      </c>
      <c r="N85" s="404">
        <f t="shared" si="79"/>
        <v>11025.32</v>
      </c>
      <c r="O85" s="404">
        <f t="shared" si="80"/>
        <v>64324.75</v>
      </c>
      <c r="P85" s="411">
        <f t="shared" si="81"/>
        <v>66505.42</v>
      </c>
      <c r="Q85" s="404">
        <f t="shared" si="82"/>
        <v>2407.2800000000002</v>
      </c>
      <c r="S85" s="560">
        <f t="shared" si="83"/>
        <v>34</v>
      </c>
      <c r="T85" s="561">
        <f t="shared" si="84"/>
        <v>35</v>
      </c>
      <c r="U85" s="561" t="str">
        <f t="shared" si="85"/>
        <v>error</v>
      </c>
    </row>
    <row r="86" spans="1:21" x14ac:dyDescent="0.2">
      <c r="A86" s="187"/>
      <c r="B86" s="187" t="s">
        <v>976</v>
      </c>
      <c r="C86" s="277">
        <v>353</v>
      </c>
      <c r="D86" s="295">
        <v>1981</v>
      </c>
      <c r="E86" s="522">
        <f>1386229.29-18917.49-17.2-56507.35</f>
        <v>1310787.25</v>
      </c>
      <c r="F86" s="412">
        <v>2.12E-2</v>
      </c>
      <c r="G86" s="628">
        <f t="shared" si="74"/>
        <v>27.58</v>
      </c>
      <c r="H86" s="404">
        <f t="shared" si="49"/>
        <v>766412.06</v>
      </c>
      <c r="I86" s="412">
        <v>2.06E-2</v>
      </c>
      <c r="J86" s="414">
        <f t="shared" si="75"/>
        <v>3.8400000000000745</v>
      </c>
      <c r="K86" s="404">
        <f t="shared" si="65"/>
        <v>103688.51</v>
      </c>
      <c r="L86" s="412">
        <v>1.9E-2</v>
      </c>
      <c r="M86" s="414">
        <f t="shared" si="73"/>
        <v>4.5799999999999272</v>
      </c>
      <c r="N86" s="404">
        <f t="shared" si="50"/>
        <v>114064.71</v>
      </c>
      <c r="O86" s="404">
        <f t="shared" si="51"/>
        <v>984165.28</v>
      </c>
      <c r="P86" s="411">
        <f t="shared" si="66"/>
        <v>326621.96999999997</v>
      </c>
      <c r="Q86" s="404">
        <f t="shared" si="67"/>
        <v>24904.959999999999</v>
      </c>
      <c r="S86" s="560">
        <f t="shared" si="83"/>
        <v>35</v>
      </c>
      <c r="T86" s="561">
        <f t="shared" si="63"/>
        <v>36</v>
      </c>
      <c r="U86" s="561" t="str">
        <f t="shared" si="64"/>
        <v>error</v>
      </c>
    </row>
    <row r="87" spans="1:21" x14ac:dyDescent="0.2">
      <c r="A87" s="187"/>
      <c r="B87" s="187" t="s">
        <v>976</v>
      </c>
      <c r="C87" s="277">
        <v>353</v>
      </c>
      <c r="D87" s="295">
        <v>1982</v>
      </c>
      <c r="E87" s="522">
        <v>107606.74</v>
      </c>
      <c r="F87" s="412">
        <v>2.12E-2</v>
      </c>
      <c r="G87" s="628">
        <f>IF((2008-D87)+0.58&lt;0, 0,(2008-D87)+0.58)</f>
        <v>26.58</v>
      </c>
      <c r="H87" s="404">
        <f>ROUND(E87*G87*F87,2)</f>
        <v>60635.97</v>
      </c>
      <c r="I87" s="412">
        <v>2.06E-2</v>
      </c>
      <c r="J87" s="414">
        <f t="shared" si="75"/>
        <v>3.8400000000000745</v>
      </c>
      <c r="K87" s="404">
        <f t="shared" si="65"/>
        <v>8512.1200000000008</v>
      </c>
      <c r="L87" s="412">
        <v>1.9E-2</v>
      </c>
      <c r="M87" s="414">
        <f t="shared" si="73"/>
        <v>4.5799999999999272</v>
      </c>
      <c r="N87" s="404">
        <f t="shared" si="50"/>
        <v>9363.94</v>
      </c>
      <c r="O87" s="404">
        <f t="shared" si="51"/>
        <v>78512.03</v>
      </c>
      <c r="P87" s="411">
        <f t="shared" si="66"/>
        <v>29094.710000000006</v>
      </c>
      <c r="Q87" s="404">
        <f t="shared" si="67"/>
        <v>2044.53</v>
      </c>
      <c r="S87" s="560">
        <f t="shared" si="83"/>
        <v>34</v>
      </c>
      <c r="T87" s="561">
        <f t="shared" si="63"/>
        <v>35</v>
      </c>
      <c r="U87" s="561" t="str">
        <f t="shared" si="64"/>
        <v>error</v>
      </c>
    </row>
    <row r="88" spans="1:21" x14ac:dyDescent="0.2">
      <c r="A88" s="187"/>
      <c r="B88" s="187" t="s">
        <v>976</v>
      </c>
      <c r="C88" s="277">
        <v>353</v>
      </c>
      <c r="D88" s="295">
        <v>2005</v>
      </c>
      <c r="E88" s="522">
        <v>38513.699999999997</v>
      </c>
      <c r="F88" s="412">
        <v>2.12E-2</v>
      </c>
      <c r="G88" s="628">
        <f>IF((2008-D88)+0.58&lt;0, 0,(2008-D88)+0.58)</f>
        <v>3.58</v>
      </c>
      <c r="H88" s="404">
        <f>ROUND(E88*G88*F88,2)</f>
        <v>2923.04</v>
      </c>
      <c r="I88" s="412">
        <v>2.06E-2</v>
      </c>
      <c r="J88" s="414">
        <f t="shared" si="75"/>
        <v>3.8400000000000727</v>
      </c>
      <c r="K88" s="404">
        <f t="shared" si="65"/>
        <v>3046.59</v>
      </c>
      <c r="L88" s="412">
        <v>1.9E-2</v>
      </c>
      <c r="M88" s="414">
        <f t="shared" si="73"/>
        <v>4.5799999999999272</v>
      </c>
      <c r="N88" s="404">
        <f t="shared" si="50"/>
        <v>3351.46</v>
      </c>
      <c r="O88" s="404">
        <f t="shared" si="51"/>
        <v>9321.09</v>
      </c>
      <c r="P88" s="411">
        <f t="shared" si="66"/>
        <v>29192.609999999997</v>
      </c>
      <c r="Q88" s="404">
        <f t="shared" si="67"/>
        <v>731.76</v>
      </c>
      <c r="S88" s="560">
        <f t="shared" si="83"/>
        <v>11</v>
      </c>
      <c r="T88" s="561">
        <f t="shared" si="63"/>
        <v>12</v>
      </c>
      <c r="U88" s="561" t="str">
        <f t="shared" si="64"/>
        <v>error</v>
      </c>
    </row>
    <row r="89" spans="1:21" x14ac:dyDescent="0.2">
      <c r="E89" s="93"/>
      <c r="F89" s="412"/>
      <c r="G89" s="413"/>
      <c r="H89" s="93"/>
      <c r="I89" s="412"/>
      <c r="J89" s="414"/>
      <c r="K89" s="93"/>
      <c r="L89" s="415"/>
      <c r="M89" s="415"/>
      <c r="N89" s="93"/>
      <c r="O89" s="93"/>
      <c r="P89" s="93"/>
      <c r="Q89" s="93"/>
    </row>
    <row r="90" spans="1:21" x14ac:dyDescent="0.2">
      <c r="A90" s="402" t="s">
        <v>443</v>
      </c>
      <c r="E90" s="416">
        <f>SUM(E8:E89)</f>
        <v>31448126.854999997</v>
      </c>
      <c r="F90" s="417"/>
      <c r="H90" s="416">
        <f>SUM(H8:H89)</f>
        <v>8432208.9900000021</v>
      </c>
      <c r="I90" s="417"/>
      <c r="J90" s="418"/>
      <c r="K90" s="416">
        <f>SUM(K8:K89)</f>
        <v>1559688.28</v>
      </c>
      <c r="L90" s="419"/>
      <c r="M90" s="419"/>
      <c r="N90" s="416">
        <f>SUM(N8:N89)</f>
        <v>2345914.8199999998</v>
      </c>
      <c r="O90" s="416">
        <f>SUM(O8:O89)</f>
        <v>12337812.089999998</v>
      </c>
      <c r="P90" s="416">
        <f>SUM(P8:P89)</f>
        <v>19110314.764999993</v>
      </c>
      <c r="Q90" s="416">
        <f>SUM(Q8:Q89)</f>
        <v>597267.09000000008</v>
      </c>
    </row>
    <row r="91" spans="1:21" x14ac:dyDescent="0.2">
      <c r="B91" s="187"/>
      <c r="E91" s="420"/>
      <c r="F91" s="417"/>
      <c r="H91" s="420"/>
      <c r="I91" s="417"/>
      <c r="J91" s="418"/>
      <c r="K91" s="420"/>
      <c r="L91" s="421"/>
      <c r="M91" s="421"/>
      <c r="N91" s="420"/>
      <c r="O91" s="420"/>
      <c r="P91" s="420"/>
      <c r="Q91" s="422"/>
    </row>
    <row r="92" spans="1:21" x14ac:dyDescent="0.2">
      <c r="B92" s="187"/>
      <c r="E92" s="420"/>
      <c r="F92" s="417"/>
      <c r="H92" s="420"/>
      <c r="I92" s="417"/>
      <c r="J92" s="418"/>
      <c r="K92" s="420"/>
      <c r="L92" s="421"/>
      <c r="M92" s="421"/>
      <c r="N92" s="420"/>
      <c r="O92" s="420"/>
      <c r="P92" s="420"/>
      <c r="Q92" s="422"/>
    </row>
    <row r="93" spans="1:21" x14ac:dyDescent="0.2">
      <c r="B93" s="187"/>
      <c r="E93" s="420"/>
      <c r="F93" s="417"/>
      <c r="H93" s="420"/>
      <c r="I93" s="417"/>
      <c r="J93" s="418"/>
      <c r="K93" s="420"/>
      <c r="L93" s="421"/>
      <c r="M93" s="421"/>
      <c r="N93" s="420"/>
      <c r="O93" s="420"/>
      <c r="P93" s="420"/>
      <c r="Q93" s="422"/>
    </row>
    <row r="94" spans="1:21" x14ac:dyDescent="0.2">
      <c r="B94" s="187"/>
      <c r="E94" s="420"/>
      <c r="J94" s="402">
        <v>2010</v>
      </c>
      <c r="O94" s="93"/>
      <c r="P94" s="93"/>
      <c r="Q94" s="93"/>
    </row>
    <row r="95" spans="1:21" x14ac:dyDescent="0.2">
      <c r="E95" s="420"/>
      <c r="J95" s="402">
        <v>2011</v>
      </c>
    </row>
    <row r="96" spans="1:21" x14ac:dyDescent="0.2">
      <c r="E96" s="420"/>
      <c r="J96" s="402">
        <v>2012</v>
      </c>
    </row>
    <row r="97" spans="5:10" x14ac:dyDescent="0.2">
      <c r="E97" s="420"/>
      <c r="J97" s="402">
        <v>2013</v>
      </c>
    </row>
    <row r="98" spans="5:10" x14ac:dyDescent="0.2">
      <c r="E98" s="420"/>
      <c r="J98" s="402">
        <v>2014</v>
      </c>
    </row>
    <row r="99" spans="5:10" x14ac:dyDescent="0.2">
      <c r="E99" s="420"/>
      <c r="J99" s="402">
        <v>2015</v>
      </c>
    </row>
    <row r="100" spans="5:10" x14ac:dyDescent="0.2">
      <c r="E100" s="420"/>
      <c r="J100" s="402">
        <v>2016</v>
      </c>
    </row>
    <row r="101" spans="5:10" x14ac:dyDescent="0.2">
      <c r="E101" s="420"/>
    </row>
    <row r="102" spans="5:10" x14ac:dyDescent="0.2">
      <c r="E102" s="420"/>
    </row>
    <row r="103" spans="5:10" x14ac:dyDescent="0.2">
      <c r="E103" s="420"/>
    </row>
    <row r="104" spans="5:10" x14ac:dyDescent="0.2">
      <c r="E104" s="420"/>
    </row>
    <row r="105" spans="5:10" x14ac:dyDescent="0.2">
      <c r="E105" s="420"/>
      <c r="F105" s="421"/>
    </row>
    <row r="106" spans="5:10" x14ac:dyDescent="0.2">
      <c r="E106" s="420"/>
    </row>
    <row r="107" spans="5:10" x14ac:dyDescent="0.2">
      <c r="E107" s="420"/>
    </row>
  </sheetData>
  <sheetProtection formatCells="0"/>
  <sortState ref="A9:N84">
    <sortCondition ref="A9:A84"/>
  </sortState>
  <mergeCells count="7">
    <mergeCell ref="F6:H6"/>
    <mergeCell ref="I6:K6"/>
    <mergeCell ref="A1:Q1"/>
    <mergeCell ref="A2:Q2"/>
    <mergeCell ref="A3:Q3"/>
    <mergeCell ref="A4:Q4"/>
    <mergeCell ref="L6:N6"/>
  </mergeCells>
  <phoneticPr fontId="0" type="noConversion"/>
  <printOptions horizontalCentered="1"/>
  <pageMargins left="0.25" right="0.25" top="1" bottom="0" header="0.5" footer="0"/>
  <pageSetup scale="42" orientation="landscape" r:id="rId1"/>
  <headerFooter alignWithMargins="0">
    <oddHeader>&amp;CIDAHO POWER COMPANY
Transmission Cost of Service Rate Development
12 Months Ended 12/31/2016</oddHeader>
  </headerFooter>
  <ignoredErrors>
    <ignoredError sqref="E90 H90 K90 N90:Q90 E76 E87:E88 E10 G86:H88 J86:K88 N86:Q88 E58:E59 E66:E70 N79:Q79 J79:K79 G79:H79 G76:H77 J76:K77 N76:Q77 C68 J64:K70 G39:H54 N64:Q70 G64:H70 G55 N8:Q8 J8:K8 E8 N10:Q14 G10:H14 J10:K14 N16:Q24 G16:H24 J16:K24 N27:Q37 G27:H37 J27:K37 K39 G56:H62 N39:Q62 J40:K6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H26"/>
  <sheetViews>
    <sheetView zoomScaleNormal="100" zoomScaleSheetLayoutView="100" workbookViewId="0">
      <selection activeCell="A19" sqref="A19"/>
    </sheetView>
  </sheetViews>
  <sheetFormatPr defaultRowHeight="12.75" x14ac:dyDescent="0.2"/>
  <cols>
    <col min="1" max="1" width="32.42578125" style="197" customWidth="1"/>
    <col min="2" max="2" width="1.28515625" style="197" customWidth="1"/>
    <col min="3" max="3" width="15.42578125" style="500" bestFit="1" customWidth="1"/>
    <col min="4" max="4" width="1.7109375" style="197" customWidth="1"/>
    <col min="5" max="5" width="19.5703125" style="500" customWidth="1"/>
    <col min="6" max="6" width="1.140625" style="197" customWidth="1"/>
    <col min="7" max="7" width="10.85546875" style="197" bestFit="1" customWidth="1"/>
    <col min="8" max="8" width="9.42578125" style="500" bestFit="1" customWidth="1"/>
    <col min="9" max="16384" width="9.140625" style="197"/>
  </cols>
  <sheetData>
    <row r="2" spans="1:8" x14ac:dyDescent="0.2">
      <c r="A2" s="677"/>
      <c r="B2" s="677"/>
      <c r="C2" s="677"/>
      <c r="D2" s="677"/>
      <c r="E2" s="677"/>
      <c r="F2" s="677"/>
      <c r="G2" s="677"/>
      <c r="H2" s="677"/>
    </row>
    <row r="3" spans="1:8" x14ac:dyDescent="0.2">
      <c r="A3" s="676" t="s">
        <v>709</v>
      </c>
      <c r="B3" s="676"/>
      <c r="C3" s="676"/>
      <c r="D3" s="676"/>
      <c r="E3" s="676"/>
      <c r="F3" s="676"/>
      <c r="G3" s="676"/>
      <c r="H3" s="676"/>
    </row>
    <row r="4" spans="1:8" x14ac:dyDescent="0.2">
      <c r="A4" s="677"/>
      <c r="B4" s="677"/>
      <c r="C4" s="677"/>
      <c r="D4" s="677"/>
      <c r="E4" s="677"/>
      <c r="F4" s="677"/>
      <c r="G4" s="677"/>
      <c r="H4" s="677"/>
    </row>
    <row r="5" spans="1:8" x14ac:dyDescent="0.2">
      <c r="A5" s="676"/>
      <c r="B5" s="676"/>
      <c r="C5" s="676"/>
      <c r="D5" s="676"/>
      <c r="E5" s="676"/>
      <c r="F5" s="676"/>
      <c r="G5" s="676"/>
      <c r="H5" s="676"/>
    </row>
    <row r="10" spans="1:8" x14ac:dyDescent="0.2">
      <c r="H10" s="500" t="s">
        <v>710</v>
      </c>
    </row>
    <row r="11" spans="1:8" s="500" customFormat="1" x14ac:dyDescent="0.2">
      <c r="C11" s="500" t="s">
        <v>521</v>
      </c>
      <c r="E11" s="500" t="s">
        <v>147</v>
      </c>
      <c r="G11" s="500" t="s">
        <v>711</v>
      </c>
      <c r="H11" s="500" t="s">
        <v>712</v>
      </c>
    </row>
    <row r="12" spans="1:8" s="500" customFormat="1" x14ac:dyDescent="0.2">
      <c r="A12" s="52" t="s">
        <v>713</v>
      </c>
      <c r="C12" s="52" t="s">
        <v>714</v>
      </c>
      <c r="E12" s="52" t="s">
        <v>715</v>
      </c>
      <c r="G12" s="52" t="s">
        <v>724</v>
      </c>
      <c r="H12" s="52" t="s">
        <v>716</v>
      </c>
    </row>
    <row r="15" spans="1:8" s="56" customFormat="1" x14ac:dyDescent="0.2">
      <c r="A15" s="502">
        <f>'Rate Calculation'!E47</f>
        <v>145334099.59196863</v>
      </c>
      <c r="B15" s="502"/>
      <c r="C15" s="502">
        <f>'Schedule 4'!E23</f>
        <v>14934033.232722955</v>
      </c>
      <c r="D15" s="502"/>
      <c r="E15" s="502">
        <f>A15-C15</f>
        <v>130400066.35924567</v>
      </c>
      <c r="F15" s="64"/>
      <c r="G15" s="55">
        <f>'Rate Calculation'!E53</f>
        <v>3735.9166666666665</v>
      </c>
      <c r="H15" s="56">
        <f>ROUND(E15/G15/1000,2)</f>
        <v>34.9</v>
      </c>
    </row>
    <row r="18" spans="3:8" ht="12" customHeight="1" x14ac:dyDescent="0.2"/>
    <row r="21" spans="3:8" x14ac:dyDescent="0.2">
      <c r="C21" s="198" t="s">
        <v>306</v>
      </c>
      <c r="G21" s="57"/>
      <c r="H21" s="6">
        <f>ROUND(H15/12,4)</f>
        <v>2.9083000000000001</v>
      </c>
    </row>
    <row r="22" spans="3:8" x14ac:dyDescent="0.2">
      <c r="C22" s="198" t="s">
        <v>307</v>
      </c>
      <c r="G22" s="500"/>
      <c r="H22" s="6">
        <f>ROUND(H15/52,4)</f>
        <v>0.67120000000000002</v>
      </c>
    </row>
    <row r="23" spans="3:8" x14ac:dyDescent="0.2">
      <c r="C23" s="198" t="s">
        <v>308</v>
      </c>
      <c r="G23" s="500"/>
      <c r="H23" s="6">
        <f>ROUND(H22/6,4)</f>
        <v>0.1119</v>
      </c>
    </row>
    <row r="24" spans="3:8" x14ac:dyDescent="0.2">
      <c r="C24" s="198" t="s">
        <v>309</v>
      </c>
      <c r="G24" s="57"/>
      <c r="H24" s="6">
        <f>ROUND(H22/7,4)</f>
        <v>9.5899999999999999E-2</v>
      </c>
    </row>
    <row r="25" spans="3:8" x14ac:dyDescent="0.2">
      <c r="C25" s="198" t="s">
        <v>310</v>
      </c>
      <c r="G25" s="500"/>
      <c r="H25" s="7">
        <f>ROUND(H15*1000/4896,2)</f>
        <v>7.13</v>
      </c>
    </row>
    <row r="26" spans="3:8" x14ac:dyDescent="0.2">
      <c r="C26" s="198" t="s">
        <v>311</v>
      </c>
      <c r="G26" s="500"/>
      <c r="H26" s="7">
        <f>ROUND(H15*1000/8760,2)</f>
        <v>3.98</v>
      </c>
    </row>
  </sheetData>
  <mergeCells count="4">
    <mergeCell ref="A2:H2"/>
    <mergeCell ref="A3:H3"/>
    <mergeCell ref="A4:H4"/>
    <mergeCell ref="A5:H5"/>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2:S18"/>
  <sheetViews>
    <sheetView topLeftCell="C1" zoomScaleNormal="100" zoomScaleSheetLayoutView="100" zoomScalePageLayoutView="75" workbookViewId="0">
      <selection activeCell="A19" sqref="A19"/>
    </sheetView>
  </sheetViews>
  <sheetFormatPr defaultColWidth="11.5703125" defaultRowHeight="12.75" x14ac:dyDescent="0.2"/>
  <cols>
    <col min="1" max="1" width="30.140625" style="115" customWidth="1"/>
    <col min="2" max="2" width="10.28515625" style="117" customWidth="1"/>
    <col min="3" max="3" width="8.7109375" style="118" customWidth="1"/>
    <col min="4" max="4" width="13.28515625" style="115" customWidth="1"/>
    <col min="5" max="5" width="15.42578125" style="115" customWidth="1"/>
    <col min="6" max="6" width="13.28515625" style="115" customWidth="1"/>
    <col min="7" max="8" width="16.140625" style="115" customWidth="1"/>
    <col min="9" max="9" width="13.28515625" style="115" customWidth="1"/>
    <col min="10" max="14" width="17.28515625" style="115" customWidth="1"/>
    <col min="15" max="15" width="13.28515625" style="115" customWidth="1"/>
    <col min="16" max="16" width="13.28515625" style="116" customWidth="1"/>
    <col min="17" max="17" width="7.5703125" style="115" customWidth="1"/>
    <col min="18" max="20" width="9.140625" style="115" customWidth="1"/>
    <col min="21" max="43" width="28.28515625" style="115" customWidth="1"/>
    <col min="44" max="258" width="9.140625" style="115" customWidth="1"/>
    <col min="259" max="16384" width="11.5703125" style="115"/>
  </cols>
  <sheetData>
    <row r="2" spans="1:19" x14ac:dyDescent="0.2">
      <c r="A2" s="721" t="s">
        <v>8</v>
      </c>
      <c r="B2" s="721"/>
      <c r="C2" s="721"/>
      <c r="D2" s="721"/>
      <c r="E2" s="721"/>
      <c r="F2" s="721"/>
      <c r="G2" s="721"/>
      <c r="H2" s="721"/>
      <c r="I2" s="721"/>
      <c r="J2" s="721"/>
      <c r="K2" s="721"/>
      <c r="L2" s="721"/>
      <c r="M2" s="721"/>
      <c r="N2" s="721"/>
      <c r="O2" s="721"/>
      <c r="P2" s="721"/>
    </row>
    <row r="3" spans="1:19" x14ac:dyDescent="0.2">
      <c r="A3" s="693" t="s">
        <v>573</v>
      </c>
      <c r="B3" s="693"/>
      <c r="C3" s="693"/>
      <c r="D3" s="693"/>
      <c r="E3" s="693"/>
      <c r="F3" s="693"/>
      <c r="G3" s="693"/>
      <c r="H3" s="693"/>
      <c r="I3" s="693"/>
      <c r="J3" s="693"/>
      <c r="K3" s="693"/>
      <c r="L3" s="693"/>
      <c r="M3" s="693"/>
      <c r="N3" s="693"/>
      <c r="O3" s="693"/>
      <c r="P3" s="693"/>
    </row>
    <row r="4" spans="1:19" x14ac:dyDescent="0.2">
      <c r="A4" s="693" t="s">
        <v>574</v>
      </c>
      <c r="B4" s="693"/>
      <c r="C4" s="693"/>
      <c r="D4" s="693"/>
      <c r="E4" s="693"/>
      <c r="F4" s="693"/>
      <c r="G4" s="693"/>
      <c r="H4" s="693"/>
      <c r="I4" s="693"/>
      <c r="J4" s="693"/>
      <c r="K4" s="693"/>
      <c r="L4" s="693"/>
      <c r="M4" s="693"/>
      <c r="N4" s="693"/>
      <c r="O4" s="693"/>
      <c r="P4" s="693"/>
    </row>
    <row r="5" spans="1:19" x14ac:dyDescent="0.2">
      <c r="A5" s="693" t="s">
        <v>206</v>
      </c>
      <c r="B5" s="693"/>
      <c r="C5" s="693"/>
      <c r="D5" s="693"/>
      <c r="E5" s="693"/>
      <c r="F5" s="693"/>
      <c r="G5" s="693"/>
      <c r="H5" s="693"/>
      <c r="I5" s="693"/>
      <c r="J5" s="693"/>
      <c r="K5" s="693"/>
      <c r="L5" s="693"/>
      <c r="M5" s="693"/>
      <c r="N5" s="693"/>
      <c r="O5" s="693"/>
      <c r="P5" s="693"/>
    </row>
    <row r="6" spans="1:19" x14ac:dyDescent="0.2">
      <c r="A6" s="133"/>
      <c r="B6" s="512"/>
      <c r="C6" s="512"/>
      <c r="D6" s="512"/>
      <c r="E6" s="512"/>
      <c r="F6" s="512"/>
      <c r="G6" s="512"/>
      <c r="H6" s="512"/>
      <c r="I6" s="512"/>
      <c r="J6" s="512"/>
      <c r="K6" s="512"/>
      <c r="L6" s="512"/>
      <c r="M6" s="512"/>
      <c r="N6" s="512"/>
      <c r="O6" s="512"/>
    </row>
    <row r="7" spans="1:19" x14ac:dyDescent="0.2">
      <c r="E7" s="718" t="s">
        <v>991</v>
      </c>
      <c r="F7" s="719"/>
      <c r="G7" s="720"/>
      <c r="H7" s="718" t="s">
        <v>992</v>
      </c>
      <c r="I7" s="719"/>
      <c r="J7" s="720"/>
      <c r="K7" s="718" t="s">
        <v>993</v>
      </c>
      <c r="L7" s="719"/>
      <c r="M7" s="720"/>
      <c r="N7" s="137"/>
    </row>
    <row r="8" spans="1:19" ht="39" thickBot="1" x14ac:dyDescent="0.25">
      <c r="A8" s="119" t="s">
        <v>40</v>
      </c>
      <c r="B8" s="119" t="s">
        <v>41</v>
      </c>
      <c r="C8" s="119" t="s">
        <v>158</v>
      </c>
      <c r="D8" s="119" t="s">
        <v>9</v>
      </c>
      <c r="E8" s="119" t="s">
        <v>808</v>
      </c>
      <c r="F8" s="119" t="s">
        <v>159</v>
      </c>
      <c r="G8" s="138" t="s">
        <v>160</v>
      </c>
      <c r="H8" s="119" t="s">
        <v>808</v>
      </c>
      <c r="I8" s="150" t="s">
        <v>159</v>
      </c>
      <c r="J8" s="138" t="s">
        <v>160</v>
      </c>
      <c r="K8" s="119" t="s">
        <v>808</v>
      </c>
      <c r="L8" s="150" t="s">
        <v>159</v>
      </c>
      <c r="M8" s="138" t="s">
        <v>160</v>
      </c>
      <c r="N8" s="138" t="s">
        <v>809</v>
      </c>
      <c r="O8" s="138" t="s">
        <v>810</v>
      </c>
      <c r="P8" s="138" t="s">
        <v>811</v>
      </c>
    </row>
    <row r="9" spans="1:19" x14ac:dyDescent="0.2">
      <c r="A9" s="44" t="s">
        <v>575</v>
      </c>
      <c r="B9" s="45">
        <v>352</v>
      </c>
      <c r="C9" s="46">
        <v>2005</v>
      </c>
      <c r="D9" s="39">
        <v>59325</v>
      </c>
      <c r="E9" s="120">
        <v>1.29E-2</v>
      </c>
      <c r="F9" s="139">
        <f t="shared" ref="F9:F14" si="0">(2008-C9)+0.58</f>
        <v>3.58</v>
      </c>
      <c r="G9" s="39">
        <f t="shared" ref="G9:G14" si="1">ROUND(D9*F9*E9,2)</f>
        <v>2739.75</v>
      </c>
      <c r="H9" s="120">
        <v>1.6799999999999999E-2</v>
      </c>
      <c r="I9" s="151">
        <f t="shared" ref="I9:I14" si="2">IF(C9&gt;2008.9, 0.42, 1.42)+2+0.42</f>
        <v>3.84</v>
      </c>
      <c r="J9" s="39">
        <f t="shared" ref="J9:J16" si="3">ROUND(D9*I9*H9,2)</f>
        <v>3827.17</v>
      </c>
      <c r="K9" s="391">
        <v>1.84E-2</v>
      </c>
      <c r="L9" s="666">
        <f>(2016+1-C9)-I9-F9</f>
        <v>4.58</v>
      </c>
      <c r="M9" s="39">
        <f>ROUND(D9*L9*K9,2)</f>
        <v>4999.4399999999996</v>
      </c>
      <c r="N9" s="39">
        <f t="shared" ref="N9:N16" si="4">SUM(G9,J9,M9)</f>
        <v>11566.36</v>
      </c>
      <c r="O9" s="39">
        <f t="shared" ref="O9:O14" si="5">D9-N9</f>
        <v>47758.64</v>
      </c>
      <c r="P9" s="39">
        <f t="shared" ref="P9:P16" si="6">ROUND((D9 * K9),2)</f>
        <v>1091.58</v>
      </c>
      <c r="R9" s="492">
        <f>2015+1-C9</f>
        <v>11</v>
      </c>
      <c r="S9" s="493">
        <f>F9+I9+L9</f>
        <v>12</v>
      </c>
    </row>
    <row r="10" spans="1:19" x14ac:dyDescent="0.2">
      <c r="A10" s="44" t="s">
        <v>575</v>
      </c>
      <c r="B10" s="45">
        <v>353</v>
      </c>
      <c r="C10" s="46">
        <v>2005</v>
      </c>
      <c r="D10" s="39">
        <v>49372</v>
      </c>
      <c r="E10" s="120">
        <v>2.12E-2</v>
      </c>
      <c r="F10" s="139">
        <f t="shared" si="0"/>
        <v>3.58</v>
      </c>
      <c r="G10" s="39">
        <f t="shared" si="1"/>
        <v>3747.14</v>
      </c>
      <c r="H10" s="120">
        <v>2.06E-2</v>
      </c>
      <c r="I10" s="151">
        <f t="shared" si="2"/>
        <v>3.84</v>
      </c>
      <c r="J10" s="39">
        <f t="shared" si="3"/>
        <v>3905.52</v>
      </c>
      <c r="K10" s="391">
        <v>1.9E-2</v>
      </c>
      <c r="L10" s="666">
        <f t="shared" ref="L10:L16" si="7">(2016+1-C10)-I10-F10</f>
        <v>4.58</v>
      </c>
      <c r="M10" s="39">
        <f>ROUND(D10*L10*K10,2)</f>
        <v>4296.3500000000004</v>
      </c>
      <c r="N10" s="39">
        <f t="shared" si="4"/>
        <v>11949.01</v>
      </c>
      <c r="O10" s="39">
        <f t="shared" si="5"/>
        <v>37422.99</v>
      </c>
      <c r="P10" s="39">
        <f t="shared" si="6"/>
        <v>938.07</v>
      </c>
      <c r="R10" s="492">
        <f t="shared" ref="R10:R16" si="8">2015+1-C10</f>
        <v>11</v>
      </c>
      <c r="S10" s="493">
        <f t="shared" ref="S10:S16" si="9">F10+I10+L10</f>
        <v>12</v>
      </c>
    </row>
    <row r="11" spans="1:19" x14ac:dyDescent="0.2">
      <c r="A11" s="44" t="s">
        <v>166</v>
      </c>
      <c r="B11" s="45">
        <v>352</v>
      </c>
      <c r="C11" s="46">
        <v>2001</v>
      </c>
      <c r="D11" s="39">
        <v>89955.44</v>
      </c>
      <c r="E11" s="120">
        <v>1.29E-2</v>
      </c>
      <c r="F11" s="139">
        <f t="shared" si="0"/>
        <v>7.58</v>
      </c>
      <c r="G11" s="39">
        <f t="shared" si="1"/>
        <v>8796.02</v>
      </c>
      <c r="H11" s="120">
        <v>1.6799999999999999E-2</v>
      </c>
      <c r="I11" s="151">
        <f t="shared" si="2"/>
        <v>3.84</v>
      </c>
      <c r="J11" s="39">
        <f t="shared" si="3"/>
        <v>5803.21</v>
      </c>
      <c r="K11" s="391">
        <v>1.84E-2</v>
      </c>
      <c r="L11" s="666">
        <f t="shared" si="7"/>
        <v>4.58</v>
      </c>
      <c r="M11" s="39">
        <f t="shared" ref="M11:M16" si="10">ROUND(D11*L11*K11,2)</f>
        <v>7580.72</v>
      </c>
      <c r="N11" s="39">
        <f t="shared" si="4"/>
        <v>22179.95</v>
      </c>
      <c r="O11" s="39">
        <f t="shared" si="5"/>
        <v>67775.490000000005</v>
      </c>
      <c r="P11" s="39">
        <f t="shared" si="6"/>
        <v>1655.18</v>
      </c>
      <c r="R11" s="492">
        <f t="shared" si="8"/>
        <v>15</v>
      </c>
      <c r="S11" s="493">
        <f t="shared" si="9"/>
        <v>16</v>
      </c>
    </row>
    <row r="12" spans="1:19" x14ac:dyDescent="0.2">
      <c r="A12" s="44" t="s">
        <v>166</v>
      </c>
      <c r="B12" s="45">
        <v>353</v>
      </c>
      <c r="C12" s="46">
        <v>2001</v>
      </c>
      <c r="D12" s="39">
        <v>433103.7</v>
      </c>
      <c r="E12" s="120">
        <v>2.12E-2</v>
      </c>
      <c r="F12" s="139">
        <f t="shared" si="0"/>
        <v>7.58</v>
      </c>
      <c r="G12" s="39">
        <f t="shared" si="1"/>
        <v>69598.03</v>
      </c>
      <c r="H12" s="120">
        <v>2.06E-2</v>
      </c>
      <c r="I12" s="151">
        <f t="shared" si="2"/>
        <v>3.84</v>
      </c>
      <c r="J12" s="39">
        <f t="shared" si="3"/>
        <v>34260.239999999998</v>
      </c>
      <c r="K12" s="120">
        <v>1.9E-2</v>
      </c>
      <c r="L12" s="666">
        <f t="shared" si="7"/>
        <v>4.58</v>
      </c>
      <c r="M12" s="39">
        <f t="shared" si="10"/>
        <v>37688.68</v>
      </c>
      <c r="N12" s="39">
        <f t="shared" si="4"/>
        <v>141546.94999999998</v>
      </c>
      <c r="O12" s="39">
        <f t="shared" si="5"/>
        <v>291556.75</v>
      </c>
      <c r="P12" s="39">
        <f t="shared" si="6"/>
        <v>8228.9699999999993</v>
      </c>
      <c r="R12" s="492">
        <f t="shared" si="8"/>
        <v>15</v>
      </c>
      <c r="S12" s="493">
        <f t="shared" si="9"/>
        <v>16</v>
      </c>
    </row>
    <row r="13" spans="1:19" x14ac:dyDescent="0.2">
      <c r="A13" s="44" t="s">
        <v>166</v>
      </c>
      <c r="B13" s="45">
        <v>352</v>
      </c>
      <c r="C13" s="500">
        <v>2008</v>
      </c>
      <c r="D13" s="39">
        <v>63308</v>
      </c>
      <c r="E13" s="120">
        <v>1.29E-2</v>
      </c>
      <c r="F13" s="139">
        <f t="shared" si="0"/>
        <v>0.57999999999999996</v>
      </c>
      <c r="G13" s="39">
        <f t="shared" si="1"/>
        <v>473.67</v>
      </c>
      <c r="H13" s="120">
        <v>1.6799999999999999E-2</v>
      </c>
      <c r="I13" s="151">
        <f t="shared" si="2"/>
        <v>3.84</v>
      </c>
      <c r="J13" s="39">
        <f t="shared" si="3"/>
        <v>4084.13</v>
      </c>
      <c r="K13" s="391">
        <v>1.84E-2</v>
      </c>
      <c r="L13" s="666">
        <f t="shared" si="7"/>
        <v>4.58</v>
      </c>
      <c r="M13" s="39">
        <f t="shared" si="10"/>
        <v>5335.09</v>
      </c>
      <c r="N13" s="39">
        <f t="shared" si="4"/>
        <v>9892.89</v>
      </c>
      <c r="O13" s="39">
        <f t="shared" si="5"/>
        <v>53415.11</v>
      </c>
      <c r="P13" s="39">
        <f t="shared" si="6"/>
        <v>1164.8699999999999</v>
      </c>
      <c r="R13" s="492">
        <f t="shared" si="8"/>
        <v>8</v>
      </c>
      <c r="S13" s="493">
        <f t="shared" si="9"/>
        <v>9</v>
      </c>
    </row>
    <row r="14" spans="1:19" x14ac:dyDescent="0.2">
      <c r="A14" s="44" t="s">
        <v>166</v>
      </c>
      <c r="B14" s="45">
        <v>353</v>
      </c>
      <c r="C14" s="500">
        <v>2008</v>
      </c>
      <c r="D14" s="23">
        <v>126618</v>
      </c>
      <c r="E14" s="120">
        <v>2.12E-2</v>
      </c>
      <c r="F14" s="139">
        <f t="shared" si="0"/>
        <v>0.57999999999999996</v>
      </c>
      <c r="G14" s="39">
        <f t="shared" si="1"/>
        <v>1556.89</v>
      </c>
      <c r="H14" s="120">
        <v>2.06E-2</v>
      </c>
      <c r="I14" s="151">
        <f t="shared" si="2"/>
        <v>3.84</v>
      </c>
      <c r="J14" s="39">
        <f t="shared" si="3"/>
        <v>10015.99</v>
      </c>
      <c r="K14" s="391">
        <v>1.9E-2</v>
      </c>
      <c r="L14" s="666">
        <f t="shared" si="7"/>
        <v>4.58</v>
      </c>
      <c r="M14" s="39">
        <f t="shared" si="10"/>
        <v>11018.3</v>
      </c>
      <c r="N14" s="39">
        <f t="shared" si="4"/>
        <v>22591.18</v>
      </c>
      <c r="O14" s="39">
        <f t="shared" si="5"/>
        <v>104026.82</v>
      </c>
      <c r="P14" s="39">
        <f>ROUND((D14 * K14),2)</f>
        <v>2405.7399999999998</v>
      </c>
      <c r="R14" s="492">
        <f t="shared" si="8"/>
        <v>8</v>
      </c>
      <c r="S14" s="493">
        <f t="shared" si="9"/>
        <v>9</v>
      </c>
    </row>
    <row r="15" spans="1:19" ht="15" x14ac:dyDescent="0.35">
      <c r="A15" s="44" t="s">
        <v>996</v>
      </c>
      <c r="B15" s="45">
        <v>352</v>
      </c>
      <c r="C15" s="500">
        <v>2012</v>
      </c>
      <c r="D15" s="23">
        <v>150491.68</v>
      </c>
      <c r="E15" s="120"/>
      <c r="F15" s="139">
        <v>0</v>
      </c>
      <c r="G15" s="140"/>
      <c r="H15" s="120">
        <v>1.6799999999999999E-2</v>
      </c>
      <c r="I15" s="151">
        <f>0.42</f>
        <v>0.42</v>
      </c>
      <c r="J15" s="39">
        <f t="shared" si="3"/>
        <v>1061.8699999999999</v>
      </c>
      <c r="K15" s="391">
        <v>1.84E-2</v>
      </c>
      <c r="L15" s="666">
        <f t="shared" si="7"/>
        <v>4.58</v>
      </c>
      <c r="M15" s="39">
        <f t="shared" si="10"/>
        <v>12682.23</v>
      </c>
      <c r="N15" s="39">
        <f t="shared" si="4"/>
        <v>13744.099999999999</v>
      </c>
      <c r="O15" s="39">
        <f>D15-N15</f>
        <v>136747.57999999999</v>
      </c>
      <c r="P15" s="39">
        <f t="shared" si="6"/>
        <v>2769.05</v>
      </c>
      <c r="R15" s="492">
        <f t="shared" si="8"/>
        <v>4</v>
      </c>
      <c r="S15" s="493">
        <f t="shared" si="9"/>
        <v>5</v>
      </c>
    </row>
    <row r="16" spans="1:19" ht="15" x14ac:dyDescent="0.35">
      <c r="A16" s="44" t="s">
        <v>996</v>
      </c>
      <c r="B16" s="45">
        <v>353</v>
      </c>
      <c r="C16" s="500">
        <v>2012</v>
      </c>
      <c r="D16" s="199">
        <v>68973.52</v>
      </c>
      <c r="E16" s="120"/>
      <c r="F16" s="139">
        <v>0</v>
      </c>
      <c r="G16" s="401"/>
      <c r="H16" s="120">
        <v>2.06E-2</v>
      </c>
      <c r="I16" s="151">
        <f>0.42</f>
        <v>0.42</v>
      </c>
      <c r="J16" s="199">
        <f t="shared" si="3"/>
        <v>596.76</v>
      </c>
      <c r="K16" s="391">
        <v>1.9E-2</v>
      </c>
      <c r="L16" s="666">
        <f t="shared" si="7"/>
        <v>4.58</v>
      </c>
      <c r="M16" s="199">
        <f t="shared" si="10"/>
        <v>6002.08</v>
      </c>
      <c r="N16" s="199">
        <f t="shared" si="4"/>
        <v>6598.84</v>
      </c>
      <c r="O16" s="199">
        <f>D16-N16</f>
        <v>62374.680000000008</v>
      </c>
      <c r="P16" s="199">
        <f t="shared" si="6"/>
        <v>1310.5</v>
      </c>
      <c r="R16" s="492">
        <f t="shared" si="8"/>
        <v>4</v>
      </c>
      <c r="S16" s="493">
        <f t="shared" si="9"/>
        <v>5</v>
      </c>
    </row>
    <row r="17" spans="1:16" x14ac:dyDescent="0.2">
      <c r="D17" s="39"/>
      <c r="E17" s="120"/>
      <c r="F17" s="122"/>
      <c r="G17" s="39"/>
      <c r="H17" s="120"/>
      <c r="I17" s="121"/>
      <c r="J17" s="39"/>
      <c r="K17" s="39"/>
      <c r="L17" s="39"/>
      <c r="M17" s="39"/>
      <c r="N17" s="39"/>
      <c r="O17" s="39"/>
      <c r="P17" s="39"/>
    </row>
    <row r="18" spans="1:16" x14ac:dyDescent="0.2">
      <c r="A18" s="115" t="s">
        <v>539</v>
      </c>
      <c r="D18" s="39">
        <f>SUM(D9:D17)</f>
        <v>1041147.3400000001</v>
      </c>
      <c r="E18" s="123"/>
      <c r="G18" s="39">
        <f>SUM(G9:G17)</f>
        <v>86911.5</v>
      </c>
      <c r="H18" s="123"/>
      <c r="I18" s="123"/>
      <c r="J18" s="39">
        <f>SUM(J9:J17)</f>
        <v>63554.89</v>
      </c>
      <c r="K18" s="39"/>
      <c r="L18" s="39"/>
      <c r="M18" s="39">
        <f>SUM(M9:M17)</f>
        <v>89602.89</v>
      </c>
      <c r="N18" s="39">
        <f>SUM(N9:N17)</f>
        <v>240069.27999999997</v>
      </c>
      <c r="O18" s="39">
        <f>SUM(O9:O17)</f>
        <v>801078.06</v>
      </c>
      <c r="P18" s="39">
        <f>SUM(P9:P17)</f>
        <v>19563.96</v>
      </c>
    </row>
  </sheetData>
  <mergeCells count="7">
    <mergeCell ref="E7:G7"/>
    <mergeCell ref="H7:J7"/>
    <mergeCell ref="A2:P2"/>
    <mergeCell ref="A3:P3"/>
    <mergeCell ref="A4:P4"/>
    <mergeCell ref="A5:P5"/>
    <mergeCell ref="K7:M7"/>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44"/>
  <sheetViews>
    <sheetView zoomScaleNormal="100" zoomScaleSheetLayoutView="100" workbookViewId="0">
      <selection activeCell="A19" sqref="A19"/>
    </sheetView>
  </sheetViews>
  <sheetFormatPr defaultRowHeight="12.75" x14ac:dyDescent="0.2"/>
  <cols>
    <col min="1" max="1" width="6.7109375" style="197" customWidth="1"/>
    <col min="2" max="2" width="2.140625" style="197" customWidth="1"/>
    <col min="3" max="3" width="10.42578125" style="197" bestFit="1" customWidth="1"/>
    <col min="4" max="4" width="11.28515625" style="197" customWidth="1"/>
    <col min="5" max="5" width="10.7109375" style="197" bestFit="1" customWidth="1"/>
    <col min="6" max="6" width="3.85546875" style="197" customWidth="1"/>
    <col min="7" max="7" width="13.28515625" style="197" bestFit="1" customWidth="1"/>
    <col min="8" max="8" width="2.140625" style="197" customWidth="1"/>
    <col min="9" max="9" width="26.85546875" style="500" bestFit="1" customWidth="1"/>
    <col min="10" max="10" width="2.140625" style="197" customWidth="1"/>
    <col min="11" max="11" width="22.7109375" style="500" customWidth="1"/>
    <col min="12" max="16384" width="9.140625" style="197"/>
  </cols>
  <sheetData>
    <row r="2" spans="1:11" x14ac:dyDescent="0.2">
      <c r="A2" s="677"/>
      <c r="B2" s="677"/>
      <c r="C2" s="677"/>
      <c r="D2" s="677"/>
      <c r="E2" s="677"/>
      <c r="F2" s="677"/>
      <c r="G2" s="677"/>
      <c r="H2" s="677"/>
      <c r="I2" s="677"/>
      <c r="J2" s="677"/>
      <c r="K2" s="677"/>
    </row>
    <row r="3" spans="1:11" x14ac:dyDescent="0.2">
      <c r="A3" s="676" t="s">
        <v>717</v>
      </c>
      <c r="B3" s="676"/>
      <c r="C3" s="676"/>
      <c r="D3" s="676"/>
      <c r="E3" s="676"/>
      <c r="F3" s="676"/>
      <c r="G3" s="676"/>
      <c r="H3" s="676"/>
      <c r="I3" s="676"/>
      <c r="J3" s="676"/>
      <c r="K3" s="676"/>
    </row>
    <row r="4" spans="1:11" x14ac:dyDescent="0.2">
      <c r="A4" s="677"/>
      <c r="B4" s="677"/>
      <c r="C4" s="677"/>
      <c r="D4" s="677"/>
      <c r="E4" s="677"/>
      <c r="F4" s="677"/>
      <c r="G4" s="677"/>
      <c r="H4" s="677"/>
      <c r="I4" s="677"/>
      <c r="J4" s="677"/>
      <c r="K4" s="677"/>
    </row>
    <row r="5" spans="1:11" x14ac:dyDescent="0.2">
      <c r="A5" s="500"/>
      <c r="B5" s="500"/>
      <c r="C5" s="500"/>
      <c r="D5" s="500"/>
      <c r="E5" s="500"/>
      <c r="F5" s="500"/>
      <c r="G5" s="500"/>
      <c r="H5" s="500"/>
      <c r="J5" s="500"/>
    </row>
    <row r="6" spans="1:11" x14ac:dyDescent="0.2">
      <c r="I6" s="676"/>
      <c r="J6" s="676"/>
      <c r="K6" s="676"/>
    </row>
    <row r="10" spans="1:11" x14ac:dyDescent="0.2">
      <c r="F10" s="51"/>
      <c r="G10" s="51" t="s">
        <v>149</v>
      </c>
      <c r="I10" s="502">
        <f>'Rate Calculation'!E47</f>
        <v>145334099.59196863</v>
      </c>
      <c r="J10" s="50"/>
      <c r="K10" s="50"/>
    </row>
    <row r="11" spans="1:11" x14ac:dyDescent="0.2">
      <c r="A11" s="21"/>
      <c r="E11" s="54"/>
      <c r="F11" s="54"/>
      <c r="G11" s="54"/>
      <c r="I11" s="135"/>
      <c r="K11" s="135"/>
    </row>
    <row r="12" spans="1:11" x14ac:dyDescent="0.2">
      <c r="G12" s="51" t="s">
        <v>150</v>
      </c>
      <c r="I12" s="503">
        <f>ABS('Rate Calculation'!E49)</f>
        <v>14934033.232722955</v>
      </c>
    </row>
    <row r="13" spans="1:11" x14ac:dyDescent="0.2">
      <c r="G13" s="502"/>
    </row>
    <row r="14" spans="1:11" x14ac:dyDescent="0.2">
      <c r="G14" s="142" t="s">
        <v>151</v>
      </c>
      <c r="I14" s="502">
        <f>'Rate Calculation'!E51</f>
        <v>130400066.35924567</v>
      </c>
    </row>
    <row r="15" spans="1:11" x14ac:dyDescent="0.2">
      <c r="G15" s="502"/>
    </row>
    <row r="16" spans="1:11" x14ac:dyDescent="0.2">
      <c r="G16" s="51" t="s">
        <v>336</v>
      </c>
      <c r="H16" s="51"/>
      <c r="I16" s="503">
        <f>C44</f>
        <v>3979453.1464666412</v>
      </c>
    </row>
    <row r="17" spans="1:10" x14ac:dyDescent="0.2">
      <c r="I17" s="502"/>
    </row>
    <row r="18" spans="1:10" x14ac:dyDescent="0.2">
      <c r="B18" s="50"/>
      <c r="C18" s="50"/>
      <c r="D18" s="50"/>
      <c r="E18" s="50"/>
      <c r="F18" s="50"/>
      <c r="G18" s="51" t="s">
        <v>152</v>
      </c>
      <c r="H18" s="50"/>
      <c r="I18" s="502">
        <f>I14 + I16</f>
        <v>134379519.5057123</v>
      </c>
    </row>
    <row r="28" spans="1:10" x14ac:dyDescent="0.2">
      <c r="I28" s="52" t="s">
        <v>337</v>
      </c>
    </row>
    <row r="29" spans="1:10" x14ac:dyDescent="0.2">
      <c r="I29" s="135"/>
    </row>
    <row r="30" spans="1:10" x14ac:dyDescent="0.2">
      <c r="A30" s="142" t="s">
        <v>570</v>
      </c>
      <c r="B30" s="53" t="s">
        <v>113</v>
      </c>
      <c r="C30" s="682" t="s">
        <v>148</v>
      </c>
      <c r="D30" s="682"/>
      <c r="E30" s="682"/>
      <c r="F30" s="682"/>
      <c r="G30" s="682"/>
      <c r="H30" s="53"/>
      <c r="I30" s="54" t="s">
        <v>338</v>
      </c>
      <c r="J30" s="107"/>
    </row>
    <row r="31" spans="1:10" x14ac:dyDescent="0.2">
      <c r="C31" s="50" t="s">
        <v>339</v>
      </c>
      <c r="I31" s="50"/>
      <c r="J31" s="50"/>
    </row>
    <row r="34" spans="2:11" x14ac:dyDescent="0.2">
      <c r="C34" s="681" t="s">
        <v>340</v>
      </c>
      <c r="D34" s="681"/>
      <c r="I34" s="135"/>
    </row>
    <row r="35" spans="2:11" x14ac:dyDescent="0.2">
      <c r="C35" s="679" t="s">
        <v>341</v>
      </c>
      <c r="D35" s="679"/>
      <c r="E35" s="34">
        <f>'Schedule 5'!L67</f>
        <v>873</v>
      </c>
      <c r="I35" s="500" t="s">
        <v>342</v>
      </c>
    </row>
    <row r="36" spans="2:11" x14ac:dyDescent="0.2">
      <c r="C36" s="679" t="s">
        <v>343</v>
      </c>
      <c r="D36" s="679"/>
      <c r="E36" s="34">
        <f>ROUND('Schedule 5'!E24+'Schedule 5'!F24,0)</f>
        <v>3406</v>
      </c>
      <c r="I36" s="500" t="s">
        <v>342</v>
      </c>
    </row>
    <row r="37" spans="2:11" x14ac:dyDescent="0.2">
      <c r="C37" s="680" t="s">
        <v>344</v>
      </c>
      <c r="D37" s="680"/>
      <c r="E37" s="108">
        <f>ROUND('Rate Calculation'!E51/E36/1000, 2)</f>
        <v>38.29</v>
      </c>
      <c r="I37" s="71" t="s">
        <v>484</v>
      </c>
      <c r="J37" s="73"/>
    </row>
    <row r="38" spans="2:11" x14ac:dyDescent="0.2">
      <c r="C38" s="679" t="s">
        <v>345</v>
      </c>
      <c r="D38" s="679"/>
      <c r="E38" s="59">
        <f>'Rate Calculation'!E55</f>
        <v>34.9</v>
      </c>
      <c r="I38" s="500" t="s">
        <v>920</v>
      </c>
    </row>
    <row r="41" spans="2:11" x14ac:dyDescent="0.2">
      <c r="B41" s="40" t="s">
        <v>113</v>
      </c>
      <c r="C41" s="503" t="str">
        <f>E35&amp; " MW * "</f>
        <v xml:space="preserve">873 MW * </v>
      </c>
      <c r="D41" s="109" t="str">
        <f>E36&amp;" MW * ( "</f>
        <v xml:space="preserve">3406 MW * ( </v>
      </c>
      <c r="E41" s="110">
        <f>E37</f>
        <v>38.29</v>
      </c>
      <c r="F41" s="98" t="str">
        <f>" -  $ "</f>
        <v xml:space="preserve"> -  $ </v>
      </c>
      <c r="G41" s="111" t="str">
        <f>E38&amp; " ) * 1000 "</f>
        <v xml:space="preserve">34.9 ) * 1000 </v>
      </c>
      <c r="H41" s="40"/>
      <c r="I41" s="499"/>
      <c r="J41" s="4"/>
      <c r="K41" s="499"/>
    </row>
    <row r="42" spans="2:11" x14ac:dyDescent="0.2">
      <c r="D42" s="112" t="str">
        <f>E36&amp; " MW - "</f>
        <v xml:space="preserve">3406 MW - </v>
      </c>
      <c r="E42" s="198" t="str">
        <f>E35&amp; " MW "</f>
        <v xml:space="preserve">873 MW </v>
      </c>
      <c r="I42" s="678"/>
      <c r="J42" s="678"/>
    </row>
    <row r="44" spans="2:11" x14ac:dyDescent="0.2">
      <c r="B44" s="40" t="s">
        <v>113</v>
      </c>
      <c r="C44" s="502">
        <f>(E35*E36*((E37)-ROUND(E38,2))*1000)/(E36-E35)</f>
        <v>3979453.1464666412</v>
      </c>
      <c r="D44" s="40"/>
      <c r="E44" s="40"/>
      <c r="F44" s="40"/>
      <c r="G44" s="40"/>
      <c r="H44" s="40"/>
    </row>
  </sheetData>
  <mergeCells count="11">
    <mergeCell ref="A2:K2"/>
    <mergeCell ref="A3:K3"/>
    <mergeCell ref="A4:K4"/>
    <mergeCell ref="C34:D34"/>
    <mergeCell ref="C30:G30"/>
    <mergeCell ref="I42:J42"/>
    <mergeCell ref="I6:K6"/>
    <mergeCell ref="C38:D38"/>
    <mergeCell ref="C35:D35"/>
    <mergeCell ref="C36:D36"/>
    <mergeCell ref="C37:D37"/>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F16"/>
  <sheetViews>
    <sheetView zoomScaleNormal="100" zoomScaleSheetLayoutView="100" workbookViewId="0">
      <selection activeCell="G36" sqref="G36"/>
    </sheetView>
  </sheetViews>
  <sheetFormatPr defaultRowHeight="12.75" x14ac:dyDescent="0.2"/>
  <cols>
    <col min="1" max="1" width="1.28515625" style="197" customWidth="1"/>
    <col min="2" max="2" width="24.5703125" style="502" bestFit="1" customWidth="1"/>
    <col min="3" max="3" width="1" style="197" customWidth="1"/>
    <col min="4" max="4" width="44.42578125" style="500" bestFit="1" customWidth="1"/>
    <col min="5" max="5" width="1" style="197" customWidth="1"/>
    <col min="6" max="6" width="20.28515625" style="500" bestFit="1" customWidth="1"/>
    <col min="7" max="16384" width="9.140625" style="197"/>
  </cols>
  <sheetData>
    <row r="4" spans="1:6" x14ac:dyDescent="0.2">
      <c r="B4" s="677"/>
      <c r="C4" s="677"/>
      <c r="D4" s="677"/>
      <c r="E4" s="677"/>
      <c r="F4" s="677"/>
    </row>
    <row r="5" spans="1:6" x14ac:dyDescent="0.2">
      <c r="B5" s="676" t="s">
        <v>730</v>
      </c>
      <c r="C5" s="676"/>
      <c r="D5" s="676"/>
      <c r="E5" s="676"/>
      <c r="F5" s="676"/>
    </row>
    <row r="6" spans="1:6" x14ac:dyDescent="0.2">
      <c r="B6" s="677"/>
      <c r="C6" s="677"/>
      <c r="D6" s="677"/>
      <c r="E6" s="677"/>
      <c r="F6" s="677"/>
    </row>
    <row r="7" spans="1:6" x14ac:dyDescent="0.2">
      <c r="B7" s="500"/>
      <c r="C7" s="500"/>
      <c r="E7" s="500"/>
    </row>
    <row r="8" spans="1:6" x14ac:dyDescent="0.2">
      <c r="A8" s="676"/>
      <c r="B8" s="676"/>
      <c r="C8" s="676"/>
      <c r="D8" s="676"/>
      <c r="E8" s="676"/>
      <c r="F8" s="676"/>
    </row>
    <row r="11" spans="1:6" x14ac:dyDescent="0.2">
      <c r="D11" s="500" t="s">
        <v>719</v>
      </c>
    </row>
    <row r="12" spans="1:6" x14ac:dyDescent="0.2">
      <c r="B12" s="502" t="s">
        <v>720</v>
      </c>
      <c r="D12" s="500" t="s">
        <v>721</v>
      </c>
      <c r="F12" s="500" t="s">
        <v>722</v>
      </c>
    </row>
    <row r="13" spans="1:6" x14ac:dyDescent="0.2">
      <c r="B13" s="503" t="s">
        <v>723</v>
      </c>
      <c r="D13" s="52" t="s">
        <v>725</v>
      </c>
      <c r="F13" s="52" t="s">
        <v>718</v>
      </c>
    </row>
    <row r="16" spans="1:6" x14ac:dyDescent="0.2">
      <c r="B16" s="502">
        <f>'Schedule 4'!E13</f>
        <v>3569869.6389842443</v>
      </c>
      <c r="D16" s="502">
        <f>'Schedule 4'!E19</f>
        <v>11364163.593738711</v>
      </c>
      <c r="F16" s="502">
        <f>'Schedule 4'!E23</f>
        <v>14934033.232722955</v>
      </c>
    </row>
  </sheetData>
  <mergeCells count="4">
    <mergeCell ref="B4:F4"/>
    <mergeCell ref="B5:F5"/>
    <mergeCell ref="B6:F6"/>
    <mergeCell ref="A8:F8"/>
  </mergeCells>
  <phoneticPr fontId="18"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6"/>
  <sheetViews>
    <sheetView topLeftCell="A49" zoomScaleNormal="100" zoomScaleSheetLayoutView="80" zoomScalePageLayoutView="90" workbookViewId="0">
      <selection activeCell="A19" sqref="A19"/>
    </sheetView>
  </sheetViews>
  <sheetFormatPr defaultRowHeight="12.75" x14ac:dyDescent="0.2"/>
  <cols>
    <col min="1" max="1" width="5.140625" style="153" customWidth="1"/>
    <col min="2" max="2" width="2.7109375" style="153" customWidth="1"/>
    <col min="3" max="3" width="71.28515625" style="153" bestFit="1" customWidth="1"/>
    <col min="4" max="4" width="30.42578125" style="159" customWidth="1"/>
    <col min="5" max="5" width="17.7109375" style="168" customWidth="1"/>
    <col min="6" max="16384" width="9.140625" style="153"/>
  </cols>
  <sheetData>
    <row r="1" spans="1:5" ht="18" x14ac:dyDescent="0.25">
      <c r="C1" s="684"/>
      <c r="D1" s="684"/>
      <c r="E1" s="684"/>
    </row>
    <row r="2" spans="1:5" x14ac:dyDescent="0.2">
      <c r="A2" s="683" t="s">
        <v>528</v>
      </c>
      <c r="B2" s="683"/>
      <c r="C2" s="683"/>
      <c r="D2" s="683"/>
      <c r="E2" s="683"/>
    </row>
    <row r="3" spans="1:5" x14ac:dyDescent="0.2">
      <c r="A3" s="683" t="s">
        <v>332</v>
      </c>
      <c r="B3" s="683"/>
      <c r="C3" s="683"/>
      <c r="D3" s="683"/>
      <c r="E3" s="683"/>
    </row>
    <row r="4" spans="1:5" x14ac:dyDescent="0.2">
      <c r="A4" s="504"/>
      <c r="B4" s="504"/>
      <c r="C4" s="504"/>
      <c r="D4" s="504"/>
      <c r="E4" s="504"/>
    </row>
    <row r="5" spans="1:5" x14ac:dyDescent="0.2">
      <c r="C5" s="157"/>
      <c r="D5" s="505" t="s">
        <v>229</v>
      </c>
      <c r="E5" s="200" t="s">
        <v>230</v>
      </c>
    </row>
    <row r="6" spans="1:5" x14ac:dyDescent="0.2">
      <c r="C6" s="157" t="s">
        <v>231</v>
      </c>
    </row>
    <row r="7" spans="1:5" x14ac:dyDescent="0.2">
      <c r="A7" s="153">
        <v>1</v>
      </c>
      <c r="C7" s="153" t="s">
        <v>325</v>
      </c>
      <c r="D7" s="159" t="s">
        <v>966</v>
      </c>
      <c r="E7" s="201">
        <f>1120902541-0</f>
        <v>1120902541</v>
      </c>
    </row>
    <row r="8" spans="1:5" x14ac:dyDescent="0.2">
      <c r="A8" s="153">
        <f>A7+1</f>
        <v>2</v>
      </c>
      <c r="C8" s="153" t="s">
        <v>523</v>
      </c>
      <c r="D8" s="159" t="s">
        <v>181</v>
      </c>
      <c r="E8" s="168">
        <f>-'Schedule 7'!E90</f>
        <v>-31448126.854999997</v>
      </c>
    </row>
    <row r="9" spans="1:5" x14ac:dyDescent="0.2">
      <c r="A9" s="153">
        <f t="shared" ref="A9:A61" si="0">A8+1</f>
        <v>3</v>
      </c>
      <c r="C9" s="153" t="s">
        <v>215</v>
      </c>
      <c r="D9" s="159" t="s">
        <v>571</v>
      </c>
      <c r="E9" s="168">
        <f>-'Schedule 8'!E17</f>
        <v>-1041147.3400000001</v>
      </c>
    </row>
    <row r="10" spans="1:5" x14ac:dyDescent="0.2">
      <c r="A10" s="153">
        <f t="shared" si="0"/>
        <v>4</v>
      </c>
      <c r="C10" s="153" t="s">
        <v>199</v>
      </c>
      <c r="D10" s="159" t="s">
        <v>44</v>
      </c>
      <c r="E10" s="168">
        <f>-'Schedule 9'!E43</f>
        <v>0</v>
      </c>
    </row>
    <row r="11" spans="1:5" x14ac:dyDescent="0.2">
      <c r="A11" s="153">
        <f t="shared" si="0"/>
        <v>5</v>
      </c>
      <c r="C11" s="153" t="s">
        <v>378</v>
      </c>
      <c r="D11" s="159" t="s">
        <v>233</v>
      </c>
      <c r="E11" s="168">
        <f>'Schedule 1'!F22</f>
        <v>44492681.097991042</v>
      </c>
    </row>
    <row r="12" spans="1:5" x14ac:dyDescent="0.2">
      <c r="A12" s="153">
        <f t="shared" si="0"/>
        <v>6</v>
      </c>
      <c r="C12" s="153" t="s">
        <v>234</v>
      </c>
      <c r="D12" s="159" t="s">
        <v>233</v>
      </c>
      <c r="E12" s="484">
        <f>'Schedule 1'!F36</f>
        <v>6364531.3365003597</v>
      </c>
    </row>
    <row r="13" spans="1:5" x14ac:dyDescent="0.2">
      <c r="A13" s="153">
        <f t="shared" si="0"/>
        <v>7</v>
      </c>
      <c r="C13" s="153" t="s">
        <v>499</v>
      </c>
      <c r="D13" s="159" t="s">
        <v>955</v>
      </c>
      <c r="E13" s="202">
        <f>423089+195489+308066+199069</f>
        <v>1125713</v>
      </c>
    </row>
    <row r="14" spans="1:5" x14ac:dyDescent="0.2">
      <c r="A14" s="153">
        <f t="shared" si="0"/>
        <v>8</v>
      </c>
      <c r="C14" s="153" t="s">
        <v>500</v>
      </c>
      <c r="D14" s="159" t="s">
        <v>233</v>
      </c>
      <c r="E14" s="202">
        <f>'Schedule 1'!F75</f>
        <v>406527.92060224002</v>
      </c>
    </row>
    <row r="15" spans="1:5" x14ac:dyDescent="0.2">
      <c r="A15" s="153">
        <f t="shared" si="0"/>
        <v>9</v>
      </c>
      <c r="C15" s="153" t="s">
        <v>348</v>
      </c>
      <c r="D15" s="159" t="s">
        <v>967</v>
      </c>
      <c r="E15" s="168">
        <f>-350571312-0</f>
        <v>-350571312</v>
      </c>
    </row>
    <row r="16" spans="1:5" x14ac:dyDescent="0.2">
      <c r="A16" s="153">
        <f t="shared" si="0"/>
        <v>10</v>
      </c>
      <c r="C16" s="153" t="s">
        <v>198</v>
      </c>
      <c r="D16" s="159" t="s">
        <v>181</v>
      </c>
      <c r="E16" s="168">
        <f>'Schedule 7'!F90</f>
        <v>12337812.089999998</v>
      </c>
    </row>
    <row r="17" spans="1:5" x14ac:dyDescent="0.2">
      <c r="A17" s="153">
        <f t="shared" si="0"/>
        <v>11</v>
      </c>
      <c r="C17" s="153" t="s">
        <v>216</v>
      </c>
      <c r="D17" s="159" t="s">
        <v>571</v>
      </c>
      <c r="E17" s="168">
        <f>'Schedule 8'!F17</f>
        <v>240069.27999999997</v>
      </c>
    </row>
    <row r="18" spans="1:5" x14ac:dyDescent="0.2">
      <c r="A18" s="153">
        <f t="shared" si="0"/>
        <v>12</v>
      </c>
      <c r="C18" s="153" t="s">
        <v>334</v>
      </c>
      <c r="D18" s="159" t="s">
        <v>233</v>
      </c>
      <c r="E18" s="168">
        <f>-'Schedule 1'!F29</f>
        <v>-13934411.721044479</v>
      </c>
    </row>
    <row r="19" spans="1:5" x14ac:dyDescent="0.2">
      <c r="A19" s="153">
        <f t="shared" si="0"/>
        <v>13</v>
      </c>
      <c r="C19" s="153" t="s">
        <v>475</v>
      </c>
      <c r="D19" s="159" t="s">
        <v>233</v>
      </c>
      <c r="E19" s="168">
        <f>-'Schedule 1'!F43</f>
        <v>-2936801.208447</v>
      </c>
    </row>
    <row r="20" spans="1:5" x14ac:dyDescent="0.2">
      <c r="A20" s="153">
        <f t="shared" si="0"/>
        <v>14</v>
      </c>
      <c r="C20" s="153" t="s">
        <v>232</v>
      </c>
      <c r="D20" s="159" t="s">
        <v>233</v>
      </c>
      <c r="E20" s="168">
        <f xml:space="preserve"> - 'Schedule 1'!F15</f>
        <v>-89257125.008759201</v>
      </c>
    </row>
    <row r="21" spans="1:5" x14ac:dyDescent="0.2">
      <c r="A21" s="153">
        <f t="shared" si="0"/>
        <v>15</v>
      </c>
      <c r="C21" s="153" t="s">
        <v>472</v>
      </c>
      <c r="D21" s="159" t="s">
        <v>233</v>
      </c>
      <c r="E21" s="168">
        <f xml:space="preserve"> - 'Schedule 1'!F54</f>
        <v>-4170630.4556879201</v>
      </c>
    </row>
    <row r="22" spans="1:5" x14ac:dyDescent="0.2">
      <c r="A22" s="153">
        <f t="shared" si="0"/>
        <v>16</v>
      </c>
      <c r="C22" s="153" t="s">
        <v>416</v>
      </c>
      <c r="D22" s="159" t="s">
        <v>233</v>
      </c>
      <c r="E22" s="202">
        <f>'Schedule 1'!F70</f>
        <v>2204730.2666416802</v>
      </c>
    </row>
    <row r="23" spans="1:5" x14ac:dyDescent="0.2">
      <c r="A23" s="153">
        <f t="shared" si="0"/>
        <v>17</v>
      </c>
      <c r="C23" s="153" t="s">
        <v>503</v>
      </c>
      <c r="D23" s="159" t="s">
        <v>507</v>
      </c>
      <c r="E23" s="168">
        <f>'Schedule 1'!F85</f>
        <v>14324116.48705945</v>
      </c>
    </row>
    <row r="24" spans="1:5" x14ac:dyDescent="0.2">
      <c r="A24" s="153">
        <f t="shared" si="0"/>
        <v>18</v>
      </c>
      <c r="C24" s="153" t="s">
        <v>524</v>
      </c>
      <c r="D24" s="159" t="s">
        <v>233</v>
      </c>
      <c r="E24" s="202">
        <f>'Schedule 1'!F61</f>
        <v>4139407.2563905721</v>
      </c>
    </row>
    <row r="25" spans="1:5" x14ac:dyDescent="0.2">
      <c r="A25" s="153">
        <f t="shared" si="0"/>
        <v>19</v>
      </c>
      <c r="C25" s="153" t="s">
        <v>37</v>
      </c>
      <c r="D25" s="159" t="s">
        <v>956</v>
      </c>
      <c r="E25" s="202">
        <v>0</v>
      </c>
    </row>
    <row r="26" spans="1:5" x14ac:dyDescent="0.2">
      <c r="A26" s="153">
        <f t="shared" si="0"/>
        <v>20</v>
      </c>
      <c r="C26" s="153" t="s">
        <v>235</v>
      </c>
      <c r="D26" s="161" t="s">
        <v>439</v>
      </c>
      <c r="E26" s="168">
        <f>SUM(E7:E25)</f>
        <v>713178575.14624703</v>
      </c>
    </row>
    <row r="27" spans="1:5" x14ac:dyDescent="0.2">
      <c r="A27" s="153">
        <f t="shared" si="0"/>
        <v>21</v>
      </c>
    </row>
    <row r="28" spans="1:5" x14ac:dyDescent="0.2">
      <c r="A28" s="153">
        <f t="shared" si="0"/>
        <v>22</v>
      </c>
      <c r="C28" s="157" t="s">
        <v>429</v>
      </c>
    </row>
    <row r="29" spans="1:5" x14ac:dyDescent="0.2">
      <c r="A29" s="153">
        <f t="shared" si="0"/>
        <v>23</v>
      </c>
      <c r="C29" s="153" t="s">
        <v>236</v>
      </c>
      <c r="D29" s="159" t="s">
        <v>239</v>
      </c>
      <c r="E29" s="485">
        <f>ROUND('Schedule 6'!I20,5)</f>
        <v>8.047E-2</v>
      </c>
    </row>
    <row r="30" spans="1:5" x14ac:dyDescent="0.2">
      <c r="A30" s="153">
        <f t="shared" si="0"/>
        <v>24</v>
      </c>
      <c r="C30" s="153" t="s">
        <v>474</v>
      </c>
      <c r="D30" s="159" t="s">
        <v>239</v>
      </c>
      <c r="E30" s="485">
        <f xml:space="preserve"> 'Schedule 6'!I34</f>
        <v>3.6220000000000002E-2</v>
      </c>
    </row>
    <row r="31" spans="1:5" x14ac:dyDescent="0.2">
      <c r="A31" s="153">
        <f t="shared" si="0"/>
        <v>25</v>
      </c>
      <c r="C31" s="153" t="s">
        <v>469</v>
      </c>
      <c r="D31" s="161" t="s">
        <v>16</v>
      </c>
      <c r="E31" s="168">
        <f>E26*(E29+E30)</f>
        <v>83220807.933815569</v>
      </c>
    </row>
    <row r="32" spans="1:5" x14ac:dyDescent="0.2">
      <c r="A32" s="153">
        <f t="shared" si="0"/>
        <v>26</v>
      </c>
    </row>
    <row r="33" spans="1:5" x14ac:dyDescent="0.2">
      <c r="A33" s="153">
        <f t="shared" si="0"/>
        <v>27</v>
      </c>
    </row>
    <row r="34" spans="1:5" x14ac:dyDescent="0.2">
      <c r="A34" s="153">
        <f t="shared" si="0"/>
        <v>28</v>
      </c>
      <c r="C34" s="157" t="s">
        <v>240</v>
      </c>
    </row>
    <row r="35" spans="1:5" x14ac:dyDescent="0.2">
      <c r="A35" s="153">
        <f t="shared" si="0"/>
        <v>29</v>
      </c>
      <c r="C35" s="153" t="s">
        <v>298</v>
      </c>
      <c r="D35" s="159" t="s">
        <v>243</v>
      </c>
      <c r="E35" s="168">
        <f>'Schedule 2'!F71</f>
        <v>21500865.949999999</v>
      </c>
    </row>
    <row r="36" spans="1:5" x14ac:dyDescent="0.2">
      <c r="A36" s="153">
        <f t="shared" si="0"/>
        <v>30</v>
      </c>
      <c r="C36" s="153" t="s">
        <v>299</v>
      </c>
      <c r="D36" s="159" t="s">
        <v>243</v>
      </c>
      <c r="E36" s="168">
        <f>'Schedule 2'!F34</f>
        <v>1314658.9256531999</v>
      </c>
    </row>
    <row r="37" spans="1:5" x14ac:dyDescent="0.2">
      <c r="A37" s="153">
        <f t="shared" si="0"/>
        <v>31</v>
      </c>
      <c r="C37" s="153" t="s">
        <v>944</v>
      </c>
      <c r="D37" s="159" t="s">
        <v>243</v>
      </c>
      <c r="E37" s="168">
        <f>'Schedule 2'!F65</f>
        <v>802430.42951459996</v>
      </c>
    </row>
    <row r="38" spans="1:5" x14ac:dyDescent="0.2">
      <c r="A38" s="153">
        <f t="shared" si="0"/>
        <v>32</v>
      </c>
      <c r="C38" s="153" t="s">
        <v>470</v>
      </c>
      <c r="D38" s="159" t="s">
        <v>243</v>
      </c>
      <c r="E38" s="202">
        <f xml:space="preserve"> 'Schedule 2'!F41</f>
        <v>-582442.80108344997</v>
      </c>
    </row>
    <row r="39" spans="1:5" x14ac:dyDescent="0.2">
      <c r="A39" s="153">
        <f t="shared" si="0"/>
        <v>33</v>
      </c>
      <c r="C39" s="153" t="s">
        <v>241</v>
      </c>
      <c r="D39" s="159" t="s">
        <v>243</v>
      </c>
      <c r="E39" s="168">
        <f>'Schedule 2'!F77</f>
        <v>25235692.324999999</v>
      </c>
    </row>
    <row r="40" spans="1:5" x14ac:dyDescent="0.2">
      <c r="A40" s="153">
        <f t="shared" si="0"/>
        <v>34</v>
      </c>
      <c r="C40" s="153" t="s">
        <v>424</v>
      </c>
      <c r="D40" s="159" t="s">
        <v>1059</v>
      </c>
      <c r="E40" s="168">
        <f>-(43356+1602644+1390552+25459+1634564)</f>
        <v>-4696575</v>
      </c>
    </row>
    <row r="41" spans="1:5" x14ac:dyDescent="0.2">
      <c r="A41" s="153">
        <f t="shared" si="0"/>
        <v>35</v>
      </c>
      <c r="C41" s="153" t="s">
        <v>425</v>
      </c>
      <c r="D41" s="159" t="s">
        <v>333</v>
      </c>
      <c r="E41" s="168">
        <v>-5555121</v>
      </c>
    </row>
    <row r="42" spans="1:5" x14ac:dyDescent="0.2">
      <c r="A42" s="153">
        <f t="shared" si="0"/>
        <v>36</v>
      </c>
      <c r="C42" s="153" t="s">
        <v>242</v>
      </c>
      <c r="D42" s="159" t="s">
        <v>243</v>
      </c>
      <c r="E42" s="168">
        <f>'Schedule 2'!F28</f>
        <v>18131261.726124577</v>
      </c>
    </row>
    <row r="43" spans="1:5" x14ac:dyDescent="0.2">
      <c r="A43" s="153">
        <f t="shared" si="0"/>
        <v>37</v>
      </c>
      <c r="C43" s="153" t="s">
        <v>515</v>
      </c>
      <c r="D43" s="159" t="s">
        <v>243</v>
      </c>
      <c r="E43" s="202">
        <f>'Schedule 2'!F58</f>
        <v>5962521.1029441226</v>
      </c>
    </row>
    <row r="44" spans="1:5" x14ac:dyDescent="0.2">
      <c r="A44" s="153">
        <f t="shared" si="0"/>
        <v>38</v>
      </c>
      <c r="C44" s="153" t="s">
        <v>38</v>
      </c>
      <c r="D44" s="159" t="s">
        <v>145</v>
      </c>
      <c r="E44" s="168">
        <v>0</v>
      </c>
    </row>
    <row r="45" spans="1:5" ht="15" x14ac:dyDescent="0.35">
      <c r="A45" s="153">
        <f t="shared" si="0"/>
        <v>39</v>
      </c>
      <c r="C45" s="153" t="s">
        <v>34</v>
      </c>
      <c r="D45" s="159" t="s">
        <v>44</v>
      </c>
      <c r="E45" s="486">
        <f>'Schedule 9'!E54</f>
        <v>0</v>
      </c>
    </row>
    <row r="46" spans="1:5" x14ac:dyDescent="0.2">
      <c r="A46" s="153">
        <f t="shared" si="0"/>
        <v>40</v>
      </c>
      <c r="C46" s="153" t="s">
        <v>300</v>
      </c>
      <c r="D46" s="161" t="s">
        <v>17</v>
      </c>
      <c r="E46" s="168">
        <f>SUM(E35:E45)</f>
        <v>62113291.65815305</v>
      </c>
    </row>
    <row r="47" spans="1:5" x14ac:dyDescent="0.2">
      <c r="A47" s="153">
        <f t="shared" si="0"/>
        <v>41</v>
      </c>
      <c r="C47" s="178" t="s">
        <v>301</v>
      </c>
      <c r="D47" s="203" t="s">
        <v>25</v>
      </c>
      <c r="E47" s="202">
        <f>E31+E46</f>
        <v>145334099.59196863</v>
      </c>
    </row>
    <row r="48" spans="1:5" x14ac:dyDescent="0.2">
      <c r="A48" s="153">
        <f t="shared" si="0"/>
        <v>42</v>
      </c>
      <c r="C48" s="178"/>
      <c r="D48" s="179"/>
      <c r="E48" s="202"/>
    </row>
    <row r="49" spans="1:5" x14ac:dyDescent="0.2">
      <c r="A49" s="153">
        <f t="shared" si="0"/>
        <v>43</v>
      </c>
      <c r="C49" s="178" t="s">
        <v>302</v>
      </c>
      <c r="D49" s="179" t="s">
        <v>303</v>
      </c>
      <c r="E49" s="202">
        <f>-'Schedule 4'!E23</f>
        <v>-14934033.232722955</v>
      </c>
    </row>
    <row r="50" spans="1:5" x14ac:dyDescent="0.2">
      <c r="A50" s="153">
        <f t="shared" si="0"/>
        <v>44</v>
      </c>
      <c r="C50" s="178"/>
      <c r="D50" s="179"/>
      <c r="E50" s="202"/>
    </row>
    <row r="51" spans="1:5" x14ac:dyDescent="0.2">
      <c r="A51" s="153">
        <f t="shared" si="0"/>
        <v>45</v>
      </c>
      <c r="C51" s="204" t="s">
        <v>271</v>
      </c>
      <c r="D51" s="203"/>
      <c r="E51" s="205">
        <f>SUM(E47:E49)</f>
        <v>130400066.35924567</v>
      </c>
    </row>
    <row r="52" spans="1:5" x14ac:dyDescent="0.2">
      <c r="A52" s="153">
        <f t="shared" si="0"/>
        <v>46</v>
      </c>
      <c r="C52" s="178"/>
      <c r="D52" s="179"/>
      <c r="E52" s="202"/>
    </row>
    <row r="53" spans="1:5" x14ac:dyDescent="0.2">
      <c r="A53" s="153">
        <f t="shared" si="0"/>
        <v>47</v>
      </c>
      <c r="C53" s="204" t="s">
        <v>519</v>
      </c>
      <c r="D53" s="179" t="s">
        <v>304</v>
      </c>
      <c r="E53" s="202">
        <f>'Schedule 5'!H24</f>
        <v>3735.9166666666665</v>
      </c>
    </row>
    <row r="54" spans="1:5" x14ac:dyDescent="0.2">
      <c r="A54" s="153">
        <f t="shared" si="0"/>
        <v>48</v>
      </c>
      <c r="C54" s="204"/>
      <c r="D54" s="179"/>
      <c r="E54" s="202"/>
    </row>
    <row r="55" spans="1:5" x14ac:dyDescent="0.2">
      <c r="A55" s="153">
        <f t="shared" si="0"/>
        <v>49</v>
      </c>
      <c r="C55" s="178" t="s">
        <v>305</v>
      </c>
      <c r="D55" s="203" t="s">
        <v>18</v>
      </c>
      <c r="E55" s="487">
        <f>ROUND(E51/(E53*1000),2)</f>
        <v>34.9</v>
      </c>
    </row>
    <row r="56" spans="1:5" x14ac:dyDescent="0.2">
      <c r="A56" s="153">
        <f t="shared" si="0"/>
        <v>50</v>
      </c>
      <c r="C56" s="178" t="s">
        <v>306</v>
      </c>
      <c r="D56" s="203" t="s">
        <v>19</v>
      </c>
      <c r="E56" s="488">
        <f>ROUND(E55/12,4)</f>
        <v>2.9083000000000001</v>
      </c>
    </row>
    <row r="57" spans="1:5" x14ac:dyDescent="0.2">
      <c r="A57" s="153">
        <f t="shared" si="0"/>
        <v>51</v>
      </c>
      <c r="C57" s="178" t="s">
        <v>307</v>
      </c>
      <c r="D57" s="203" t="s">
        <v>20</v>
      </c>
      <c r="E57" s="488">
        <f>ROUND(E55/52,4)</f>
        <v>0.67120000000000002</v>
      </c>
    </row>
    <row r="58" spans="1:5" x14ac:dyDescent="0.2">
      <c r="A58" s="153">
        <f t="shared" si="0"/>
        <v>52</v>
      </c>
      <c r="C58" s="178" t="s">
        <v>308</v>
      </c>
      <c r="D58" s="203" t="s">
        <v>21</v>
      </c>
      <c r="E58" s="488">
        <f>ROUND(E57/6,4)</f>
        <v>0.1119</v>
      </c>
    </row>
    <row r="59" spans="1:5" x14ac:dyDescent="0.2">
      <c r="A59" s="153">
        <f t="shared" si="0"/>
        <v>53</v>
      </c>
      <c r="C59" s="178" t="s">
        <v>309</v>
      </c>
      <c r="D59" s="179" t="s">
        <v>22</v>
      </c>
      <c r="E59" s="488">
        <f>ROUND(E57/7,4)</f>
        <v>9.5899999999999999E-2</v>
      </c>
    </row>
    <row r="60" spans="1:5" x14ac:dyDescent="0.2">
      <c r="A60" s="153">
        <f t="shared" si="0"/>
        <v>54</v>
      </c>
      <c r="C60" s="178" t="s">
        <v>310</v>
      </c>
      <c r="D60" s="203" t="s">
        <v>23</v>
      </c>
      <c r="E60" s="487">
        <f>ROUND(E55*1000/4896,2)</f>
        <v>7.13</v>
      </c>
    </row>
    <row r="61" spans="1:5" x14ac:dyDescent="0.2">
      <c r="A61" s="153">
        <f t="shared" si="0"/>
        <v>55</v>
      </c>
      <c r="C61" s="178" t="s">
        <v>311</v>
      </c>
      <c r="D61" s="203" t="s">
        <v>24</v>
      </c>
      <c r="E61" s="487">
        <f>ROUND(E55*1000/8760,2)</f>
        <v>3.98</v>
      </c>
    </row>
    <row r="66" spans="3:3" x14ac:dyDescent="0.2">
      <c r="C66" s="168"/>
    </row>
  </sheetData>
  <sheetProtection formatCells="0"/>
  <mergeCells count="3">
    <mergeCell ref="A3:E3"/>
    <mergeCell ref="A2:E2"/>
    <mergeCell ref="C1:E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85"/>
  <sheetViews>
    <sheetView zoomScaleNormal="100" zoomScaleSheetLayoutView="100" workbookViewId="0">
      <selection activeCell="A19" sqref="A19"/>
    </sheetView>
  </sheetViews>
  <sheetFormatPr defaultRowHeight="12.75" x14ac:dyDescent="0.2"/>
  <cols>
    <col min="1" max="1" width="5.140625" style="504" customWidth="1"/>
    <col min="2" max="2" width="4.140625" style="153" customWidth="1"/>
    <col min="3" max="3" width="4" style="153" customWidth="1"/>
    <col min="4" max="4" width="52.85546875" style="153" customWidth="1"/>
    <col min="5" max="5" width="56.28515625" style="159" customWidth="1"/>
    <col min="6" max="6" width="17.85546875" style="158" customWidth="1"/>
    <col min="7" max="16384" width="9.140625" style="153"/>
  </cols>
  <sheetData>
    <row r="1" spans="1:6" x14ac:dyDescent="0.2">
      <c r="A1" s="685" t="s">
        <v>363</v>
      </c>
      <c r="B1" s="685"/>
      <c r="C1" s="685"/>
      <c r="D1" s="685"/>
      <c r="E1" s="685"/>
      <c r="F1" s="685"/>
    </row>
    <row r="2" spans="1:6" x14ac:dyDescent="0.2">
      <c r="A2" s="685" t="s">
        <v>312</v>
      </c>
      <c r="B2" s="685"/>
      <c r="C2" s="685"/>
      <c r="D2" s="685"/>
      <c r="E2" s="685"/>
      <c r="F2" s="685"/>
    </row>
    <row r="3" spans="1:6" x14ac:dyDescent="0.2">
      <c r="B3" s="206"/>
      <c r="C3" s="206"/>
      <c r="D3" s="206"/>
      <c r="E3" s="206"/>
      <c r="F3" s="207"/>
    </row>
    <row r="6" spans="1:6" x14ac:dyDescent="0.2">
      <c r="E6" s="155" t="s">
        <v>229</v>
      </c>
      <c r="F6" s="156" t="s">
        <v>230</v>
      </c>
    </row>
    <row r="7" spans="1:6" x14ac:dyDescent="0.2">
      <c r="A7" s="504">
        <v>1</v>
      </c>
      <c r="B7" s="157" t="s">
        <v>218</v>
      </c>
      <c r="E7" s="155"/>
    </row>
    <row r="8" spans="1:6" x14ac:dyDescent="0.2">
      <c r="A8" s="504">
        <f>A7+1</f>
        <v>2</v>
      </c>
      <c r="E8" s="155"/>
    </row>
    <row r="9" spans="1:6" x14ac:dyDescent="0.2">
      <c r="A9" s="504">
        <f t="shared" ref="A9:A72" si="0">A8+1</f>
        <v>3</v>
      </c>
      <c r="D9" s="153" t="s">
        <v>462</v>
      </c>
      <c r="E9" s="523"/>
      <c r="F9" s="158" t="s">
        <v>1069</v>
      </c>
    </row>
    <row r="10" spans="1:6" x14ac:dyDescent="0.2">
      <c r="A10" s="504">
        <f t="shared" si="0"/>
        <v>4</v>
      </c>
      <c r="D10" s="153" t="s">
        <v>463</v>
      </c>
      <c r="E10" s="159" t="s">
        <v>379</v>
      </c>
      <c r="F10" s="158">
        <v>495355902</v>
      </c>
    </row>
    <row r="11" spans="1:6" x14ac:dyDescent="0.2">
      <c r="A11" s="504">
        <f t="shared" si="0"/>
        <v>5</v>
      </c>
      <c r="D11" s="153" t="s">
        <v>464</v>
      </c>
      <c r="E11" s="159" t="s">
        <v>465</v>
      </c>
      <c r="F11" s="158">
        <v>182856492</v>
      </c>
    </row>
    <row r="12" spans="1:6" x14ac:dyDescent="0.2">
      <c r="A12" s="504">
        <f t="shared" si="0"/>
        <v>6</v>
      </c>
      <c r="D12" s="153" t="s">
        <v>461</v>
      </c>
      <c r="E12" s="159" t="s">
        <v>380</v>
      </c>
      <c r="F12" s="158">
        <f>-'Schedule 1 Workpaper'!F10</f>
        <v>-209477410</v>
      </c>
    </row>
    <row r="13" spans="1:6" x14ac:dyDescent="0.2">
      <c r="A13" s="504">
        <f t="shared" si="0"/>
        <v>7</v>
      </c>
      <c r="D13" s="153" t="s">
        <v>468</v>
      </c>
      <c r="F13" s="158">
        <f>SUM(F9:F12)</f>
        <v>468734984</v>
      </c>
    </row>
    <row r="14" spans="1:6" x14ac:dyDescent="0.2">
      <c r="A14" s="504">
        <f t="shared" si="0"/>
        <v>8</v>
      </c>
      <c r="D14" s="153" t="s">
        <v>314</v>
      </c>
      <c r="E14" s="159" t="s">
        <v>315</v>
      </c>
      <c r="F14" s="160">
        <f>'Schedule 3'!F46</f>
        <v>0.19042129999999999</v>
      </c>
    </row>
    <row r="15" spans="1:6" x14ac:dyDescent="0.2">
      <c r="A15" s="504">
        <f t="shared" si="0"/>
        <v>9</v>
      </c>
      <c r="D15" s="153" t="s">
        <v>313</v>
      </c>
      <c r="E15" s="203" t="s">
        <v>276</v>
      </c>
      <c r="F15" s="158">
        <f>F13*F14</f>
        <v>89257125.008759201</v>
      </c>
    </row>
    <row r="16" spans="1:6" x14ac:dyDescent="0.2">
      <c r="A16" s="504">
        <f t="shared" si="0"/>
        <v>10</v>
      </c>
      <c r="E16" s="155"/>
    </row>
    <row r="17" spans="1:6" x14ac:dyDescent="0.2">
      <c r="A17" s="504">
        <f t="shared" si="0"/>
        <v>11</v>
      </c>
      <c r="E17" s="155"/>
    </row>
    <row r="18" spans="1:6" x14ac:dyDescent="0.2">
      <c r="A18" s="504">
        <f t="shared" si="0"/>
        <v>12</v>
      </c>
      <c r="B18" s="157" t="s">
        <v>316</v>
      </c>
    </row>
    <row r="19" spans="1:6" x14ac:dyDescent="0.2">
      <c r="A19" s="504">
        <f t="shared" si="0"/>
        <v>13</v>
      </c>
    </row>
    <row r="20" spans="1:6" x14ac:dyDescent="0.2">
      <c r="A20" s="504">
        <f t="shared" si="0"/>
        <v>14</v>
      </c>
      <c r="D20" s="153" t="s">
        <v>381</v>
      </c>
      <c r="E20" s="159" t="s">
        <v>349</v>
      </c>
      <c r="F20" s="158">
        <f>368694992-0</f>
        <v>368694992</v>
      </c>
    </row>
    <row r="21" spans="1:6" x14ac:dyDescent="0.2">
      <c r="A21" s="504">
        <f t="shared" si="0"/>
        <v>15</v>
      </c>
      <c r="D21" s="153" t="s">
        <v>518</v>
      </c>
      <c r="E21" s="161" t="s">
        <v>315</v>
      </c>
      <c r="F21" s="160">
        <f>'Schedule 3'!F27</f>
        <v>0.12067612</v>
      </c>
    </row>
    <row r="22" spans="1:6" x14ac:dyDescent="0.2">
      <c r="A22" s="504">
        <f t="shared" si="0"/>
        <v>16</v>
      </c>
      <c r="D22" s="153" t="s">
        <v>317</v>
      </c>
      <c r="E22" s="203" t="s">
        <v>277</v>
      </c>
      <c r="F22" s="158">
        <f>F21*F20</f>
        <v>44492681.097991042</v>
      </c>
    </row>
    <row r="23" spans="1:6" x14ac:dyDescent="0.2">
      <c r="A23" s="504">
        <f t="shared" si="0"/>
        <v>17</v>
      </c>
    </row>
    <row r="24" spans="1:6" x14ac:dyDescent="0.2">
      <c r="A24" s="504">
        <f t="shared" si="0"/>
        <v>18</v>
      </c>
    </row>
    <row r="25" spans="1:6" x14ac:dyDescent="0.2">
      <c r="A25" s="504">
        <f t="shared" si="0"/>
        <v>19</v>
      </c>
      <c r="B25" s="157" t="s">
        <v>428</v>
      </c>
    </row>
    <row r="26" spans="1:6" x14ac:dyDescent="0.2">
      <c r="A26" s="504">
        <f t="shared" si="0"/>
        <v>20</v>
      </c>
    </row>
    <row r="27" spans="1:6" x14ac:dyDescent="0.2">
      <c r="A27" s="504">
        <f t="shared" si="0"/>
        <v>21</v>
      </c>
      <c r="D27" s="153" t="s">
        <v>1062</v>
      </c>
      <c r="E27" s="159" t="s">
        <v>977</v>
      </c>
      <c r="F27" s="93">
        <f>115469504-0</f>
        <v>115469504</v>
      </c>
    </row>
    <row r="28" spans="1:6" x14ac:dyDescent="0.2">
      <c r="A28" s="504">
        <f t="shared" si="0"/>
        <v>22</v>
      </c>
      <c r="D28" s="153" t="s">
        <v>518</v>
      </c>
      <c r="E28" s="161" t="s">
        <v>315</v>
      </c>
      <c r="F28" s="160">
        <f>'Schedule 3'!F27</f>
        <v>0.12067612</v>
      </c>
    </row>
    <row r="29" spans="1:6" x14ac:dyDescent="0.2">
      <c r="A29" s="504">
        <f t="shared" si="0"/>
        <v>23</v>
      </c>
      <c r="D29" s="153" t="s">
        <v>1063</v>
      </c>
      <c r="E29" s="203" t="s">
        <v>278</v>
      </c>
      <c r="F29" s="158">
        <f>F28*F27</f>
        <v>13934411.721044479</v>
      </c>
    </row>
    <row r="30" spans="1:6" x14ac:dyDescent="0.2">
      <c r="A30" s="504">
        <f t="shared" si="0"/>
        <v>24</v>
      </c>
    </row>
    <row r="31" spans="1:6" x14ac:dyDescent="0.2">
      <c r="A31" s="504">
        <f t="shared" si="0"/>
        <v>25</v>
      </c>
    </row>
    <row r="32" spans="1:6" x14ac:dyDescent="0.2">
      <c r="A32" s="504">
        <f t="shared" si="0"/>
        <v>26</v>
      </c>
      <c r="B32" s="157" t="s">
        <v>318</v>
      </c>
    </row>
    <row r="33" spans="1:6" x14ac:dyDescent="0.2">
      <c r="A33" s="504">
        <f t="shared" si="0"/>
        <v>27</v>
      </c>
    </row>
    <row r="34" spans="1:6" x14ac:dyDescent="0.2">
      <c r="A34" s="504">
        <f t="shared" si="0"/>
        <v>28</v>
      </c>
      <c r="D34" s="153" t="s">
        <v>319</v>
      </c>
      <c r="E34" s="159" t="s">
        <v>886</v>
      </c>
      <c r="F34" s="158">
        <v>52740603</v>
      </c>
    </row>
    <row r="35" spans="1:6" x14ac:dyDescent="0.2">
      <c r="A35" s="504">
        <f t="shared" si="0"/>
        <v>29</v>
      </c>
      <c r="D35" s="153" t="s">
        <v>518</v>
      </c>
      <c r="E35" s="161" t="s">
        <v>315</v>
      </c>
      <c r="F35" s="160">
        <f>'Schedule 3'!F27</f>
        <v>0.12067612</v>
      </c>
    </row>
    <row r="36" spans="1:6" x14ac:dyDescent="0.2">
      <c r="A36" s="504">
        <f t="shared" si="0"/>
        <v>30</v>
      </c>
      <c r="D36" s="153" t="s">
        <v>320</v>
      </c>
      <c r="E36" s="203" t="s">
        <v>279</v>
      </c>
      <c r="F36" s="158">
        <f>F35*F34</f>
        <v>6364531.3365003597</v>
      </c>
    </row>
    <row r="37" spans="1:6" x14ac:dyDescent="0.2">
      <c r="A37" s="504">
        <f t="shared" si="0"/>
        <v>31</v>
      </c>
    </row>
    <row r="38" spans="1:6" x14ac:dyDescent="0.2">
      <c r="A38" s="504">
        <f t="shared" si="0"/>
        <v>32</v>
      </c>
    </row>
    <row r="39" spans="1:6" x14ac:dyDescent="0.2">
      <c r="A39" s="504">
        <f t="shared" si="0"/>
        <v>33</v>
      </c>
      <c r="B39" s="157" t="s">
        <v>475</v>
      </c>
    </row>
    <row r="40" spans="1:6" x14ac:dyDescent="0.2">
      <c r="A40" s="504">
        <f t="shared" si="0"/>
        <v>34</v>
      </c>
      <c r="B40" s="157"/>
    </row>
    <row r="41" spans="1:6" x14ac:dyDescent="0.2">
      <c r="A41" s="504">
        <f t="shared" si="0"/>
        <v>35</v>
      </c>
      <c r="D41" s="153" t="s">
        <v>475</v>
      </c>
      <c r="E41" s="159" t="s">
        <v>921</v>
      </c>
      <c r="F41" s="158">
        <v>24336225</v>
      </c>
    </row>
    <row r="42" spans="1:6" x14ac:dyDescent="0.2">
      <c r="A42" s="504">
        <f t="shared" si="0"/>
        <v>36</v>
      </c>
      <c r="D42" s="153" t="s">
        <v>518</v>
      </c>
      <c r="E42" s="159" t="s">
        <v>315</v>
      </c>
      <c r="F42" s="160">
        <f>'Schedule 3'!F27</f>
        <v>0.12067612</v>
      </c>
    </row>
    <row r="43" spans="1:6" x14ac:dyDescent="0.2">
      <c r="A43" s="504">
        <f t="shared" si="0"/>
        <v>37</v>
      </c>
      <c r="D43" s="153" t="s">
        <v>485</v>
      </c>
      <c r="E43" s="203" t="s">
        <v>280</v>
      </c>
      <c r="F43" s="158">
        <f>F41*F42</f>
        <v>2936801.208447</v>
      </c>
    </row>
    <row r="44" spans="1:6" x14ac:dyDescent="0.2">
      <c r="A44" s="504">
        <f t="shared" si="0"/>
        <v>38</v>
      </c>
    </row>
    <row r="45" spans="1:6" x14ac:dyDescent="0.2">
      <c r="A45" s="504">
        <f t="shared" si="0"/>
        <v>39</v>
      </c>
    </row>
    <row r="46" spans="1:6" x14ac:dyDescent="0.2">
      <c r="A46" s="504">
        <f t="shared" si="0"/>
        <v>40</v>
      </c>
      <c r="B46" s="157" t="s">
        <v>473</v>
      </c>
    </row>
    <row r="47" spans="1:6" x14ac:dyDescent="0.2">
      <c r="A47" s="504">
        <f t="shared" si="0"/>
        <v>41</v>
      </c>
    </row>
    <row r="48" spans="1:6" x14ac:dyDescent="0.2">
      <c r="A48" s="504">
        <f t="shared" si="0"/>
        <v>42</v>
      </c>
      <c r="D48" s="153" t="s">
        <v>462</v>
      </c>
      <c r="E48" s="523"/>
      <c r="F48" s="158" t="str">
        <f xml:space="preserve"> F9</f>
        <v xml:space="preserve">  </v>
      </c>
    </row>
    <row r="49" spans="1:7" x14ac:dyDescent="0.2">
      <c r="A49" s="504">
        <f t="shared" si="0"/>
        <v>43</v>
      </c>
      <c r="D49" s="153" t="s">
        <v>463</v>
      </c>
      <c r="E49" s="159" t="s">
        <v>466</v>
      </c>
      <c r="F49" s="158">
        <f>F10</f>
        <v>495355902</v>
      </c>
    </row>
    <row r="50" spans="1:7" x14ac:dyDescent="0.2">
      <c r="A50" s="504">
        <f t="shared" si="0"/>
        <v>44</v>
      </c>
      <c r="D50" s="153" t="s">
        <v>464</v>
      </c>
      <c r="E50" s="159" t="s">
        <v>465</v>
      </c>
      <c r="F50" s="158">
        <f xml:space="preserve"> F11</f>
        <v>182856492</v>
      </c>
    </row>
    <row r="51" spans="1:7" x14ac:dyDescent="0.2">
      <c r="A51" s="504">
        <f t="shared" si="0"/>
        <v>45</v>
      </c>
      <c r="D51" s="153" t="s">
        <v>461</v>
      </c>
      <c r="E51" s="159" t="s">
        <v>190</v>
      </c>
      <c r="F51" s="158">
        <f xml:space="preserve"> F12</f>
        <v>-209477410</v>
      </c>
    </row>
    <row r="52" spans="1:7" x14ac:dyDescent="0.2">
      <c r="A52" s="504">
        <f t="shared" si="0"/>
        <v>46</v>
      </c>
      <c r="D52" s="153" t="s">
        <v>468</v>
      </c>
      <c r="E52" s="161" t="s">
        <v>272</v>
      </c>
      <c r="F52" s="158">
        <f>SUM(F48:F51)</f>
        <v>468734984</v>
      </c>
    </row>
    <row r="53" spans="1:7" x14ac:dyDescent="0.2">
      <c r="A53" s="504">
        <f t="shared" si="0"/>
        <v>47</v>
      </c>
      <c r="D53" s="153" t="s">
        <v>426</v>
      </c>
      <c r="E53" s="161" t="s">
        <v>315</v>
      </c>
      <c r="F53" s="160">
        <f>'Schedule 3'!F55</f>
        <v>8.8976300000000001E-3</v>
      </c>
    </row>
    <row r="54" spans="1:7" x14ac:dyDescent="0.2">
      <c r="A54" s="504">
        <f t="shared" si="0"/>
        <v>48</v>
      </c>
      <c r="D54" s="153" t="s">
        <v>427</v>
      </c>
      <c r="E54" s="203" t="s">
        <v>281</v>
      </c>
      <c r="F54" s="158">
        <f>F52*F53</f>
        <v>4170630.4556879201</v>
      </c>
    </row>
    <row r="55" spans="1:7" x14ac:dyDescent="0.2">
      <c r="A55" s="504">
        <f t="shared" si="0"/>
        <v>49</v>
      </c>
    </row>
    <row r="56" spans="1:7" x14ac:dyDescent="0.2">
      <c r="A56" s="504">
        <f t="shared" si="0"/>
        <v>50</v>
      </c>
      <c r="E56" s="153"/>
      <c r="F56" s="153"/>
    </row>
    <row r="57" spans="1:7" x14ac:dyDescent="0.2">
      <c r="A57" s="504">
        <f t="shared" si="0"/>
        <v>51</v>
      </c>
      <c r="B57" s="157" t="s">
        <v>347</v>
      </c>
      <c r="E57" s="153"/>
      <c r="F57" s="153"/>
    </row>
    <row r="58" spans="1:7" x14ac:dyDescent="0.2">
      <c r="A58" s="504">
        <f t="shared" si="0"/>
        <v>52</v>
      </c>
    </row>
    <row r="59" spans="1:7" x14ac:dyDescent="0.2">
      <c r="A59" s="504">
        <f t="shared" si="0"/>
        <v>53</v>
      </c>
      <c r="D59" s="153" t="s">
        <v>241</v>
      </c>
      <c r="E59" s="159" t="s">
        <v>1006</v>
      </c>
      <c r="F59" s="163">
        <f>'Schedule 2'!F77+'Rate Calculation'!E40+'Rate Calculation'!E41</f>
        <v>14983996.324999999</v>
      </c>
    </row>
    <row r="60" spans="1:7" x14ac:dyDescent="0.2">
      <c r="A60" s="504">
        <f t="shared" si="0"/>
        <v>54</v>
      </c>
      <c r="D60" s="153" t="s">
        <v>386</v>
      </c>
      <c r="E60" s="161" t="s">
        <v>243</v>
      </c>
      <c r="F60" s="158">
        <f>'Schedule 2'!F28</f>
        <v>18131261.726124577</v>
      </c>
    </row>
    <row r="61" spans="1:7" x14ac:dyDescent="0.2">
      <c r="A61" s="504">
        <f t="shared" si="0"/>
        <v>55</v>
      </c>
      <c r="D61" s="153" t="s">
        <v>387</v>
      </c>
      <c r="E61" s="161" t="s">
        <v>282</v>
      </c>
      <c r="F61" s="158">
        <f>(F59+F60)*0.125</f>
        <v>4139407.2563905721</v>
      </c>
      <c r="G61" s="208"/>
    </row>
    <row r="62" spans="1:7" x14ac:dyDescent="0.2">
      <c r="A62" s="504">
        <f t="shared" si="0"/>
        <v>56</v>
      </c>
      <c r="F62" s="209"/>
    </row>
    <row r="63" spans="1:7" x14ac:dyDescent="0.2">
      <c r="A63" s="504">
        <f t="shared" si="0"/>
        <v>57</v>
      </c>
    </row>
    <row r="64" spans="1:7" x14ac:dyDescent="0.2">
      <c r="A64" s="504">
        <f t="shared" si="0"/>
        <v>58</v>
      </c>
      <c r="B64" s="157" t="s">
        <v>415</v>
      </c>
    </row>
    <row r="65" spans="1:6" x14ac:dyDescent="0.2">
      <c r="A65" s="504">
        <f t="shared" si="0"/>
        <v>59</v>
      </c>
    </row>
    <row r="66" spans="1:6" x14ac:dyDescent="0.2">
      <c r="A66" s="504">
        <f t="shared" si="0"/>
        <v>60</v>
      </c>
      <c r="D66" s="153" t="s">
        <v>382</v>
      </c>
      <c r="E66" s="159" t="s">
        <v>440</v>
      </c>
      <c r="F66" s="158">
        <v>18269814</v>
      </c>
    </row>
    <row r="67" spans="1:6" x14ac:dyDescent="0.2">
      <c r="A67" s="504">
        <f t="shared" si="0"/>
        <v>61</v>
      </c>
      <c r="D67" s="153" t="s">
        <v>200</v>
      </c>
      <c r="F67" s="158">
        <v>0</v>
      </c>
    </row>
    <row r="68" spans="1:6" x14ac:dyDescent="0.2">
      <c r="A68" s="504">
        <f t="shared" si="0"/>
        <v>62</v>
      </c>
      <c r="D68" s="153" t="s">
        <v>201</v>
      </c>
      <c r="E68" s="203" t="s">
        <v>273</v>
      </c>
      <c r="F68" s="158">
        <f>F66-F67</f>
        <v>18269814</v>
      </c>
    </row>
    <row r="69" spans="1:6" x14ac:dyDescent="0.2">
      <c r="A69" s="504">
        <f t="shared" si="0"/>
        <v>63</v>
      </c>
      <c r="D69" s="153" t="s">
        <v>518</v>
      </c>
      <c r="E69" s="159" t="s">
        <v>315</v>
      </c>
      <c r="F69" s="160">
        <f>'Schedule 3'!F27</f>
        <v>0.12067612</v>
      </c>
    </row>
    <row r="70" spans="1:6" x14ac:dyDescent="0.2">
      <c r="A70" s="504">
        <f t="shared" si="0"/>
        <v>64</v>
      </c>
      <c r="D70" s="153" t="s">
        <v>416</v>
      </c>
      <c r="E70" s="203" t="s">
        <v>283</v>
      </c>
      <c r="F70" s="158">
        <f>F68*F69</f>
        <v>2204730.2666416802</v>
      </c>
    </row>
    <row r="71" spans="1:6" x14ac:dyDescent="0.2">
      <c r="A71" s="504">
        <f t="shared" si="0"/>
        <v>65</v>
      </c>
    </row>
    <row r="72" spans="1:6" x14ac:dyDescent="0.2">
      <c r="A72" s="504">
        <f t="shared" si="0"/>
        <v>66</v>
      </c>
      <c r="B72" s="157" t="s">
        <v>501</v>
      </c>
    </row>
    <row r="73" spans="1:6" x14ac:dyDescent="0.2">
      <c r="A73" s="504">
        <f t="shared" ref="A73:A85" si="1">A72+1</f>
        <v>67</v>
      </c>
      <c r="D73" s="153" t="s">
        <v>501</v>
      </c>
      <c r="E73" s="159" t="s">
        <v>1064</v>
      </c>
      <c r="F73" s="158">
        <f>655550+2630412+82790</f>
        <v>3368752</v>
      </c>
    </row>
    <row r="74" spans="1:6" x14ac:dyDescent="0.2">
      <c r="A74" s="504">
        <f t="shared" si="1"/>
        <v>68</v>
      </c>
      <c r="D74" s="153" t="s">
        <v>518</v>
      </c>
      <c r="E74" s="159" t="s">
        <v>315</v>
      </c>
      <c r="F74" s="160">
        <f>'Schedule 3'!F27</f>
        <v>0.12067612</v>
      </c>
    </row>
    <row r="75" spans="1:6" x14ac:dyDescent="0.2">
      <c r="A75" s="504">
        <f t="shared" si="1"/>
        <v>69</v>
      </c>
      <c r="D75" s="153" t="s">
        <v>502</v>
      </c>
      <c r="E75" s="203" t="s">
        <v>284</v>
      </c>
      <c r="F75" s="158">
        <f>F73*F74</f>
        <v>406527.92060224002</v>
      </c>
    </row>
    <row r="76" spans="1:6" x14ac:dyDescent="0.2">
      <c r="A76" s="504">
        <f t="shared" si="1"/>
        <v>70</v>
      </c>
    </row>
    <row r="77" spans="1:6" x14ac:dyDescent="0.2">
      <c r="A77" s="504">
        <f t="shared" si="1"/>
        <v>71</v>
      </c>
      <c r="B77" s="157" t="s">
        <v>504</v>
      </c>
    </row>
    <row r="78" spans="1:6" x14ac:dyDescent="0.2">
      <c r="A78" s="504">
        <f t="shared" si="1"/>
        <v>72</v>
      </c>
      <c r="D78" s="153" t="s">
        <v>508</v>
      </c>
      <c r="E78" s="159" t="s">
        <v>887</v>
      </c>
      <c r="F78" s="158">
        <v>13353307</v>
      </c>
    </row>
    <row r="79" spans="1:6" x14ac:dyDescent="0.2">
      <c r="A79" s="504">
        <f t="shared" si="1"/>
        <v>73</v>
      </c>
      <c r="D79" s="153" t="s">
        <v>509</v>
      </c>
      <c r="E79" s="159" t="s">
        <v>383</v>
      </c>
      <c r="F79" s="158">
        <v>2422752</v>
      </c>
    </row>
    <row r="80" spans="1:6" x14ac:dyDescent="0.2">
      <c r="A80" s="504">
        <f t="shared" si="1"/>
        <v>74</v>
      </c>
      <c r="D80" s="153" t="s">
        <v>518</v>
      </c>
      <c r="E80" s="159" t="s">
        <v>315</v>
      </c>
      <c r="F80" s="160">
        <f>'Schedule 3'!F27</f>
        <v>0.12067612</v>
      </c>
    </row>
    <row r="81" spans="1:6" x14ac:dyDescent="0.2">
      <c r="A81" s="504">
        <f t="shared" si="1"/>
        <v>75</v>
      </c>
      <c r="D81" s="153" t="s">
        <v>510</v>
      </c>
      <c r="E81" s="203" t="s">
        <v>285</v>
      </c>
      <c r="F81" s="158">
        <f>F79*F80</f>
        <v>292368.31108224002</v>
      </c>
    </row>
    <row r="82" spans="1:6" x14ac:dyDescent="0.2">
      <c r="A82" s="504">
        <f t="shared" si="1"/>
        <v>76</v>
      </c>
      <c r="D82" s="153" t="s">
        <v>838</v>
      </c>
      <c r="E82" s="159" t="s">
        <v>384</v>
      </c>
      <c r="F82" s="158">
        <v>3403797</v>
      </c>
    </row>
    <row r="83" spans="1:6" x14ac:dyDescent="0.2">
      <c r="A83" s="504">
        <f t="shared" si="1"/>
        <v>77</v>
      </c>
      <c r="D83" s="153" t="s">
        <v>517</v>
      </c>
      <c r="E83" s="159" t="s">
        <v>315</v>
      </c>
      <c r="F83" s="160">
        <f>'Schedule 3'!F39</f>
        <v>0.19931893000000001</v>
      </c>
    </row>
    <row r="84" spans="1:6" x14ac:dyDescent="0.2">
      <c r="A84" s="504">
        <f t="shared" si="1"/>
        <v>78</v>
      </c>
      <c r="D84" s="153" t="s">
        <v>505</v>
      </c>
      <c r="E84" s="203" t="s">
        <v>286</v>
      </c>
      <c r="F84" s="158">
        <f>F82*F83</f>
        <v>678441.17597721005</v>
      </c>
    </row>
    <row r="85" spans="1:6" x14ac:dyDescent="0.2">
      <c r="A85" s="504">
        <f t="shared" si="1"/>
        <v>79</v>
      </c>
      <c r="D85" s="153" t="s">
        <v>506</v>
      </c>
      <c r="E85" s="203" t="s">
        <v>274</v>
      </c>
      <c r="F85" s="158">
        <f>F78+F81+F84</f>
        <v>14324116.48705945</v>
      </c>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80"/>
  <sheetViews>
    <sheetView zoomScaleNormal="100" zoomScaleSheetLayoutView="100" zoomScalePageLayoutView="75" workbookViewId="0">
      <selection activeCell="A19" sqref="A19"/>
    </sheetView>
  </sheetViews>
  <sheetFormatPr defaultRowHeight="12.75" x14ac:dyDescent="0.2"/>
  <cols>
    <col min="1" max="1" width="4.5703125" style="504" customWidth="1"/>
    <col min="2" max="2" width="4" style="153" customWidth="1"/>
    <col min="3" max="3" width="3.7109375" style="154" customWidth="1"/>
    <col min="4" max="4" width="68.85546875" style="153" customWidth="1"/>
    <col min="5" max="5" width="45.7109375" style="159" bestFit="1" customWidth="1"/>
    <col min="6" max="6" width="18" style="153" customWidth="1"/>
    <col min="7" max="7" width="9.140625" style="153"/>
    <col min="8" max="8" width="11.28515625" style="153" bestFit="1" customWidth="1"/>
    <col min="9" max="16384" width="9.140625" style="153"/>
  </cols>
  <sheetData>
    <row r="1" spans="1:6" x14ac:dyDescent="0.2">
      <c r="A1" s="685" t="s">
        <v>364</v>
      </c>
      <c r="B1" s="685"/>
      <c r="C1" s="685"/>
      <c r="D1" s="685"/>
      <c r="E1" s="685"/>
      <c r="F1" s="685"/>
    </row>
    <row r="2" spans="1:6" x14ac:dyDescent="0.2">
      <c r="A2" s="685" t="s">
        <v>388</v>
      </c>
      <c r="B2" s="685"/>
      <c r="C2" s="685"/>
      <c r="D2" s="685"/>
      <c r="E2" s="685"/>
      <c r="F2" s="685"/>
    </row>
    <row r="6" spans="1:6" x14ac:dyDescent="0.2">
      <c r="E6" s="155" t="s">
        <v>229</v>
      </c>
      <c r="F6" s="156" t="s">
        <v>230</v>
      </c>
    </row>
    <row r="7" spans="1:6" x14ac:dyDescent="0.2">
      <c r="A7" s="504">
        <v>1</v>
      </c>
      <c r="B7" s="157" t="s">
        <v>389</v>
      </c>
      <c r="E7" s="155"/>
      <c r="F7" s="158"/>
    </row>
    <row r="8" spans="1:6" x14ac:dyDescent="0.2">
      <c r="A8" s="504">
        <f>A7+1</f>
        <v>2</v>
      </c>
      <c r="E8" s="155"/>
      <c r="F8" s="158"/>
    </row>
    <row r="9" spans="1:6" x14ac:dyDescent="0.2">
      <c r="A9" s="504">
        <f t="shared" ref="A9:A72" si="0">A8+1</f>
        <v>3</v>
      </c>
      <c r="D9" s="153" t="s">
        <v>898</v>
      </c>
      <c r="E9" s="159" t="s">
        <v>1230</v>
      </c>
      <c r="F9" s="158">
        <v>146887131</v>
      </c>
    </row>
    <row r="10" spans="1:6" x14ac:dyDescent="0.2">
      <c r="A10" s="504">
        <f t="shared" si="0"/>
        <v>4</v>
      </c>
      <c r="D10" s="153" t="s">
        <v>434</v>
      </c>
      <c r="E10" s="159" t="s">
        <v>4</v>
      </c>
      <c r="F10" s="158">
        <v>-3362154</v>
      </c>
    </row>
    <row r="11" spans="1:6" x14ac:dyDescent="0.2">
      <c r="A11" s="504">
        <f t="shared" si="0"/>
        <v>5</v>
      </c>
      <c r="D11" s="153" t="s">
        <v>435</v>
      </c>
      <c r="E11" s="159" t="s">
        <v>5</v>
      </c>
      <c r="F11" s="158">
        <v>-3818396</v>
      </c>
    </row>
    <row r="12" spans="1:6" x14ac:dyDescent="0.2">
      <c r="A12" s="504">
        <f t="shared" si="0"/>
        <v>6</v>
      </c>
      <c r="D12" s="153" t="s">
        <v>436</v>
      </c>
      <c r="E12" s="159" t="s">
        <v>6</v>
      </c>
      <c r="F12" s="158">
        <v>-582063</v>
      </c>
    </row>
    <row r="13" spans="1:6" x14ac:dyDescent="0.2">
      <c r="A13" s="504">
        <f t="shared" si="0"/>
        <v>7</v>
      </c>
      <c r="D13" s="153" t="s">
        <v>518</v>
      </c>
      <c r="E13" s="159" t="s">
        <v>315</v>
      </c>
      <c r="F13" s="160">
        <f>'Schedule 3'!F27</f>
        <v>0.12067612</v>
      </c>
    </row>
    <row r="14" spans="1:6" x14ac:dyDescent="0.2">
      <c r="A14" s="504">
        <f t="shared" si="0"/>
        <v>8</v>
      </c>
      <c r="D14" s="153" t="s">
        <v>423</v>
      </c>
      <c r="E14" s="161" t="s">
        <v>292</v>
      </c>
      <c r="F14" s="158">
        <f>(F9+F10+F11+F12) * F13</f>
        <v>16789007.02911016</v>
      </c>
    </row>
    <row r="15" spans="1:6" x14ac:dyDescent="0.2">
      <c r="A15" s="504">
        <f t="shared" si="0"/>
        <v>9</v>
      </c>
      <c r="E15" s="155"/>
      <c r="F15" s="158"/>
    </row>
    <row r="16" spans="1:6" x14ac:dyDescent="0.2">
      <c r="A16" s="504">
        <f t="shared" si="0"/>
        <v>10</v>
      </c>
      <c r="D16" s="153" t="s">
        <v>417</v>
      </c>
      <c r="E16" s="159" t="s">
        <v>767</v>
      </c>
      <c r="F16" s="158">
        <f>-F10</f>
        <v>3362154</v>
      </c>
    </row>
    <row r="17" spans="1:15" x14ac:dyDescent="0.2">
      <c r="A17" s="504">
        <f t="shared" si="0"/>
        <v>11</v>
      </c>
      <c r="D17" s="153" t="s">
        <v>517</v>
      </c>
      <c r="E17" s="159" t="s">
        <v>315</v>
      </c>
      <c r="F17" s="162">
        <f>'Schedule 3'!F39</f>
        <v>0.19931893000000001</v>
      </c>
    </row>
    <row r="18" spans="1:15" x14ac:dyDescent="0.2">
      <c r="A18" s="504">
        <f t="shared" si="0"/>
        <v>12</v>
      </c>
      <c r="D18" s="153" t="s">
        <v>418</v>
      </c>
      <c r="E18" s="161" t="s">
        <v>275</v>
      </c>
      <c r="F18" s="158">
        <f>F16*F17</f>
        <v>670140.93777522002</v>
      </c>
    </row>
    <row r="19" spans="1:15" x14ac:dyDescent="0.2">
      <c r="A19" s="504">
        <f t="shared" si="0"/>
        <v>13</v>
      </c>
      <c r="E19" s="155"/>
      <c r="F19" s="158"/>
    </row>
    <row r="20" spans="1:15" x14ac:dyDescent="0.2">
      <c r="A20" s="504">
        <f t="shared" si="0"/>
        <v>14</v>
      </c>
      <c r="D20" s="153" t="s">
        <v>419</v>
      </c>
      <c r="E20" s="159" t="s">
        <v>1134</v>
      </c>
      <c r="F20" s="158">
        <f>3289462+23538</f>
        <v>3313000</v>
      </c>
      <c r="G20" s="523"/>
      <c r="H20" s="523"/>
      <c r="I20" s="523"/>
      <c r="J20" s="523"/>
      <c r="K20" s="523"/>
      <c r="L20" s="523"/>
      <c r="M20" s="523"/>
      <c r="N20" s="523"/>
      <c r="O20" s="523"/>
    </row>
    <row r="21" spans="1:15" x14ac:dyDescent="0.2">
      <c r="A21" s="504">
        <f t="shared" si="0"/>
        <v>15</v>
      </c>
      <c r="D21" s="153" t="s">
        <v>517</v>
      </c>
      <c r="E21" s="159" t="s">
        <v>315</v>
      </c>
      <c r="F21" s="162">
        <f>'Schedule 3'!F39</f>
        <v>0.19931893000000001</v>
      </c>
    </row>
    <row r="22" spans="1:15" x14ac:dyDescent="0.2">
      <c r="A22" s="504">
        <f t="shared" si="0"/>
        <v>16</v>
      </c>
      <c r="D22" s="153" t="s">
        <v>420</v>
      </c>
      <c r="E22" s="161" t="s">
        <v>277</v>
      </c>
      <c r="F22" s="158">
        <f>F20*F21</f>
        <v>660343.61508999998</v>
      </c>
    </row>
    <row r="23" spans="1:15" x14ac:dyDescent="0.2">
      <c r="A23" s="504">
        <f t="shared" si="0"/>
        <v>17</v>
      </c>
      <c r="E23" s="155"/>
      <c r="F23" s="158"/>
    </row>
    <row r="24" spans="1:15" x14ac:dyDescent="0.2">
      <c r="A24" s="504">
        <f t="shared" si="0"/>
        <v>18</v>
      </c>
      <c r="D24" s="153" t="s">
        <v>421</v>
      </c>
      <c r="E24" s="159" t="s">
        <v>1072</v>
      </c>
      <c r="F24" s="158">
        <v>0</v>
      </c>
    </row>
    <row r="25" spans="1:15" x14ac:dyDescent="0.2">
      <c r="A25" s="504">
        <f t="shared" si="0"/>
        <v>19</v>
      </c>
      <c r="F25" s="162"/>
    </row>
    <row r="26" spans="1:15" x14ac:dyDescent="0.2">
      <c r="A26" s="504">
        <f t="shared" si="0"/>
        <v>20</v>
      </c>
      <c r="D26" s="153" t="s">
        <v>922</v>
      </c>
      <c r="E26" s="159" t="s">
        <v>1080</v>
      </c>
      <c r="F26" s="158">
        <f>'Schedule 2 Workpaper page 5'!D20</f>
        <v>11770.144149195376</v>
      </c>
      <c r="H26" s="163"/>
    </row>
    <row r="27" spans="1:15" x14ac:dyDescent="0.2">
      <c r="A27" s="504">
        <f t="shared" si="0"/>
        <v>21</v>
      </c>
      <c r="E27" s="155"/>
      <c r="F27" s="158"/>
    </row>
    <row r="28" spans="1:15" x14ac:dyDescent="0.2">
      <c r="A28" s="504">
        <f t="shared" si="0"/>
        <v>22</v>
      </c>
      <c r="D28" s="153" t="s">
        <v>422</v>
      </c>
      <c r="E28" s="161" t="s">
        <v>204</v>
      </c>
      <c r="F28" s="158">
        <f>F14+F18+F22+F24+F26</f>
        <v>18131261.726124577</v>
      </c>
    </row>
    <row r="29" spans="1:15" x14ac:dyDescent="0.2">
      <c r="A29" s="504">
        <f t="shared" si="0"/>
        <v>23</v>
      </c>
      <c r="E29" s="155"/>
      <c r="F29" s="162"/>
    </row>
    <row r="30" spans="1:15" x14ac:dyDescent="0.2">
      <c r="A30" s="504">
        <f t="shared" si="0"/>
        <v>24</v>
      </c>
      <c r="B30" s="157" t="s">
        <v>36</v>
      </c>
      <c r="F30" s="158"/>
    </row>
    <row r="31" spans="1:15" x14ac:dyDescent="0.2">
      <c r="A31" s="504">
        <f t="shared" si="0"/>
        <v>25</v>
      </c>
      <c r="F31" s="158"/>
    </row>
    <row r="32" spans="1:15" x14ac:dyDescent="0.2">
      <c r="A32" s="504">
        <f t="shared" si="0"/>
        <v>26</v>
      </c>
      <c r="D32" s="153" t="s">
        <v>511</v>
      </c>
      <c r="E32" s="159" t="s">
        <v>888</v>
      </c>
      <c r="F32" s="158">
        <v>10894110</v>
      </c>
    </row>
    <row r="33" spans="1:15" x14ac:dyDescent="0.2">
      <c r="A33" s="504">
        <f t="shared" si="0"/>
        <v>27</v>
      </c>
      <c r="D33" s="153" t="s">
        <v>518</v>
      </c>
      <c r="E33" s="161" t="s">
        <v>315</v>
      </c>
      <c r="F33" s="160">
        <f>'Schedule 3'!F27</f>
        <v>0.12067612</v>
      </c>
    </row>
    <row r="34" spans="1:15" x14ac:dyDescent="0.2">
      <c r="A34" s="504">
        <f t="shared" si="0"/>
        <v>28</v>
      </c>
      <c r="D34" s="153" t="s">
        <v>317</v>
      </c>
      <c r="E34" s="161" t="s">
        <v>287</v>
      </c>
      <c r="F34" s="158">
        <f>F33*F32</f>
        <v>1314658.9256531999</v>
      </c>
    </row>
    <row r="35" spans="1:15" x14ac:dyDescent="0.2">
      <c r="A35" s="504">
        <f t="shared" si="0"/>
        <v>29</v>
      </c>
      <c r="F35" s="158"/>
    </row>
    <row r="36" spans="1:15" x14ac:dyDescent="0.2">
      <c r="A36" s="504">
        <f t="shared" si="0"/>
        <v>30</v>
      </c>
      <c r="B36" s="157" t="s">
        <v>390</v>
      </c>
    </row>
    <row r="37" spans="1:15" x14ac:dyDescent="0.2">
      <c r="A37" s="504">
        <f t="shared" si="0"/>
        <v>31</v>
      </c>
    </row>
    <row r="38" spans="1:15" x14ac:dyDescent="0.2">
      <c r="A38" s="504">
        <f t="shared" si="0"/>
        <v>32</v>
      </c>
      <c r="D38" s="153" t="s">
        <v>442</v>
      </c>
      <c r="E38" s="159" t="s">
        <v>968</v>
      </c>
      <c r="F38" s="93">
        <v>2922165</v>
      </c>
      <c r="G38" s="523"/>
      <c r="H38" s="523"/>
      <c r="I38" s="523"/>
      <c r="J38" s="523"/>
      <c r="K38" s="523"/>
      <c r="L38" s="523"/>
      <c r="M38" s="523"/>
      <c r="N38" s="523"/>
      <c r="O38" s="523"/>
    </row>
    <row r="39" spans="1:15" x14ac:dyDescent="0.2">
      <c r="A39" s="504">
        <f t="shared" si="0"/>
        <v>33</v>
      </c>
      <c r="D39" s="153" t="s">
        <v>517</v>
      </c>
      <c r="E39" s="159" t="s">
        <v>315</v>
      </c>
      <c r="F39" s="153">
        <f>'Schedule 3'!F39</f>
        <v>0.19931893000000001</v>
      </c>
    </row>
    <row r="40" spans="1:15" x14ac:dyDescent="0.2">
      <c r="A40" s="504">
        <f t="shared" si="0"/>
        <v>34</v>
      </c>
      <c r="D40" s="153" t="s">
        <v>391</v>
      </c>
      <c r="E40" s="161" t="s">
        <v>1231</v>
      </c>
      <c r="F40" s="93">
        <f>-F38*F39</f>
        <v>-582442.80108344997</v>
      </c>
    </row>
    <row r="41" spans="1:15" x14ac:dyDescent="0.2">
      <c r="A41" s="504">
        <f t="shared" si="0"/>
        <v>35</v>
      </c>
      <c r="D41" s="153" t="s">
        <v>392</v>
      </c>
      <c r="E41" s="164">
        <v>-34</v>
      </c>
      <c r="F41" s="163">
        <f>F40</f>
        <v>-582442.80108344997</v>
      </c>
    </row>
    <row r="42" spans="1:15" x14ac:dyDescent="0.2">
      <c r="A42" s="504">
        <f t="shared" si="0"/>
        <v>36</v>
      </c>
    </row>
    <row r="43" spans="1:15" x14ac:dyDescent="0.2">
      <c r="A43" s="504">
        <f t="shared" si="0"/>
        <v>37</v>
      </c>
    </row>
    <row r="44" spans="1:15" x14ac:dyDescent="0.2">
      <c r="A44" s="504">
        <f t="shared" si="0"/>
        <v>38</v>
      </c>
      <c r="B44" s="157" t="s">
        <v>393</v>
      </c>
    </row>
    <row r="45" spans="1:15" x14ac:dyDescent="0.2">
      <c r="A45" s="504">
        <f t="shared" si="0"/>
        <v>39</v>
      </c>
    </row>
    <row r="46" spans="1:15" x14ac:dyDescent="0.2">
      <c r="A46" s="504">
        <f t="shared" si="0"/>
        <v>40</v>
      </c>
      <c r="D46" s="153" t="s">
        <v>1136</v>
      </c>
      <c r="E46" s="159" t="s">
        <v>1135</v>
      </c>
      <c r="F46" s="165">
        <f>22107982+3089583+322249+1035811+1593455+6000</f>
        <v>28155080</v>
      </c>
    </row>
    <row r="47" spans="1:15" x14ac:dyDescent="0.2">
      <c r="A47" s="504">
        <f t="shared" si="0"/>
        <v>41</v>
      </c>
      <c r="D47" s="153" t="s">
        <v>226</v>
      </c>
      <c r="E47" s="159" t="s">
        <v>80</v>
      </c>
      <c r="F47" s="165">
        <f>'Schedule 2 Workpaper page 3'!C11</f>
        <v>5890463.0299999993</v>
      </c>
    </row>
    <row r="48" spans="1:15" x14ac:dyDescent="0.2">
      <c r="A48" s="504">
        <f t="shared" si="0"/>
        <v>42</v>
      </c>
      <c r="D48" s="153" t="s">
        <v>568</v>
      </c>
      <c r="E48" s="159" t="s">
        <v>923</v>
      </c>
      <c r="F48" s="93">
        <f>-(F47*'Schedule 3'!F9)</f>
        <v>-165263.3020067224</v>
      </c>
    </row>
    <row r="49" spans="1:6" x14ac:dyDescent="0.2">
      <c r="A49" s="504">
        <f t="shared" si="0"/>
        <v>43</v>
      </c>
      <c r="D49" s="153" t="s">
        <v>569</v>
      </c>
      <c r="E49" s="159" t="s">
        <v>924</v>
      </c>
      <c r="F49" s="166">
        <f>-(F47*'Schedule 3'!F16)</f>
        <v>-5471.3565854154995</v>
      </c>
    </row>
    <row r="50" spans="1:6" x14ac:dyDescent="0.2">
      <c r="A50" s="504">
        <f t="shared" si="0"/>
        <v>44</v>
      </c>
      <c r="D50" s="153" t="s">
        <v>227</v>
      </c>
      <c r="E50" s="159" t="s">
        <v>80</v>
      </c>
      <c r="F50" s="165">
        <f>'Schedule 2 Workpaper page 3'!C13</f>
        <v>2011936.84</v>
      </c>
    </row>
    <row r="51" spans="1:6" x14ac:dyDescent="0.2">
      <c r="A51" s="504">
        <f t="shared" si="0"/>
        <v>45</v>
      </c>
      <c r="D51" s="153" t="s">
        <v>518</v>
      </c>
      <c r="E51" s="159" t="s">
        <v>315</v>
      </c>
      <c r="F51" s="167">
        <f>'Schedule 3'!F27</f>
        <v>0.12067612</v>
      </c>
    </row>
    <row r="52" spans="1:6" x14ac:dyDescent="0.2">
      <c r="A52" s="504">
        <f t="shared" si="0"/>
        <v>46</v>
      </c>
      <c r="D52" s="153" t="s">
        <v>437</v>
      </c>
      <c r="E52" s="159" t="s">
        <v>526</v>
      </c>
      <c r="F52" s="165">
        <f>F50*F51</f>
        <v>242792.73153626081</v>
      </c>
    </row>
    <row r="53" spans="1:6" x14ac:dyDescent="0.2">
      <c r="A53" s="504">
        <f t="shared" si="0"/>
        <v>47</v>
      </c>
      <c r="D53" s="153" t="s">
        <v>1065</v>
      </c>
      <c r="E53" s="159" t="s">
        <v>1066</v>
      </c>
      <c r="F53" s="165">
        <f>15391446+132993+566515+54996</f>
        <v>16145950</v>
      </c>
    </row>
    <row r="54" spans="1:6" x14ac:dyDescent="0.2">
      <c r="A54" s="504">
        <f t="shared" si="0"/>
        <v>48</v>
      </c>
      <c r="D54" s="153" t="s">
        <v>516</v>
      </c>
      <c r="E54" s="159" t="s">
        <v>525</v>
      </c>
      <c r="F54" s="166">
        <f>-F53</f>
        <v>-16145950</v>
      </c>
    </row>
    <row r="55" spans="1:6" x14ac:dyDescent="0.2">
      <c r="A55" s="504">
        <f t="shared" si="0"/>
        <v>49</v>
      </c>
      <c r="D55" s="153" t="s">
        <v>518</v>
      </c>
      <c r="E55" s="159" t="s">
        <v>315</v>
      </c>
      <c r="F55" s="167">
        <f>'Schedule 3'!F27</f>
        <v>0.12067612</v>
      </c>
    </row>
    <row r="56" spans="1:6" x14ac:dyDescent="0.2">
      <c r="A56" s="504">
        <f t="shared" si="0"/>
        <v>50</v>
      </c>
      <c r="D56" s="153" t="s">
        <v>394</v>
      </c>
      <c r="E56" s="161" t="s">
        <v>288</v>
      </c>
      <c r="F56" s="166">
        <f>(F53+F54)*F55</f>
        <v>0</v>
      </c>
    </row>
    <row r="57" spans="1:6" x14ac:dyDescent="0.2">
      <c r="A57" s="504">
        <f t="shared" si="0"/>
        <v>51</v>
      </c>
      <c r="F57" s="165"/>
    </row>
    <row r="58" spans="1:6" x14ac:dyDescent="0.2">
      <c r="A58" s="504">
        <f t="shared" si="0"/>
        <v>52</v>
      </c>
      <c r="D58" s="153" t="s">
        <v>438</v>
      </c>
      <c r="E58" s="161" t="s">
        <v>289</v>
      </c>
      <c r="F58" s="165">
        <f>F47+F48+F49+F52+F56</f>
        <v>5962521.1029441226</v>
      </c>
    </row>
    <row r="59" spans="1:6" x14ac:dyDescent="0.2">
      <c r="A59" s="504">
        <f t="shared" si="0"/>
        <v>53</v>
      </c>
    </row>
    <row r="60" spans="1:6" x14ac:dyDescent="0.2">
      <c r="A60" s="504">
        <f t="shared" si="0"/>
        <v>54</v>
      </c>
    </row>
    <row r="61" spans="1:6" x14ac:dyDescent="0.2">
      <c r="A61" s="504">
        <f t="shared" si="0"/>
        <v>55</v>
      </c>
      <c r="B61" s="157" t="s">
        <v>512</v>
      </c>
    </row>
    <row r="62" spans="1:6" x14ac:dyDescent="0.2">
      <c r="A62" s="504">
        <f t="shared" si="0"/>
        <v>56</v>
      </c>
    </row>
    <row r="63" spans="1:6" x14ac:dyDescent="0.2">
      <c r="A63" s="504">
        <f t="shared" si="0"/>
        <v>57</v>
      </c>
      <c r="D63" s="157" t="s">
        <v>512</v>
      </c>
      <c r="E63" s="159" t="s">
        <v>889</v>
      </c>
      <c r="F63" s="93">
        <v>6649455</v>
      </c>
    </row>
    <row r="64" spans="1:6" x14ac:dyDescent="0.2">
      <c r="A64" s="504">
        <f t="shared" si="0"/>
        <v>58</v>
      </c>
      <c r="D64" s="153" t="s">
        <v>518</v>
      </c>
      <c r="E64" s="159" t="s">
        <v>315</v>
      </c>
      <c r="F64" s="153">
        <f>'Schedule 3'!F27</f>
        <v>0.12067612</v>
      </c>
    </row>
    <row r="65" spans="1:6" x14ac:dyDescent="0.2">
      <c r="A65" s="504">
        <f t="shared" si="0"/>
        <v>59</v>
      </c>
      <c r="D65" s="153" t="s">
        <v>486</v>
      </c>
      <c r="E65" s="161" t="s">
        <v>290</v>
      </c>
      <c r="F65" s="163">
        <f>F63*F64</f>
        <v>802430.42951459996</v>
      </c>
    </row>
    <row r="66" spans="1:6" x14ac:dyDescent="0.2">
      <c r="A66" s="504">
        <f t="shared" si="0"/>
        <v>60</v>
      </c>
    </row>
    <row r="67" spans="1:6" x14ac:dyDescent="0.2">
      <c r="A67" s="504">
        <f t="shared" si="0"/>
        <v>61</v>
      </c>
      <c r="B67" s="157" t="s">
        <v>207</v>
      </c>
    </row>
    <row r="68" spans="1:6" x14ac:dyDescent="0.2">
      <c r="A68" s="504">
        <f t="shared" si="0"/>
        <v>62</v>
      </c>
      <c r="D68" s="154" t="s">
        <v>209</v>
      </c>
      <c r="E68" s="159" t="s">
        <v>208</v>
      </c>
      <c r="F68" s="168">
        <v>22117697</v>
      </c>
    </row>
    <row r="69" spans="1:6" x14ac:dyDescent="0.2">
      <c r="A69" s="504">
        <f t="shared" si="0"/>
        <v>63</v>
      </c>
      <c r="D69" s="153" t="s">
        <v>210</v>
      </c>
      <c r="E69" s="159" t="s">
        <v>181</v>
      </c>
      <c r="F69" s="93">
        <f>- 'Schedule 7'!G90</f>
        <v>-597267.09000000008</v>
      </c>
    </row>
    <row r="70" spans="1:6" x14ac:dyDescent="0.2">
      <c r="A70" s="504">
        <f t="shared" si="0"/>
        <v>64</v>
      </c>
      <c r="D70" s="153" t="s">
        <v>211</v>
      </c>
      <c r="E70" s="159" t="s">
        <v>571</v>
      </c>
      <c r="F70" s="169">
        <f>-'Schedule 8'!G17</f>
        <v>-19563.96</v>
      </c>
    </row>
    <row r="71" spans="1:6" x14ac:dyDescent="0.2">
      <c r="A71" s="504">
        <f t="shared" si="0"/>
        <v>65</v>
      </c>
      <c r="D71" s="153" t="s">
        <v>207</v>
      </c>
      <c r="E71" s="161" t="s">
        <v>291</v>
      </c>
      <c r="F71" s="168">
        <f>SUM(F68:F70)</f>
        <v>21500865.949999999</v>
      </c>
    </row>
    <row r="72" spans="1:6" x14ac:dyDescent="0.2">
      <c r="A72" s="504">
        <f t="shared" si="0"/>
        <v>66</v>
      </c>
    </row>
    <row r="73" spans="1:6" x14ac:dyDescent="0.2">
      <c r="A73" s="504">
        <f>A72+1</f>
        <v>67</v>
      </c>
      <c r="B73" s="157" t="s">
        <v>212</v>
      </c>
    </row>
    <row r="74" spans="1:6" ht="25.5" x14ac:dyDescent="0.2">
      <c r="A74" s="504">
        <f>A73+1</f>
        <v>68</v>
      </c>
      <c r="D74" s="547" t="s">
        <v>1084</v>
      </c>
      <c r="E74" s="159" t="s">
        <v>1232</v>
      </c>
      <c r="F74" s="166">
        <f>25408262-(0+0)</f>
        <v>25408262</v>
      </c>
    </row>
    <row r="75" spans="1:6" x14ac:dyDescent="0.2">
      <c r="A75" s="504">
        <f>A74+1</f>
        <v>69</v>
      </c>
      <c r="D75" s="153" t="s">
        <v>194</v>
      </c>
      <c r="E75" s="159" t="s">
        <v>476</v>
      </c>
      <c r="F75" s="166">
        <f>-'Schedule 2 Workpaper page 1'!E60</f>
        <v>-148969.67499999999</v>
      </c>
    </row>
    <row r="76" spans="1:6" x14ac:dyDescent="0.2">
      <c r="A76" s="504">
        <f>A75+1</f>
        <v>70</v>
      </c>
      <c r="D76" s="153" t="s">
        <v>195</v>
      </c>
      <c r="E76" s="159" t="s">
        <v>477</v>
      </c>
      <c r="F76" s="170">
        <f>-'Schedule 2 Workpaper page 2'!F9</f>
        <v>-23600</v>
      </c>
    </row>
    <row r="77" spans="1:6" x14ac:dyDescent="0.2">
      <c r="A77" s="504">
        <f>A76+1</f>
        <v>71</v>
      </c>
      <c r="D77" s="153" t="s">
        <v>213</v>
      </c>
      <c r="E77" s="161" t="s">
        <v>761</v>
      </c>
      <c r="F77" s="168">
        <f>SUM(F74:F76)</f>
        <v>25235692.324999999</v>
      </c>
    </row>
    <row r="80" spans="1:6" x14ac:dyDescent="0.2">
      <c r="D80" s="168"/>
    </row>
  </sheetData>
  <sheetProtection formatCells="0"/>
  <mergeCells count="2">
    <mergeCell ref="A1:F1"/>
    <mergeCell ref="A2:F2"/>
  </mergeCells>
  <phoneticPr fontId="0" type="noConversion"/>
  <conditionalFormatting sqref="F75">
    <cfRule type="cellIs" dxfId="4" priority="2" operator="greaterThan">
      <formula>0</formula>
    </cfRule>
  </conditionalFormatting>
  <conditionalFormatting sqref="F47 F50">
    <cfRule type="cellIs" dxfId="3" priority="1" operator="lessThan">
      <formula>0</formula>
    </cfRule>
  </conditionalFormatting>
  <printOptions horizontalCentered="1"/>
  <pageMargins left="0.75" right="0.75" top="1" bottom="1" header="0.5" footer="0.5"/>
  <pageSetup scale="62" orientation="portrait" r:id="rId1"/>
  <headerFooter alignWithMargins="0">
    <oddHeader>&amp;CIDAHO POWER COMPANY
Transmission Cost of Service Rate Development
12 Months Ended 12/31/2016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40</vt:i4>
      </vt:variant>
      <vt:variant>
        <vt:lpstr>Named Ranges</vt:lpstr>
      </vt:variant>
      <vt:variant>
        <vt:i4>29</vt:i4>
      </vt:variant>
    </vt:vector>
  </HeadingPairs>
  <TitlesOfParts>
    <vt:vector size="69"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2 Workpaper page 5</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10'!Print_Area</vt:lpstr>
      <vt:lpstr>'Schedule 12'!Print_Area</vt:lpstr>
      <vt:lpstr>'Schedule 13'!Print_Area</vt:lpstr>
      <vt:lpstr>'Schedule 2'!Print_Area</vt:lpstr>
      <vt:lpstr>'Schedule 2 Workpaper page 1'!Print_Area</vt:lpstr>
      <vt:lpstr>'Schedule 2 Workpaper page 4'!Print_Area</vt:lpstr>
      <vt:lpstr>'Schedule 3'!Print_Area</vt:lpstr>
      <vt:lpstr>'Schedule 4'!Print_Area</vt:lpstr>
      <vt:lpstr>'Schedule 4 Workpaper page 1'!Print_Area</vt:lpstr>
      <vt:lpstr>'Schedule 4 Workpaper page 2'!Print_Area</vt:lpstr>
      <vt:lpstr>'Schedule 4 Workpaper page 3'!Print_Area</vt:lpstr>
      <vt:lpstr>'Schedule 4 Workpaper page 4'!Print_Area</vt:lpstr>
      <vt:lpstr>'Schedule 4 Workpaper page 7'!Print_Area</vt:lpstr>
      <vt:lpstr>'Schedule 5'!Print_Area</vt:lpstr>
      <vt:lpstr>'Schedule 5 Workpaper '!Print_Area</vt:lpstr>
      <vt:lpstr>'Schedule 6 Workpaper page 3'!Print_Area</vt:lpstr>
      <vt:lpstr>'Schedule 7'!Print_Area</vt:lpstr>
      <vt:lpstr>'Schedule 7 Workpaper'!Print_Area</vt:lpstr>
      <vt:lpstr>'Schedule 7, 8 and 9 Rates'!Print_Area</vt:lpstr>
      <vt:lpstr>'Schedule 8'!Print_Area</vt:lpstr>
      <vt:lpstr>'Schedule 8 Workpaper'!Print_Area</vt:lpstr>
      <vt:lpstr>'Schedule 9'!Print_Area</vt:lpstr>
      <vt:lpstr>'Title Page'!Print_Area</vt:lpstr>
      <vt:lpstr>'Schedule 2 Workpaper page 4'!Print_Titles</vt:lpstr>
      <vt:lpstr>'Schedule 4 Workpaper page 2'!Print_Titles</vt:lpstr>
      <vt:lpstr>'Schedule 7'!Print_Titles</vt:lpstr>
      <vt:lpstr>'Schedule 7 Workpaper'!Print_Titles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2008-08-26T14:24:20Z</cp:lastPrinted>
  <dcterms:created xsi:type="dcterms:W3CDTF">1970-01-01T05:00:00Z</dcterms:created>
  <dcterms:modified xsi:type="dcterms:W3CDTF">2017-06-01T18:41:29Z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{18BB0A78-5CF0-4B97-B7CF-8A74E977157C}</vt:lpwstr>
  </property>
</Properties>
</file>